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autoCompressPictures="0"/>
  <mc:AlternateContent xmlns:mc="http://schemas.openxmlformats.org/markup-compatibility/2006">
    <mc:Choice Requires="x15">
      <x15ac:absPath xmlns:x15ac="http://schemas.microsoft.com/office/spreadsheetml/2010/11/ac" url="D:\ProjectsX\blackiceinc\blackiceinc-era\src\main\resources\stress-testing\"/>
    </mc:Choice>
  </mc:AlternateContent>
  <bookViews>
    <workbookView xWindow="0" yWindow="0" windowWidth="21600" windowHeight="8685" tabRatio="724" firstSheet="1" activeTab="4"/>
  </bookViews>
  <sheets>
    <sheet name="Country" sheetId="4" state="hidden" r:id="rId1"/>
    <sheet name="Profiles" sheetId="18" r:id="rId2"/>
    <sheet name="Roadmap" sheetId="17" r:id="rId3"/>
    <sheet name="Setup" sheetId="13" r:id="rId4"/>
    <sheet name="Input" sheetId="14" r:id="rId5"/>
    <sheet name="Summary of Input Data" sheetId="2" r:id="rId6"/>
    <sheet name="Parameters" sheetId="15" r:id="rId7"/>
    <sheet name="Satellite" sheetId="3" r:id="rId8"/>
    <sheet name="Assumptions" sheetId="5" r:id="rId9"/>
    <sheet name="Calculation" sheetId="7" r:id="rId10"/>
    <sheet name="Y1 to Y5" sheetId="12" r:id="rId11"/>
    <sheet name="Summary" sheetId="8" r:id="rId12"/>
    <sheet name="Sensitivity" sheetId="9" r:id="rId13"/>
    <sheet name="Variables" sheetId="6" state="hidden" r:id="rId14"/>
  </sheets>
  <functionGroups builtInGroupCount="18"/>
  <externalReferences>
    <externalReference r:id="rId15"/>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73" i="14" l="1"/>
  <c r="G73" i="14"/>
  <c r="G62" i="14"/>
  <c r="G61" i="14"/>
  <c r="G56" i="14"/>
  <c r="G53" i="14"/>
  <c r="G50" i="14"/>
  <c r="W27" i="14"/>
  <c r="G27" i="14"/>
  <c r="O27" i="14" s="1"/>
  <c r="O52" i="14" l="1"/>
  <c r="I432" i="18"/>
  <c r="J432" i="18"/>
  <c r="K432" i="18"/>
  <c r="L432" i="18"/>
  <c r="M432" i="18"/>
  <c r="N432" i="18"/>
  <c r="O432" i="18"/>
  <c r="P432" i="18"/>
  <c r="Q432" i="18"/>
  <c r="H432" i="18"/>
  <c r="I374" i="18"/>
  <c r="J374" i="18"/>
  <c r="K374" i="18"/>
  <c r="L374" i="18"/>
  <c r="M374" i="18"/>
  <c r="N374" i="18"/>
  <c r="O374" i="18"/>
  <c r="P374" i="18"/>
  <c r="Q374" i="18"/>
  <c r="H374" i="18"/>
  <c r="I316" i="18"/>
  <c r="J316" i="18"/>
  <c r="K316" i="18"/>
  <c r="L316" i="18"/>
  <c r="M316" i="18"/>
  <c r="N316" i="18"/>
  <c r="O316" i="18"/>
  <c r="P316" i="18"/>
  <c r="Q316" i="18"/>
  <c r="H316" i="18"/>
  <c r="B338" i="18"/>
  <c r="I545" i="18" l="1"/>
  <c r="J545" i="18"/>
  <c r="K545" i="18"/>
  <c r="L545" i="18"/>
  <c r="M545" i="18"/>
  <c r="N545" i="18"/>
  <c r="O545" i="18"/>
  <c r="P545" i="18"/>
  <c r="Q545" i="18"/>
  <c r="H545" i="18"/>
  <c r="I544" i="18"/>
  <c r="J544" i="18"/>
  <c r="K544" i="18"/>
  <c r="L544" i="18"/>
  <c r="M544" i="18"/>
  <c r="N544" i="18"/>
  <c r="O544" i="18"/>
  <c r="P544" i="18"/>
  <c r="Q544" i="18"/>
  <c r="H544" i="18"/>
  <c r="Q535" i="18"/>
  <c r="P535" i="18"/>
  <c r="O535" i="18"/>
  <c r="N535" i="18"/>
  <c r="M535" i="18"/>
  <c r="L535" i="18"/>
  <c r="K535" i="18"/>
  <c r="J535" i="18"/>
  <c r="I535" i="18"/>
  <c r="H535" i="18"/>
  <c r="I529" i="18"/>
  <c r="J529" i="18"/>
  <c r="K529" i="18"/>
  <c r="L529" i="18"/>
  <c r="M529" i="18"/>
  <c r="N529" i="18"/>
  <c r="O529" i="18"/>
  <c r="P529" i="18"/>
  <c r="Q529" i="18"/>
  <c r="H529" i="18"/>
  <c r="Q508" i="18"/>
  <c r="P508" i="18"/>
  <c r="O508" i="18"/>
  <c r="N508" i="18"/>
  <c r="M508" i="18"/>
  <c r="L508" i="18"/>
  <c r="K508" i="18"/>
  <c r="J508" i="18"/>
  <c r="I508" i="18"/>
  <c r="H508" i="18"/>
  <c r="I504" i="18"/>
  <c r="J504" i="18"/>
  <c r="K504" i="18"/>
  <c r="L504" i="18"/>
  <c r="M504" i="18"/>
  <c r="N504" i="18"/>
  <c r="O504" i="18"/>
  <c r="P504" i="18"/>
  <c r="Q504" i="18"/>
  <c r="H504" i="18"/>
  <c r="Q483" i="18"/>
  <c r="P483" i="18"/>
  <c r="O483" i="18"/>
  <c r="N483" i="18"/>
  <c r="M483" i="18"/>
  <c r="L483" i="18"/>
  <c r="K483" i="18"/>
  <c r="J483" i="18"/>
  <c r="I483" i="18"/>
  <c r="H483" i="18"/>
  <c r="I479" i="18"/>
  <c r="J479" i="18"/>
  <c r="K479" i="18"/>
  <c r="L479" i="18"/>
  <c r="M479" i="18"/>
  <c r="N479" i="18"/>
  <c r="O479" i="18"/>
  <c r="P479" i="18"/>
  <c r="Q479" i="18"/>
  <c r="H479" i="18"/>
  <c r="Q302" i="18"/>
  <c r="Q420" i="18" s="1"/>
  <c r="P302" i="18"/>
  <c r="O302" i="18"/>
  <c r="O420" i="18" s="1"/>
  <c r="N302" i="18"/>
  <c r="N420" i="18" s="1"/>
  <c r="M302" i="18"/>
  <c r="M420" i="18" s="1"/>
  <c r="L302" i="18"/>
  <c r="K302" i="18"/>
  <c r="K420" i="18" s="1"/>
  <c r="J302" i="18"/>
  <c r="J420" i="18" s="1"/>
  <c r="I302" i="18"/>
  <c r="I420" i="18" s="1"/>
  <c r="H302" i="18"/>
  <c r="Q278" i="18"/>
  <c r="Q398" i="18" s="1"/>
  <c r="P278" i="18"/>
  <c r="P398" i="18" s="1"/>
  <c r="O278" i="18"/>
  <c r="O398" i="18" s="1"/>
  <c r="N278" i="18"/>
  <c r="M278" i="18"/>
  <c r="M398" i="18" s="1"/>
  <c r="L278" i="18"/>
  <c r="L398" i="18" s="1"/>
  <c r="K278" i="18"/>
  <c r="K398" i="18" s="1"/>
  <c r="J278" i="18"/>
  <c r="I278" i="18"/>
  <c r="I398" i="18" s="1"/>
  <c r="H278" i="18"/>
  <c r="H398" i="18" s="1"/>
  <c r="P420" i="18"/>
  <c r="L420" i="18"/>
  <c r="H420" i="18"/>
  <c r="N398" i="18"/>
  <c r="J398" i="18"/>
  <c r="Q362" i="18"/>
  <c r="P362" i="18"/>
  <c r="O362" i="18"/>
  <c r="N362" i="18"/>
  <c r="M362" i="18"/>
  <c r="L362" i="18"/>
  <c r="K362" i="18"/>
  <c r="J362" i="18"/>
  <c r="I362" i="18"/>
  <c r="H362" i="18"/>
  <c r="Q340" i="18"/>
  <c r="P340" i="18"/>
  <c r="O340" i="18"/>
  <c r="N340" i="18"/>
  <c r="M340" i="18"/>
  <c r="L340" i="18"/>
  <c r="K340" i="18"/>
  <c r="J340" i="18"/>
  <c r="I340" i="18"/>
  <c r="H340" i="18"/>
  <c r="Q262" i="18"/>
  <c r="P262" i="18"/>
  <c r="O262" i="18"/>
  <c r="N262" i="18"/>
  <c r="M262" i="18"/>
  <c r="L262" i="18"/>
  <c r="K262" i="18"/>
  <c r="J262" i="18"/>
  <c r="I262" i="18"/>
  <c r="H262" i="18"/>
  <c r="J207" i="18"/>
  <c r="K207" i="18"/>
  <c r="L207" i="18"/>
  <c r="M207" i="18"/>
  <c r="N207" i="18"/>
  <c r="O207" i="18"/>
  <c r="P207" i="18"/>
  <c r="Q207" i="18"/>
  <c r="I207" i="18"/>
  <c r="H207" i="18"/>
  <c r="Q191" i="18"/>
  <c r="P191" i="18"/>
  <c r="O191" i="18"/>
  <c r="N191" i="18"/>
  <c r="M191" i="18"/>
  <c r="L191" i="18"/>
  <c r="K191" i="18"/>
  <c r="J191" i="18"/>
  <c r="I191" i="18"/>
  <c r="H191" i="18"/>
  <c r="Q190" i="18"/>
  <c r="P190" i="18"/>
  <c r="O190" i="18"/>
  <c r="N190" i="18"/>
  <c r="M190" i="18"/>
  <c r="L190" i="18"/>
  <c r="K190" i="18"/>
  <c r="J190" i="18"/>
  <c r="I190" i="18"/>
  <c r="H190" i="18"/>
  <c r="Q189" i="18"/>
  <c r="P189" i="18"/>
  <c r="O189" i="18"/>
  <c r="N189" i="18"/>
  <c r="M189" i="18"/>
  <c r="L189" i="18"/>
  <c r="K189" i="18"/>
  <c r="J189" i="18"/>
  <c r="I189" i="18"/>
  <c r="H189" i="18"/>
  <c r="Q188" i="18"/>
  <c r="P188" i="18"/>
  <c r="O188" i="18"/>
  <c r="N188" i="18"/>
  <c r="M188" i="18"/>
  <c r="L188" i="18"/>
  <c r="K188" i="18"/>
  <c r="J188" i="18"/>
  <c r="I188" i="18"/>
  <c r="H188" i="18"/>
  <c r="Q187" i="18"/>
  <c r="P187" i="18"/>
  <c r="O187" i="18"/>
  <c r="N187" i="18"/>
  <c r="M187" i="18"/>
  <c r="L187" i="18"/>
  <c r="K187" i="18"/>
  <c r="J187" i="18"/>
  <c r="I187" i="18"/>
  <c r="H187" i="18"/>
  <c r="Q161" i="18"/>
  <c r="P161" i="18"/>
  <c r="O161" i="18"/>
  <c r="N161" i="18"/>
  <c r="M161" i="18"/>
  <c r="L161" i="18"/>
  <c r="K161" i="18"/>
  <c r="J161" i="18"/>
  <c r="I161" i="18"/>
  <c r="H161" i="18"/>
  <c r="Q160" i="18"/>
  <c r="P160" i="18"/>
  <c r="O160" i="18"/>
  <c r="N160" i="18"/>
  <c r="M160" i="18"/>
  <c r="L160" i="18"/>
  <c r="K160" i="18"/>
  <c r="J160" i="18"/>
  <c r="I160" i="18"/>
  <c r="H160" i="18"/>
  <c r="Q159" i="18"/>
  <c r="P159" i="18"/>
  <c r="O159" i="18"/>
  <c r="N159" i="18"/>
  <c r="M159" i="18"/>
  <c r="L159" i="18"/>
  <c r="K159" i="18"/>
  <c r="J159" i="18"/>
  <c r="I159" i="18"/>
  <c r="H159" i="18"/>
  <c r="Q153" i="18"/>
  <c r="P153" i="18"/>
  <c r="O153" i="18"/>
  <c r="N153" i="18"/>
  <c r="M153" i="18"/>
  <c r="L153" i="18"/>
  <c r="K153" i="18"/>
  <c r="J153" i="18"/>
  <c r="I153" i="18"/>
  <c r="H153" i="18"/>
  <c r="Q150" i="18"/>
  <c r="P150" i="18"/>
  <c r="O150" i="18"/>
  <c r="N150" i="18"/>
  <c r="M150" i="18"/>
  <c r="L150" i="18"/>
  <c r="K150" i="18"/>
  <c r="J150" i="18"/>
  <c r="I150" i="18"/>
  <c r="H150" i="18"/>
  <c r="Q23" i="18"/>
  <c r="P23" i="18"/>
  <c r="O23" i="18"/>
  <c r="N23" i="18"/>
  <c r="M23" i="18"/>
  <c r="L23" i="18"/>
  <c r="K23" i="18"/>
  <c r="J23" i="18"/>
  <c r="I23" i="18"/>
  <c r="H23" i="18"/>
  <c r="H149" i="18" l="1"/>
  <c r="H458" i="18" s="1"/>
  <c r="L149" i="18"/>
  <c r="L458" i="18" s="1"/>
  <c r="P149" i="18"/>
  <c r="P458" i="18" s="1"/>
  <c r="I149" i="18"/>
  <c r="I458" i="18" s="1"/>
  <c r="M149" i="18"/>
  <c r="M458" i="18" s="1"/>
  <c r="Q149" i="18"/>
  <c r="Q458" i="18" s="1"/>
  <c r="J149" i="18"/>
  <c r="J458" i="18" s="1"/>
  <c r="N149" i="18"/>
  <c r="N458" i="18" s="1"/>
  <c r="K149" i="18"/>
  <c r="K458" i="18" s="1"/>
  <c r="O149" i="18"/>
  <c r="O458" i="18" s="1"/>
  <c r="L37" i="7" l="1"/>
  <c r="L38" i="7"/>
  <c r="L39" i="7"/>
  <c r="L40" i="7"/>
  <c r="K45" i="12" l="1"/>
  <c r="L42" i="7"/>
  <c r="L43" i="7"/>
  <c r="L44" i="7"/>
  <c r="L45" i="7"/>
  <c r="L46" i="7"/>
  <c r="L35" i="7"/>
  <c r="L36" i="7"/>
  <c r="L34" i="7"/>
  <c r="L27" i="7"/>
  <c r="L41" i="7"/>
  <c r="J92" i="7"/>
  <c r="J93" i="7"/>
  <c r="J94" i="7"/>
  <c r="J95" i="7"/>
  <c r="J96" i="7"/>
  <c r="J97" i="7"/>
  <c r="J98" i="7"/>
  <c r="J99" i="7"/>
  <c r="J100" i="7"/>
  <c r="J91" i="7"/>
  <c r="M121" i="12"/>
  <c r="O121" i="12"/>
  <c r="Q121" i="12"/>
  <c r="S121" i="12"/>
  <c r="M122" i="12"/>
  <c r="O122" i="12"/>
  <c r="Q122" i="12"/>
  <c r="S122" i="12"/>
  <c r="M123" i="12"/>
  <c r="O123" i="12"/>
  <c r="Q123" i="12"/>
  <c r="S123" i="12"/>
  <c r="K123" i="12"/>
  <c r="K122" i="12"/>
  <c r="K121" i="12"/>
  <c r="J82" i="7"/>
  <c r="J83" i="7"/>
  <c r="J84" i="7"/>
  <c r="J85" i="7"/>
  <c r="J86" i="7"/>
  <c r="J87" i="7"/>
  <c r="J88" i="7"/>
  <c r="J89" i="7"/>
  <c r="J90" i="7"/>
  <c r="J81" i="7"/>
  <c r="F95" i="14" l="1"/>
  <c r="R108" i="3"/>
  <c r="R73" i="3"/>
  <c r="R38" i="3"/>
  <c r="AX4" i="6"/>
  <c r="AX3" i="6"/>
  <c r="AX2" i="6"/>
  <c r="P146" i="15" l="1"/>
  <c r="Q146" i="15"/>
  <c r="R146" i="15" s="1"/>
  <c r="S146" i="15" s="1"/>
  <c r="P148" i="15"/>
  <c r="Q148" i="15"/>
  <c r="R148" i="15" s="1"/>
  <c r="S148" i="15" s="1"/>
  <c r="P149" i="15"/>
  <c r="Q149" i="15"/>
  <c r="R149" i="15" s="1"/>
  <c r="S149" i="15" s="1"/>
  <c r="P150" i="15"/>
  <c r="Q150" i="15"/>
  <c r="R150" i="15" s="1"/>
  <c r="S150" i="15" s="1"/>
  <c r="O148" i="15"/>
  <c r="O149" i="15"/>
  <c r="O150" i="15"/>
  <c r="O146" i="15"/>
  <c r="N147" i="15"/>
  <c r="O147" i="15" s="1"/>
  <c r="P147" i="15" s="1"/>
  <c r="Q147" i="15" s="1"/>
  <c r="R147" i="15" s="1"/>
  <c r="S147" i="15" s="1"/>
  <c r="N148" i="15"/>
  <c r="N149" i="15"/>
  <c r="N150" i="15"/>
  <c r="N146" i="15"/>
  <c r="Q223" i="14"/>
  <c r="J223" i="14"/>
  <c r="B223" i="14"/>
  <c r="Q4" i="6"/>
  <c r="Q3" i="6"/>
  <c r="Q2" i="6"/>
  <c r="B226" i="14" l="1"/>
  <c r="B227" i="14"/>
  <c r="B228" i="14"/>
  <c r="B229" i="14"/>
  <c r="B230" i="14"/>
  <c r="B231" i="14"/>
  <c r="B232" i="14"/>
  <c r="B233" i="14"/>
  <c r="B234" i="14"/>
  <c r="B235" i="14"/>
  <c r="B236" i="14"/>
  <c r="B237" i="14"/>
  <c r="B238" i="14"/>
  <c r="B239" i="14"/>
  <c r="B240" i="14"/>
  <c r="B241" i="14"/>
  <c r="B242" i="14"/>
  <c r="B243" i="14"/>
  <c r="B244" i="14"/>
  <c r="B225" i="14"/>
  <c r="AT17" i="6" l="1"/>
  <c r="AT16" i="6"/>
  <c r="AT15" i="6"/>
  <c r="AI15" i="6"/>
  <c r="AT14" i="6"/>
  <c r="AI14" i="6"/>
  <c r="AI13" i="6"/>
  <c r="AH13" i="6"/>
  <c r="AI12" i="6"/>
  <c r="AH12" i="6"/>
  <c r="AG12" i="6"/>
  <c r="AT11" i="6"/>
  <c r="AI11" i="6"/>
  <c r="AH11" i="6"/>
  <c r="AG11" i="6"/>
  <c r="AT10" i="6"/>
  <c r="AI10" i="6"/>
  <c r="AH10" i="6"/>
  <c r="AG10" i="6"/>
  <c r="AT9" i="6"/>
  <c r="AI9" i="6"/>
  <c r="AH9" i="6"/>
  <c r="AG9" i="6"/>
  <c r="AT8" i="6"/>
  <c r="AI8" i="6"/>
  <c r="AH8" i="6"/>
  <c r="AG8" i="6"/>
  <c r="AT7" i="6"/>
  <c r="AI7" i="6"/>
  <c r="AH7" i="6"/>
  <c r="AG7" i="6"/>
  <c r="AT6" i="6"/>
  <c r="AI6" i="6"/>
  <c r="AH6" i="6"/>
  <c r="AG6" i="6"/>
  <c r="AB6" i="6"/>
  <c r="AT5" i="6"/>
  <c r="AH5" i="6"/>
  <c r="AG5" i="6"/>
  <c r="AB5" i="6"/>
  <c r="Z5" i="6"/>
  <c r="AT4" i="6"/>
  <c r="AH4" i="6"/>
  <c r="AG4" i="6"/>
  <c r="AB4" i="6"/>
  <c r="Z4" i="6"/>
  <c r="AT3" i="6"/>
  <c r="AG3" i="6"/>
  <c r="AB3" i="6"/>
  <c r="Z3" i="6"/>
  <c r="AT2" i="6"/>
  <c r="AB2" i="6"/>
  <c r="Z2" i="6"/>
  <c r="V85" i="9"/>
  <c r="V84" i="9"/>
  <c r="V83" i="9"/>
  <c r="V81" i="9"/>
  <c r="V80" i="9"/>
  <c r="V79" i="9"/>
  <c r="V77" i="9"/>
  <c r="V76" i="9"/>
  <c r="V75" i="9"/>
  <c r="N74" i="9"/>
  <c r="U68" i="9"/>
  <c r="U66" i="9"/>
  <c r="T58" i="9"/>
  <c r="S58" i="9"/>
  <c r="T56" i="9"/>
  <c r="S56" i="9"/>
  <c r="T55" i="9"/>
  <c r="S55" i="9"/>
  <c r="G34" i="9"/>
  <c r="G33" i="9"/>
  <c r="M91" i="8"/>
  <c r="M90" i="8"/>
  <c r="D88" i="8"/>
  <c r="M85" i="8"/>
  <c r="M84" i="8"/>
  <c r="M83" i="8"/>
  <c r="M82" i="8"/>
  <c r="M81" i="8"/>
  <c r="M79" i="8"/>
  <c r="I41" i="8" s="1"/>
  <c r="I44" i="8" s="1"/>
  <c r="K79" i="8"/>
  <c r="M78" i="8"/>
  <c r="I40" i="8" s="1"/>
  <c r="I43" i="8" s="1"/>
  <c r="K78" i="8"/>
  <c r="M77" i="8"/>
  <c r="I39" i="8" s="1"/>
  <c r="I42" i="8" s="1"/>
  <c r="K77" i="8"/>
  <c r="B74" i="8"/>
  <c r="V70" i="8"/>
  <c r="V62" i="8"/>
  <c r="V61" i="8"/>
  <c r="T61" i="8"/>
  <c r="T62" i="8" s="1"/>
  <c r="V60" i="8"/>
  <c r="T60" i="8"/>
  <c r="R60" i="8"/>
  <c r="P60" i="8"/>
  <c r="N60" i="8"/>
  <c r="V59" i="8"/>
  <c r="T59" i="8"/>
  <c r="R59" i="8"/>
  <c r="P59" i="8"/>
  <c r="N59" i="8"/>
  <c r="V58" i="8"/>
  <c r="T58" i="8"/>
  <c r="R58" i="8"/>
  <c r="P58" i="8"/>
  <c r="N58" i="8"/>
  <c r="V56" i="8"/>
  <c r="T56" i="8"/>
  <c r="R56" i="8"/>
  <c r="P56" i="8"/>
  <c r="N56" i="8"/>
  <c r="V55" i="8"/>
  <c r="V54" i="8"/>
  <c r="T54" i="8"/>
  <c r="R54" i="8"/>
  <c r="P54" i="8"/>
  <c r="N54" i="8"/>
  <c r="V53" i="8"/>
  <c r="T53" i="8"/>
  <c r="R53" i="8"/>
  <c r="P53" i="8"/>
  <c r="N53" i="8"/>
  <c r="V52" i="8"/>
  <c r="T52" i="8"/>
  <c r="R52" i="8"/>
  <c r="P52" i="8"/>
  <c r="N52" i="8"/>
  <c r="V49" i="8"/>
  <c r="T49" i="8"/>
  <c r="T70" i="8" s="1"/>
  <c r="R49" i="8"/>
  <c r="R61" i="8" s="1"/>
  <c r="R62" i="8" s="1"/>
  <c r="P49" i="8"/>
  <c r="P61" i="8" s="1"/>
  <c r="P62" i="8" s="1"/>
  <c r="N49" i="8"/>
  <c r="N61" i="8" s="1"/>
  <c r="N62" i="8" s="1"/>
  <c r="L49" i="8"/>
  <c r="L70" i="8" s="1"/>
  <c r="K48" i="8"/>
  <c r="B33" i="8"/>
  <c r="B25" i="8"/>
  <c r="T102" i="12"/>
  <c r="R102" i="12"/>
  <c r="P102" i="12"/>
  <c r="N102" i="12"/>
  <c r="L102" i="12"/>
  <c r="T90" i="12"/>
  <c r="R90" i="12"/>
  <c r="P90" i="12"/>
  <c r="N90" i="12"/>
  <c r="L90" i="12"/>
  <c r="T88" i="12"/>
  <c r="R88" i="12"/>
  <c r="P88" i="12"/>
  <c r="N88" i="12"/>
  <c r="L88" i="12"/>
  <c r="T86" i="12"/>
  <c r="R86" i="12"/>
  <c r="P86" i="12"/>
  <c r="N86" i="12"/>
  <c r="L86" i="12"/>
  <c r="K80" i="12"/>
  <c r="K78" i="12"/>
  <c r="K76" i="12"/>
  <c r="T70" i="12"/>
  <c r="L70" i="12"/>
  <c r="T62" i="12"/>
  <c r="R62" i="12"/>
  <c r="R70" i="12" s="1"/>
  <c r="P62" i="12"/>
  <c r="P70" i="12" s="1"/>
  <c r="N62" i="12"/>
  <c r="N70" i="12" s="1"/>
  <c r="K60" i="12"/>
  <c r="T49" i="12"/>
  <c r="R49" i="12"/>
  <c r="P49" i="12"/>
  <c r="N49" i="12"/>
  <c r="K48" i="12"/>
  <c r="K54" i="12" s="1"/>
  <c r="M48" i="12" s="1"/>
  <c r="M54" i="12" s="1"/>
  <c r="O48" i="12" s="1"/>
  <c r="O54" i="12" s="1"/>
  <c r="Q48" i="12" s="1"/>
  <c r="Q54" i="12" s="1"/>
  <c r="S48" i="12" s="1"/>
  <c r="S54" i="12" s="1"/>
  <c r="K47" i="12"/>
  <c r="K53" i="12" s="1"/>
  <c r="M47" i="12" s="1"/>
  <c r="M53" i="12" s="1"/>
  <c r="O47" i="12" s="1"/>
  <c r="O53" i="12" s="1"/>
  <c r="Q47" i="12" s="1"/>
  <c r="Q53" i="12" s="1"/>
  <c r="S47" i="12" s="1"/>
  <c r="S53" i="12" s="1"/>
  <c r="K46" i="12"/>
  <c r="G74" i="9"/>
  <c r="K43" i="12"/>
  <c r="K42" i="12"/>
  <c r="T37" i="12"/>
  <c r="R37" i="12"/>
  <c r="P37" i="12"/>
  <c r="N37" i="12"/>
  <c r="L37" i="12"/>
  <c r="K36" i="12"/>
  <c r="K47" i="8" s="1"/>
  <c r="Q56" i="9" s="1"/>
  <c r="T34" i="12"/>
  <c r="T32" i="12"/>
  <c r="R32" i="12"/>
  <c r="R34" i="12" s="1"/>
  <c r="P32" i="12"/>
  <c r="P34" i="12" s="1"/>
  <c r="N32" i="12"/>
  <c r="N34" i="12" s="1"/>
  <c r="L32" i="12"/>
  <c r="L34" i="12" s="1"/>
  <c r="D31" i="12"/>
  <c r="D28" i="12"/>
  <c r="D25" i="12"/>
  <c r="K24" i="12"/>
  <c r="D24" i="12"/>
  <c r="K22" i="12"/>
  <c r="T298" i="7"/>
  <c r="J298" i="7"/>
  <c r="T297" i="7"/>
  <c r="J297" i="7"/>
  <c r="T296" i="7"/>
  <c r="J296" i="7"/>
  <c r="T291" i="7"/>
  <c r="J291" i="7"/>
  <c r="T290" i="7"/>
  <c r="J290" i="7"/>
  <c r="T289" i="7"/>
  <c r="J289" i="7"/>
  <c r="T284" i="7"/>
  <c r="J284" i="7"/>
  <c r="T283" i="7"/>
  <c r="J283" i="7"/>
  <c r="T282" i="7"/>
  <c r="J282" i="7"/>
  <c r="T277" i="7"/>
  <c r="J277" i="7"/>
  <c r="T276" i="7"/>
  <c r="J276" i="7"/>
  <c r="T275" i="7"/>
  <c r="J275" i="7"/>
  <c r="T270" i="7"/>
  <c r="T269" i="7"/>
  <c r="T268" i="7"/>
  <c r="T240" i="7"/>
  <c r="T242" i="7" s="1"/>
  <c r="R240" i="7"/>
  <c r="R242" i="7" s="1"/>
  <c r="P240" i="7"/>
  <c r="P242" i="7" s="1"/>
  <c r="N240" i="7"/>
  <c r="N242" i="7" s="1"/>
  <c r="L240" i="7"/>
  <c r="L242" i="7" s="1"/>
  <c r="R232" i="7"/>
  <c r="S94" i="8" s="1"/>
  <c r="T230" i="7"/>
  <c r="T232" i="7" s="1"/>
  <c r="U94" i="8" s="1"/>
  <c r="R230" i="7"/>
  <c r="P230" i="7"/>
  <c r="P232" i="7" s="1"/>
  <c r="Q94" i="8" s="1"/>
  <c r="N230" i="7"/>
  <c r="N232" i="7" s="1"/>
  <c r="O94" i="8" s="1"/>
  <c r="L230" i="7"/>
  <c r="L232" i="7" s="1"/>
  <c r="J222" i="7"/>
  <c r="J221" i="7"/>
  <c r="J220" i="7"/>
  <c r="J219" i="7"/>
  <c r="J218" i="7"/>
  <c r="J217" i="7"/>
  <c r="J216" i="7"/>
  <c r="J215" i="7"/>
  <c r="J214" i="7"/>
  <c r="J213" i="7"/>
  <c r="E186" i="7"/>
  <c r="E222" i="7" s="1"/>
  <c r="E185" i="7"/>
  <c r="E221" i="7" s="1"/>
  <c r="E184" i="7"/>
  <c r="E196" i="7" s="1"/>
  <c r="E183" i="7"/>
  <c r="E219" i="7" s="1"/>
  <c r="E182" i="7"/>
  <c r="E218" i="7" s="1"/>
  <c r="E181" i="7"/>
  <c r="E217" i="7" s="1"/>
  <c r="E180" i="7"/>
  <c r="E192" i="7" s="1"/>
  <c r="E179" i="7"/>
  <c r="E215" i="7" s="1"/>
  <c r="E178" i="7"/>
  <c r="E214" i="7" s="1"/>
  <c r="E177" i="7"/>
  <c r="E213" i="7" s="1"/>
  <c r="J174" i="7"/>
  <c r="T172" i="7"/>
  <c r="R172" i="7"/>
  <c r="P172" i="7"/>
  <c r="N172" i="7"/>
  <c r="L172" i="7"/>
  <c r="T171" i="7"/>
  <c r="T208" i="7" s="1"/>
  <c r="R171" i="7"/>
  <c r="R202" i="7" s="1"/>
  <c r="P171" i="7"/>
  <c r="P208" i="7" s="1"/>
  <c r="N171" i="7"/>
  <c r="N207" i="7" s="1"/>
  <c r="L171" i="7"/>
  <c r="L208" i="7" s="1"/>
  <c r="N165" i="7"/>
  <c r="O92" i="8" s="1"/>
  <c r="T164" i="7"/>
  <c r="R164" i="7"/>
  <c r="P164" i="7"/>
  <c r="N164" i="7"/>
  <c r="L164" i="7"/>
  <c r="J164" i="7"/>
  <c r="T163" i="7"/>
  <c r="T165" i="7" s="1"/>
  <c r="U92" i="8" s="1"/>
  <c r="R163" i="7"/>
  <c r="R165" i="7" s="1"/>
  <c r="S92" i="8" s="1"/>
  <c r="P163" i="7"/>
  <c r="P165" i="7" s="1"/>
  <c r="Q92" i="8" s="1"/>
  <c r="N163" i="7"/>
  <c r="L163" i="7"/>
  <c r="L165" i="7" s="1"/>
  <c r="M92" i="8" s="1"/>
  <c r="E159" i="7"/>
  <c r="E158" i="7"/>
  <c r="E157" i="7"/>
  <c r="N156" i="7"/>
  <c r="E156" i="7"/>
  <c r="E155" i="7"/>
  <c r="E154" i="7"/>
  <c r="E153" i="7"/>
  <c r="E152" i="7"/>
  <c r="T151" i="7"/>
  <c r="E151" i="7"/>
  <c r="N150" i="7"/>
  <c r="E150" i="7"/>
  <c r="J149" i="7"/>
  <c r="T147" i="7"/>
  <c r="T158" i="7" s="1"/>
  <c r="R147" i="7"/>
  <c r="R158" i="7" s="1"/>
  <c r="P147" i="7"/>
  <c r="N147" i="7"/>
  <c r="N158" i="7" s="1"/>
  <c r="L147" i="7"/>
  <c r="L158" i="7" s="1"/>
  <c r="J142" i="7"/>
  <c r="T140" i="7"/>
  <c r="T142" i="7" s="1"/>
  <c r="U90" i="8" s="1"/>
  <c r="R140" i="7"/>
  <c r="R142" i="7" s="1"/>
  <c r="S90" i="8" s="1"/>
  <c r="P140" i="7"/>
  <c r="P142" i="7" s="1"/>
  <c r="Q90" i="8" s="1"/>
  <c r="N140" i="7"/>
  <c r="N142" i="7" s="1"/>
  <c r="O90" i="8" s="1"/>
  <c r="L140" i="7"/>
  <c r="L142" i="7" s="1"/>
  <c r="AA95" i="5" s="1"/>
  <c r="J107" i="7"/>
  <c r="T104" i="7"/>
  <c r="R104" i="7"/>
  <c r="P104" i="7"/>
  <c r="N104" i="7"/>
  <c r="L104" i="7"/>
  <c r="T77" i="7"/>
  <c r="R77" i="7"/>
  <c r="P77" i="7"/>
  <c r="N77" i="7"/>
  <c r="L77" i="7"/>
  <c r="E76" i="7"/>
  <c r="J73" i="7"/>
  <c r="J72" i="7"/>
  <c r="J71" i="7"/>
  <c r="J70" i="7"/>
  <c r="J69" i="7"/>
  <c r="J68" i="7"/>
  <c r="J67" i="7"/>
  <c r="J66" i="7"/>
  <c r="J65" i="7"/>
  <c r="J64" i="7"/>
  <c r="J63" i="7"/>
  <c r="J62" i="7"/>
  <c r="J61" i="7"/>
  <c r="J60" i="7"/>
  <c r="J59" i="7"/>
  <c r="J58" i="7"/>
  <c r="J57" i="7"/>
  <c r="J56" i="7"/>
  <c r="J55" i="7"/>
  <c r="J54" i="7"/>
  <c r="E49" i="7"/>
  <c r="E46" i="7"/>
  <c r="E100" i="7" s="1"/>
  <c r="E45" i="7"/>
  <c r="E72" i="7" s="1"/>
  <c r="E44" i="7"/>
  <c r="E98" i="7" s="1"/>
  <c r="E43" i="7"/>
  <c r="E70" i="7" s="1"/>
  <c r="E42" i="7"/>
  <c r="E96" i="7" s="1"/>
  <c r="E41" i="7"/>
  <c r="E95" i="7" s="1"/>
  <c r="E40" i="7"/>
  <c r="E39" i="7"/>
  <c r="E93" i="7" s="1"/>
  <c r="E38" i="7"/>
  <c r="AJ15" i="6" s="1"/>
  <c r="E37" i="7"/>
  <c r="E64" i="7" s="1"/>
  <c r="E36" i="7"/>
  <c r="E90" i="7" s="1"/>
  <c r="E35" i="7"/>
  <c r="E89" i="7" s="1"/>
  <c r="E34" i="7"/>
  <c r="E120" i="7" s="1"/>
  <c r="L33" i="7"/>
  <c r="E33" i="7"/>
  <c r="E87" i="7" s="1"/>
  <c r="L32" i="7"/>
  <c r="E32" i="7"/>
  <c r="E86" i="7" s="1"/>
  <c r="L31" i="7"/>
  <c r="E31" i="7"/>
  <c r="E117" i="7" s="1"/>
  <c r="L30" i="7"/>
  <c r="E30" i="7"/>
  <c r="E116" i="7" s="1"/>
  <c r="L29" i="7"/>
  <c r="E29" i="7"/>
  <c r="E56" i="7" s="1"/>
  <c r="L28" i="7"/>
  <c r="E28" i="7"/>
  <c r="E27" i="7"/>
  <c r="AJ4" i="6" s="1"/>
  <c r="Q330" i="15"/>
  <c r="P330" i="15"/>
  <c r="O330" i="15"/>
  <c r="N330" i="15"/>
  <c r="M330" i="15"/>
  <c r="Q329" i="15"/>
  <c r="P329" i="15"/>
  <c r="O329" i="15"/>
  <c r="N329" i="15"/>
  <c r="M329" i="15"/>
  <c r="I326" i="15"/>
  <c r="I325" i="15"/>
  <c r="O320" i="15" s="1"/>
  <c r="I324" i="15"/>
  <c r="T321" i="15"/>
  <c r="S321" i="15"/>
  <c r="R321" i="15"/>
  <c r="Q321" i="15"/>
  <c r="P321" i="15"/>
  <c r="O321" i="15"/>
  <c r="N321" i="15"/>
  <c r="M321" i="15"/>
  <c r="L321" i="15"/>
  <c r="K321" i="15"/>
  <c r="J321" i="15"/>
  <c r="I321" i="15"/>
  <c r="T320" i="15"/>
  <c r="S320" i="15"/>
  <c r="R320" i="15"/>
  <c r="Q320" i="15"/>
  <c r="P320" i="15"/>
  <c r="N320" i="15"/>
  <c r="M320" i="15"/>
  <c r="L320" i="15"/>
  <c r="J320" i="15"/>
  <c r="I320" i="15"/>
  <c r="M319" i="15"/>
  <c r="L319" i="15"/>
  <c r="R191" i="15"/>
  <c r="R189" i="15"/>
  <c r="R188" i="15"/>
  <c r="R187" i="15"/>
  <c r="Q183" i="15"/>
  <c r="L119" i="15"/>
  <c r="L118" i="15"/>
  <c r="L117" i="15"/>
  <c r="M86" i="15"/>
  <c r="Y119" i="5"/>
  <c r="Y118" i="5"/>
  <c r="Y117" i="5"/>
  <c r="Y116" i="5"/>
  <c r="Y115" i="5"/>
  <c r="AA110" i="5"/>
  <c r="Y102" i="5"/>
  <c r="AA100" i="5"/>
  <c r="Y95" i="5"/>
  <c r="Y90" i="5"/>
  <c r="T88" i="5"/>
  <c r="K61" i="5"/>
  <c r="H61" i="5"/>
  <c r="H58" i="5"/>
  <c r="N261" i="7" s="1"/>
  <c r="V39" i="5"/>
  <c r="U39" i="5"/>
  <c r="T39" i="5"/>
  <c r="S39" i="5"/>
  <c r="R39" i="5"/>
  <c r="Q39" i="5"/>
  <c r="P39" i="5"/>
  <c r="O39" i="5"/>
  <c r="M39" i="5"/>
  <c r="H29" i="5"/>
  <c r="Q196" i="15" s="1"/>
  <c r="H28" i="5"/>
  <c r="H25" i="5"/>
  <c r="K22" i="5"/>
  <c r="M21" i="5"/>
  <c r="K21" i="5"/>
  <c r="K20" i="5"/>
  <c r="K35" i="8" s="1"/>
  <c r="D135" i="3"/>
  <c r="D133" i="3"/>
  <c r="D130" i="3"/>
  <c r="D128" i="3"/>
  <c r="D123" i="3"/>
  <c r="D120" i="3"/>
  <c r="D118" i="3"/>
  <c r="K115" i="3"/>
  <c r="G115" i="3"/>
  <c r="K114" i="3"/>
  <c r="G114" i="3"/>
  <c r="K113" i="3"/>
  <c r="G113" i="3"/>
  <c r="D113" i="3"/>
  <c r="K112" i="3"/>
  <c r="G112" i="3"/>
  <c r="R110" i="3"/>
  <c r="P105" i="3"/>
  <c r="O105" i="3"/>
  <c r="N105" i="3"/>
  <c r="M105" i="3"/>
  <c r="L105" i="3"/>
  <c r="K105" i="3"/>
  <c r="J105" i="3"/>
  <c r="I105" i="3"/>
  <c r="H105" i="3"/>
  <c r="G105" i="3"/>
  <c r="I100" i="3"/>
  <c r="I135" i="3" s="1"/>
  <c r="D100" i="3"/>
  <c r="I99" i="3"/>
  <c r="I134" i="3" s="1"/>
  <c r="I98" i="3"/>
  <c r="I133" i="3" s="1"/>
  <c r="D98" i="3"/>
  <c r="I97" i="3"/>
  <c r="I132" i="3" s="1"/>
  <c r="I95" i="3"/>
  <c r="I130" i="3" s="1"/>
  <c r="I94" i="3"/>
  <c r="I129" i="3" s="1"/>
  <c r="I93" i="3"/>
  <c r="I128" i="3" s="1"/>
  <c r="D93" i="3"/>
  <c r="I92" i="3"/>
  <c r="I127" i="3" s="1"/>
  <c r="I90" i="3"/>
  <c r="I125" i="3" s="1"/>
  <c r="D90" i="3"/>
  <c r="I89" i="3"/>
  <c r="I124" i="3" s="1"/>
  <c r="I88" i="3"/>
  <c r="I123" i="3" s="1"/>
  <c r="D88" i="3"/>
  <c r="I87" i="3"/>
  <c r="I122" i="3" s="1"/>
  <c r="I85" i="3"/>
  <c r="I120" i="3" s="1"/>
  <c r="D85" i="3"/>
  <c r="I84" i="3"/>
  <c r="I119" i="3" s="1"/>
  <c r="I83" i="3"/>
  <c r="I118" i="3" s="1"/>
  <c r="D83" i="3"/>
  <c r="I82" i="3"/>
  <c r="I117" i="3" s="1"/>
  <c r="I80" i="3"/>
  <c r="I115" i="3" s="1"/>
  <c r="D80" i="3"/>
  <c r="I79" i="3"/>
  <c r="I114" i="3" s="1"/>
  <c r="I78" i="3"/>
  <c r="I113" i="3" s="1"/>
  <c r="D78" i="3"/>
  <c r="I77" i="3"/>
  <c r="I112" i="3" s="1"/>
  <c r="T75" i="3"/>
  <c r="R75" i="3"/>
  <c r="P70" i="3"/>
  <c r="O70" i="3"/>
  <c r="N70" i="3"/>
  <c r="M70" i="3"/>
  <c r="L70" i="3"/>
  <c r="K70" i="3"/>
  <c r="J70" i="3"/>
  <c r="I70" i="3"/>
  <c r="H70" i="3"/>
  <c r="G70" i="3"/>
  <c r="D65" i="3"/>
  <c r="D63" i="3"/>
  <c r="D60" i="3"/>
  <c r="D58" i="3"/>
  <c r="D55" i="3"/>
  <c r="D53" i="3"/>
  <c r="D48" i="3"/>
  <c r="G45" i="3"/>
  <c r="R45" i="3" s="1"/>
  <c r="K120" i="3" s="1"/>
  <c r="D45" i="3"/>
  <c r="D125" i="3" s="1"/>
  <c r="G44" i="3"/>
  <c r="R44" i="3" s="1"/>
  <c r="K119" i="3" s="1"/>
  <c r="D44" i="3"/>
  <c r="D134" i="3" s="1"/>
  <c r="G43" i="3"/>
  <c r="R43" i="3" s="1"/>
  <c r="G48" i="3" s="1"/>
  <c r="R48" i="3" s="1"/>
  <c r="D43" i="3"/>
  <c r="G42" i="3"/>
  <c r="R42" i="3" s="1"/>
  <c r="G47" i="3" s="1"/>
  <c r="R47" i="3" s="1"/>
  <c r="R40" i="3"/>
  <c r="P35" i="3"/>
  <c r="O35" i="3"/>
  <c r="N35" i="3"/>
  <c r="M35" i="3"/>
  <c r="L35" i="3"/>
  <c r="K35" i="3"/>
  <c r="J35" i="3"/>
  <c r="I35" i="3"/>
  <c r="H35" i="3"/>
  <c r="G35" i="3"/>
  <c r="Q23" i="3"/>
  <c r="O23" i="3"/>
  <c r="M23" i="3"/>
  <c r="K23" i="3"/>
  <c r="I23" i="3"/>
  <c r="Q22" i="3"/>
  <c r="O22" i="3"/>
  <c r="M22" i="3"/>
  <c r="K22" i="3"/>
  <c r="I22" i="3"/>
  <c r="Q21" i="3"/>
  <c r="O21" i="3"/>
  <c r="M21" i="3"/>
  <c r="K21" i="3"/>
  <c r="I21" i="3"/>
  <c r="G20" i="3"/>
  <c r="G23" i="3" s="1"/>
  <c r="M77" i="2"/>
  <c r="G76" i="2"/>
  <c r="M75" i="2"/>
  <c r="G75" i="2"/>
  <c r="G74" i="2"/>
  <c r="G72" i="2"/>
  <c r="G70" i="2"/>
  <c r="I66" i="2"/>
  <c r="I65" i="2"/>
  <c r="I64" i="2"/>
  <c r="I63" i="2"/>
  <c r="S61" i="2"/>
  <c r="S64" i="2" s="1"/>
  <c r="I61" i="2"/>
  <c r="S60" i="2"/>
  <c r="I60" i="2"/>
  <c r="T59" i="2"/>
  <c r="I59" i="2"/>
  <c r="S58" i="2"/>
  <c r="I58" i="2"/>
  <c r="S57" i="2"/>
  <c r="I57" i="2"/>
  <c r="T56" i="2"/>
  <c r="I56" i="2"/>
  <c r="S55" i="2"/>
  <c r="S54" i="2"/>
  <c r="I54" i="2"/>
  <c r="S53" i="2"/>
  <c r="I53" i="2"/>
  <c r="S52" i="2"/>
  <c r="I52" i="2"/>
  <c r="S51" i="2"/>
  <c r="I51" i="2"/>
  <c r="I50" i="2"/>
  <c r="I49" i="2"/>
  <c r="I48" i="2"/>
  <c r="S41" i="2"/>
  <c r="S40" i="2"/>
  <c r="I40" i="2"/>
  <c r="T39" i="2"/>
  <c r="S37" i="2"/>
  <c r="S35" i="2"/>
  <c r="J35" i="2"/>
  <c r="S34" i="2"/>
  <c r="J34" i="2"/>
  <c r="S33" i="2"/>
  <c r="S32" i="2"/>
  <c r="S31" i="2"/>
  <c r="I31" i="2"/>
  <c r="I29" i="2"/>
  <c r="D26" i="2"/>
  <c r="T25" i="2"/>
  <c r="D25" i="2"/>
  <c r="D24" i="2"/>
  <c r="D23" i="2"/>
  <c r="I21" i="2"/>
  <c r="I20" i="2"/>
  <c r="S18" i="2"/>
  <c r="I18" i="2"/>
  <c r="G337" i="14"/>
  <c r="G336" i="14"/>
  <c r="G327" i="14"/>
  <c r="G322" i="14"/>
  <c r="J270" i="7" s="1"/>
  <c r="B321" i="14"/>
  <c r="B320" i="14"/>
  <c r="B319" i="14"/>
  <c r="B318" i="14"/>
  <c r="B317" i="14"/>
  <c r="B316" i="14"/>
  <c r="B315" i="14"/>
  <c r="B314" i="14"/>
  <c r="B313" i="14"/>
  <c r="B312" i="14"/>
  <c r="B311" i="14"/>
  <c r="B310" i="14"/>
  <c r="B309" i="14"/>
  <c r="B308" i="14"/>
  <c r="B307" i="14"/>
  <c r="B306" i="14"/>
  <c r="B305" i="14"/>
  <c r="B304" i="14"/>
  <c r="B303" i="14"/>
  <c r="B302" i="14"/>
  <c r="G301" i="14"/>
  <c r="G296" i="14"/>
  <c r="J269" i="7" s="1"/>
  <c r="B295" i="14"/>
  <c r="B294" i="14"/>
  <c r="B293" i="14"/>
  <c r="B292" i="14"/>
  <c r="B291" i="14"/>
  <c r="B290" i="14"/>
  <c r="B289" i="14"/>
  <c r="B288" i="14"/>
  <c r="B287" i="14"/>
  <c r="B286" i="14"/>
  <c r="B285" i="14"/>
  <c r="B284" i="14"/>
  <c r="B283" i="14"/>
  <c r="B282" i="14"/>
  <c r="B281" i="14"/>
  <c r="B280" i="14"/>
  <c r="B279" i="14"/>
  <c r="B278" i="14"/>
  <c r="B277" i="14"/>
  <c r="B276" i="14"/>
  <c r="G275" i="14"/>
  <c r="G270" i="14"/>
  <c r="J268" i="7" s="1"/>
  <c r="B269" i="14"/>
  <c r="B268" i="14"/>
  <c r="B267" i="14"/>
  <c r="B266" i="14"/>
  <c r="B265" i="14"/>
  <c r="B264" i="14"/>
  <c r="B263" i="14"/>
  <c r="B262" i="14"/>
  <c r="B261" i="14"/>
  <c r="B260" i="14"/>
  <c r="B259" i="14"/>
  <c r="B258" i="14"/>
  <c r="B257" i="14"/>
  <c r="B256" i="14"/>
  <c r="B255" i="14"/>
  <c r="B254" i="14"/>
  <c r="B253" i="14"/>
  <c r="B252" i="14"/>
  <c r="B251" i="14"/>
  <c r="B250" i="14"/>
  <c r="Q244" i="14"/>
  <c r="Q243" i="14"/>
  <c r="Q242" i="14"/>
  <c r="Q241" i="14"/>
  <c r="Q240" i="14"/>
  <c r="Q239" i="14"/>
  <c r="Q238" i="14"/>
  <c r="Q237" i="14"/>
  <c r="Q236" i="14"/>
  <c r="Q235" i="14"/>
  <c r="Q234" i="14"/>
  <c r="J234" i="14"/>
  <c r="Q233" i="14"/>
  <c r="J233" i="14"/>
  <c r="Q232" i="14"/>
  <c r="J232" i="14"/>
  <c r="Q231" i="14"/>
  <c r="J231" i="14"/>
  <c r="Q230" i="14"/>
  <c r="J230" i="14"/>
  <c r="Q229" i="14"/>
  <c r="J229" i="14"/>
  <c r="Q228" i="14"/>
  <c r="J228" i="14"/>
  <c r="Q227" i="14"/>
  <c r="J227" i="14"/>
  <c r="Q226" i="14"/>
  <c r="J226" i="14"/>
  <c r="Q225" i="14"/>
  <c r="J225" i="14"/>
  <c r="Q224" i="14"/>
  <c r="J224" i="14"/>
  <c r="B224" i="14"/>
  <c r="B222" i="14"/>
  <c r="AT13" i="6" s="1"/>
  <c r="Q219" i="14"/>
  <c r="B219" i="14"/>
  <c r="Q218" i="14"/>
  <c r="B218" i="14"/>
  <c r="Q217" i="14"/>
  <c r="B217" i="14"/>
  <c r="Q216" i="14"/>
  <c r="B216" i="14"/>
  <c r="Q215" i="14"/>
  <c r="B215" i="14"/>
  <c r="Q214" i="14"/>
  <c r="B214" i="14"/>
  <c r="Q213" i="14"/>
  <c r="B213" i="14"/>
  <c r="Q212" i="14"/>
  <c r="B212" i="14"/>
  <c r="Q211" i="14"/>
  <c r="B211" i="14"/>
  <c r="Q210" i="14"/>
  <c r="B210" i="14"/>
  <c r="Q209" i="14"/>
  <c r="J209" i="14"/>
  <c r="B209" i="14"/>
  <c r="Q208" i="14"/>
  <c r="J208" i="14"/>
  <c r="B208" i="14"/>
  <c r="Q207" i="14"/>
  <c r="J207" i="14"/>
  <c r="B207" i="14"/>
  <c r="Q206" i="14"/>
  <c r="J206" i="14"/>
  <c r="B206" i="14"/>
  <c r="Q205" i="14"/>
  <c r="J205" i="14"/>
  <c r="B205" i="14"/>
  <c r="Q204" i="14"/>
  <c r="J204" i="14"/>
  <c r="B204" i="14"/>
  <c r="Q203" i="14"/>
  <c r="J203" i="14"/>
  <c r="B203" i="14"/>
  <c r="Q202" i="14"/>
  <c r="J202" i="14"/>
  <c r="B202" i="14"/>
  <c r="Q201" i="14"/>
  <c r="J201" i="14"/>
  <c r="B201" i="14"/>
  <c r="Q200" i="14"/>
  <c r="J200" i="14"/>
  <c r="B200" i="14"/>
  <c r="V199" i="14"/>
  <c r="Q199" i="14"/>
  <c r="O199" i="14"/>
  <c r="J199" i="14"/>
  <c r="G199" i="14"/>
  <c r="G79" i="2" s="1"/>
  <c r="B199" i="14"/>
  <c r="Q198" i="14"/>
  <c r="J198" i="14"/>
  <c r="B198" i="14"/>
  <c r="B197" i="14"/>
  <c r="AT12" i="6" s="1"/>
  <c r="B194" i="14"/>
  <c r="B193" i="14"/>
  <c r="B192" i="14"/>
  <c r="B191" i="14"/>
  <c r="B190" i="14"/>
  <c r="B189" i="14"/>
  <c r="B188" i="14"/>
  <c r="B187" i="14"/>
  <c r="B186" i="14"/>
  <c r="B185" i="14"/>
  <c r="B184" i="14"/>
  <c r="B183" i="14"/>
  <c r="B182" i="14"/>
  <c r="B181" i="14"/>
  <c r="B180" i="14"/>
  <c r="B179" i="14"/>
  <c r="B178" i="14"/>
  <c r="B177" i="14"/>
  <c r="B176" i="14"/>
  <c r="B175" i="14"/>
  <c r="J174" i="14"/>
  <c r="G174" i="14"/>
  <c r="X224" i="14" s="1"/>
  <c r="B169" i="14"/>
  <c r="B168" i="14"/>
  <c r="B167" i="14"/>
  <c r="B166" i="14"/>
  <c r="B165" i="14"/>
  <c r="B164" i="14"/>
  <c r="B163" i="14"/>
  <c r="B162" i="14"/>
  <c r="B161" i="14"/>
  <c r="B160" i="14"/>
  <c r="J159" i="14"/>
  <c r="G159" i="14"/>
  <c r="O224" i="14" s="1"/>
  <c r="J154" i="14"/>
  <c r="B154" i="14"/>
  <c r="S153" i="14"/>
  <c r="J153" i="14"/>
  <c r="B153" i="14"/>
  <c r="S152" i="14"/>
  <c r="J152" i="14"/>
  <c r="B152" i="14"/>
  <c r="S151" i="14"/>
  <c r="J151" i="14"/>
  <c r="B151" i="14"/>
  <c r="S150" i="14"/>
  <c r="J150" i="14"/>
  <c r="B150" i="14"/>
  <c r="S149" i="14"/>
  <c r="J149" i="14"/>
  <c r="B149" i="14"/>
  <c r="S148" i="14"/>
  <c r="J148" i="14"/>
  <c r="B148" i="14"/>
  <c r="G147" i="14"/>
  <c r="I42" i="2" s="1"/>
  <c r="J146" i="14"/>
  <c r="B140" i="14"/>
  <c r="B139" i="14"/>
  <c r="B138" i="14"/>
  <c r="B137" i="14"/>
  <c r="B136" i="14"/>
  <c r="B135" i="14"/>
  <c r="B134" i="14"/>
  <c r="B133" i="14"/>
  <c r="B132" i="14"/>
  <c r="B131" i="14"/>
  <c r="T129" i="14"/>
  <c r="O128" i="14"/>
  <c r="V127" i="14"/>
  <c r="O127" i="14"/>
  <c r="I127" i="14"/>
  <c r="B127" i="14"/>
  <c r="V126" i="14"/>
  <c r="O126" i="14"/>
  <c r="I126" i="14"/>
  <c r="B126" i="14"/>
  <c r="V125" i="14"/>
  <c r="O125" i="14"/>
  <c r="I125" i="14"/>
  <c r="B125" i="14"/>
  <c r="V124" i="14"/>
  <c r="O124" i="14"/>
  <c r="I124" i="14"/>
  <c r="B124" i="14"/>
  <c r="V123" i="14"/>
  <c r="O123" i="14"/>
  <c r="I123" i="14"/>
  <c r="B123" i="14"/>
  <c r="V122" i="14"/>
  <c r="O122" i="14"/>
  <c r="I122" i="14"/>
  <c r="B122" i="14"/>
  <c r="V121" i="14"/>
  <c r="O121" i="14"/>
  <c r="I121" i="14"/>
  <c r="B121" i="14"/>
  <c r="V120" i="14"/>
  <c r="O120" i="14"/>
  <c r="I120" i="14"/>
  <c r="B120" i="14"/>
  <c r="V119" i="14"/>
  <c r="O119" i="14"/>
  <c r="I119" i="14"/>
  <c r="B119" i="14"/>
  <c r="V118" i="14"/>
  <c r="I118" i="14"/>
  <c r="B118" i="14"/>
  <c r="V117" i="14"/>
  <c r="I117" i="14"/>
  <c r="B117" i="14"/>
  <c r="Z109" i="14"/>
  <c r="Z108" i="14"/>
  <c r="Z107" i="14"/>
  <c r="M107" i="14"/>
  <c r="Z106" i="14"/>
  <c r="M106" i="14"/>
  <c r="Z105" i="14"/>
  <c r="M105" i="14"/>
  <c r="M99" i="14"/>
  <c r="F97" i="14"/>
  <c r="Z96" i="14"/>
  <c r="I38" i="2" s="1"/>
  <c r="M96" i="14"/>
  <c r="F96" i="14"/>
  <c r="S21" i="2" s="1"/>
  <c r="G81" i="14"/>
  <c r="S73" i="2" s="1"/>
  <c r="G80" i="14"/>
  <c r="S72" i="2" s="1"/>
  <c r="G79" i="14"/>
  <c r="S71" i="2" s="1"/>
  <c r="W57" i="14"/>
  <c r="W56" i="14"/>
  <c r="W55" i="14"/>
  <c r="W54" i="14"/>
  <c r="T110" i="3" s="1"/>
  <c r="W53" i="14"/>
  <c r="W52" i="14"/>
  <c r="W51" i="14"/>
  <c r="M80" i="2" s="1"/>
  <c r="X50" i="14"/>
  <c r="W50" i="14"/>
  <c r="AI211" i="4"/>
  <c r="AH211" i="4"/>
  <c r="AG211" i="4"/>
  <c r="AF211" i="4"/>
  <c r="AE211" i="4"/>
  <c r="AD211" i="4"/>
  <c r="AC211" i="4"/>
  <c r="AB211" i="4"/>
  <c r="AA211" i="4"/>
  <c r="Z211" i="4"/>
  <c r="Y211" i="4"/>
  <c r="X211" i="4"/>
  <c r="CF196" i="4"/>
  <c r="BZ196" i="4"/>
  <c r="BY196" i="4"/>
  <c r="BX196" i="4"/>
  <c r="BW196" i="4"/>
  <c r="BV196" i="4"/>
  <c r="BU196" i="4"/>
  <c r="BM196" i="4"/>
  <c r="BG196" i="4"/>
  <c r="BF196" i="4"/>
  <c r="BE196" i="4"/>
  <c r="BD196" i="4"/>
  <c r="BC196" i="4"/>
  <c r="BB196" i="4"/>
  <c r="AT196" i="4"/>
  <c r="AN196" i="4"/>
  <c r="AM196" i="4"/>
  <c r="AL196" i="4"/>
  <c r="AK196" i="4"/>
  <c r="AJ196" i="4"/>
  <c r="AI196" i="4"/>
  <c r="AA196" i="4"/>
  <c r="CF195" i="4"/>
  <c r="BZ195" i="4"/>
  <c r="BY195" i="4"/>
  <c r="BX195" i="4"/>
  <c r="BW195" i="4"/>
  <c r="BV195" i="4"/>
  <c r="BU195" i="4"/>
  <c r="BM195" i="4"/>
  <c r="BG195" i="4"/>
  <c r="BF195" i="4"/>
  <c r="BE195" i="4"/>
  <c r="BD195" i="4"/>
  <c r="BC195" i="4"/>
  <c r="BB195" i="4"/>
  <c r="AT195" i="4"/>
  <c r="AN195" i="4"/>
  <c r="AM195" i="4"/>
  <c r="AL195" i="4"/>
  <c r="AK195" i="4"/>
  <c r="AJ195" i="4"/>
  <c r="AI195" i="4"/>
  <c r="AA195" i="4"/>
  <c r="CF194" i="4"/>
  <c r="BZ194" i="4"/>
  <c r="BY194" i="4"/>
  <c r="BX194" i="4"/>
  <c r="BW194" i="4"/>
  <c r="BV194" i="4"/>
  <c r="BU194" i="4"/>
  <c r="BM194" i="4"/>
  <c r="BG194" i="4"/>
  <c r="BF194" i="4"/>
  <c r="BE194" i="4"/>
  <c r="BD194" i="4"/>
  <c r="BC194" i="4"/>
  <c r="BB194" i="4"/>
  <c r="AT194" i="4"/>
  <c r="AN194" i="4"/>
  <c r="AM194" i="4"/>
  <c r="AL194" i="4"/>
  <c r="AK194" i="4"/>
  <c r="AJ194" i="4"/>
  <c r="AI194" i="4"/>
  <c r="AA194" i="4"/>
  <c r="CF193" i="4"/>
  <c r="BZ193" i="4"/>
  <c r="BY193" i="4"/>
  <c r="BX193" i="4"/>
  <c r="BW193" i="4"/>
  <c r="BV193" i="4"/>
  <c r="BU193" i="4"/>
  <c r="BM193" i="4"/>
  <c r="BG193" i="4"/>
  <c r="BF193" i="4"/>
  <c r="BE193" i="4"/>
  <c r="BD193" i="4"/>
  <c r="BC193" i="4"/>
  <c r="BB193" i="4"/>
  <c r="AT193" i="4"/>
  <c r="AN193" i="4"/>
  <c r="AM193" i="4"/>
  <c r="AL193" i="4"/>
  <c r="AK193" i="4"/>
  <c r="AJ193" i="4"/>
  <c r="AI193" i="4"/>
  <c r="AA193" i="4"/>
  <c r="CF192" i="4"/>
  <c r="BZ192" i="4"/>
  <c r="BY192" i="4"/>
  <c r="BX192" i="4"/>
  <c r="BW192" i="4"/>
  <c r="BV192" i="4"/>
  <c r="BU192" i="4"/>
  <c r="BM192" i="4"/>
  <c r="BG192" i="4"/>
  <c r="BF192" i="4"/>
  <c r="BE192" i="4"/>
  <c r="BD192" i="4"/>
  <c r="BC192" i="4"/>
  <c r="BB192" i="4"/>
  <c r="AT192" i="4"/>
  <c r="AN192" i="4"/>
  <c r="AM192" i="4"/>
  <c r="AL192" i="4"/>
  <c r="AK192" i="4"/>
  <c r="AJ192" i="4"/>
  <c r="AI192" i="4"/>
  <c r="AA192" i="4"/>
  <c r="CF191" i="4"/>
  <c r="BM191" i="4"/>
  <c r="AT191" i="4"/>
  <c r="AA191" i="4"/>
  <c r="CF190" i="4"/>
  <c r="BZ190" i="4"/>
  <c r="BY190" i="4"/>
  <c r="BX190" i="4"/>
  <c r="BW190" i="4"/>
  <c r="BV190" i="4"/>
  <c r="BU190" i="4"/>
  <c r="BM190" i="4"/>
  <c r="BG190" i="4"/>
  <c r="BF190" i="4"/>
  <c r="BE190" i="4"/>
  <c r="BD190" i="4"/>
  <c r="BC190" i="4"/>
  <c r="BB190" i="4"/>
  <c r="AT190" i="4"/>
  <c r="AN190" i="4"/>
  <c r="AM190" i="4"/>
  <c r="AL190" i="4"/>
  <c r="AK190" i="4"/>
  <c r="AJ190" i="4"/>
  <c r="AI190" i="4"/>
  <c r="AA190" i="4"/>
  <c r="CF189" i="4"/>
  <c r="BZ189" i="4"/>
  <c r="BY189" i="4"/>
  <c r="BX189" i="4"/>
  <c r="BW189" i="4"/>
  <c r="BV189" i="4"/>
  <c r="BU189" i="4"/>
  <c r="BM189" i="4"/>
  <c r="BG189" i="4"/>
  <c r="BF189" i="4"/>
  <c r="BE189" i="4"/>
  <c r="BD189" i="4"/>
  <c r="BC189" i="4"/>
  <c r="BB189" i="4"/>
  <c r="AT189" i="4"/>
  <c r="AN189" i="4"/>
  <c r="AM189" i="4"/>
  <c r="AL189" i="4"/>
  <c r="AK189" i="4"/>
  <c r="AJ189" i="4"/>
  <c r="AI189" i="4"/>
  <c r="AA189" i="4"/>
  <c r="CF188" i="4"/>
  <c r="BM188" i="4"/>
  <c r="AT188" i="4"/>
  <c r="AA188" i="4"/>
  <c r="CF187" i="4"/>
  <c r="BM187" i="4"/>
  <c r="AT187" i="4"/>
  <c r="AA187" i="4"/>
  <c r="CF186" i="4"/>
  <c r="BM186" i="4"/>
  <c r="AT186" i="4"/>
  <c r="AA186" i="4"/>
  <c r="CF185" i="4"/>
  <c r="BM185" i="4"/>
  <c r="AT185" i="4"/>
  <c r="AA185" i="4"/>
  <c r="CF184" i="4"/>
  <c r="BM184" i="4"/>
  <c r="AT184" i="4"/>
  <c r="AA184" i="4"/>
  <c r="CF183" i="4"/>
  <c r="BM183" i="4"/>
  <c r="AT183" i="4"/>
  <c r="AA183" i="4"/>
  <c r="CF182" i="4"/>
  <c r="BM182" i="4"/>
  <c r="AT182" i="4"/>
  <c r="AA182" i="4"/>
  <c r="CF181" i="4"/>
  <c r="BM181" i="4"/>
  <c r="AT181" i="4"/>
  <c r="AA181" i="4"/>
  <c r="CF180" i="4"/>
  <c r="BZ180" i="4"/>
  <c r="BY180" i="4"/>
  <c r="BX180" i="4"/>
  <c r="BW180" i="4"/>
  <c r="BV180" i="4"/>
  <c r="BU180" i="4"/>
  <c r="BM180" i="4"/>
  <c r="BG180" i="4"/>
  <c r="BF180" i="4"/>
  <c r="BE180" i="4"/>
  <c r="BD180" i="4"/>
  <c r="BC180" i="4"/>
  <c r="BB180" i="4"/>
  <c r="AT180" i="4"/>
  <c r="AN180" i="4"/>
  <c r="AM180" i="4"/>
  <c r="AL180" i="4"/>
  <c r="AK180" i="4"/>
  <c r="AJ180" i="4"/>
  <c r="AI180" i="4"/>
  <c r="AA180" i="4"/>
  <c r="CF179" i="4"/>
  <c r="BZ179" i="4"/>
  <c r="BY179" i="4"/>
  <c r="BX179" i="4"/>
  <c r="BW179" i="4"/>
  <c r="BV179" i="4"/>
  <c r="BU179" i="4"/>
  <c r="BM179" i="4"/>
  <c r="BG179" i="4"/>
  <c r="BF179" i="4"/>
  <c r="BE179" i="4"/>
  <c r="BD179" i="4"/>
  <c r="BC179" i="4"/>
  <c r="BB179" i="4"/>
  <c r="AT179" i="4"/>
  <c r="AN179" i="4"/>
  <c r="AM179" i="4"/>
  <c r="AL179" i="4"/>
  <c r="AK179" i="4"/>
  <c r="AJ179" i="4"/>
  <c r="AI179" i="4"/>
  <c r="AA179" i="4"/>
  <c r="CF178" i="4"/>
  <c r="BZ178" i="4"/>
  <c r="BY178" i="4"/>
  <c r="BX178" i="4"/>
  <c r="BW178" i="4"/>
  <c r="BV178" i="4"/>
  <c r="BU178" i="4"/>
  <c r="BM178" i="4"/>
  <c r="BG178" i="4"/>
  <c r="BF178" i="4"/>
  <c r="BE178" i="4"/>
  <c r="BD178" i="4"/>
  <c r="BC178" i="4"/>
  <c r="BB178" i="4"/>
  <c r="AT178" i="4"/>
  <c r="AN178" i="4"/>
  <c r="AM178" i="4"/>
  <c r="AL178" i="4"/>
  <c r="AK178" i="4"/>
  <c r="AJ178" i="4"/>
  <c r="AI178" i="4"/>
  <c r="AA178" i="4"/>
  <c r="CF177" i="4"/>
  <c r="BZ177" i="4"/>
  <c r="BY177" i="4"/>
  <c r="BX177" i="4"/>
  <c r="BW177" i="4"/>
  <c r="BV177" i="4"/>
  <c r="BU177" i="4"/>
  <c r="BM177" i="4"/>
  <c r="BG177" i="4"/>
  <c r="BF177" i="4"/>
  <c r="BE177" i="4"/>
  <c r="BD177" i="4"/>
  <c r="BC177" i="4"/>
  <c r="BB177" i="4"/>
  <c r="AT177" i="4"/>
  <c r="AN177" i="4"/>
  <c r="AM177" i="4"/>
  <c r="AL177" i="4"/>
  <c r="AK177" i="4"/>
  <c r="AJ177" i="4"/>
  <c r="AI177" i="4"/>
  <c r="AA177" i="4"/>
  <c r="CF176" i="4"/>
  <c r="BM176" i="4"/>
  <c r="AT176" i="4"/>
  <c r="AA176" i="4"/>
  <c r="CF175" i="4"/>
  <c r="BZ175" i="4"/>
  <c r="BY175" i="4"/>
  <c r="BX175" i="4"/>
  <c r="BW175" i="4"/>
  <c r="BV175" i="4"/>
  <c r="BU175" i="4"/>
  <c r="BM175" i="4"/>
  <c r="BG175" i="4"/>
  <c r="BF175" i="4"/>
  <c r="BE175" i="4"/>
  <c r="BD175" i="4"/>
  <c r="BC175" i="4"/>
  <c r="BB175" i="4"/>
  <c r="AT175" i="4"/>
  <c r="AN175" i="4"/>
  <c r="AM175" i="4"/>
  <c r="AL175" i="4"/>
  <c r="AK175" i="4"/>
  <c r="AJ175" i="4"/>
  <c r="AI175" i="4"/>
  <c r="AA175" i="4"/>
  <c r="CF174" i="4"/>
  <c r="BZ174" i="4"/>
  <c r="BY174" i="4"/>
  <c r="BX174" i="4"/>
  <c r="BW174" i="4"/>
  <c r="BV174" i="4"/>
  <c r="BU174" i="4"/>
  <c r="BM174" i="4"/>
  <c r="BG174" i="4"/>
  <c r="BF174" i="4"/>
  <c r="BE174" i="4"/>
  <c r="BD174" i="4"/>
  <c r="BC174" i="4"/>
  <c r="BB174" i="4"/>
  <c r="AT174" i="4"/>
  <c r="AN174" i="4"/>
  <c r="AM174" i="4"/>
  <c r="AL174" i="4"/>
  <c r="AK174" i="4"/>
  <c r="AJ174" i="4"/>
  <c r="AI174" i="4"/>
  <c r="AA174" i="4"/>
  <c r="CF173" i="4"/>
  <c r="BZ173" i="4"/>
  <c r="BY173" i="4"/>
  <c r="BX173" i="4"/>
  <c r="BW173" i="4"/>
  <c r="BV173" i="4"/>
  <c r="BU173" i="4"/>
  <c r="BM173" i="4"/>
  <c r="BG173" i="4"/>
  <c r="BF173" i="4"/>
  <c r="BE173" i="4"/>
  <c r="BD173" i="4"/>
  <c r="BC173" i="4"/>
  <c r="BB173" i="4"/>
  <c r="AT173" i="4"/>
  <c r="AN173" i="4"/>
  <c r="AM173" i="4"/>
  <c r="AL173" i="4"/>
  <c r="AK173" i="4"/>
  <c r="AJ173" i="4"/>
  <c r="AI173" i="4"/>
  <c r="AA173" i="4"/>
  <c r="CF172" i="4"/>
  <c r="BZ172" i="4"/>
  <c r="BY172" i="4"/>
  <c r="BX172" i="4"/>
  <c r="BW172" i="4"/>
  <c r="BV172" i="4"/>
  <c r="BU172" i="4"/>
  <c r="BM172" i="4"/>
  <c r="BG172" i="4"/>
  <c r="BF172" i="4"/>
  <c r="BE172" i="4"/>
  <c r="BD172" i="4"/>
  <c r="BC172" i="4"/>
  <c r="BB172" i="4"/>
  <c r="AT172" i="4"/>
  <c r="AN172" i="4"/>
  <c r="AM172" i="4"/>
  <c r="AL172" i="4"/>
  <c r="AK172" i="4"/>
  <c r="AJ172" i="4"/>
  <c r="AI172" i="4"/>
  <c r="AA172" i="4"/>
  <c r="CF171" i="4"/>
  <c r="BM171" i="4"/>
  <c r="AT171" i="4"/>
  <c r="AA171" i="4"/>
  <c r="CF170" i="4"/>
  <c r="BM170" i="4"/>
  <c r="AT170" i="4"/>
  <c r="AA170" i="4"/>
  <c r="CF169" i="4"/>
  <c r="BM169" i="4"/>
  <c r="AT169" i="4"/>
  <c r="AA169" i="4"/>
  <c r="CF168" i="4"/>
  <c r="BZ168" i="4"/>
  <c r="BY168" i="4"/>
  <c r="BX168" i="4"/>
  <c r="BW168" i="4"/>
  <c r="BV168" i="4"/>
  <c r="BU168" i="4"/>
  <c r="BM168" i="4"/>
  <c r="BG168" i="4"/>
  <c r="BF168" i="4"/>
  <c r="BE168" i="4"/>
  <c r="BD168" i="4"/>
  <c r="BC168" i="4"/>
  <c r="BB168" i="4"/>
  <c r="AT168" i="4"/>
  <c r="AN168" i="4"/>
  <c r="AM168" i="4"/>
  <c r="AL168" i="4"/>
  <c r="AK168" i="4"/>
  <c r="AJ168" i="4"/>
  <c r="AI168" i="4"/>
  <c r="AA168" i="4"/>
  <c r="CF167" i="4"/>
  <c r="BZ167" i="4"/>
  <c r="BY167" i="4"/>
  <c r="BX167" i="4"/>
  <c r="BW167" i="4"/>
  <c r="BV167" i="4"/>
  <c r="BU167" i="4"/>
  <c r="BM167" i="4"/>
  <c r="BG167" i="4"/>
  <c r="BF167" i="4"/>
  <c r="BE167" i="4"/>
  <c r="BD167" i="4"/>
  <c r="BC167" i="4"/>
  <c r="BB167" i="4"/>
  <c r="AT167" i="4"/>
  <c r="AN167" i="4"/>
  <c r="AM167" i="4"/>
  <c r="AL167" i="4"/>
  <c r="AK167" i="4"/>
  <c r="AJ167" i="4"/>
  <c r="AI167" i="4"/>
  <c r="AA167" i="4"/>
  <c r="CF166" i="4"/>
  <c r="BZ166" i="4"/>
  <c r="BY166" i="4"/>
  <c r="BX166" i="4"/>
  <c r="BW166" i="4"/>
  <c r="BV166" i="4"/>
  <c r="BU166" i="4"/>
  <c r="BM166" i="4"/>
  <c r="BG166" i="4"/>
  <c r="BF166" i="4"/>
  <c r="BE166" i="4"/>
  <c r="BD166" i="4"/>
  <c r="BC166" i="4"/>
  <c r="BB166" i="4"/>
  <c r="AT166" i="4"/>
  <c r="AN166" i="4"/>
  <c r="AM166" i="4"/>
  <c r="AL166" i="4"/>
  <c r="AK166" i="4"/>
  <c r="AJ166" i="4"/>
  <c r="AI166" i="4"/>
  <c r="AA166" i="4"/>
  <c r="CF165" i="4"/>
  <c r="BZ165" i="4"/>
  <c r="BY165" i="4"/>
  <c r="BX165" i="4"/>
  <c r="BW165" i="4"/>
  <c r="BV165" i="4"/>
  <c r="BU165" i="4"/>
  <c r="BM165" i="4"/>
  <c r="BG165" i="4"/>
  <c r="BF165" i="4"/>
  <c r="BE165" i="4"/>
  <c r="BD165" i="4"/>
  <c r="BC165" i="4"/>
  <c r="BB165" i="4"/>
  <c r="AT165" i="4"/>
  <c r="AN165" i="4"/>
  <c r="AM165" i="4"/>
  <c r="AL165" i="4"/>
  <c r="AK165" i="4"/>
  <c r="AJ165" i="4"/>
  <c r="AI165" i="4"/>
  <c r="AA165" i="4"/>
  <c r="CF164" i="4"/>
  <c r="BZ164" i="4"/>
  <c r="BY164" i="4"/>
  <c r="BX164" i="4"/>
  <c r="BW164" i="4"/>
  <c r="BV164" i="4"/>
  <c r="BU164" i="4"/>
  <c r="BM164" i="4"/>
  <c r="BG164" i="4"/>
  <c r="BF164" i="4"/>
  <c r="BE164" i="4"/>
  <c r="BD164" i="4"/>
  <c r="BC164" i="4"/>
  <c r="BB164" i="4"/>
  <c r="AT164" i="4"/>
  <c r="AN164" i="4"/>
  <c r="AM164" i="4"/>
  <c r="AL164" i="4"/>
  <c r="AK164" i="4"/>
  <c r="AJ164" i="4"/>
  <c r="AI164" i="4"/>
  <c r="AA164" i="4"/>
  <c r="CF163" i="4"/>
  <c r="BZ163" i="4"/>
  <c r="BY163" i="4"/>
  <c r="BX163" i="4"/>
  <c r="BW163" i="4"/>
  <c r="BV163" i="4"/>
  <c r="BU163" i="4"/>
  <c r="BM163" i="4"/>
  <c r="BG163" i="4"/>
  <c r="BF163" i="4"/>
  <c r="BE163" i="4"/>
  <c r="BD163" i="4"/>
  <c r="BC163" i="4"/>
  <c r="BB163" i="4"/>
  <c r="AT163" i="4"/>
  <c r="AN163" i="4"/>
  <c r="AM163" i="4"/>
  <c r="AL163" i="4"/>
  <c r="AK163" i="4"/>
  <c r="AJ163" i="4"/>
  <c r="AI163" i="4"/>
  <c r="AA163" i="4"/>
  <c r="CF162" i="4"/>
  <c r="BM162" i="4"/>
  <c r="AT162" i="4"/>
  <c r="AA162" i="4"/>
  <c r="CF161" i="4"/>
  <c r="BM161" i="4"/>
  <c r="AT161" i="4"/>
  <c r="AA161" i="4"/>
  <c r="CF160" i="4"/>
  <c r="BZ160" i="4"/>
  <c r="BY160" i="4"/>
  <c r="BX160" i="4"/>
  <c r="BW160" i="4"/>
  <c r="BV160" i="4"/>
  <c r="BU160" i="4"/>
  <c r="BM160" i="4"/>
  <c r="BG160" i="4"/>
  <c r="BF160" i="4"/>
  <c r="BE160" i="4"/>
  <c r="BD160" i="4"/>
  <c r="BC160" i="4"/>
  <c r="BB160" i="4"/>
  <c r="AT160" i="4"/>
  <c r="AN160" i="4"/>
  <c r="AM160" i="4"/>
  <c r="AL160" i="4"/>
  <c r="AK160" i="4"/>
  <c r="AJ160" i="4"/>
  <c r="AI160" i="4"/>
  <c r="AA160" i="4"/>
  <c r="CF159" i="4"/>
  <c r="BM159" i="4"/>
  <c r="AT159" i="4"/>
  <c r="AA159" i="4"/>
  <c r="CF158" i="4"/>
  <c r="BM158" i="4"/>
  <c r="AT158" i="4"/>
  <c r="AA158" i="4"/>
  <c r="CF157" i="4"/>
  <c r="BM157" i="4"/>
  <c r="AT157" i="4"/>
  <c r="AA157" i="4"/>
  <c r="CF156" i="4"/>
  <c r="BM156" i="4"/>
  <c r="AT156" i="4"/>
  <c r="AA156" i="4"/>
  <c r="CF155" i="4"/>
  <c r="BZ155" i="4"/>
  <c r="BY155" i="4"/>
  <c r="BX155" i="4"/>
  <c r="BW155" i="4"/>
  <c r="BV155" i="4"/>
  <c r="BU155" i="4"/>
  <c r="BM155" i="4"/>
  <c r="BG155" i="4"/>
  <c r="BF155" i="4"/>
  <c r="BE155" i="4"/>
  <c r="BD155" i="4"/>
  <c r="BC155" i="4"/>
  <c r="BB155" i="4"/>
  <c r="AT155" i="4"/>
  <c r="AN155" i="4"/>
  <c r="AM155" i="4"/>
  <c r="AL155" i="4"/>
  <c r="AK155" i="4"/>
  <c r="AJ155" i="4"/>
  <c r="AI155" i="4"/>
  <c r="AA155" i="4"/>
  <c r="CF154" i="4"/>
  <c r="BM154" i="4"/>
  <c r="AT154" i="4"/>
  <c r="AA154" i="4"/>
  <c r="CF153" i="4"/>
  <c r="BM153" i="4"/>
  <c r="AT153" i="4"/>
  <c r="AA153" i="4"/>
  <c r="CF152" i="4"/>
  <c r="BM152" i="4"/>
  <c r="AT152" i="4"/>
  <c r="AA152" i="4"/>
  <c r="CF151" i="4"/>
  <c r="BZ151" i="4"/>
  <c r="BY151" i="4"/>
  <c r="BX151" i="4"/>
  <c r="BW151" i="4"/>
  <c r="BV151" i="4"/>
  <c r="BU151" i="4"/>
  <c r="BM151" i="4"/>
  <c r="BG151" i="4"/>
  <c r="BF151" i="4"/>
  <c r="BE151" i="4"/>
  <c r="BD151" i="4"/>
  <c r="BC151" i="4"/>
  <c r="BB151" i="4"/>
  <c r="AT151" i="4"/>
  <c r="AN151" i="4"/>
  <c r="AM151" i="4"/>
  <c r="AL151" i="4"/>
  <c r="AK151" i="4"/>
  <c r="AJ151" i="4"/>
  <c r="AI151" i="4"/>
  <c r="AA151" i="4"/>
  <c r="CF150" i="4"/>
  <c r="BZ150" i="4"/>
  <c r="BY150" i="4"/>
  <c r="BX150" i="4"/>
  <c r="BW150" i="4"/>
  <c r="BV150" i="4"/>
  <c r="BU150" i="4"/>
  <c r="BM150" i="4"/>
  <c r="BG150" i="4"/>
  <c r="BF150" i="4"/>
  <c r="BE150" i="4"/>
  <c r="BD150" i="4"/>
  <c r="BC150" i="4"/>
  <c r="BB150" i="4"/>
  <c r="AT150" i="4"/>
  <c r="AN150" i="4"/>
  <c r="AM150" i="4"/>
  <c r="AL150" i="4"/>
  <c r="AK150" i="4"/>
  <c r="AJ150" i="4"/>
  <c r="AI150" i="4"/>
  <c r="AA150" i="4"/>
  <c r="CF149" i="4"/>
  <c r="BM149" i="4"/>
  <c r="AT149" i="4"/>
  <c r="AA149" i="4"/>
  <c r="CF148" i="4"/>
  <c r="BM148" i="4"/>
  <c r="AT148" i="4"/>
  <c r="AA148" i="4"/>
  <c r="CF147" i="4"/>
  <c r="BM147" i="4"/>
  <c r="AT147" i="4"/>
  <c r="AA147" i="4"/>
  <c r="CF146" i="4"/>
  <c r="BZ146" i="4"/>
  <c r="BY146" i="4"/>
  <c r="BX146" i="4"/>
  <c r="BW146" i="4"/>
  <c r="BV146" i="4"/>
  <c r="BU146" i="4"/>
  <c r="BM146" i="4"/>
  <c r="BG146" i="4"/>
  <c r="BF146" i="4"/>
  <c r="BE146" i="4"/>
  <c r="BD146" i="4"/>
  <c r="BC146" i="4"/>
  <c r="BB146" i="4"/>
  <c r="AT146" i="4"/>
  <c r="AN146" i="4"/>
  <c r="AM146" i="4"/>
  <c r="AL146" i="4"/>
  <c r="AK146" i="4"/>
  <c r="AJ146" i="4"/>
  <c r="AI146" i="4"/>
  <c r="AA146" i="4"/>
  <c r="CF145" i="4"/>
  <c r="BZ145" i="4"/>
  <c r="BY145" i="4"/>
  <c r="BX145" i="4"/>
  <c r="BW145" i="4"/>
  <c r="BV145" i="4"/>
  <c r="BU145" i="4"/>
  <c r="BM145" i="4"/>
  <c r="BG145" i="4"/>
  <c r="BF145" i="4"/>
  <c r="BE145" i="4"/>
  <c r="BD145" i="4"/>
  <c r="BC145" i="4"/>
  <c r="BB145" i="4"/>
  <c r="AT145" i="4"/>
  <c r="AN145" i="4"/>
  <c r="AM145" i="4"/>
  <c r="AL145" i="4"/>
  <c r="AK145" i="4"/>
  <c r="AJ145" i="4"/>
  <c r="AI145" i="4"/>
  <c r="AA145" i="4"/>
  <c r="CF144" i="4"/>
  <c r="BM144" i="4"/>
  <c r="AT144" i="4"/>
  <c r="AA144" i="4"/>
  <c r="CF143" i="4"/>
  <c r="BM143" i="4"/>
  <c r="AT143" i="4"/>
  <c r="AA143" i="4"/>
  <c r="CF142" i="4"/>
  <c r="BM142" i="4"/>
  <c r="AT142" i="4"/>
  <c r="AA142" i="4"/>
  <c r="CF141" i="4"/>
  <c r="BM141" i="4"/>
  <c r="AT141" i="4"/>
  <c r="AA141" i="4"/>
  <c r="CF140" i="4"/>
  <c r="BM140" i="4"/>
  <c r="AT140" i="4"/>
  <c r="AA140" i="4"/>
  <c r="CF139" i="4"/>
  <c r="BZ139" i="4"/>
  <c r="BY139" i="4"/>
  <c r="BX139" i="4"/>
  <c r="BW139" i="4"/>
  <c r="BV139" i="4"/>
  <c r="BU139" i="4"/>
  <c r="BM139" i="4"/>
  <c r="BG139" i="4"/>
  <c r="BF139" i="4"/>
  <c r="BE139" i="4"/>
  <c r="BD139" i="4"/>
  <c r="BC139" i="4"/>
  <c r="BB139" i="4"/>
  <c r="AT139" i="4"/>
  <c r="AN139" i="4"/>
  <c r="AM139" i="4"/>
  <c r="AL139" i="4"/>
  <c r="AK139" i="4"/>
  <c r="AJ139" i="4"/>
  <c r="AI139" i="4"/>
  <c r="AA139" i="4"/>
  <c r="CF138" i="4"/>
  <c r="BM138" i="4"/>
  <c r="AT138" i="4"/>
  <c r="AA138" i="4"/>
  <c r="CF137" i="4"/>
  <c r="BZ137" i="4"/>
  <c r="BY137" i="4"/>
  <c r="BX137" i="4"/>
  <c r="BW137" i="4"/>
  <c r="BV137" i="4"/>
  <c r="BU137" i="4"/>
  <c r="BM137" i="4"/>
  <c r="BG137" i="4"/>
  <c r="BF137" i="4"/>
  <c r="BE137" i="4"/>
  <c r="BD137" i="4"/>
  <c r="BC137" i="4"/>
  <c r="BB137" i="4"/>
  <c r="AT137" i="4"/>
  <c r="AN137" i="4"/>
  <c r="AM137" i="4"/>
  <c r="AL137" i="4"/>
  <c r="AK137" i="4"/>
  <c r="AJ137" i="4"/>
  <c r="AI137" i="4"/>
  <c r="AA137" i="4"/>
  <c r="CF136" i="4"/>
  <c r="BM136" i="4"/>
  <c r="AT136" i="4"/>
  <c r="AA136" i="4"/>
  <c r="CF135" i="4"/>
  <c r="BM135" i="4"/>
  <c r="AT135" i="4"/>
  <c r="AA135" i="4"/>
  <c r="CF134" i="4"/>
  <c r="BM134" i="4"/>
  <c r="AT134" i="4"/>
  <c r="AA134" i="4"/>
  <c r="CF133" i="4"/>
  <c r="BM133" i="4"/>
  <c r="AT133" i="4"/>
  <c r="AA133" i="4"/>
  <c r="CF132" i="4"/>
  <c r="BZ132" i="4"/>
  <c r="BY132" i="4"/>
  <c r="BX132" i="4"/>
  <c r="BW132" i="4"/>
  <c r="BV132" i="4"/>
  <c r="BU132" i="4"/>
  <c r="BM132" i="4"/>
  <c r="BG132" i="4"/>
  <c r="BF132" i="4"/>
  <c r="BE132" i="4"/>
  <c r="BD132" i="4"/>
  <c r="BC132" i="4"/>
  <c r="BB132" i="4"/>
  <c r="AT132" i="4"/>
  <c r="AN132" i="4"/>
  <c r="AM132" i="4"/>
  <c r="AL132" i="4"/>
  <c r="AK132" i="4"/>
  <c r="AJ132" i="4"/>
  <c r="AI132" i="4"/>
  <c r="AA132" i="4"/>
  <c r="CF131" i="4"/>
  <c r="BZ131" i="4"/>
  <c r="BY131" i="4"/>
  <c r="BX131" i="4"/>
  <c r="BW131" i="4"/>
  <c r="BV131" i="4"/>
  <c r="BU131" i="4"/>
  <c r="BM131" i="4"/>
  <c r="BG131" i="4"/>
  <c r="BF131" i="4"/>
  <c r="BE131" i="4"/>
  <c r="BD131" i="4"/>
  <c r="BC131" i="4"/>
  <c r="BB131" i="4"/>
  <c r="AT131" i="4"/>
  <c r="AN131" i="4"/>
  <c r="AM131" i="4"/>
  <c r="AL131" i="4"/>
  <c r="AK131" i="4"/>
  <c r="AJ131" i="4"/>
  <c r="AI131" i="4"/>
  <c r="AA131" i="4"/>
  <c r="CF130" i="4"/>
  <c r="BZ130" i="4"/>
  <c r="BY130" i="4"/>
  <c r="BX130" i="4"/>
  <c r="BW130" i="4"/>
  <c r="BV130" i="4"/>
  <c r="BU130" i="4"/>
  <c r="BM130" i="4"/>
  <c r="BG130" i="4"/>
  <c r="BF130" i="4"/>
  <c r="BE130" i="4"/>
  <c r="BD130" i="4"/>
  <c r="BC130" i="4"/>
  <c r="BB130" i="4"/>
  <c r="AT130" i="4"/>
  <c r="AN130" i="4"/>
  <c r="AM130" i="4"/>
  <c r="AL130" i="4"/>
  <c r="AK130" i="4"/>
  <c r="AJ130" i="4"/>
  <c r="AI130" i="4"/>
  <c r="AA130" i="4"/>
  <c r="CF129" i="4"/>
  <c r="BM129" i="4"/>
  <c r="AT129" i="4"/>
  <c r="AA129" i="4"/>
  <c r="CF128" i="4"/>
  <c r="BZ128" i="4"/>
  <c r="BY128" i="4"/>
  <c r="BX128" i="4"/>
  <c r="BW128" i="4"/>
  <c r="BV128" i="4"/>
  <c r="BU128" i="4"/>
  <c r="BM128" i="4"/>
  <c r="BG128" i="4"/>
  <c r="BF128" i="4"/>
  <c r="BE128" i="4"/>
  <c r="BD128" i="4"/>
  <c r="BC128" i="4"/>
  <c r="BB128" i="4"/>
  <c r="AT128" i="4"/>
  <c r="AN128" i="4"/>
  <c r="AM128" i="4"/>
  <c r="AL128" i="4"/>
  <c r="AK128" i="4"/>
  <c r="AJ128" i="4"/>
  <c r="AI128" i="4"/>
  <c r="AA128" i="4"/>
  <c r="CF127" i="4"/>
  <c r="BM127" i="4"/>
  <c r="AT127" i="4"/>
  <c r="AA127" i="4"/>
  <c r="CF126" i="4"/>
  <c r="BM126" i="4"/>
  <c r="AT126" i="4"/>
  <c r="AN126" i="4"/>
  <c r="AM126" i="4"/>
  <c r="AL126" i="4"/>
  <c r="AK126" i="4"/>
  <c r="AJ126" i="4"/>
  <c r="AI126" i="4"/>
  <c r="AA126" i="4"/>
  <c r="CF125" i="4"/>
  <c r="BM125" i="4"/>
  <c r="AT125" i="4"/>
  <c r="AA125" i="4"/>
  <c r="CF124" i="4"/>
  <c r="BM124" i="4"/>
  <c r="AT124" i="4"/>
  <c r="AA124" i="4"/>
  <c r="CF123" i="4"/>
  <c r="BZ123" i="4"/>
  <c r="BY123" i="4"/>
  <c r="BX123" i="4"/>
  <c r="BW123" i="4"/>
  <c r="BV123" i="4"/>
  <c r="BU123" i="4"/>
  <c r="BM123" i="4"/>
  <c r="BG123" i="4"/>
  <c r="BF123" i="4"/>
  <c r="BE123" i="4"/>
  <c r="BD123" i="4"/>
  <c r="BC123" i="4"/>
  <c r="BB123" i="4"/>
  <c r="AT123" i="4"/>
  <c r="AN123" i="4"/>
  <c r="AM123" i="4"/>
  <c r="AL123" i="4"/>
  <c r="AK123" i="4"/>
  <c r="AJ123" i="4"/>
  <c r="AI123" i="4"/>
  <c r="AA123" i="4"/>
  <c r="CF122" i="4"/>
  <c r="BM122" i="4"/>
  <c r="AT122" i="4"/>
  <c r="AA122" i="4"/>
  <c r="CF121" i="4"/>
  <c r="BZ121" i="4"/>
  <c r="BY121" i="4"/>
  <c r="BX121" i="4"/>
  <c r="BW121" i="4"/>
  <c r="BV121" i="4"/>
  <c r="BU121" i="4"/>
  <c r="BM121" i="4"/>
  <c r="BG121" i="4"/>
  <c r="BF121" i="4"/>
  <c r="BE121" i="4"/>
  <c r="BD121" i="4"/>
  <c r="BC121" i="4"/>
  <c r="BB121" i="4"/>
  <c r="AT121" i="4"/>
  <c r="AN121" i="4"/>
  <c r="AM121" i="4"/>
  <c r="AL121" i="4"/>
  <c r="AK121" i="4"/>
  <c r="AJ121" i="4"/>
  <c r="AI121" i="4"/>
  <c r="AA121" i="4"/>
  <c r="CF120" i="4"/>
  <c r="BM120" i="4"/>
  <c r="AT120" i="4"/>
  <c r="AA120" i="4"/>
  <c r="CF119" i="4"/>
  <c r="BZ119" i="4"/>
  <c r="BY119" i="4"/>
  <c r="BX119" i="4"/>
  <c r="BW119" i="4"/>
  <c r="BV119" i="4"/>
  <c r="BU119" i="4"/>
  <c r="BM119" i="4"/>
  <c r="BG119" i="4"/>
  <c r="BF119" i="4"/>
  <c r="BE119" i="4"/>
  <c r="BD119" i="4"/>
  <c r="BC119" i="4"/>
  <c r="BB119" i="4"/>
  <c r="AT119" i="4"/>
  <c r="AN119" i="4"/>
  <c r="AM119" i="4"/>
  <c r="AL119" i="4"/>
  <c r="AK119" i="4"/>
  <c r="AJ119" i="4"/>
  <c r="AI119" i="4"/>
  <c r="AA119" i="4"/>
  <c r="CF118" i="4"/>
  <c r="BZ118" i="4"/>
  <c r="BY118" i="4"/>
  <c r="BX118" i="4"/>
  <c r="BW118" i="4"/>
  <c r="BV118" i="4"/>
  <c r="BU118" i="4"/>
  <c r="BM118" i="4"/>
  <c r="BG118" i="4"/>
  <c r="BF118" i="4"/>
  <c r="BE118" i="4"/>
  <c r="BD118" i="4"/>
  <c r="BC118" i="4"/>
  <c r="BB118" i="4"/>
  <c r="AT118" i="4"/>
  <c r="AN118" i="4"/>
  <c r="AM118" i="4"/>
  <c r="AL118" i="4"/>
  <c r="AK118" i="4"/>
  <c r="AJ118" i="4"/>
  <c r="AI118" i="4"/>
  <c r="AA118" i="4"/>
  <c r="CF117" i="4"/>
  <c r="BZ117" i="4"/>
  <c r="BY117" i="4"/>
  <c r="BX117" i="4"/>
  <c r="BW117" i="4"/>
  <c r="BV117" i="4"/>
  <c r="BU117" i="4"/>
  <c r="BM117" i="4"/>
  <c r="BG117" i="4"/>
  <c r="BF117" i="4"/>
  <c r="BE117" i="4"/>
  <c r="BD117" i="4"/>
  <c r="BC117" i="4"/>
  <c r="BB117" i="4"/>
  <c r="AT117" i="4"/>
  <c r="AN117" i="4"/>
  <c r="AM117" i="4"/>
  <c r="AL117" i="4"/>
  <c r="AK117" i="4"/>
  <c r="AJ117" i="4"/>
  <c r="AI117" i="4"/>
  <c r="AA117" i="4"/>
  <c r="CF116" i="4"/>
  <c r="BM116" i="4"/>
  <c r="AT116" i="4"/>
  <c r="AN116" i="4"/>
  <c r="AM116" i="4"/>
  <c r="AL116" i="4"/>
  <c r="AK116" i="4"/>
  <c r="AJ116" i="4"/>
  <c r="AI116" i="4"/>
  <c r="AA116" i="4"/>
  <c r="CF115" i="4"/>
  <c r="BZ115" i="4"/>
  <c r="BY115" i="4"/>
  <c r="BX115" i="4"/>
  <c r="BW115" i="4"/>
  <c r="BV115" i="4"/>
  <c r="BU115" i="4"/>
  <c r="BM115" i="4"/>
  <c r="BG115" i="4"/>
  <c r="BF115" i="4"/>
  <c r="BE115" i="4"/>
  <c r="BD115" i="4"/>
  <c r="BC115" i="4"/>
  <c r="BB115" i="4"/>
  <c r="AT115" i="4"/>
  <c r="AN115" i="4"/>
  <c r="AM115" i="4"/>
  <c r="AL115" i="4"/>
  <c r="AK115" i="4"/>
  <c r="AJ115" i="4"/>
  <c r="AI115" i="4"/>
  <c r="AA115" i="4"/>
  <c r="CF114" i="4"/>
  <c r="BZ114" i="4"/>
  <c r="BY114" i="4"/>
  <c r="BX114" i="4"/>
  <c r="BW114" i="4"/>
  <c r="BV114" i="4"/>
  <c r="BU114" i="4"/>
  <c r="BM114" i="4"/>
  <c r="BG114" i="4"/>
  <c r="BF114" i="4"/>
  <c r="BE114" i="4"/>
  <c r="BD114" i="4"/>
  <c r="BC114" i="4"/>
  <c r="BB114" i="4"/>
  <c r="AT114" i="4"/>
  <c r="AN114" i="4"/>
  <c r="AM114" i="4"/>
  <c r="AL114" i="4"/>
  <c r="AK114" i="4"/>
  <c r="AJ114" i="4"/>
  <c r="AI114" i="4"/>
  <c r="AA114" i="4"/>
  <c r="CF113" i="4"/>
  <c r="BM113" i="4"/>
  <c r="AT113" i="4"/>
  <c r="AA113" i="4"/>
  <c r="CF112" i="4"/>
  <c r="BZ112" i="4"/>
  <c r="BY112" i="4"/>
  <c r="BX112" i="4"/>
  <c r="BW112" i="4"/>
  <c r="BV112" i="4"/>
  <c r="BU112" i="4"/>
  <c r="BM112" i="4"/>
  <c r="BG112" i="4"/>
  <c r="BF112" i="4"/>
  <c r="BE112" i="4"/>
  <c r="BD112" i="4"/>
  <c r="BC112" i="4"/>
  <c r="BB112" i="4"/>
  <c r="AT112" i="4"/>
  <c r="AN112" i="4"/>
  <c r="AM112" i="4"/>
  <c r="AL112" i="4"/>
  <c r="AK112" i="4"/>
  <c r="AJ112" i="4"/>
  <c r="AI112" i="4"/>
  <c r="AA112" i="4"/>
  <c r="CF111" i="4"/>
  <c r="BZ111" i="4"/>
  <c r="BY111" i="4"/>
  <c r="BX111" i="4"/>
  <c r="BW111" i="4"/>
  <c r="BV111" i="4"/>
  <c r="BU111" i="4"/>
  <c r="BM111" i="4"/>
  <c r="BG111" i="4"/>
  <c r="BF111" i="4"/>
  <c r="BE111" i="4"/>
  <c r="BD111" i="4"/>
  <c r="BC111" i="4"/>
  <c r="BB111" i="4"/>
  <c r="AT111" i="4"/>
  <c r="AN111" i="4"/>
  <c r="AM111" i="4"/>
  <c r="AL111" i="4"/>
  <c r="AK111" i="4"/>
  <c r="AJ111" i="4"/>
  <c r="AI111" i="4"/>
  <c r="AA111" i="4"/>
  <c r="CF110" i="4"/>
  <c r="BM110" i="4"/>
  <c r="AT110" i="4"/>
  <c r="AA110" i="4"/>
  <c r="CF109" i="4"/>
  <c r="BM109" i="4"/>
  <c r="AT109" i="4"/>
  <c r="AN109" i="4"/>
  <c r="AM109" i="4"/>
  <c r="AL109" i="4"/>
  <c r="AK109" i="4"/>
  <c r="AJ109" i="4"/>
  <c r="AI109" i="4"/>
  <c r="AA109" i="4"/>
  <c r="CF108" i="4"/>
  <c r="BM108" i="4"/>
  <c r="AT108" i="4"/>
  <c r="AN108" i="4"/>
  <c r="AM108" i="4"/>
  <c r="AL108" i="4"/>
  <c r="AK108" i="4"/>
  <c r="AJ108" i="4"/>
  <c r="AI108" i="4"/>
  <c r="AA108" i="4"/>
  <c r="CF107" i="4"/>
  <c r="BZ107" i="4"/>
  <c r="BY107" i="4"/>
  <c r="BX107" i="4"/>
  <c r="BW107" i="4"/>
  <c r="BV107" i="4"/>
  <c r="BU107" i="4"/>
  <c r="BM107" i="4"/>
  <c r="BG107" i="4"/>
  <c r="BF107" i="4"/>
  <c r="BE107" i="4"/>
  <c r="BD107" i="4"/>
  <c r="BC107" i="4"/>
  <c r="BB107" i="4"/>
  <c r="AT107" i="4"/>
  <c r="AN107" i="4"/>
  <c r="AM107" i="4"/>
  <c r="AL107" i="4"/>
  <c r="AK107" i="4"/>
  <c r="AJ107" i="4"/>
  <c r="AI107" i="4"/>
  <c r="AA107" i="4"/>
  <c r="CF106" i="4"/>
  <c r="BM106" i="4"/>
  <c r="AT106" i="4"/>
  <c r="AA106" i="4"/>
  <c r="CF105" i="4"/>
  <c r="BM105" i="4"/>
  <c r="AT105" i="4"/>
  <c r="AA105" i="4"/>
  <c r="CF104" i="4"/>
  <c r="BM104" i="4"/>
  <c r="AT104" i="4"/>
  <c r="AA104" i="4"/>
  <c r="CF103" i="4"/>
  <c r="BZ103" i="4"/>
  <c r="BY103" i="4"/>
  <c r="BX103" i="4"/>
  <c r="BW103" i="4"/>
  <c r="BV103" i="4"/>
  <c r="BU103" i="4"/>
  <c r="BM103" i="4"/>
  <c r="BG103" i="4"/>
  <c r="BF103" i="4"/>
  <c r="BE103" i="4"/>
  <c r="BD103" i="4"/>
  <c r="BC103" i="4"/>
  <c r="BB103" i="4"/>
  <c r="AT103" i="4"/>
  <c r="AN103" i="4"/>
  <c r="AM103" i="4"/>
  <c r="AL103" i="4"/>
  <c r="AK103" i="4"/>
  <c r="AJ103" i="4"/>
  <c r="AI103" i="4"/>
  <c r="AA103" i="4"/>
  <c r="CF102" i="4"/>
  <c r="BZ102" i="4"/>
  <c r="BY102" i="4"/>
  <c r="BX102" i="4"/>
  <c r="BW102" i="4"/>
  <c r="BV102" i="4"/>
  <c r="BU102" i="4"/>
  <c r="BM102" i="4"/>
  <c r="BG102" i="4"/>
  <c r="BF102" i="4"/>
  <c r="BE102" i="4"/>
  <c r="BD102" i="4"/>
  <c r="BC102" i="4"/>
  <c r="BB102" i="4"/>
  <c r="AT102" i="4"/>
  <c r="AN102" i="4"/>
  <c r="AM102" i="4"/>
  <c r="AL102" i="4"/>
  <c r="AK102" i="4"/>
  <c r="AJ102" i="4"/>
  <c r="AI102" i="4"/>
  <c r="AA102" i="4"/>
  <c r="CF101" i="4"/>
  <c r="BM101" i="4"/>
  <c r="AT101" i="4"/>
  <c r="AA101" i="4"/>
  <c r="CF100" i="4"/>
  <c r="BZ100" i="4"/>
  <c r="BY100" i="4"/>
  <c r="BX100" i="4"/>
  <c r="BW100" i="4"/>
  <c r="BV100" i="4"/>
  <c r="BU100" i="4"/>
  <c r="BM100" i="4"/>
  <c r="BG100" i="4"/>
  <c r="BF100" i="4"/>
  <c r="BE100" i="4"/>
  <c r="BD100" i="4"/>
  <c r="BC100" i="4"/>
  <c r="BB100" i="4"/>
  <c r="AT100" i="4"/>
  <c r="AN100" i="4"/>
  <c r="AM100" i="4"/>
  <c r="AL100" i="4"/>
  <c r="AK100" i="4"/>
  <c r="AJ100" i="4"/>
  <c r="AI100" i="4"/>
  <c r="AA100" i="4"/>
  <c r="CF99" i="4"/>
  <c r="BM99" i="4"/>
  <c r="AT99" i="4"/>
  <c r="AA99" i="4"/>
  <c r="CF98" i="4"/>
  <c r="BZ98" i="4"/>
  <c r="BY98" i="4"/>
  <c r="BX98" i="4"/>
  <c r="BW98" i="4"/>
  <c r="BV98" i="4"/>
  <c r="BU98" i="4"/>
  <c r="BM98" i="4"/>
  <c r="BG98" i="4"/>
  <c r="BF98" i="4"/>
  <c r="BE98" i="4"/>
  <c r="BD98" i="4"/>
  <c r="BC98" i="4"/>
  <c r="BB98" i="4"/>
  <c r="AT98" i="4"/>
  <c r="AN98" i="4"/>
  <c r="AM98" i="4"/>
  <c r="AL98" i="4"/>
  <c r="AK98" i="4"/>
  <c r="AJ98" i="4"/>
  <c r="AI98" i="4"/>
  <c r="AA98" i="4"/>
  <c r="CF97" i="4"/>
  <c r="BM97" i="4"/>
  <c r="AT97" i="4"/>
  <c r="AA97" i="4"/>
  <c r="CF96" i="4"/>
  <c r="BM96" i="4"/>
  <c r="AT96" i="4"/>
  <c r="AA96" i="4"/>
  <c r="CF95" i="4"/>
  <c r="BM95" i="4"/>
  <c r="AT95" i="4"/>
  <c r="AA95" i="4"/>
  <c r="CF94" i="4"/>
  <c r="BM94" i="4"/>
  <c r="AT94" i="4"/>
  <c r="AA94" i="4"/>
  <c r="CF93" i="4"/>
  <c r="BZ93" i="4"/>
  <c r="BY93" i="4"/>
  <c r="BX93" i="4"/>
  <c r="BW93" i="4"/>
  <c r="BV93" i="4"/>
  <c r="BU93" i="4"/>
  <c r="BM93" i="4"/>
  <c r="BG93" i="4"/>
  <c r="BF93" i="4"/>
  <c r="BE93" i="4"/>
  <c r="BD93" i="4"/>
  <c r="BC93" i="4"/>
  <c r="BB93" i="4"/>
  <c r="AT93" i="4"/>
  <c r="AN93" i="4"/>
  <c r="AM93" i="4"/>
  <c r="AL93" i="4"/>
  <c r="AK93" i="4"/>
  <c r="AJ93" i="4"/>
  <c r="AI93" i="4"/>
  <c r="AA93" i="4"/>
  <c r="CF92" i="4"/>
  <c r="BM92" i="4"/>
  <c r="AT92" i="4"/>
  <c r="AA92" i="4"/>
  <c r="CF91" i="4"/>
  <c r="BM91" i="4"/>
  <c r="AT91" i="4"/>
  <c r="AN91" i="4"/>
  <c r="AM91" i="4"/>
  <c r="AL91" i="4"/>
  <c r="AK91" i="4"/>
  <c r="AJ91" i="4"/>
  <c r="AI91" i="4"/>
  <c r="AA91" i="4"/>
  <c r="CF90" i="4"/>
  <c r="BM90" i="4"/>
  <c r="AT90" i="4"/>
  <c r="AA90" i="4"/>
  <c r="CF89" i="4"/>
  <c r="BZ89" i="4"/>
  <c r="BY89" i="4"/>
  <c r="BX89" i="4"/>
  <c r="BW89" i="4"/>
  <c r="BV89" i="4"/>
  <c r="BU89" i="4"/>
  <c r="BM89" i="4"/>
  <c r="BG89" i="4"/>
  <c r="BF89" i="4"/>
  <c r="BE89" i="4"/>
  <c r="BD89" i="4"/>
  <c r="BC89" i="4"/>
  <c r="BB89" i="4"/>
  <c r="AT89" i="4"/>
  <c r="AN89" i="4"/>
  <c r="AM89" i="4"/>
  <c r="AL89" i="4"/>
  <c r="AK89" i="4"/>
  <c r="AJ89" i="4"/>
  <c r="AI89" i="4"/>
  <c r="AA89" i="4"/>
  <c r="CF88" i="4"/>
  <c r="BZ88" i="4"/>
  <c r="BY88" i="4"/>
  <c r="BX88" i="4"/>
  <c r="BW88" i="4"/>
  <c r="BV88" i="4"/>
  <c r="BU88" i="4"/>
  <c r="BM88" i="4"/>
  <c r="BG88" i="4"/>
  <c r="BF88" i="4"/>
  <c r="BE88" i="4"/>
  <c r="BD88" i="4"/>
  <c r="BC88" i="4"/>
  <c r="BB88" i="4"/>
  <c r="AT88" i="4"/>
  <c r="AN88" i="4"/>
  <c r="AM88" i="4"/>
  <c r="AL88" i="4"/>
  <c r="AK88" i="4"/>
  <c r="AJ88" i="4"/>
  <c r="AI88" i="4"/>
  <c r="AA88" i="4"/>
  <c r="CF87" i="4"/>
  <c r="BM87" i="4"/>
  <c r="AT87" i="4"/>
  <c r="AA87" i="4"/>
  <c r="CF86" i="4"/>
  <c r="BM86" i="4"/>
  <c r="AT86" i="4"/>
  <c r="AA86" i="4"/>
  <c r="CF85" i="4"/>
  <c r="BM85" i="4"/>
  <c r="AT85" i="4"/>
  <c r="AA85" i="4"/>
  <c r="CF84" i="4"/>
  <c r="BM84" i="4"/>
  <c r="AT84" i="4"/>
  <c r="AA84" i="4"/>
  <c r="CF83" i="4"/>
  <c r="BM83" i="4"/>
  <c r="AT83" i="4"/>
  <c r="AA83" i="4"/>
  <c r="CF82" i="4"/>
  <c r="BZ82" i="4"/>
  <c r="BY82" i="4"/>
  <c r="BX82" i="4"/>
  <c r="BW82" i="4"/>
  <c r="BV82" i="4"/>
  <c r="BU82" i="4"/>
  <c r="BM82" i="4"/>
  <c r="BG82" i="4"/>
  <c r="BF82" i="4"/>
  <c r="BE82" i="4"/>
  <c r="BD82" i="4"/>
  <c r="BC82" i="4"/>
  <c r="BB82" i="4"/>
  <c r="AT82" i="4"/>
  <c r="AN82" i="4"/>
  <c r="AM82" i="4"/>
  <c r="AL82" i="4"/>
  <c r="AK82" i="4"/>
  <c r="AJ82" i="4"/>
  <c r="AI82" i="4"/>
  <c r="AA82" i="4"/>
  <c r="CF81" i="4"/>
  <c r="BZ81" i="4"/>
  <c r="BY81" i="4"/>
  <c r="BX81" i="4"/>
  <c r="BW81" i="4"/>
  <c r="BV81" i="4"/>
  <c r="BU81" i="4"/>
  <c r="BM81" i="4"/>
  <c r="BG81" i="4"/>
  <c r="BF81" i="4"/>
  <c r="BE81" i="4"/>
  <c r="BD81" i="4"/>
  <c r="BC81" i="4"/>
  <c r="BB81" i="4"/>
  <c r="AT81" i="4"/>
  <c r="AN81" i="4"/>
  <c r="AM81" i="4"/>
  <c r="AL81" i="4"/>
  <c r="AK81" i="4"/>
  <c r="AJ81" i="4"/>
  <c r="AI81" i="4"/>
  <c r="AA81" i="4"/>
  <c r="CF80" i="4"/>
  <c r="BZ80" i="4"/>
  <c r="BY80" i="4"/>
  <c r="BX80" i="4"/>
  <c r="BW80" i="4"/>
  <c r="BV80" i="4"/>
  <c r="BU80" i="4"/>
  <c r="BM80" i="4"/>
  <c r="BG80" i="4"/>
  <c r="BF80" i="4"/>
  <c r="BE80" i="4"/>
  <c r="BD80" i="4"/>
  <c r="BC80" i="4"/>
  <c r="BB80" i="4"/>
  <c r="AT80" i="4"/>
  <c r="AN80" i="4"/>
  <c r="AM80" i="4"/>
  <c r="AL80" i="4"/>
  <c r="AK80" i="4"/>
  <c r="AJ80" i="4"/>
  <c r="AI80" i="4"/>
  <c r="AA80" i="4"/>
  <c r="CF79" i="4"/>
  <c r="BZ79" i="4"/>
  <c r="BY79" i="4"/>
  <c r="BX79" i="4"/>
  <c r="BW79" i="4"/>
  <c r="BV79" i="4"/>
  <c r="BU79" i="4"/>
  <c r="BM79" i="4"/>
  <c r="BG79" i="4"/>
  <c r="BF79" i="4"/>
  <c r="BE79" i="4"/>
  <c r="BD79" i="4"/>
  <c r="BC79" i="4"/>
  <c r="BB79" i="4"/>
  <c r="AT79" i="4"/>
  <c r="AN79" i="4"/>
  <c r="AM79" i="4"/>
  <c r="AL79" i="4"/>
  <c r="AK79" i="4"/>
  <c r="AJ79" i="4"/>
  <c r="AI79" i="4"/>
  <c r="AA79" i="4"/>
  <c r="CF78" i="4"/>
  <c r="BZ78" i="4"/>
  <c r="BY78" i="4"/>
  <c r="BX78" i="4"/>
  <c r="BW78" i="4"/>
  <c r="BV78" i="4"/>
  <c r="BU78" i="4"/>
  <c r="BM78" i="4"/>
  <c r="BG78" i="4"/>
  <c r="BF78" i="4"/>
  <c r="BE78" i="4"/>
  <c r="BD78" i="4"/>
  <c r="BC78" i="4"/>
  <c r="BB78" i="4"/>
  <c r="AT78" i="4"/>
  <c r="AN78" i="4"/>
  <c r="AM78" i="4"/>
  <c r="AL78" i="4"/>
  <c r="AK78" i="4"/>
  <c r="AJ78" i="4"/>
  <c r="AI78" i="4"/>
  <c r="AA78" i="4"/>
  <c r="CF77" i="4"/>
  <c r="BM77" i="4"/>
  <c r="AT77" i="4"/>
  <c r="AA77" i="4"/>
  <c r="CF76" i="4"/>
  <c r="BZ76" i="4"/>
  <c r="BY76" i="4"/>
  <c r="BX76" i="4"/>
  <c r="BW76" i="4"/>
  <c r="BV76" i="4"/>
  <c r="BU76" i="4"/>
  <c r="BM76" i="4"/>
  <c r="BG76" i="4"/>
  <c r="BF76" i="4"/>
  <c r="BE76" i="4"/>
  <c r="BD76" i="4"/>
  <c r="BC76" i="4"/>
  <c r="BB76" i="4"/>
  <c r="AT76" i="4"/>
  <c r="AN76" i="4"/>
  <c r="AM76" i="4"/>
  <c r="AL76" i="4"/>
  <c r="AK76" i="4"/>
  <c r="AJ76" i="4"/>
  <c r="AI76" i="4"/>
  <c r="AA76" i="4"/>
  <c r="CF75" i="4"/>
  <c r="BM75" i="4"/>
  <c r="AT75" i="4"/>
  <c r="AA75" i="4"/>
  <c r="CF74" i="4"/>
  <c r="BM74" i="4"/>
  <c r="AT74" i="4"/>
  <c r="AN74" i="4"/>
  <c r="AM74" i="4"/>
  <c r="AL74" i="4"/>
  <c r="AK74" i="4"/>
  <c r="AJ74" i="4"/>
  <c r="AI74" i="4"/>
  <c r="AA74" i="4"/>
  <c r="CF73" i="4"/>
  <c r="BM73" i="4"/>
  <c r="AT73" i="4"/>
  <c r="AA73" i="4"/>
  <c r="CF72" i="4"/>
  <c r="BM72" i="4"/>
  <c r="AT72" i="4"/>
  <c r="AA72" i="4"/>
  <c r="CF71" i="4"/>
  <c r="BZ71" i="4"/>
  <c r="BY71" i="4"/>
  <c r="BX71" i="4"/>
  <c r="BW71" i="4"/>
  <c r="BV71" i="4"/>
  <c r="BU71" i="4"/>
  <c r="BM71" i="4"/>
  <c r="BG71" i="4"/>
  <c r="BF71" i="4"/>
  <c r="BE71" i="4"/>
  <c r="BD71" i="4"/>
  <c r="BC71" i="4"/>
  <c r="BB71" i="4"/>
  <c r="AT71" i="4"/>
  <c r="AN71" i="4"/>
  <c r="AM71" i="4"/>
  <c r="AL71" i="4"/>
  <c r="AK71" i="4"/>
  <c r="AJ71" i="4"/>
  <c r="AI71" i="4"/>
  <c r="AA71" i="4"/>
  <c r="CF70" i="4"/>
  <c r="BM70" i="4"/>
  <c r="AT70" i="4"/>
  <c r="AA70" i="4"/>
  <c r="CF69" i="4"/>
  <c r="BM69" i="4"/>
  <c r="AT69" i="4"/>
  <c r="AA69" i="4"/>
  <c r="CF68" i="4"/>
  <c r="BM68" i="4"/>
  <c r="AT68" i="4"/>
  <c r="AA68" i="4"/>
  <c r="CF67" i="4"/>
  <c r="BZ67" i="4"/>
  <c r="BY67" i="4"/>
  <c r="BX67" i="4"/>
  <c r="BW67" i="4"/>
  <c r="BV67" i="4"/>
  <c r="BU67" i="4"/>
  <c r="BM67" i="4"/>
  <c r="BG67" i="4"/>
  <c r="BF67" i="4"/>
  <c r="BE67" i="4"/>
  <c r="BD67" i="4"/>
  <c r="BC67" i="4"/>
  <c r="BB67" i="4"/>
  <c r="AT67" i="4"/>
  <c r="AN67" i="4"/>
  <c r="AM67" i="4"/>
  <c r="AL67" i="4"/>
  <c r="AK67" i="4"/>
  <c r="AJ67" i="4"/>
  <c r="AI67" i="4"/>
  <c r="AA67" i="4"/>
  <c r="CF66" i="4"/>
  <c r="BZ66" i="4"/>
  <c r="BY66" i="4"/>
  <c r="BX66" i="4"/>
  <c r="BW66" i="4"/>
  <c r="BV66" i="4"/>
  <c r="BU66" i="4"/>
  <c r="BM66" i="4"/>
  <c r="BG66" i="4"/>
  <c r="BF66" i="4"/>
  <c r="BE66" i="4"/>
  <c r="BD66" i="4"/>
  <c r="BC66" i="4"/>
  <c r="BB66" i="4"/>
  <c r="AT66" i="4"/>
  <c r="AN66" i="4"/>
  <c r="AM66" i="4"/>
  <c r="AL66" i="4"/>
  <c r="AK66" i="4"/>
  <c r="AJ66" i="4"/>
  <c r="AI66" i="4"/>
  <c r="AA66" i="4"/>
  <c r="CF65" i="4"/>
  <c r="BM65" i="4"/>
  <c r="AT65" i="4"/>
  <c r="AA65" i="4"/>
  <c r="CF64" i="4"/>
  <c r="BZ64" i="4"/>
  <c r="BY64" i="4"/>
  <c r="BX64" i="4"/>
  <c r="BW64" i="4"/>
  <c r="BV64" i="4"/>
  <c r="BU64" i="4"/>
  <c r="BM64" i="4"/>
  <c r="BG64" i="4"/>
  <c r="BF64" i="4"/>
  <c r="BE64" i="4"/>
  <c r="BD64" i="4"/>
  <c r="BC64" i="4"/>
  <c r="BB64" i="4"/>
  <c r="AT64" i="4"/>
  <c r="AN64" i="4"/>
  <c r="AM64" i="4"/>
  <c r="AL64" i="4"/>
  <c r="AK64" i="4"/>
  <c r="AJ64" i="4"/>
  <c r="AI64" i="4"/>
  <c r="AA64" i="4"/>
  <c r="CF63" i="4"/>
  <c r="BZ63" i="4"/>
  <c r="BY63" i="4"/>
  <c r="BX63" i="4"/>
  <c r="BW63" i="4"/>
  <c r="BV63" i="4"/>
  <c r="BU63" i="4"/>
  <c r="BM63" i="4"/>
  <c r="BG63" i="4"/>
  <c r="BF63" i="4"/>
  <c r="BE63" i="4"/>
  <c r="BD63" i="4"/>
  <c r="BC63" i="4"/>
  <c r="BB63" i="4"/>
  <c r="AT63" i="4"/>
  <c r="AN63" i="4"/>
  <c r="AM63" i="4"/>
  <c r="AL63" i="4"/>
  <c r="AK63" i="4"/>
  <c r="AJ63" i="4"/>
  <c r="AI63" i="4"/>
  <c r="AA63" i="4"/>
  <c r="CF62" i="4"/>
  <c r="BM62" i="4"/>
  <c r="AT62" i="4"/>
  <c r="AA62" i="4"/>
  <c r="CF61" i="4"/>
  <c r="BM61" i="4"/>
  <c r="AT61" i="4"/>
  <c r="AA61" i="4"/>
  <c r="CF60" i="4"/>
  <c r="BM60" i="4"/>
  <c r="AT60" i="4"/>
  <c r="AA60" i="4"/>
  <c r="CF59" i="4"/>
  <c r="BM59" i="4"/>
  <c r="AT59" i="4"/>
  <c r="AA59" i="4"/>
  <c r="CF58" i="4"/>
  <c r="BZ58" i="4"/>
  <c r="BY58" i="4"/>
  <c r="BX58" i="4"/>
  <c r="BW58" i="4"/>
  <c r="BV58" i="4"/>
  <c r="BU58" i="4"/>
  <c r="BM58" i="4"/>
  <c r="BG58" i="4"/>
  <c r="BF58" i="4"/>
  <c r="BE58" i="4"/>
  <c r="BD58" i="4"/>
  <c r="BC58" i="4"/>
  <c r="BB58" i="4"/>
  <c r="AT58" i="4"/>
  <c r="AN58" i="4"/>
  <c r="AM58" i="4"/>
  <c r="AL58" i="4"/>
  <c r="AK58" i="4"/>
  <c r="AJ58" i="4"/>
  <c r="AI58" i="4"/>
  <c r="AA58" i="4"/>
  <c r="CF57" i="4"/>
  <c r="BZ57" i="4"/>
  <c r="BY57" i="4"/>
  <c r="BX57" i="4"/>
  <c r="BW57" i="4"/>
  <c r="BV57" i="4"/>
  <c r="BU57" i="4"/>
  <c r="BM57" i="4"/>
  <c r="BG57" i="4"/>
  <c r="BF57" i="4"/>
  <c r="BE57" i="4"/>
  <c r="BD57" i="4"/>
  <c r="BC57" i="4"/>
  <c r="BB57" i="4"/>
  <c r="AT57" i="4"/>
  <c r="AN57" i="4"/>
  <c r="AM57" i="4"/>
  <c r="AL57" i="4"/>
  <c r="AK57" i="4"/>
  <c r="AJ57" i="4"/>
  <c r="AI57" i="4"/>
  <c r="AA57" i="4"/>
  <c r="CF56" i="4"/>
  <c r="BM56" i="4"/>
  <c r="AT56" i="4"/>
  <c r="AA56" i="4"/>
  <c r="CF55" i="4"/>
  <c r="BM55" i="4"/>
  <c r="AT55" i="4"/>
  <c r="AA55" i="4"/>
  <c r="CF54" i="4"/>
  <c r="BZ54" i="4"/>
  <c r="BY54" i="4"/>
  <c r="BX54" i="4"/>
  <c r="BW54" i="4"/>
  <c r="BV54" i="4"/>
  <c r="BU54" i="4"/>
  <c r="BM54" i="4"/>
  <c r="BG54" i="4"/>
  <c r="BF54" i="4"/>
  <c r="BE54" i="4"/>
  <c r="BD54" i="4"/>
  <c r="BC54" i="4"/>
  <c r="BB54" i="4"/>
  <c r="AT54" i="4"/>
  <c r="AN54" i="4"/>
  <c r="AM54" i="4"/>
  <c r="AL54" i="4"/>
  <c r="AK54" i="4"/>
  <c r="AJ54" i="4"/>
  <c r="AI54" i="4"/>
  <c r="AA54" i="4"/>
  <c r="CF53" i="4"/>
  <c r="BM53" i="4"/>
  <c r="AT53" i="4"/>
  <c r="AA53" i="4"/>
  <c r="CF52" i="4"/>
  <c r="BZ52" i="4"/>
  <c r="BY52" i="4"/>
  <c r="BX52" i="4"/>
  <c r="BW52" i="4"/>
  <c r="BV52" i="4"/>
  <c r="BU52" i="4"/>
  <c r="BM52" i="4"/>
  <c r="BG52" i="4"/>
  <c r="BF52" i="4"/>
  <c r="BE52" i="4"/>
  <c r="BD52" i="4"/>
  <c r="BC52" i="4"/>
  <c r="BB52" i="4"/>
  <c r="AT52" i="4"/>
  <c r="AN52" i="4"/>
  <c r="AM52" i="4"/>
  <c r="AL52" i="4"/>
  <c r="AK52" i="4"/>
  <c r="AJ52" i="4"/>
  <c r="AI52" i="4"/>
  <c r="AA52" i="4"/>
  <c r="CF51" i="4"/>
  <c r="BM51" i="4"/>
  <c r="AT51" i="4"/>
  <c r="AA51" i="4"/>
  <c r="CF50" i="4"/>
  <c r="BZ50" i="4"/>
  <c r="BY50" i="4"/>
  <c r="BX50" i="4"/>
  <c r="BW50" i="4"/>
  <c r="BV50" i="4"/>
  <c r="BU50" i="4"/>
  <c r="BM50" i="4"/>
  <c r="BG50" i="4"/>
  <c r="BF50" i="4"/>
  <c r="BE50" i="4"/>
  <c r="BD50" i="4"/>
  <c r="BC50" i="4"/>
  <c r="BB50" i="4"/>
  <c r="AT50" i="4"/>
  <c r="AN50" i="4"/>
  <c r="AM50" i="4"/>
  <c r="AL50" i="4"/>
  <c r="AK50" i="4"/>
  <c r="AJ50" i="4"/>
  <c r="AI50" i="4"/>
  <c r="AA50" i="4"/>
  <c r="CF49" i="4"/>
  <c r="BZ49" i="4"/>
  <c r="BY49" i="4"/>
  <c r="BX49" i="4"/>
  <c r="BW49" i="4"/>
  <c r="BV49" i="4"/>
  <c r="BU49" i="4"/>
  <c r="BM49" i="4"/>
  <c r="BG49" i="4"/>
  <c r="BF49" i="4"/>
  <c r="BE49" i="4"/>
  <c r="BD49" i="4"/>
  <c r="BC49" i="4"/>
  <c r="BB49" i="4"/>
  <c r="AT49" i="4"/>
  <c r="AN49" i="4"/>
  <c r="AM49" i="4"/>
  <c r="AL49" i="4"/>
  <c r="AK49" i="4"/>
  <c r="AJ49" i="4"/>
  <c r="AI49" i="4"/>
  <c r="AA49" i="4"/>
  <c r="CF48" i="4"/>
  <c r="BZ48" i="4"/>
  <c r="BY48" i="4"/>
  <c r="BX48" i="4"/>
  <c r="BW48" i="4"/>
  <c r="BV48" i="4"/>
  <c r="BU48" i="4"/>
  <c r="BM48" i="4"/>
  <c r="BG48" i="4"/>
  <c r="BF48" i="4"/>
  <c r="BE48" i="4"/>
  <c r="BD48" i="4"/>
  <c r="BC48" i="4"/>
  <c r="BB48" i="4"/>
  <c r="AT48" i="4"/>
  <c r="AN48" i="4"/>
  <c r="AM48" i="4"/>
  <c r="AL48" i="4"/>
  <c r="AK48" i="4"/>
  <c r="AJ48" i="4"/>
  <c r="AI48" i="4"/>
  <c r="AA48" i="4"/>
  <c r="CF47" i="4"/>
  <c r="BM47" i="4"/>
  <c r="AT47" i="4"/>
  <c r="AA47" i="4"/>
  <c r="CF46" i="4"/>
  <c r="BM46" i="4"/>
  <c r="AT46" i="4"/>
  <c r="AA46" i="4"/>
  <c r="CF45" i="4"/>
  <c r="BM45" i="4"/>
  <c r="AT45" i="4"/>
  <c r="AA45" i="4"/>
  <c r="CF44" i="4"/>
  <c r="BZ44" i="4"/>
  <c r="BY44" i="4"/>
  <c r="BX44" i="4"/>
  <c r="BW44" i="4"/>
  <c r="BV44" i="4"/>
  <c r="BU44" i="4"/>
  <c r="BM44" i="4"/>
  <c r="BG44" i="4"/>
  <c r="BF44" i="4"/>
  <c r="BE44" i="4"/>
  <c r="BD44" i="4"/>
  <c r="BC44" i="4"/>
  <c r="BB44" i="4"/>
  <c r="AT44" i="4"/>
  <c r="AN44" i="4"/>
  <c r="AM44" i="4"/>
  <c r="AL44" i="4"/>
  <c r="AK44" i="4"/>
  <c r="AJ44" i="4"/>
  <c r="AI44" i="4"/>
  <c r="AA44" i="4"/>
  <c r="CF43" i="4"/>
  <c r="BZ43" i="4"/>
  <c r="BY43" i="4"/>
  <c r="BX43" i="4"/>
  <c r="BW43" i="4"/>
  <c r="BV43" i="4"/>
  <c r="BU43" i="4"/>
  <c r="BM43" i="4"/>
  <c r="BG43" i="4"/>
  <c r="BF43" i="4"/>
  <c r="BE43" i="4"/>
  <c r="BD43" i="4"/>
  <c r="BC43" i="4"/>
  <c r="BB43" i="4"/>
  <c r="AT43" i="4"/>
  <c r="AN43" i="4"/>
  <c r="AM43" i="4"/>
  <c r="AL43" i="4"/>
  <c r="AK43" i="4"/>
  <c r="AJ43" i="4"/>
  <c r="AI43" i="4"/>
  <c r="AA43" i="4"/>
  <c r="CF42" i="4"/>
  <c r="BZ42" i="4"/>
  <c r="BY42" i="4"/>
  <c r="BX42" i="4"/>
  <c r="BW42" i="4"/>
  <c r="BV42" i="4"/>
  <c r="BU42" i="4"/>
  <c r="BM42" i="4"/>
  <c r="BG42" i="4"/>
  <c r="BF42" i="4"/>
  <c r="BE42" i="4"/>
  <c r="BD42" i="4"/>
  <c r="BC42" i="4"/>
  <c r="BB42" i="4"/>
  <c r="AT42" i="4"/>
  <c r="AN42" i="4"/>
  <c r="AM42" i="4"/>
  <c r="AL42" i="4"/>
  <c r="AK42" i="4"/>
  <c r="AJ42" i="4"/>
  <c r="AI42" i="4"/>
  <c r="AA42" i="4"/>
  <c r="CF41" i="4"/>
  <c r="BM41" i="4"/>
  <c r="AT41" i="4"/>
  <c r="AA41" i="4"/>
  <c r="CF40" i="4"/>
  <c r="BZ40" i="4"/>
  <c r="BY40" i="4"/>
  <c r="BX40" i="4"/>
  <c r="BW40" i="4"/>
  <c r="BV40" i="4"/>
  <c r="BU40" i="4"/>
  <c r="BM40" i="4"/>
  <c r="BG40" i="4"/>
  <c r="BF40" i="4"/>
  <c r="BE40" i="4"/>
  <c r="BD40" i="4"/>
  <c r="BC40" i="4"/>
  <c r="BB40" i="4"/>
  <c r="AT40" i="4"/>
  <c r="AN40" i="4"/>
  <c r="AM40" i="4"/>
  <c r="AL40" i="4"/>
  <c r="AK40" i="4"/>
  <c r="AJ40" i="4"/>
  <c r="AI40" i="4"/>
  <c r="AA40" i="4"/>
  <c r="CF39" i="4"/>
  <c r="BZ39" i="4"/>
  <c r="BY39" i="4"/>
  <c r="BX39" i="4"/>
  <c r="BW39" i="4"/>
  <c r="BV39" i="4"/>
  <c r="BU39" i="4"/>
  <c r="BM39" i="4"/>
  <c r="BG39" i="4"/>
  <c r="BF39" i="4"/>
  <c r="BE39" i="4"/>
  <c r="BD39" i="4"/>
  <c r="BC39" i="4"/>
  <c r="BB39" i="4"/>
  <c r="AT39" i="4"/>
  <c r="AN39" i="4"/>
  <c r="AM39" i="4"/>
  <c r="AL39" i="4"/>
  <c r="AK39" i="4"/>
  <c r="AJ39" i="4"/>
  <c r="AI39" i="4"/>
  <c r="AA39" i="4"/>
  <c r="CF38" i="4"/>
  <c r="BZ38" i="4"/>
  <c r="BY38" i="4"/>
  <c r="BX38" i="4"/>
  <c r="BW38" i="4"/>
  <c r="BV38" i="4"/>
  <c r="BU38" i="4"/>
  <c r="BM38" i="4"/>
  <c r="BG38" i="4"/>
  <c r="BF38" i="4"/>
  <c r="BE38" i="4"/>
  <c r="BD38" i="4"/>
  <c r="BC38" i="4"/>
  <c r="BB38" i="4"/>
  <c r="AT38" i="4"/>
  <c r="AN38" i="4"/>
  <c r="AM38" i="4"/>
  <c r="AL38" i="4"/>
  <c r="AK38" i="4"/>
  <c r="AJ38" i="4"/>
  <c r="AI38" i="4"/>
  <c r="AA38" i="4"/>
  <c r="CF37" i="4"/>
  <c r="BZ37" i="4"/>
  <c r="BY37" i="4"/>
  <c r="BX37" i="4"/>
  <c r="BW37" i="4"/>
  <c r="BV37" i="4"/>
  <c r="BU37" i="4"/>
  <c r="BM37" i="4"/>
  <c r="BG37" i="4"/>
  <c r="BF37" i="4"/>
  <c r="BE37" i="4"/>
  <c r="BD37" i="4"/>
  <c r="BC37" i="4"/>
  <c r="BB37" i="4"/>
  <c r="AT37" i="4"/>
  <c r="AN37" i="4"/>
  <c r="AM37" i="4"/>
  <c r="AL37" i="4"/>
  <c r="AK37" i="4"/>
  <c r="AJ37" i="4"/>
  <c r="AI37" i="4"/>
  <c r="AA37" i="4"/>
  <c r="CF36" i="4"/>
  <c r="BM36" i="4"/>
  <c r="AT36" i="4"/>
  <c r="AA36" i="4"/>
  <c r="CF35" i="4"/>
  <c r="BZ35" i="4"/>
  <c r="BY35" i="4"/>
  <c r="BX35" i="4"/>
  <c r="BW35" i="4"/>
  <c r="BV35" i="4"/>
  <c r="BU35" i="4"/>
  <c r="BM35" i="4"/>
  <c r="BG35" i="4"/>
  <c r="BF35" i="4"/>
  <c r="BE35" i="4"/>
  <c r="BD35" i="4"/>
  <c r="BC35" i="4"/>
  <c r="BB35" i="4"/>
  <c r="AT35" i="4"/>
  <c r="AN35" i="4"/>
  <c r="AM35" i="4"/>
  <c r="AL35" i="4"/>
  <c r="AK35" i="4"/>
  <c r="AJ35" i="4"/>
  <c r="AI35" i="4"/>
  <c r="AA35" i="4"/>
  <c r="CF34" i="4"/>
  <c r="BM34" i="4"/>
  <c r="AT34" i="4"/>
  <c r="AA34" i="4"/>
  <c r="CF33" i="4"/>
  <c r="BZ33" i="4"/>
  <c r="BY33" i="4"/>
  <c r="BX33" i="4"/>
  <c r="BW33" i="4"/>
  <c r="BV33" i="4"/>
  <c r="BU33" i="4"/>
  <c r="BM33" i="4"/>
  <c r="BG33" i="4"/>
  <c r="BF33" i="4"/>
  <c r="BE33" i="4"/>
  <c r="BD33" i="4"/>
  <c r="BC33" i="4"/>
  <c r="BB33" i="4"/>
  <c r="AT33" i="4"/>
  <c r="AN33" i="4"/>
  <c r="AM33" i="4"/>
  <c r="AL33" i="4"/>
  <c r="AK33" i="4"/>
  <c r="AJ33" i="4"/>
  <c r="AI33" i="4"/>
  <c r="AA33" i="4"/>
  <c r="CF32" i="4"/>
  <c r="BM32" i="4"/>
  <c r="AT32" i="4"/>
  <c r="AA32" i="4"/>
  <c r="CF31" i="4"/>
  <c r="BM31" i="4"/>
  <c r="AT31" i="4"/>
  <c r="AA31" i="4"/>
  <c r="CF30" i="4"/>
  <c r="BZ30" i="4"/>
  <c r="BY30" i="4"/>
  <c r="BX30" i="4"/>
  <c r="BW30" i="4"/>
  <c r="BV30" i="4"/>
  <c r="BU30" i="4"/>
  <c r="BM30" i="4"/>
  <c r="BG30" i="4"/>
  <c r="BF30" i="4"/>
  <c r="BE30" i="4"/>
  <c r="BD30" i="4"/>
  <c r="BC30" i="4"/>
  <c r="BB30" i="4"/>
  <c r="AT30" i="4"/>
  <c r="AN30" i="4"/>
  <c r="AM30" i="4"/>
  <c r="AL30" i="4"/>
  <c r="AK30" i="4"/>
  <c r="AJ30" i="4"/>
  <c r="AI30" i="4"/>
  <c r="AA30" i="4"/>
  <c r="CF29" i="4"/>
  <c r="BZ29" i="4"/>
  <c r="BY29" i="4"/>
  <c r="BX29" i="4"/>
  <c r="BW29" i="4"/>
  <c r="BV29" i="4"/>
  <c r="BU29" i="4"/>
  <c r="BM29" i="4"/>
  <c r="BG29" i="4"/>
  <c r="BF29" i="4"/>
  <c r="BE29" i="4"/>
  <c r="BD29" i="4"/>
  <c r="BC29" i="4"/>
  <c r="BB29" i="4"/>
  <c r="AT29" i="4"/>
  <c r="AN29" i="4"/>
  <c r="AM29" i="4"/>
  <c r="AL29" i="4"/>
  <c r="AK29" i="4"/>
  <c r="AJ29" i="4"/>
  <c r="AI29" i="4"/>
  <c r="AA29" i="4"/>
  <c r="CF28" i="4"/>
  <c r="BZ28" i="4"/>
  <c r="BY28" i="4"/>
  <c r="BX28" i="4"/>
  <c r="BW28" i="4"/>
  <c r="BV28" i="4"/>
  <c r="BU28" i="4"/>
  <c r="BM28" i="4"/>
  <c r="BG28" i="4"/>
  <c r="BF28" i="4"/>
  <c r="BE28" i="4"/>
  <c r="BD28" i="4"/>
  <c r="BC28" i="4"/>
  <c r="BB28" i="4"/>
  <c r="AT28" i="4"/>
  <c r="AN28" i="4"/>
  <c r="AM28" i="4"/>
  <c r="AL28" i="4"/>
  <c r="AK28" i="4"/>
  <c r="AJ28" i="4"/>
  <c r="AI28" i="4"/>
  <c r="AA28" i="4"/>
  <c r="CF27" i="4"/>
  <c r="BM27" i="4"/>
  <c r="AT27" i="4"/>
  <c r="AA27" i="4"/>
  <c r="CF26" i="4"/>
  <c r="BM26" i="4"/>
  <c r="AT26" i="4"/>
  <c r="AA26" i="4"/>
  <c r="CF25" i="4"/>
  <c r="BM25" i="4"/>
  <c r="AT25" i="4"/>
  <c r="AA25" i="4"/>
  <c r="CF24" i="4"/>
  <c r="BZ24" i="4"/>
  <c r="BY24" i="4"/>
  <c r="BX24" i="4"/>
  <c r="BW24" i="4"/>
  <c r="BV24" i="4"/>
  <c r="BU24" i="4"/>
  <c r="BM24" i="4"/>
  <c r="BG24" i="4"/>
  <c r="BF24" i="4"/>
  <c r="BE24" i="4"/>
  <c r="BD24" i="4"/>
  <c r="BC24" i="4"/>
  <c r="BB24" i="4"/>
  <c r="AT24" i="4"/>
  <c r="AN24" i="4"/>
  <c r="AM24" i="4"/>
  <c r="AL24" i="4"/>
  <c r="AK24" i="4"/>
  <c r="AJ24" i="4"/>
  <c r="AI24" i="4"/>
  <c r="AA24" i="4"/>
  <c r="CF23" i="4"/>
  <c r="BZ23" i="4"/>
  <c r="BY23" i="4"/>
  <c r="BX23" i="4"/>
  <c r="BW23" i="4"/>
  <c r="BV23" i="4"/>
  <c r="BU23" i="4"/>
  <c r="BM23" i="4"/>
  <c r="BG23" i="4"/>
  <c r="BF23" i="4"/>
  <c r="BE23" i="4"/>
  <c r="BD23" i="4"/>
  <c r="BC23" i="4"/>
  <c r="BB23" i="4"/>
  <c r="AT23" i="4"/>
  <c r="AN23" i="4"/>
  <c r="AM23" i="4"/>
  <c r="AL23" i="4"/>
  <c r="AK23" i="4"/>
  <c r="AJ23" i="4"/>
  <c r="AI23" i="4"/>
  <c r="AA23" i="4"/>
  <c r="CF22" i="4"/>
  <c r="BZ22" i="4"/>
  <c r="BY22" i="4"/>
  <c r="BX22" i="4"/>
  <c r="BW22" i="4"/>
  <c r="BV22" i="4"/>
  <c r="BU22" i="4"/>
  <c r="BM22" i="4"/>
  <c r="BG22" i="4"/>
  <c r="BF22" i="4"/>
  <c r="BE22" i="4"/>
  <c r="BD22" i="4"/>
  <c r="BC22" i="4"/>
  <c r="BB22" i="4"/>
  <c r="AT22" i="4"/>
  <c r="AN22" i="4"/>
  <c r="AM22" i="4"/>
  <c r="AL22" i="4"/>
  <c r="AK22" i="4"/>
  <c r="AJ22" i="4"/>
  <c r="AI22" i="4"/>
  <c r="AA22" i="4"/>
  <c r="CF21" i="4"/>
  <c r="BM21" i="4"/>
  <c r="AT21" i="4"/>
  <c r="AA21" i="4"/>
  <c r="CF20" i="4"/>
  <c r="BM20" i="4"/>
  <c r="AT20" i="4"/>
  <c r="AA20" i="4"/>
  <c r="CF19" i="4"/>
  <c r="BM19" i="4"/>
  <c r="AT19" i="4"/>
  <c r="AA19" i="4"/>
  <c r="CF18" i="4"/>
  <c r="BM18" i="4"/>
  <c r="AT18" i="4"/>
  <c r="AA18" i="4"/>
  <c r="CF17" i="4"/>
  <c r="BZ17" i="4"/>
  <c r="BY17" i="4"/>
  <c r="BX17" i="4"/>
  <c r="BW17" i="4"/>
  <c r="BV17" i="4"/>
  <c r="BU17" i="4"/>
  <c r="BM17" i="4"/>
  <c r="BG17" i="4"/>
  <c r="BF17" i="4"/>
  <c r="BE17" i="4"/>
  <c r="BD17" i="4"/>
  <c r="BC17" i="4"/>
  <c r="BB17" i="4"/>
  <c r="AT17" i="4"/>
  <c r="AN17" i="4"/>
  <c r="AM17" i="4"/>
  <c r="AL17" i="4"/>
  <c r="AK17" i="4"/>
  <c r="AJ17" i="4"/>
  <c r="AI17" i="4"/>
  <c r="AA17" i="4"/>
  <c r="CF16" i="4"/>
  <c r="BZ16" i="4"/>
  <c r="BY16" i="4"/>
  <c r="BX16" i="4"/>
  <c r="BW16" i="4"/>
  <c r="BV16" i="4"/>
  <c r="BU16" i="4"/>
  <c r="BM16" i="4"/>
  <c r="BG16" i="4"/>
  <c r="BF16" i="4"/>
  <c r="BE16" i="4"/>
  <c r="BD16" i="4"/>
  <c r="BC16" i="4"/>
  <c r="BB16" i="4"/>
  <c r="AT16" i="4"/>
  <c r="AN16" i="4"/>
  <c r="AM16" i="4"/>
  <c r="AL16" i="4"/>
  <c r="AK16" i="4"/>
  <c r="AJ16" i="4"/>
  <c r="AI16" i="4"/>
  <c r="AA16" i="4"/>
  <c r="CF15" i="4"/>
  <c r="BZ15" i="4"/>
  <c r="BY15" i="4"/>
  <c r="BX15" i="4"/>
  <c r="BW15" i="4"/>
  <c r="BV15" i="4"/>
  <c r="BU15" i="4"/>
  <c r="BM15" i="4"/>
  <c r="BG15" i="4"/>
  <c r="BF15" i="4"/>
  <c r="BE15" i="4"/>
  <c r="BD15" i="4"/>
  <c r="BC15" i="4"/>
  <c r="BB15" i="4"/>
  <c r="AT15" i="4"/>
  <c r="AN15" i="4"/>
  <c r="AM15" i="4"/>
  <c r="AL15" i="4"/>
  <c r="AK15" i="4"/>
  <c r="AJ15" i="4"/>
  <c r="AI15" i="4"/>
  <c r="AA15" i="4"/>
  <c r="CF14" i="4"/>
  <c r="BM14" i="4"/>
  <c r="AT14" i="4"/>
  <c r="AA14" i="4"/>
  <c r="CF13" i="4"/>
  <c r="BZ13" i="4"/>
  <c r="BY13" i="4"/>
  <c r="BX13" i="4"/>
  <c r="BW13" i="4"/>
  <c r="BV13" i="4"/>
  <c r="BU13" i="4"/>
  <c r="BM13" i="4"/>
  <c r="BG13" i="4"/>
  <c r="BF13" i="4"/>
  <c r="BE13" i="4"/>
  <c r="BD13" i="4"/>
  <c r="BC13" i="4"/>
  <c r="BB13" i="4"/>
  <c r="AT13" i="4"/>
  <c r="AN13" i="4"/>
  <c r="AM13" i="4"/>
  <c r="AL13" i="4"/>
  <c r="AK13" i="4"/>
  <c r="AJ13" i="4"/>
  <c r="AI13" i="4"/>
  <c r="AA13" i="4"/>
  <c r="F11" i="4"/>
  <c r="F10" i="4"/>
  <c r="BZ9" i="4"/>
  <c r="BY9" i="4"/>
  <c r="BX9" i="4"/>
  <c r="BW9" i="4"/>
  <c r="BV9" i="4"/>
  <c r="BU9" i="4"/>
  <c r="BG9" i="4"/>
  <c r="BF9" i="4"/>
  <c r="BE9" i="4"/>
  <c r="BD9" i="4"/>
  <c r="BC9" i="4"/>
  <c r="BB9" i="4"/>
  <c r="AN9" i="4"/>
  <c r="AM9" i="4"/>
  <c r="AL9" i="4"/>
  <c r="AK9" i="4"/>
  <c r="AJ9" i="4"/>
  <c r="AI9" i="4"/>
  <c r="U9" i="4"/>
  <c r="T9" i="4"/>
  <c r="S9" i="4"/>
  <c r="R9" i="4"/>
  <c r="Q9" i="4"/>
  <c r="P9" i="4"/>
  <c r="F9" i="4"/>
  <c r="BZ8" i="4"/>
  <c r="BY8" i="4"/>
  <c r="BX8" i="4"/>
  <c r="BW8" i="4"/>
  <c r="BV8" i="4"/>
  <c r="BU8" i="4"/>
  <c r="BG8" i="4"/>
  <c r="BF8" i="4"/>
  <c r="BE8" i="4"/>
  <c r="BD8" i="4"/>
  <c r="BC8" i="4"/>
  <c r="BB8" i="4"/>
  <c r="AN8" i="4"/>
  <c r="AM8" i="4"/>
  <c r="AL8" i="4"/>
  <c r="AK8" i="4"/>
  <c r="AJ8" i="4"/>
  <c r="AI8" i="4"/>
  <c r="U8" i="4"/>
  <c r="T8" i="4"/>
  <c r="S8" i="4"/>
  <c r="R8" i="4"/>
  <c r="Q8" i="4"/>
  <c r="P8" i="4"/>
  <c r="F8" i="4"/>
  <c r="BZ7" i="4"/>
  <c r="BY7" i="4"/>
  <c r="BX7" i="4"/>
  <c r="BW7" i="4"/>
  <c r="BV7" i="4"/>
  <c r="BU7" i="4"/>
  <c r="BG7" i="4"/>
  <c r="BF7" i="4"/>
  <c r="BE7" i="4"/>
  <c r="BD7" i="4"/>
  <c r="BC7" i="4"/>
  <c r="BB7" i="4"/>
  <c r="AN7" i="4"/>
  <c r="AM7" i="4"/>
  <c r="AL7" i="4"/>
  <c r="AK7" i="4"/>
  <c r="AJ7" i="4"/>
  <c r="AI7" i="4"/>
  <c r="U7" i="4"/>
  <c r="T7" i="4"/>
  <c r="S7" i="4"/>
  <c r="R7" i="4"/>
  <c r="Q7" i="4"/>
  <c r="P7" i="4"/>
  <c r="BZ6" i="4"/>
  <c r="BY6" i="4"/>
  <c r="BX6" i="4"/>
  <c r="BW6" i="4"/>
  <c r="BV6" i="4"/>
  <c r="BU6" i="4"/>
  <c r="BG6" i="4"/>
  <c r="BF6" i="4"/>
  <c r="BE6" i="4"/>
  <c r="BD6" i="4"/>
  <c r="BC6" i="4"/>
  <c r="BB6" i="4"/>
  <c r="AN6" i="4"/>
  <c r="AM6" i="4"/>
  <c r="AL6" i="4"/>
  <c r="AK6" i="4"/>
  <c r="AJ6" i="4"/>
  <c r="AI6" i="4"/>
  <c r="U6" i="4"/>
  <c r="T6" i="4"/>
  <c r="S6" i="4"/>
  <c r="R6" i="4"/>
  <c r="Q6" i="4"/>
  <c r="P6" i="4"/>
  <c r="S65" i="2" l="1"/>
  <c r="T271" i="7"/>
  <c r="T278" i="7"/>
  <c r="J278" i="7"/>
  <c r="G69" i="9"/>
  <c r="T206" i="7"/>
  <c r="T184" i="7"/>
  <c r="T210" i="7"/>
  <c r="N206" i="7"/>
  <c r="N202" i="7"/>
  <c r="T182" i="7"/>
  <c r="N190" i="7"/>
  <c r="T195" i="7"/>
  <c r="T202" i="7"/>
  <c r="N209" i="7"/>
  <c r="N194" i="7"/>
  <c r="N201" i="7"/>
  <c r="N178" i="7"/>
  <c r="N180" i="7"/>
  <c r="N182" i="7"/>
  <c r="N186" i="7"/>
  <c r="N195" i="7"/>
  <c r="N177" i="7"/>
  <c r="N179" i="7"/>
  <c r="N181" i="7"/>
  <c r="N185" i="7"/>
  <c r="T191" i="7"/>
  <c r="T196" i="7"/>
  <c r="N205" i="7"/>
  <c r="N210" i="7"/>
  <c r="L186" i="7"/>
  <c r="L192" i="7"/>
  <c r="L201" i="7"/>
  <c r="L205" i="7"/>
  <c r="L209" i="7"/>
  <c r="L178" i="7"/>
  <c r="L180" i="7"/>
  <c r="I26" i="2"/>
  <c r="E66" i="7"/>
  <c r="D54" i="3"/>
  <c r="D94" i="3"/>
  <c r="D129" i="3"/>
  <c r="D49" i="3"/>
  <c r="D89" i="3"/>
  <c r="D124" i="3"/>
  <c r="D50" i="3"/>
  <c r="D64" i="3"/>
  <c r="D84" i="3"/>
  <c r="D95" i="3"/>
  <c r="D115" i="3"/>
  <c r="D119" i="3"/>
  <c r="D59" i="3"/>
  <c r="D79" i="3"/>
  <c r="D99" i="3"/>
  <c r="D114" i="3"/>
  <c r="N55" i="8"/>
  <c r="N70" i="8"/>
  <c r="P55" i="8"/>
  <c r="P70" i="8"/>
  <c r="R55" i="8"/>
  <c r="R70" i="8"/>
  <c r="T55" i="8"/>
  <c r="R157" i="7"/>
  <c r="L155" i="7"/>
  <c r="L151" i="7"/>
  <c r="R155" i="7"/>
  <c r="R159" i="7"/>
  <c r="P179" i="7"/>
  <c r="T180" i="7"/>
  <c r="L184" i="7"/>
  <c r="L191" i="7"/>
  <c r="N192" i="7"/>
  <c r="P194" i="7"/>
  <c r="L196" i="7"/>
  <c r="N198" i="7"/>
  <c r="T201" i="7"/>
  <c r="P203" i="7"/>
  <c r="T205" i="7"/>
  <c r="N208" i="7"/>
  <c r="T209" i="7"/>
  <c r="R153" i="7"/>
  <c r="P183" i="7"/>
  <c r="P193" i="7"/>
  <c r="T153" i="7"/>
  <c r="T157" i="7"/>
  <c r="L159" i="7"/>
  <c r="P181" i="7"/>
  <c r="P190" i="7"/>
  <c r="P197" i="7"/>
  <c r="R151" i="7"/>
  <c r="L153" i="7"/>
  <c r="N154" i="7"/>
  <c r="T155" i="7"/>
  <c r="L157" i="7"/>
  <c r="T159" i="7"/>
  <c r="P177" i="7"/>
  <c r="T178" i="7"/>
  <c r="L182" i="7"/>
  <c r="N183" i="7"/>
  <c r="N184" i="7"/>
  <c r="P185" i="7"/>
  <c r="T186" i="7"/>
  <c r="N191" i="7"/>
  <c r="T192" i="7"/>
  <c r="L195" i="7"/>
  <c r="N196" i="7"/>
  <c r="P198" i="7"/>
  <c r="L202" i="7"/>
  <c r="N204" i="7"/>
  <c r="L206" i="7"/>
  <c r="L210" i="7"/>
  <c r="AA109" i="5"/>
  <c r="M94" i="8"/>
  <c r="P159" i="7"/>
  <c r="P157" i="7"/>
  <c r="P155" i="7"/>
  <c r="P153" i="7"/>
  <c r="P151" i="7"/>
  <c r="R189" i="7"/>
  <c r="R192" i="7"/>
  <c r="R207" i="7"/>
  <c r="R210" i="7"/>
  <c r="P156" i="7"/>
  <c r="R197" i="7"/>
  <c r="P152" i="7"/>
  <c r="R209" i="7"/>
  <c r="R205" i="7"/>
  <c r="R201" i="7"/>
  <c r="R195" i="7"/>
  <c r="R191" i="7"/>
  <c r="R208" i="7"/>
  <c r="R204" i="7"/>
  <c r="R198" i="7"/>
  <c r="R194" i="7"/>
  <c r="R190" i="7"/>
  <c r="R185" i="7"/>
  <c r="R183" i="7"/>
  <c r="R181" i="7"/>
  <c r="R179" i="7"/>
  <c r="R177" i="7"/>
  <c r="E82" i="7"/>
  <c r="AJ5" i="6"/>
  <c r="AJ17" i="6"/>
  <c r="E126" i="7"/>
  <c r="P150" i="7"/>
  <c r="P158" i="7"/>
  <c r="R178" i="7"/>
  <c r="R180" i="7"/>
  <c r="R182" i="7"/>
  <c r="R184" i="7"/>
  <c r="R186" i="7"/>
  <c r="R203" i="7"/>
  <c r="R206" i="7"/>
  <c r="R319" i="15"/>
  <c r="Q319" i="15"/>
  <c r="I319" i="15"/>
  <c r="P319" i="15"/>
  <c r="T319" i="15"/>
  <c r="N159" i="7"/>
  <c r="N157" i="7"/>
  <c r="N155" i="7"/>
  <c r="N153" i="7"/>
  <c r="N151" i="7"/>
  <c r="N152" i="7"/>
  <c r="P154" i="7"/>
  <c r="P210" i="7"/>
  <c r="P206" i="7"/>
  <c r="P202" i="7"/>
  <c r="P196" i="7"/>
  <c r="P192" i="7"/>
  <c r="P186" i="7"/>
  <c r="P184" i="7"/>
  <c r="P182" i="7"/>
  <c r="P180" i="7"/>
  <c r="P178" i="7"/>
  <c r="P209" i="7"/>
  <c r="P205" i="7"/>
  <c r="P201" i="7"/>
  <c r="P195" i="7"/>
  <c r="P191" i="7"/>
  <c r="P189" i="7"/>
  <c r="R193" i="7"/>
  <c r="R196" i="7"/>
  <c r="P204" i="7"/>
  <c r="P207" i="7"/>
  <c r="R150" i="7"/>
  <c r="R152" i="7"/>
  <c r="R154" i="7"/>
  <c r="R156" i="7"/>
  <c r="L189" i="7"/>
  <c r="T189" i="7"/>
  <c r="L193" i="7"/>
  <c r="T193" i="7"/>
  <c r="L197" i="7"/>
  <c r="T197" i="7"/>
  <c r="L203" i="7"/>
  <c r="T203" i="7"/>
  <c r="L207" i="7"/>
  <c r="T207" i="7"/>
  <c r="P166" i="7"/>
  <c r="O67" i="12" s="1"/>
  <c r="E121" i="7"/>
  <c r="K320" i="15"/>
  <c r="E81" i="7"/>
  <c r="L150" i="7"/>
  <c r="T150" i="7"/>
  <c r="L152" i="7"/>
  <c r="T152" i="7"/>
  <c r="L154" i="7"/>
  <c r="T154" i="7"/>
  <c r="L156" i="7"/>
  <c r="T156" i="7"/>
  <c r="L177" i="7"/>
  <c r="T177" i="7"/>
  <c r="L179" i="7"/>
  <c r="T179" i="7"/>
  <c r="L181" i="7"/>
  <c r="T181" i="7"/>
  <c r="L183" i="7"/>
  <c r="T183" i="7"/>
  <c r="L185" i="7"/>
  <c r="T185" i="7"/>
  <c r="N189" i="7"/>
  <c r="L190" i="7"/>
  <c r="T190" i="7"/>
  <c r="N193" i="7"/>
  <c r="L194" i="7"/>
  <c r="T194" i="7"/>
  <c r="N197" i="7"/>
  <c r="L198" i="7"/>
  <c r="T198" i="7"/>
  <c r="N203" i="7"/>
  <c r="L204" i="7"/>
  <c r="T204" i="7"/>
  <c r="T166" i="7"/>
  <c r="S67" i="12" s="1"/>
  <c r="K319" i="15"/>
  <c r="O319" i="15"/>
  <c r="S319" i="15"/>
  <c r="N166" i="7"/>
  <c r="M67" i="12" s="1"/>
  <c r="J319" i="15"/>
  <c r="N319" i="15"/>
  <c r="L166" i="7"/>
  <c r="K67" i="12" s="1"/>
  <c r="R166" i="7"/>
  <c r="Q67" i="12" s="1"/>
  <c r="G66" i="9"/>
  <c r="U65" i="9" s="1"/>
  <c r="U71" i="9" s="1"/>
  <c r="E190" i="7"/>
  <c r="E194" i="7"/>
  <c r="E198" i="7"/>
  <c r="E202" i="7"/>
  <c r="E204" i="7"/>
  <c r="E206" i="7"/>
  <c r="E208" i="7"/>
  <c r="E210" i="7"/>
  <c r="E216" i="7"/>
  <c r="E220" i="7"/>
  <c r="E62" i="7"/>
  <c r="E97" i="7"/>
  <c r="E118" i="7"/>
  <c r="G72" i="9"/>
  <c r="AJ12" i="6"/>
  <c r="AJ14" i="6"/>
  <c r="AJ16" i="6"/>
  <c r="E113" i="7"/>
  <c r="E130" i="7"/>
  <c r="E189" i="7"/>
  <c r="E191" i="7"/>
  <c r="E193" i="7"/>
  <c r="E195" i="7"/>
  <c r="E197" i="7"/>
  <c r="E201" i="7"/>
  <c r="E203" i="7"/>
  <c r="E205" i="7"/>
  <c r="E207" i="7"/>
  <c r="E209" i="7"/>
  <c r="AJ11" i="6"/>
  <c r="AJ21" i="6"/>
  <c r="C64" i="5"/>
  <c r="C68" i="5"/>
  <c r="H79" i="5"/>
  <c r="C85" i="5"/>
  <c r="J115" i="5"/>
  <c r="J117" i="5"/>
  <c r="L78" i="7"/>
  <c r="T78" i="7"/>
  <c r="N105" i="7"/>
  <c r="R250" i="7"/>
  <c r="P261" i="7"/>
  <c r="C60" i="5"/>
  <c r="C62" i="5"/>
  <c r="C65" i="5"/>
  <c r="C69" i="5"/>
  <c r="H80" i="5"/>
  <c r="I86" i="5"/>
  <c r="N78" i="7"/>
  <c r="P105" i="7"/>
  <c r="L250" i="7"/>
  <c r="T250" i="7"/>
  <c r="R261" i="7"/>
  <c r="C61" i="5"/>
  <c r="J62" i="5"/>
  <c r="C66" i="5"/>
  <c r="C77" i="5"/>
  <c r="C82" i="5"/>
  <c r="J116" i="5"/>
  <c r="P78" i="7"/>
  <c r="R105" i="7"/>
  <c r="N250" i="7"/>
  <c r="L261" i="7"/>
  <c r="T261" i="7"/>
  <c r="C63" i="5"/>
  <c r="C67" i="5"/>
  <c r="H78" i="5"/>
  <c r="H83" i="5"/>
  <c r="C90" i="5"/>
  <c r="G20" i="7"/>
  <c r="R78" i="7"/>
  <c r="L105" i="7"/>
  <c r="T105" i="7"/>
  <c r="P250" i="7"/>
  <c r="M20" i="5"/>
  <c r="O94" i="5" s="1"/>
  <c r="K44" i="5"/>
  <c r="M94" i="5" s="1"/>
  <c r="B52" i="8"/>
  <c r="K76" i="8"/>
  <c r="AC110" i="5"/>
  <c r="AC100" i="5"/>
  <c r="AC95" i="5"/>
  <c r="O20" i="5"/>
  <c r="M44" i="5"/>
  <c r="M60" i="5" s="1"/>
  <c r="O44" i="5"/>
  <c r="O60" i="5" s="1"/>
  <c r="M35" i="8"/>
  <c r="M76" i="8" s="1"/>
  <c r="O76" i="5"/>
  <c r="M73" i="2"/>
  <c r="R113" i="3"/>
  <c r="T113" i="3" s="1"/>
  <c r="T43" i="3"/>
  <c r="R114" i="3"/>
  <c r="G119" i="3" s="1"/>
  <c r="R119" i="3" s="1"/>
  <c r="O61" i="5"/>
  <c r="N253" i="7" s="1"/>
  <c r="M65" i="12" s="1"/>
  <c r="R115" i="3"/>
  <c r="G120" i="3" s="1"/>
  <c r="R120" i="3" s="1"/>
  <c r="T42" i="3"/>
  <c r="S61" i="5"/>
  <c r="R251" i="7" s="1"/>
  <c r="Q63" i="12" s="1"/>
  <c r="R112" i="3"/>
  <c r="G117" i="3" s="1"/>
  <c r="Q61" i="5"/>
  <c r="P253" i="7" s="1"/>
  <c r="O65" i="12" s="1"/>
  <c r="T47" i="3"/>
  <c r="K122" i="3"/>
  <c r="G52" i="3"/>
  <c r="R52" i="3" s="1"/>
  <c r="G82" i="3"/>
  <c r="R82" i="3" s="1"/>
  <c r="K123" i="3"/>
  <c r="T48" i="3"/>
  <c r="G83" i="3"/>
  <c r="R83" i="3" s="1"/>
  <c r="G50" i="3"/>
  <c r="R50" i="3" s="1"/>
  <c r="G53" i="3"/>
  <c r="R53" i="3" s="1"/>
  <c r="T45" i="3"/>
  <c r="G80" i="3"/>
  <c r="R80" i="3" s="1"/>
  <c r="T80" i="3" s="1"/>
  <c r="K118" i="3"/>
  <c r="G78" i="3"/>
  <c r="R78" i="3" s="1"/>
  <c r="T78" i="3" s="1"/>
  <c r="T44" i="3"/>
  <c r="G49" i="3"/>
  <c r="R49" i="3" s="1"/>
  <c r="G79" i="3"/>
  <c r="R79" i="3" s="1"/>
  <c r="T79" i="3" s="1"/>
  <c r="G77" i="3"/>
  <c r="R77" i="3" s="1"/>
  <c r="T77" i="3" s="1"/>
  <c r="K117" i="3"/>
  <c r="G22" i="3"/>
  <c r="M61" i="5"/>
  <c r="L252" i="7" s="1"/>
  <c r="K64" i="12" s="1"/>
  <c r="U61" i="5"/>
  <c r="T254" i="7" s="1"/>
  <c r="G21" i="3"/>
  <c r="K44" i="12"/>
  <c r="K49" i="12" s="1"/>
  <c r="K90" i="12" s="1"/>
  <c r="K61" i="12"/>
  <c r="I25" i="2"/>
  <c r="I39" i="2" s="1"/>
  <c r="I41" i="2" s="1"/>
  <c r="I17" i="2"/>
  <c r="S26" i="2" s="1"/>
  <c r="M71" i="2"/>
  <c r="E122" i="7"/>
  <c r="AJ7" i="6"/>
  <c r="E132" i="7"/>
  <c r="AJ13" i="6"/>
  <c r="AJ23" i="6"/>
  <c r="E58" i="7"/>
  <c r="E114" i="7"/>
  <c r="E124" i="7"/>
  <c r="E128" i="7"/>
  <c r="AJ9" i="6"/>
  <c r="AJ19" i="6"/>
  <c r="E54" i="7"/>
  <c r="E85" i="7"/>
  <c r="AJ8" i="6"/>
  <c r="AJ6" i="6"/>
  <c r="E115" i="7"/>
  <c r="AJ10" i="6"/>
  <c r="E119" i="7"/>
  <c r="E123" i="7"/>
  <c r="E125" i="7"/>
  <c r="E127" i="7"/>
  <c r="AJ18" i="6"/>
  <c r="AJ20" i="6"/>
  <c r="E129" i="7"/>
  <c r="E131" i="7"/>
  <c r="AJ22" i="6"/>
  <c r="E60" i="7"/>
  <c r="E68" i="7"/>
  <c r="E83" i="7"/>
  <c r="E91" i="7"/>
  <c r="E99" i="7"/>
  <c r="E55" i="7"/>
  <c r="E57" i="7"/>
  <c r="E59" i="7"/>
  <c r="E61" i="7"/>
  <c r="E63" i="7"/>
  <c r="E65" i="7"/>
  <c r="E67" i="7"/>
  <c r="E69" i="7"/>
  <c r="E71" i="7"/>
  <c r="E73" i="7"/>
  <c r="E84" i="7"/>
  <c r="E88" i="7"/>
  <c r="E92" i="7"/>
  <c r="E94" i="7"/>
  <c r="M95" i="14"/>
  <c r="I19" i="2" s="1"/>
  <c r="G224" i="14"/>
  <c r="I30" i="2" s="1"/>
  <c r="M36" i="12"/>
  <c r="O36" i="12" s="1"/>
  <c r="Q36" i="12" s="1"/>
  <c r="S36" i="12" s="1"/>
  <c r="K51" i="12"/>
  <c r="M45" i="12" s="1"/>
  <c r="M51" i="12" s="1"/>
  <c r="O45" i="12" s="1"/>
  <c r="O51" i="12" s="1"/>
  <c r="Q45" i="12" s="1"/>
  <c r="Q51" i="12" s="1"/>
  <c r="S45" i="12" s="1"/>
  <c r="S51" i="12" s="1"/>
  <c r="S59" i="2"/>
  <c r="I24" i="2"/>
  <c r="I34" i="2" s="1"/>
  <c r="S63" i="2"/>
  <c r="S75" i="2"/>
  <c r="J271" i="7"/>
  <c r="M72" i="2"/>
  <c r="Q194" i="15"/>
  <c r="S39" i="2"/>
  <c r="S48" i="2" s="1"/>
  <c r="L26" i="7"/>
  <c r="K67" i="8"/>
  <c r="S56" i="2"/>
  <c r="K65" i="8"/>
  <c r="Q57" i="9"/>
  <c r="N77" i="9"/>
  <c r="K52" i="12"/>
  <c r="M46" i="12" s="1"/>
  <c r="M52" i="12" s="1"/>
  <c r="O46" i="12" s="1"/>
  <c r="O52" i="12" s="1"/>
  <c r="Q46" i="12" s="1"/>
  <c r="Q52" i="12" s="1"/>
  <c r="S46" i="12" s="1"/>
  <c r="S52" i="12" s="1"/>
  <c r="K46" i="8"/>
  <c r="K66" i="8"/>
  <c r="J292" i="7" l="1"/>
  <c r="J285" i="7"/>
  <c r="T285" i="7"/>
  <c r="AC109" i="5"/>
  <c r="N251" i="7"/>
  <c r="M63" i="12" s="1"/>
  <c r="R253" i="7"/>
  <c r="Q65" i="12" s="1"/>
  <c r="N254" i="7"/>
  <c r="R254" i="7"/>
  <c r="P251" i="7"/>
  <c r="O63" i="12" s="1"/>
  <c r="L253" i="7"/>
  <c r="K65" i="12" s="1"/>
  <c r="L254" i="7"/>
  <c r="P252" i="7"/>
  <c r="O64" i="12" s="1"/>
  <c r="P254" i="7"/>
  <c r="T253" i="7"/>
  <c r="S65" i="12" s="1"/>
  <c r="L251" i="7"/>
  <c r="K63" i="12" s="1"/>
  <c r="N252" i="7"/>
  <c r="M64" i="12" s="1"/>
  <c r="T251" i="7"/>
  <c r="AI115" i="5" s="1"/>
  <c r="T252" i="7"/>
  <c r="S64" i="12" s="1"/>
  <c r="R252" i="7"/>
  <c r="Q64" i="12" s="1"/>
  <c r="G118" i="3"/>
  <c r="R118" i="3" s="1"/>
  <c r="S57" i="9"/>
  <c r="P174" i="7"/>
  <c r="O66" i="12" s="1"/>
  <c r="N149" i="7"/>
  <c r="AC97" i="5" s="1"/>
  <c r="Q91" i="8" s="1"/>
  <c r="N174" i="7"/>
  <c r="M66" i="12" s="1"/>
  <c r="O68" i="12"/>
  <c r="P149" i="7"/>
  <c r="T174" i="7"/>
  <c r="S66" i="12" s="1"/>
  <c r="S68" i="12"/>
  <c r="T149" i="7"/>
  <c r="M68" i="12"/>
  <c r="L174" i="7"/>
  <c r="K66" i="12" s="1"/>
  <c r="K68" i="12"/>
  <c r="L149" i="7"/>
  <c r="AA97" i="5" s="1"/>
  <c r="O91" i="8" s="1"/>
  <c r="Q68" i="12"/>
  <c r="R149" i="7"/>
  <c r="R174" i="7"/>
  <c r="Q66" i="12" s="1"/>
  <c r="U70" i="9"/>
  <c r="U72" i="9"/>
  <c r="M76" i="5"/>
  <c r="AC117" i="5"/>
  <c r="P260" i="7"/>
  <c r="P50" i="7"/>
  <c r="N260" i="7"/>
  <c r="AC90" i="5" s="1"/>
  <c r="O89" i="8" s="1"/>
  <c r="N50" i="7"/>
  <c r="T260" i="7"/>
  <c r="L260" i="7"/>
  <c r="AA90" i="5" s="1"/>
  <c r="M61" i="12" s="1"/>
  <c r="T50" i="7"/>
  <c r="L50" i="7"/>
  <c r="R260" i="7"/>
  <c r="R50" i="7"/>
  <c r="AG115" i="5"/>
  <c r="AA116" i="5"/>
  <c r="AE117" i="5"/>
  <c r="K60" i="5"/>
  <c r="O35" i="8"/>
  <c r="Q44" i="5"/>
  <c r="Q60" i="5" s="1"/>
  <c r="O21" i="5"/>
  <c r="Q94" i="5"/>
  <c r="Q20" i="5"/>
  <c r="Q76" i="5"/>
  <c r="G82" i="14"/>
  <c r="K68" i="8" s="1"/>
  <c r="T114" i="3"/>
  <c r="T115" i="3"/>
  <c r="T112" i="3"/>
  <c r="G58" i="3"/>
  <c r="R58" i="3" s="1"/>
  <c r="K128" i="3"/>
  <c r="T53" i="3"/>
  <c r="G88" i="3"/>
  <c r="R88" i="3" s="1"/>
  <c r="T88" i="3" s="1"/>
  <c r="G84" i="3"/>
  <c r="R84" i="3" s="1"/>
  <c r="T84" i="3" s="1"/>
  <c r="T49" i="3"/>
  <c r="K124" i="3"/>
  <c r="G54" i="3"/>
  <c r="R54" i="3" s="1"/>
  <c r="T119" i="3"/>
  <c r="G124" i="3"/>
  <c r="K125" i="3"/>
  <c r="T50" i="3"/>
  <c r="G85" i="3"/>
  <c r="R85" i="3" s="1"/>
  <c r="T85" i="3" s="1"/>
  <c r="G55" i="3"/>
  <c r="R55" i="3" s="1"/>
  <c r="T82" i="3"/>
  <c r="T120" i="3"/>
  <c r="G125" i="3"/>
  <c r="T83" i="3"/>
  <c r="K127" i="3"/>
  <c r="G57" i="3"/>
  <c r="R57" i="3" s="1"/>
  <c r="T52" i="3"/>
  <c r="G87" i="3"/>
  <c r="R87" i="3" s="1"/>
  <c r="T87" i="3" s="1"/>
  <c r="R117" i="3"/>
  <c r="M88" i="15"/>
  <c r="T40" i="3"/>
  <c r="I35" i="2"/>
  <c r="J108" i="7" s="1"/>
  <c r="Y85" i="5" s="1"/>
  <c r="K21" i="12"/>
  <c r="K25" i="12"/>
  <c r="G249" i="14"/>
  <c r="Q185" i="15"/>
  <c r="Q188" i="15" s="1"/>
  <c r="M89" i="15"/>
  <c r="G83" i="14"/>
  <c r="K69" i="8" s="1"/>
  <c r="S27" i="2"/>
  <c r="S25" i="2" s="1"/>
  <c r="S22" i="2"/>
  <c r="Q186" i="15"/>
  <c r="K88" i="12"/>
  <c r="K37" i="8" s="1"/>
  <c r="Q43" i="9" s="1"/>
  <c r="Q55" i="9"/>
  <c r="K49" i="8"/>
  <c r="L23" i="7"/>
  <c r="K71" i="8"/>
  <c r="K38" i="8"/>
  <c r="Q44" i="9" s="1"/>
  <c r="K113" i="12"/>
  <c r="K50" i="8"/>
  <c r="Q59" i="9" s="1"/>
  <c r="S59" i="9" s="1"/>
  <c r="U73" i="9"/>
  <c r="U76" i="9" s="1"/>
  <c r="L49" i="12"/>
  <c r="K86" i="12"/>
  <c r="J53" i="7"/>
  <c r="L51" i="7" s="1"/>
  <c r="L65" i="7" s="1"/>
  <c r="L92" i="7" s="1"/>
  <c r="J80" i="7"/>
  <c r="N68" i="9" s="1"/>
  <c r="T299" i="7" l="1"/>
  <c r="T300" i="7" s="1"/>
  <c r="O313" i="7" s="1"/>
  <c r="T292" i="7"/>
  <c r="T293" i="7" s="1"/>
  <c r="O311" i="7" s="1"/>
  <c r="J299" i="7"/>
  <c r="J300" i="7" s="1"/>
  <c r="O312" i="7" s="1"/>
  <c r="T286" i="7"/>
  <c r="O309" i="7" s="1"/>
  <c r="T272" i="7"/>
  <c r="O305" i="7" s="1"/>
  <c r="J279" i="7"/>
  <c r="O306" i="7" s="1"/>
  <c r="J272" i="7"/>
  <c r="O304" i="7" s="1"/>
  <c r="T279" i="7"/>
  <c r="O307" i="7" s="1"/>
  <c r="J286" i="7"/>
  <c r="O308" i="7" s="1"/>
  <c r="J293" i="7"/>
  <c r="O310" i="7" s="1"/>
  <c r="AG117" i="5"/>
  <c r="AE115" i="5"/>
  <c r="AG116" i="5"/>
  <c r="AC115" i="5"/>
  <c r="AA115" i="5"/>
  <c r="AA117" i="5"/>
  <c r="K69" i="12"/>
  <c r="M46" i="8" s="1"/>
  <c r="U55" i="9" s="1"/>
  <c r="AI117" i="5"/>
  <c r="S63" i="12"/>
  <c r="AC116" i="5"/>
  <c r="AE116" i="5"/>
  <c r="AI116" i="5"/>
  <c r="L66" i="7"/>
  <c r="N38" i="7"/>
  <c r="L70" i="7"/>
  <c r="L97" i="7" s="1"/>
  <c r="L57" i="7"/>
  <c r="N30" i="7" s="1"/>
  <c r="O61" i="12"/>
  <c r="M93" i="8"/>
  <c r="M48" i="8"/>
  <c r="AA102" i="5"/>
  <c r="AC102" i="5" s="1"/>
  <c r="AE102" i="5" s="1"/>
  <c r="L72" i="7"/>
  <c r="L99" i="7" s="1"/>
  <c r="L61" i="7"/>
  <c r="L88" i="7" s="1"/>
  <c r="L55" i="7"/>
  <c r="L82" i="7" s="1"/>
  <c r="L62" i="7"/>
  <c r="N35" i="7" s="1"/>
  <c r="L69" i="7"/>
  <c r="L96" i="7" s="1"/>
  <c r="L71" i="7"/>
  <c r="L98" i="7" s="1"/>
  <c r="L64" i="7"/>
  <c r="L91" i="7" s="1"/>
  <c r="L56" i="7"/>
  <c r="N29" i="7" s="1"/>
  <c r="L59" i="7"/>
  <c r="N32" i="7" s="1"/>
  <c r="L58" i="7"/>
  <c r="N31" i="7" s="1"/>
  <c r="L60" i="7"/>
  <c r="N33" i="7" s="1"/>
  <c r="L63" i="7"/>
  <c r="N36" i="7" s="1"/>
  <c r="L73" i="7"/>
  <c r="L100" i="7" s="1"/>
  <c r="L54" i="7"/>
  <c r="L81" i="7" s="1"/>
  <c r="L67" i="7"/>
  <c r="L94" i="7" s="1"/>
  <c r="L68" i="7"/>
  <c r="L95" i="7" s="1"/>
  <c r="M89" i="8"/>
  <c r="M60" i="12"/>
  <c r="O60" i="12" s="1"/>
  <c r="AE90" i="5"/>
  <c r="S20" i="5"/>
  <c r="S44" i="5"/>
  <c r="S60" i="5" s="1"/>
  <c r="Q21" i="5"/>
  <c r="Q35" i="8"/>
  <c r="S94" i="5"/>
  <c r="S76" i="5"/>
  <c r="O76" i="8"/>
  <c r="O48" i="8"/>
  <c r="O54" i="8" s="1"/>
  <c r="AE110" i="5"/>
  <c r="AE100" i="5"/>
  <c r="AE109" i="5"/>
  <c r="AE95" i="5"/>
  <c r="AE97" i="5"/>
  <c r="S91" i="8" s="1"/>
  <c r="AA118" i="5"/>
  <c r="R125" i="3"/>
  <c r="T125" i="3" s="1"/>
  <c r="K132" i="3"/>
  <c r="G92" i="3"/>
  <c r="R92" i="3" s="1"/>
  <c r="T92" i="3" s="1"/>
  <c r="G62" i="3"/>
  <c r="R62" i="3" s="1"/>
  <c r="T57" i="3"/>
  <c r="K133" i="3"/>
  <c r="G63" i="3"/>
  <c r="R63" i="3" s="1"/>
  <c r="G93" i="3"/>
  <c r="R93" i="3" s="1"/>
  <c r="T93" i="3" s="1"/>
  <c r="T58" i="3"/>
  <c r="T117" i="3"/>
  <c r="G122" i="3"/>
  <c r="R122" i="3" s="1"/>
  <c r="T118" i="3"/>
  <c r="G123" i="3"/>
  <c r="R123" i="3" s="1"/>
  <c r="G90" i="3"/>
  <c r="R90" i="3" s="1"/>
  <c r="T90" i="3" s="1"/>
  <c r="G60" i="3"/>
  <c r="R60" i="3" s="1"/>
  <c r="K130" i="3"/>
  <c r="T55" i="3"/>
  <c r="R124" i="3"/>
  <c r="K129" i="3"/>
  <c r="G59" i="3"/>
  <c r="R59" i="3" s="1"/>
  <c r="G89" i="3"/>
  <c r="R89" i="3" s="1"/>
  <c r="T89" i="3" s="1"/>
  <c r="T54" i="3"/>
  <c r="M69" i="12"/>
  <c r="O46" i="8" s="1"/>
  <c r="O52" i="8" s="1"/>
  <c r="AC118" i="5"/>
  <c r="M90" i="15"/>
  <c r="M85" i="15" s="1"/>
  <c r="L108" i="7"/>
  <c r="N108" i="7" s="1"/>
  <c r="N107" i="7" s="1"/>
  <c r="Q187" i="15"/>
  <c r="K106" i="12"/>
  <c r="K107" i="12" s="1"/>
  <c r="Q189" i="15"/>
  <c r="U75" i="9"/>
  <c r="S42" i="9" s="1"/>
  <c r="U77" i="9"/>
  <c r="S44" i="9" s="1"/>
  <c r="K99" i="12"/>
  <c r="K36" i="8"/>
  <c r="Q42" i="9" s="1"/>
  <c r="K114" i="12"/>
  <c r="Q47" i="9"/>
  <c r="K27" i="12"/>
  <c r="L24" i="7"/>
  <c r="Q58" i="9"/>
  <c r="K70" i="8"/>
  <c r="S43" i="9"/>
  <c r="U84" i="9"/>
  <c r="S49" i="9" s="1"/>
  <c r="S52" i="9" s="1"/>
  <c r="U80" i="9"/>
  <c r="S46" i="9" s="1"/>
  <c r="Y82" i="5"/>
  <c r="K88" i="8"/>
  <c r="N67" i="9"/>
  <c r="K28" i="12"/>
  <c r="N39" i="7" l="1"/>
  <c r="L93" i="7"/>
  <c r="M52" i="8"/>
  <c r="N46" i="7"/>
  <c r="L84" i="7"/>
  <c r="N43" i="7"/>
  <c r="N42" i="7"/>
  <c r="U57" i="9"/>
  <c r="M54" i="8"/>
  <c r="Q61" i="12"/>
  <c r="N27" i="7"/>
  <c r="N34" i="7"/>
  <c r="L85" i="7"/>
  <c r="L83" i="7"/>
  <c r="N40" i="7"/>
  <c r="L89" i="7"/>
  <c r="N45" i="7"/>
  <c r="L86" i="7"/>
  <c r="N28" i="7"/>
  <c r="N44" i="7"/>
  <c r="N37" i="7"/>
  <c r="L87" i="7"/>
  <c r="N41" i="7"/>
  <c r="L53" i="7"/>
  <c r="L90" i="7"/>
  <c r="G130" i="3"/>
  <c r="R130" i="3" s="1"/>
  <c r="T130" i="3" s="1"/>
  <c r="AG109" i="5"/>
  <c r="AG95" i="5"/>
  <c r="AG102" i="5"/>
  <c r="AG110" i="5"/>
  <c r="AG100" i="5"/>
  <c r="AG97" i="5"/>
  <c r="U91" i="8" s="1"/>
  <c r="U94" i="5"/>
  <c r="U76" i="5"/>
  <c r="U20" i="5"/>
  <c r="S35" i="8"/>
  <c r="U44" i="5"/>
  <c r="U60" i="5" s="1"/>
  <c r="S21" i="5"/>
  <c r="AG90" i="5"/>
  <c r="S89" i="8" s="1"/>
  <c r="Q76" i="8"/>
  <c r="Q48" i="8"/>
  <c r="Q54" i="8" s="1"/>
  <c r="O93" i="8"/>
  <c r="O82" i="8"/>
  <c r="O78" i="8"/>
  <c r="O83" i="8"/>
  <c r="O85" i="8"/>
  <c r="O81" i="8"/>
  <c r="O84" i="8"/>
  <c r="O79" i="8"/>
  <c r="O77" i="8"/>
  <c r="Q89" i="8"/>
  <c r="Q60" i="12"/>
  <c r="K134" i="3"/>
  <c r="G64" i="3"/>
  <c r="R64" i="3" s="1"/>
  <c r="T59" i="3"/>
  <c r="G94" i="3"/>
  <c r="R94" i="3" s="1"/>
  <c r="T94" i="3" s="1"/>
  <c r="G128" i="3"/>
  <c r="R128" i="3" s="1"/>
  <c r="T123" i="3"/>
  <c r="G65" i="3"/>
  <c r="R65" i="3" s="1"/>
  <c r="K135" i="3"/>
  <c r="G95" i="3"/>
  <c r="R95" i="3" s="1"/>
  <c r="T95" i="3" s="1"/>
  <c r="T60" i="3"/>
  <c r="T122" i="3"/>
  <c r="G127" i="3"/>
  <c r="R127" i="3" s="1"/>
  <c r="G98" i="3"/>
  <c r="R98" i="3" s="1"/>
  <c r="T98" i="3" s="1"/>
  <c r="T63" i="3"/>
  <c r="T124" i="3"/>
  <c r="G129" i="3"/>
  <c r="R129" i="3" s="1"/>
  <c r="G97" i="3"/>
  <c r="R97" i="3" s="1"/>
  <c r="T97" i="3" s="1"/>
  <c r="T62" i="3"/>
  <c r="AE118" i="5"/>
  <c r="O69" i="12"/>
  <c r="Q46" i="8" s="1"/>
  <c r="Q52" i="8" s="1"/>
  <c r="U79" i="9"/>
  <c r="S45" i="9" s="1"/>
  <c r="L107" i="7"/>
  <c r="L124" i="7" s="1"/>
  <c r="AA85" i="5"/>
  <c r="U81" i="9"/>
  <c r="S47" i="9" s="1"/>
  <c r="Q190" i="15"/>
  <c r="U83" i="9"/>
  <c r="S48" i="9" s="1"/>
  <c r="S51" i="9" s="1"/>
  <c r="Q46" i="9"/>
  <c r="U85" i="9"/>
  <c r="S50" i="9" s="1"/>
  <c r="S53" i="9" s="1"/>
  <c r="K87" i="8"/>
  <c r="Y78" i="5"/>
  <c r="K40" i="8"/>
  <c r="K43" i="8" s="1"/>
  <c r="Q49" i="9"/>
  <c r="Q52" i="9" s="1"/>
  <c r="Q50" i="9"/>
  <c r="Q53" i="9" s="1"/>
  <c r="K41" i="8"/>
  <c r="K44" i="8" s="1"/>
  <c r="N66" i="9"/>
  <c r="Q184" i="15"/>
  <c r="K30" i="12"/>
  <c r="Q45" i="9"/>
  <c r="K100" i="12"/>
  <c r="P108" i="7"/>
  <c r="AC85" i="5"/>
  <c r="K31" i="12" l="1"/>
  <c r="AA78" i="5" s="1"/>
  <c r="N51" i="7"/>
  <c r="N68" i="7" s="1"/>
  <c r="N95" i="7" s="1"/>
  <c r="L80" i="7"/>
  <c r="N26" i="7"/>
  <c r="S61" i="12"/>
  <c r="S60" i="12"/>
  <c r="Q85" i="8"/>
  <c r="Q81" i="8"/>
  <c r="Q93" i="8"/>
  <c r="Q84" i="8"/>
  <c r="Q79" i="8"/>
  <c r="Q77" i="8"/>
  <c r="Q83" i="8"/>
  <c r="Q82" i="8"/>
  <c r="Q78" i="8"/>
  <c r="AI102" i="5"/>
  <c r="AI95" i="5"/>
  <c r="AI110" i="5"/>
  <c r="AI100" i="5"/>
  <c r="AI109" i="5"/>
  <c r="AI97" i="5"/>
  <c r="S76" i="8"/>
  <c r="S48" i="8"/>
  <c r="S54" i="8" s="1"/>
  <c r="AI90" i="5"/>
  <c r="U89" i="8" s="1"/>
  <c r="U35" i="8"/>
  <c r="U21" i="5"/>
  <c r="L122" i="7"/>
  <c r="L129" i="7"/>
  <c r="G135" i="3"/>
  <c r="R135" i="3" s="1"/>
  <c r="T135" i="3" s="1"/>
  <c r="L119" i="7"/>
  <c r="L127" i="7"/>
  <c r="L113" i="7"/>
  <c r="L131" i="7"/>
  <c r="L132" i="7"/>
  <c r="L116" i="7"/>
  <c r="L125" i="7"/>
  <c r="L120" i="7"/>
  <c r="G132" i="3"/>
  <c r="R132" i="3" s="1"/>
  <c r="T132" i="3" s="1"/>
  <c r="T127" i="3"/>
  <c r="G100" i="3"/>
  <c r="R100" i="3" s="1"/>
  <c r="T100" i="3" s="1"/>
  <c r="T65" i="3"/>
  <c r="T128" i="3"/>
  <c r="G133" i="3"/>
  <c r="R133" i="3" s="1"/>
  <c r="T133" i="3" s="1"/>
  <c r="T64" i="3"/>
  <c r="G99" i="3"/>
  <c r="R99" i="3" s="1"/>
  <c r="T99" i="3" s="1"/>
  <c r="T129" i="3"/>
  <c r="G134" i="3"/>
  <c r="R134" i="3" s="1"/>
  <c r="T134" i="3" s="1"/>
  <c r="Q69" i="12"/>
  <c r="S46" i="8" s="1"/>
  <c r="S52" i="8" s="1"/>
  <c r="AG118" i="5"/>
  <c r="L118" i="7"/>
  <c r="L114" i="7"/>
  <c r="L130" i="7"/>
  <c r="L121" i="7"/>
  <c r="L126" i="7"/>
  <c r="L117" i="7"/>
  <c r="L115" i="7"/>
  <c r="L123" i="7"/>
  <c r="L128" i="7"/>
  <c r="Q191" i="15"/>
  <c r="J320" i="7" s="1"/>
  <c r="L329" i="7" s="1"/>
  <c r="N69" i="9"/>
  <c r="O69" i="9" s="1"/>
  <c r="R108" i="7"/>
  <c r="R107" i="7" s="1"/>
  <c r="AE85" i="5"/>
  <c r="Q48" i="9"/>
  <c r="Q51" i="9" s="1"/>
  <c r="K39" i="8"/>
  <c r="K42" i="8" s="1"/>
  <c r="P107" i="7"/>
  <c r="K33" i="12" l="1"/>
  <c r="K37" i="12" s="1"/>
  <c r="M47" i="8" s="1"/>
  <c r="U56" i="9" s="1"/>
  <c r="L323" i="7"/>
  <c r="N58" i="7"/>
  <c r="P31" i="7" s="1"/>
  <c r="N63" i="7"/>
  <c r="P36" i="7" s="1"/>
  <c r="N65" i="7"/>
  <c r="N92" i="7" s="1"/>
  <c r="K32" i="12"/>
  <c r="K34" i="12" s="1"/>
  <c r="L321" i="7" s="1"/>
  <c r="N60" i="7"/>
  <c r="P33" i="7" s="1"/>
  <c r="N56" i="7"/>
  <c r="P29" i="7" s="1"/>
  <c r="N62" i="7"/>
  <c r="P35" i="7" s="1"/>
  <c r="N61" i="7"/>
  <c r="P34" i="7" s="1"/>
  <c r="N59" i="7"/>
  <c r="P32" i="7" s="1"/>
  <c r="N54" i="7"/>
  <c r="P27" i="7" s="1"/>
  <c r="N72" i="7"/>
  <c r="N99" i="7" s="1"/>
  <c r="N71" i="7"/>
  <c r="N57" i="7"/>
  <c r="P30" i="7" s="1"/>
  <c r="N55" i="7"/>
  <c r="P28" i="7" s="1"/>
  <c r="N66" i="7"/>
  <c r="N93" i="7" s="1"/>
  <c r="N69" i="7"/>
  <c r="M87" i="8"/>
  <c r="N70" i="7"/>
  <c r="N67" i="7"/>
  <c r="N73" i="7"/>
  <c r="N64" i="7"/>
  <c r="N91" i="7" s="1"/>
  <c r="P38" i="7"/>
  <c r="P45" i="7"/>
  <c r="P41" i="7"/>
  <c r="AA82" i="5"/>
  <c r="M27" i="12"/>
  <c r="M30" i="12" s="1"/>
  <c r="N71" i="9"/>
  <c r="U76" i="8"/>
  <c r="U48" i="8"/>
  <c r="U54" i="8" s="1"/>
  <c r="S84" i="8"/>
  <c r="S79" i="8"/>
  <c r="S77" i="8"/>
  <c r="S83" i="8"/>
  <c r="S85" i="8"/>
  <c r="S81" i="8"/>
  <c r="S93" i="8"/>
  <c r="S82" i="8"/>
  <c r="S78" i="8"/>
  <c r="Q192" i="15"/>
  <c r="S69" i="12"/>
  <c r="U46" i="8" s="1"/>
  <c r="U52" i="8" s="1"/>
  <c r="AI118" i="5"/>
  <c r="L112" i="7"/>
  <c r="T108" i="7"/>
  <c r="AI85" i="5" s="1"/>
  <c r="AG85" i="5"/>
  <c r="M88" i="8" l="1"/>
  <c r="N126" i="7"/>
  <c r="N94" i="7"/>
  <c r="P43" i="7"/>
  <c r="N97" i="7"/>
  <c r="P46" i="7"/>
  <c r="N100" i="7"/>
  <c r="P42" i="7"/>
  <c r="N96" i="7"/>
  <c r="P44" i="7"/>
  <c r="N98" i="7"/>
  <c r="L322" i="7"/>
  <c r="L324" i="7" s="1"/>
  <c r="N81" i="7"/>
  <c r="N113" i="7" s="1"/>
  <c r="N85" i="7"/>
  <c r="N117" i="7" s="1"/>
  <c r="N90" i="7"/>
  <c r="N122" i="7" s="1"/>
  <c r="N86" i="7"/>
  <c r="N118" i="7" s="1"/>
  <c r="N130" i="7"/>
  <c r="N87" i="7"/>
  <c r="N119" i="7" s="1"/>
  <c r="N82" i="7"/>
  <c r="N114" i="7" s="1"/>
  <c r="P40" i="7"/>
  <c r="P39" i="7"/>
  <c r="N84" i="7"/>
  <c r="N116" i="7" s="1"/>
  <c r="N83" i="7"/>
  <c r="N115" i="7" s="1"/>
  <c r="N129" i="7"/>
  <c r="N53" i="7"/>
  <c r="P51" i="7" s="1"/>
  <c r="P37" i="7"/>
  <c r="N88" i="7"/>
  <c r="N120" i="7" s="1"/>
  <c r="N131" i="7"/>
  <c r="N89" i="7"/>
  <c r="N121" i="7" s="1"/>
  <c r="M28" i="5"/>
  <c r="M53" i="8"/>
  <c r="M49" i="8"/>
  <c r="U58" i="9" s="1"/>
  <c r="K62" i="12"/>
  <c r="K70" i="12" s="1"/>
  <c r="N128" i="7"/>
  <c r="N123" i="7"/>
  <c r="N132" i="7"/>
  <c r="N125" i="7"/>
  <c r="N124" i="7"/>
  <c r="N127" i="7"/>
  <c r="U83" i="8"/>
  <c r="U79" i="8"/>
  <c r="U77" i="8"/>
  <c r="U93" i="8"/>
  <c r="U82" i="8"/>
  <c r="U78" i="8"/>
  <c r="U84" i="8"/>
  <c r="U85" i="8"/>
  <c r="U81" i="8"/>
  <c r="T107" i="7"/>
  <c r="L326" i="7" l="1"/>
  <c r="L325" i="7"/>
  <c r="M31" i="12"/>
  <c r="O87" i="8" s="1"/>
  <c r="P26" i="7"/>
  <c r="O27" i="12" s="1"/>
  <c r="O30" i="12" s="1"/>
  <c r="P64" i="7"/>
  <c r="P66" i="7"/>
  <c r="P65" i="7"/>
  <c r="P92" i="7" s="1"/>
  <c r="N80" i="7"/>
  <c r="AC82" i="5" s="1"/>
  <c r="P70" i="7"/>
  <c r="R43" i="7" s="1"/>
  <c r="P56" i="7"/>
  <c r="R29" i="7" s="1"/>
  <c r="P71" i="7"/>
  <c r="R44" i="7" s="1"/>
  <c r="P62" i="7"/>
  <c r="R35" i="7" s="1"/>
  <c r="P58" i="7"/>
  <c r="P85" i="7" s="1"/>
  <c r="P117" i="7" s="1"/>
  <c r="P72" i="7"/>
  <c r="P63" i="7"/>
  <c r="P90" i="7" s="1"/>
  <c r="P61" i="7"/>
  <c r="P88" i="7" s="1"/>
  <c r="P120" i="7" s="1"/>
  <c r="P69" i="7"/>
  <c r="R42" i="7" s="1"/>
  <c r="P67" i="7"/>
  <c r="P94" i="7" s="1"/>
  <c r="P59" i="7"/>
  <c r="P86" i="7" s="1"/>
  <c r="P57" i="7"/>
  <c r="R30" i="7" s="1"/>
  <c r="P54" i="7"/>
  <c r="R27" i="7" s="1"/>
  <c r="P73" i="7"/>
  <c r="R46" i="7" s="1"/>
  <c r="P68" i="7"/>
  <c r="P95" i="7" s="1"/>
  <c r="P60" i="7"/>
  <c r="R33" i="7" s="1"/>
  <c r="P55" i="7"/>
  <c r="P82" i="7" s="1"/>
  <c r="P114" i="7" s="1"/>
  <c r="R38" i="7"/>
  <c r="R40" i="7"/>
  <c r="K71" i="12"/>
  <c r="M55" i="8"/>
  <c r="N112" i="7"/>
  <c r="O28" i="5" s="1"/>
  <c r="L327" i="7" l="1"/>
  <c r="L328" i="7" s="1"/>
  <c r="K327" i="7"/>
  <c r="M32" i="12"/>
  <c r="M34" i="12" s="1"/>
  <c r="N321" i="7" s="1"/>
  <c r="P100" i="7"/>
  <c r="P98" i="7"/>
  <c r="R45" i="7"/>
  <c r="P99" i="7"/>
  <c r="R39" i="7"/>
  <c r="P93" i="7"/>
  <c r="R37" i="7"/>
  <c r="P91" i="7"/>
  <c r="P97" i="7"/>
  <c r="P96" i="7"/>
  <c r="AC78" i="5"/>
  <c r="N323" i="7"/>
  <c r="N322" i="7" s="1"/>
  <c r="N324" i="7" s="1"/>
  <c r="P123" i="7"/>
  <c r="P130" i="7"/>
  <c r="P87" i="7"/>
  <c r="P119" i="7" s="1"/>
  <c r="P84" i="7"/>
  <c r="P116" i="7" s="1"/>
  <c r="R34" i="7"/>
  <c r="P83" i="7"/>
  <c r="P115" i="7" s="1"/>
  <c r="M33" i="12"/>
  <c r="O88" i="8" s="1"/>
  <c r="P125" i="7"/>
  <c r="P128" i="7"/>
  <c r="P131" i="7"/>
  <c r="P132" i="7"/>
  <c r="P81" i="7"/>
  <c r="P113" i="7" s="1"/>
  <c r="P53" i="7"/>
  <c r="R51" i="7" s="1"/>
  <c r="R31" i="7"/>
  <c r="R28" i="7"/>
  <c r="P89" i="7"/>
  <c r="P121" i="7" s="1"/>
  <c r="R41" i="7"/>
  <c r="R32" i="7"/>
  <c r="R36" i="7"/>
  <c r="P122" i="7"/>
  <c r="P118" i="7"/>
  <c r="P127" i="7"/>
  <c r="P129" i="7"/>
  <c r="P126" i="7"/>
  <c r="K77" i="12"/>
  <c r="K79" i="12"/>
  <c r="M78" i="12" s="1"/>
  <c r="AA119" i="5"/>
  <c r="K81" i="12"/>
  <c r="M80" i="12" s="1"/>
  <c r="P124" i="7"/>
  <c r="K50" i="12" l="1"/>
  <c r="K55" i="12" s="1"/>
  <c r="N326" i="7"/>
  <c r="N325" i="7"/>
  <c r="N327" i="7" s="1"/>
  <c r="N328" i="7" s="1"/>
  <c r="M50" i="12" s="1"/>
  <c r="M37" i="12"/>
  <c r="M62" i="12" s="1"/>
  <c r="M70" i="12" s="1"/>
  <c r="M71" i="12" s="1"/>
  <c r="AC119" i="5" s="1"/>
  <c r="O31" i="12"/>
  <c r="O32" i="12" s="1"/>
  <c r="O34" i="12" s="1"/>
  <c r="P321" i="7" s="1"/>
  <c r="R26" i="7"/>
  <c r="Q27" i="12" s="1"/>
  <c r="Q30" i="12" s="1"/>
  <c r="P80" i="7"/>
  <c r="O33" i="12" s="1"/>
  <c r="Q88" i="8" s="1"/>
  <c r="R64" i="7"/>
  <c r="T37" i="7" s="1"/>
  <c r="R68" i="7"/>
  <c r="R61" i="7"/>
  <c r="R62" i="7"/>
  <c r="R72" i="7"/>
  <c r="T45" i="7" s="1"/>
  <c r="R70" i="7"/>
  <c r="R97" i="7" s="1"/>
  <c r="R60" i="7"/>
  <c r="T33" i="7" s="1"/>
  <c r="R67" i="7"/>
  <c r="R57" i="7"/>
  <c r="T30" i="7" s="1"/>
  <c r="R71" i="7"/>
  <c r="R98" i="7" s="1"/>
  <c r="R63" i="7"/>
  <c r="T36" i="7" s="1"/>
  <c r="R58" i="7"/>
  <c r="R73" i="7"/>
  <c r="R100" i="7" s="1"/>
  <c r="R66" i="7"/>
  <c r="R93" i="7" s="1"/>
  <c r="R55" i="7"/>
  <c r="R69" i="7"/>
  <c r="T42" i="7" s="1"/>
  <c r="R65" i="7"/>
  <c r="R92" i="7" s="1"/>
  <c r="R59" i="7"/>
  <c r="R54" i="7"/>
  <c r="R56" i="7"/>
  <c r="T29" i="7" s="1"/>
  <c r="M67" i="8"/>
  <c r="K119" i="12"/>
  <c r="M69" i="8" s="1"/>
  <c r="M66" i="8"/>
  <c r="M65" i="8"/>
  <c r="K118" i="12"/>
  <c r="M68" i="8" s="1"/>
  <c r="M76" i="12"/>
  <c r="P112" i="7"/>
  <c r="Q28" i="5" s="1"/>
  <c r="T44" i="7"/>
  <c r="M44" i="12" l="1"/>
  <c r="N329" i="7" s="1"/>
  <c r="K93" i="12"/>
  <c r="K89" i="12"/>
  <c r="M37" i="8" s="1"/>
  <c r="U43" i="9" s="1"/>
  <c r="K94" i="12"/>
  <c r="K87" i="12"/>
  <c r="M36" i="8" s="1"/>
  <c r="U42" i="9" s="1"/>
  <c r="K91" i="12"/>
  <c r="M38" i="8" s="1"/>
  <c r="U44" i="9" s="1"/>
  <c r="K92" i="12"/>
  <c r="K126" i="12" s="1"/>
  <c r="M50" i="8"/>
  <c r="M60" i="8" s="1"/>
  <c r="T41" i="7"/>
  <c r="R95" i="7"/>
  <c r="R96" i="7"/>
  <c r="R91" i="7"/>
  <c r="T40" i="7"/>
  <c r="R94" i="7"/>
  <c r="R99" i="7"/>
  <c r="M79" i="12"/>
  <c r="M119" i="12" s="1"/>
  <c r="O69" i="8" s="1"/>
  <c r="M81" i="12"/>
  <c r="O67" i="8" s="1"/>
  <c r="O47" i="8"/>
  <c r="O49" i="8" s="1"/>
  <c r="O55" i="8" s="1"/>
  <c r="AE78" i="5"/>
  <c r="Q87" i="8"/>
  <c r="AE82" i="5"/>
  <c r="P323" i="7"/>
  <c r="P322" i="7" s="1"/>
  <c r="P324" i="7" s="1"/>
  <c r="T46" i="7"/>
  <c r="T38" i="7"/>
  <c r="T43" i="7"/>
  <c r="T27" i="7"/>
  <c r="T34" i="7"/>
  <c r="T28" i="7"/>
  <c r="T32" i="7"/>
  <c r="T31" i="7"/>
  <c r="T39" i="7"/>
  <c r="T35" i="7"/>
  <c r="R132" i="7"/>
  <c r="R125" i="7"/>
  <c r="R131" i="7"/>
  <c r="R126" i="7"/>
  <c r="R130" i="7"/>
  <c r="M49" i="12"/>
  <c r="M55" i="12"/>
  <c r="M77" i="12"/>
  <c r="M118" i="12" s="1"/>
  <c r="K108" i="12"/>
  <c r="M71" i="8"/>
  <c r="M70" i="8"/>
  <c r="O37" i="12"/>
  <c r="O62" i="12" s="1"/>
  <c r="O70" i="12" s="1"/>
  <c r="O71" i="12" s="1"/>
  <c r="AE119" i="5" s="1"/>
  <c r="R81" i="7"/>
  <c r="R53" i="7"/>
  <c r="T51" i="7" s="1"/>
  <c r="R88" i="7"/>
  <c r="R120" i="7" s="1"/>
  <c r="R82" i="7"/>
  <c r="R86" i="7"/>
  <c r="R118" i="7" s="1"/>
  <c r="R85" i="7"/>
  <c r="R117" i="7" s="1"/>
  <c r="R89" i="7"/>
  <c r="R121" i="7" s="1"/>
  <c r="R90" i="7"/>
  <c r="R83" i="7"/>
  <c r="R87" i="7"/>
  <c r="R84" i="7"/>
  <c r="R116" i="7" s="1"/>
  <c r="M56" i="8" l="1"/>
  <c r="M61" i="8"/>
  <c r="K109" i="12"/>
  <c r="M40" i="8" s="1"/>
  <c r="M43" i="8" s="1"/>
  <c r="U52" i="9" s="1"/>
  <c r="M58" i="8"/>
  <c r="K115" i="12"/>
  <c r="K116" i="12" s="1"/>
  <c r="M41" i="8" s="1"/>
  <c r="M44" i="8" s="1"/>
  <c r="U53" i="9" s="1"/>
  <c r="U59" i="9"/>
  <c r="M63" i="8"/>
  <c r="M62" i="8" s="1"/>
  <c r="M59" i="8"/>
  <c r="K101" i="12"/>
  <c r="K102" i="12" s="1"/>
  <c r="M39" i="8" s="1"/>
  <c r="U48" i="9" s="1"/>
  <c r="U45" i="9" s="1"/>
  <c r="O80" i="12"/>
  <c r="O66" i="8"/>
  <c r="O78" i="12"/>
  <c r="O79" i="12" s="1"/>
  <c r="O53" i="8"/>
  <c r="P326" i="7"/>
  <c r="P325" i="7"/>
  <c r="M90" i="12"/>
  <c r="M113" i="12" s="1"/>
  <c r="M114" i="12" s="1"/>
  <c r="M88" i="12"/>
  <c r="M106" i="12" s="1"/>
  <c r="M107" i="12" s="1"/>
  <c r="M86" i="12"/>
  <c r="M99" i="12" s="1"/>
  <c r="M100" i="12" s="1"/>
  <c r="M94" i="12"/>
  <c r="M92" i="12"/>
  <c r="M93" i="12"/>
  <c r="M91" i="12"/>
  <c r="M115" i="12" s="1"/>
  <c r="O50" i="8"/>
  <c r="O60" i="8" s="1"/>
  <c r="M89" i="12"/>
  <c r="O37" i="8" s="1"/>
  <c r="O44" i="12"/>
  <c r="P329" i="7" s="1"/>
  <c r="R80" i="7"/>
  <c r="R323" i="7" s="1"/>
  <c r="R322" i="7" s="1"/>
  <c r="O65" i="8"/>
  <c r="M87" i="12"/>
  <c r="O68" i="8"/>
  <c r="O76" i="12"/>
  <c r="U49" i="9"/>
  <c r="U46" i="9" s="1"/>
  <c r="Q47" i="8"/>
  <c r="Q49" i="8" s="1"/>
  <c r="Q55" i="8" s="1"/>
  <c r="R129" i="7"/>
  <c r="R115" i="7"/>
  <c r="R124" i="7"/>
  <c r="R114" i="7"/>
  <c r="Q31" i="12"/>
  <c r="O81" i="12"/>
  <c r="R113" i="7"/>
  <c r="R127" i="7"/>
  <c r="R119" i="7"/>
  <c r="R122" i="7"/>
  <c r="R128" i="7"/>
  <c r="R123" i="7"/>
  <c r="T26" i="7"/>
  <c r="M42" i="8" l="1"/>
  <c r="U51" i="9" s="1"/>
  <c r="U50" i="9"/>
  <c r="U47" i="9" s="1"/>
  <c r="K125" i="12"/>
  <c r="P327" i="7"/>
  <c r="P328" i="7" s="1"/>
  <c r="M116" i="12"/>
  <c r="O41" i="8" s="1"/>
  <c r="O44" i="8" s="1"/>
  <c r="T57" i="7"/>
  <c r="T61" i="7"/>
  <c r="T65" i="7"/>
  <c r="T92" i="7" s="1"/>
  <c r="T69" i="7"/>
  <c r="T96" i="7" s="1"/>
  <c r="T73" i="7"/>
  <c r="T100" i="7" s="1"/>
  <c r="T55" i="7"/>
  <c r="T59" i="7"/>
  <c r="T63" i="7"/>
  <c r="T67" i="7"/>
  <c r="T94" i="7" s="1"/>
  <c r="T71" i="7"/>
  <c r="T98" i="7" s="1"/>
  <c r="T72" i="7"/>
  <c r="T99" i="7" s="1"/>
  <c r="T56" i="7"/>
  <c r="T58" i="7"/>
  <c r="T60" i="7"/>
  <c r="T68" i="7"/>
  <c r="T95" i="7" s="1"/>
  <c r="T70" i="7"/>
  <c r="T97" i="7" s="1"/>
  <c r="T54" i="7"/>
  <c r="T64" i="7"/>
  <c r="T91" i="7" s="1"/>
  <c r="T66" i="7"/>
  <c r="T93" i="7" s="1"/>
  <c r="T62" i="7"/>
  <c r="O63" i="8"/>
  <c r="N63" i="8" s="1"/>
  <c r="O56" i="8"/>
  <c r="O49" i="12"/>
  <c r="O90" i="12" s="1"/>
  <c r="O113" i="12" s="1"/>
  <c r="O114" i="12" s="1"/>
  <c r="M126" i="12"/>
  <c r="O38" i="8"/>
  <c r="M108" i="12"/>
  <c r="M109" i="12" s="1"/>
  <c r="O40" i="8" s="1"/>
  <c r="O43" i="8" s="1"/>
  <c r="O61" i="8"/>
  <c r="O58" i="8"/>
  <c r="O59" i="8"/>
  <c r="Q53" i="8"/>
  <c r="Q33" i="12"/>
  <c r="S88" i="8" s="1"/>
  <c r="AG82" i="5"/>
  <c r="O77" i="12"/>
  <c r="O118" i="12" s="1"/>
  <c r="O36" i="8"/>
  <c r="M101" i="12"/>
  <c r="O70" i="8"/>
  <c r="O71" i="8"/>
  <c r="S27" i="12"/>
  <c r="R326" i="7"/>
  <c r="R324" i="7"/>
  <c r="R325" i="7"/>
  <c r="R112" i="7"/>
  <c r="S28" i="5" s="1"/>
  <c r="S87" i="8"/>
  <c r="AG78" i="5"/>
  <c r="Q32" i="12"/>
  <c r="Q34" i="12" s="1"/>
  <c r="R321" i="7" s="1"/>
  <c r="Q67" i="8"/>
  <c r="Q80" i="12"/>
  <c r="Q78" i="12"/>
  <c r="O119" i="12"/>
  <c r="Q69" i="8" s="1"/>
  <c r="Q66" i="8"/>
  <c r="O50" i="12" l="1"/>
  <c r="Q44" i="12" s="1"/>
  <c r="O88" i="12"/>
  <c r="O106" i="12" s="1"/>
  <c r="O107" i="12" s="1"/>
  <c r="O86" i="12"/>
  <c r="O99" i="12" s="1"/>
  <c r="O100" i="12" s="1"/>
  <c r="O62" i="8"/>
  <c r="Q37" i="12"/>
  <c r="S47" i="8" s="1"/>
  <c r="Q76" i="12"/>
  <c r="Q68" i="8"/>
  <c r="Q65" i="8"/>
  <c r="Q70" i="8" s="1"/>
  <c r="M102" i="12"/>
  <c r="O39" i="8" s="1"/>
  <c r="O42" i="8" s="1"/>
  <c r="M125" i="12"/>
  <c r="T123" i="7"/>
  <c r="T125" i="7"/>
  <c r="T130" i="7"/>
  <c r="T82" i="7"/>
  <c r="T114" i="7" s="1"/>
  <c r="T128" i="7"/>
  <c r="T126" i="7"/>
  <c r="T85" i="7"/>
  <c r="T117" i="7" s="1"/>
  <c r="T129" i="7"/>
  <c r="T81" i="7"/>
  <c r="T113" i="7" s="1"/>
  <c r="T86" i="7"/>
  <c r="T118" i="7" s="1"/>
  <c r="T90" i="7"/>
  <c r="T122" i="7" s="1"/>
  <c r="T124" i="7"/>
  <c r="T88" i="7"/>
  <c r="T120" i="7" s="1"/>
  <c r="T131" i="7"/>
  <c r="T127" i="7"/>
  <c r="S30" i="12"/>
  <c r="T132" i="7"/>
  <c r="T89" i="7"/>
  <c r="T121" i="7" s="1"/>
  <c r="T84" i="7"/>
  <c r="T116" i="7" s="1"/>
  <c r="T83" i="7"/>
  <c r="T115" i="7" s="1"/>
  <c r="T87" i="7"/>
  <c r="T119" i="7" s="1"/>
  <c r="R327" i="7"/>
  <c r="R328" i="7" s="1"/>
  <c r="Q50" i="12" s="1"/>
  <c r="T53" i="7"/>
  <c r="O55" i="12" l="1"/>
  <c r="O93" i="12" s="1"/>
  <c r="R329" i="7"/>
  <c r="Q49" i="12"/>
  <c r="Q88" i="12" s="1"/>
  <c r="Q106" i="12" s="1"/>
  <c r="Q107" i="12" s="1"/>
  <c r="Q62" i="12"/>
  <c r="Q70" i="12" s="1"/>
  <c r="Q71" i="12" s="1"/>
  <c r="AG119" i="5" s="1"/>
  <c r="Q71" i="8"/>
  <c r="T80" i="7"/>
  <c r="T112" i="7"/>
  <c r="U28" i="5" s="1"/>
  <c r="S31" i="12"/>
  <c r="Q55" i="12"/>
  <c r="S44" i="12"/>
  <c r="S49" i="8"/>
  <c r="S53" i="8"/>
  <c r="O92" i="12" l="1"/>
  <c r="O126" i="12" s="1"/>
  <c r="O94" i="12"/>
  <c r="O89" i="12"/>
  <c r="Q37" i="8" s="1"/>
  <c r="Q86" i="12"/>
  <c r="Q99" i="12" s="1"/>
  <c r="Q100" i="12" s="1"/>
  <c r="O91" i="12"/>
  <c r="O115" i="12" s="1"/>
  <c r="O116" i="12" s="1"/>
  <c r="Q41" i="8" s="1"/>
  <c r="Q44" i="8" s="1"/>
  <c r="Q90" i="12"/>
  <c r="Q113" i="12" s="1"/>
  <c r="Q114" i="12" s="1"/>
  <c r="Q50" i="8"/>
  <c r="Q59" i="8" s="1"/>
  <c r="O87" i="12"/>
  <c r="Q36" i="8" s="1"/>
  <c r="O108" i="12"/>
  <c r="O109" i="12" s="1"/>
  <c r="Q40" i="8" s="1"/>
  <c r="Q43" i="8" s="1"/>
  <c r="Q79" i="12"/>
  <c r="S66" i="8" s="1"/>
  <c r="Q77" i="12"/>
  <c r="Q118" i="12" s="1"/>
  <c r="Q81" i="12"/>
  <c r="S80" i="12" s="1"/>
  <c r="S33" i="12"/>
  <c r="U88" i="8" s="1"/>
  <c r="T323" i="7"/>
  <c r="T322" i="7" s="1"/>
  <c r="T326" i="7" s="1"/>
  <c r="AI82" i="5"/>
  <c r="S55" i="8"/>
  <c r="S49" i="12"/>
  <c r="T329" i="7"/>
  <c r="AI78" i="5"/>
  <c r="U87" i="8"/>
  <c r="S32" i="12"/>
  <c r="S34" i="12" s="1"/>
  <c r="T321" i="7" s="1"/>
  <c r="S50" i="8"/>
  <c r="S61" i="8" s="1"/>
  <c r="Q93" i="12"/>
  <c r="Q94" i="12"/>
  <c r="Q92" i="12"/>
  <c r="Q38" i="8" l="1"/>
  <c r="Q126" i="12"/>
  <c r="Q60" i="8"/>
  <c r="Q61" i="8"/>
  <c r="Q63" i="8"/>
  <c r="P63" i="8" s="1"/>
  <c r="Q58" i="8"/>
  <c r="Q56" i="8"/>
  <c r="O101" i="12"/>
  <c r="O102" i="12" s="1"/>
  <c r="Q39" i="8" s="1"/>
  <c r="Q42" i="8" s="1"/>
  <c r="S68" i="8"/>
  <c r="S78" i="12"/>
  <c r="Q119" i="12"/>
  <c r="S69" i="8" s="1"/>
  <c r="Q87" i="12"/>
  <c r="S36" i="8" s="1"/>
  <c r="Q89" i="12"/>
  <c r="S37" i="8" s="1"/>
  <c r="S65" i="8"/>
  <c r="S70" i="8" s="1"/>
  <c r="S76" i="12"/>
  <c r="S86" i="12" s="1"/>
  <c r="S99" i="12" s="1"/>
  <c r="S100" i="12" s="1"/>
  <c r="S90" i="12"/>
  <c r="S113" i="12" s="1"/>
  <c r="S114" i="12" s="1"/>
  <c r="Q91" i="12"/>
  <c r="Q115" i="12" s="1"/>
  <c r="Q116" i="12" s="1"/>
  <c r="S41" i="8" s="1"/>
  <c r="S44" i="8" s="1"/>
  <c r="S67" i="8"/>
  <c r="S37" i="12"/>
  <c r="U47" i="8" s="1"/>
  <c r="T324" i="7"/>
  <c r="T325" i="7"/>
  <c r="S88" i="12"/>
  <c r="S106" i="12" s="1"/>
  <c r="S107" i="12" s="1"/>
  <c r="S63" i="8"/>
  <c r="R63" i="8" s="1"/>
  <c r="S58" i="8"/>
  <c r="S60" i="8"/>
  <c r="S56" i="8"/>
  <c r="S59" i="8"/>
  <c r="Q62" i="8" l="1"/>
  <c r="O125" i="12"/>
  <c r="Q108" i="12"/>
  <c r="Q109" i="12" s="1"/>
  <c r="S40" i="8" s="1"/>
  <c r="S43" i="8" s="1"/>
  <c r="S71" i="8"/>
  <c r="S38" i="8"/>
  <c r="Q101" i="12"/>
  <c r="Q102" i="12" s="1"/>
  <c r="S39" i="8" s="1"/>
  <c r="S42" i="8" s="1"/>
  <c r="S62" i="12"/>
  <c r="S70" i="12" s="1"/>
  <c r="S71" i="12" s="1"/>
  <c r="T327" i="7"/>
  <c r="T328" i="7" s="1"/>
  <c r="S50" i="12" s="1"/>
  <c r="U53" i="8"/>
  <c r="U49" i="8"/>
  <c r="S62" i="8"/>
  <c r="S55" i="12" l="1"/>
  <c r="Q125" i="12"/>
  <c r="S79" i="12"/>
  <c r="S77" i="12"/>
  <c r="S118" i="12" s="1"/>
  <c r="S81" i="12"/>
  <c r="AI119" i="5"/>
  <c r="U55" i="8"/>
  <c r="S93" i="12" l="1"/>
  <c r="S94" i="12"/>
  <c r="S92" i="12"/>
  <c r="S126" i="12" s="1"/>
  <c r="U50" i="8"/>
  <c r="U56" i="8" s="1"/>
  <c r="S91" i="12"/>
  <c r="S115" i="12" s="1"/>
  <c r="S89" i="12"/>
  <c r="S108" i="12" s="1"/>
  <c r="U65" i="8"/>
  <c r="U70" i="8" s="1"/>
  <c r="U66" i="8"/>
  <c r="S119" i="12"/>
  <c r="U69" i="8" s="1"/>
  <c r="S87" i="12"/>
  <c r="S101" i="12" s="1"/>
  <c r="U67" i="8"/>
  <c r="U68" i="8"/>
  <c r="S109" i="12" l="1"/>
  <c r="U40" i="8" s="1"/>
  <c r="U43" i="8" s="1"/>
  <c r="S116" i="12"/>
  <c r="U41" i="8" s="1"/>
  <c r="U44" i="8" s="1"/>
  <c r="U37" i="8"/>
  <c r="U38" i="8" s="1"/>
  <c r="U59" i="8"/>
  <c r="U63" i="8"/>
  <c r="T63" i="8" s="1"/>
  <c r="U71" i="8"/>
  <c r="U61" i="8"/>
  <c r="U60" i="8"/>
  <c r="V63" i="8"/>
  <c r="U58" i="8"/>
  <c r="U36" i="8"/>
  <c r="S125" i="12"/>
  <c r="S102" i="12"/>
  <c r="U39" i="8" s="1"/>
  <c r="U42" i="8" s="1"/>
  <c r="U62" i="8" l="1"/>
</calcChain>
</file>

<file path=xl/comments1.xml><?xml version="1.0" encoding="utf-8"?>
<comments xmlns="http://schemas.openxmlformats.org/spreadsheetml/2006/main">
  <authors>
    <author>cschmieder</author>
  </authors>
  <commentList>
    <comment ref="C3" authorId="0" shapeId="0">
      <text>
        <r>
          <rPr>
            <b/>
            <sz val="9"/>
            <color indexed="81"/>
            <rFont val="Tahoma"/>
            <family val="2"/>
          </rPr>
          <t>cschmieder:</t>
        </r>
        <r>
          <rPr>
            <sz val="9"/>
            <color indexed="81"/>
            <rFont val="Tahoma"/>
            <family val="2"/>
          </rPr>
          <t xml:space="preserve">
Caveat: LGDs are based on the simulation of a default of the same firm (a hotel), i.e. do not take into account potential differences in the level of credit mitigation (collateral type and level) and other factors;</t>
        </r>
      </text>
    </comment>
  </commentList>
</comments>
</file>

<file path=xl/comments2.xml><?xml version="1.0" encoding="utf-8"?>
<comments xmlns="http://schemas.openxmlformats.org/spreadsheetml/2006/main">
  <authors>
    <author>blackice3</author>
  </authors>
  <commentList>
    <comment ref="X2" authorId="0" shapeId="0">
      <text>
        <r>
          <rPr>
            <b/>
            <sz val="9"/>
            <color indexed="81"/>
            <rFont val="Tahoma"/>
            <family val="2"/>
          </rPr>
          <t xml:space="preserve">Change for loss assumptions
</t>
        </r>
      </text>
    </comment>
  </commentList>
</comments>
</file>

<file path=xl/sharedStrings.xml><?xml version="1.0" encoding="utf-8"?>
<sst xmlns="http://schemas.openxmlformats.org/spreadsheetml/2006/main" count="3654" uniqueCount="1463">
  <si>
    <t>Year</t>
  </si>
  <si>
    <t>Periods/Year</t>
  </si>
  <si>
    <t>Figures Base</t>
  </si>
  <si>
    <t>Currency</t>
  </si>
  <si>
    <t>Conversion Rate to USD</t>
  </si>
  <si>
    <t>Total Assets</t>
  </si>
  <si>
    <t>Total Loans and advances (net)</t>
  </si>
  <si>
    <t>Loans to Customers</t>
  </si>
  <si>
    <t>Loans to Banks</t>
  </si>
  <si>
    <t>Cash and cash equivalents</t>
  </si>
  <si>
    <t>Government Bonds &amp; Treasury Bills</t>
  </si>
  <si>
    <t>Trading &amp; Investment Portfolio</t>
  </si>
  <si>
    <t>thereof: Trading assets &amp; Fair value assets</t>
  </si>
  <si>
    <t>Equity Investments</t>
  </si>
  <si>
    <t>Asset backed assets</t>
  </si>
  <si>
    <t>Trading securities</t>
  </si>
  <si>
    <t>thereof: Derivatives</t>
  </si>
  <si>
    <t>thereof: Credit Derivatives</t>
  </si>
  <si>
    <t>thereof: Investment(s) (Securities)</t>
  </si>
  <si>
    <t>[Total earning assets]</t>
  </si>
  <si>
    <t xml:space="preserve">Total Other Assets </t>
  </si>
  <si>
    <t>Total Liabilities</t>
  </si>
  <si>
    <t>Total deposits</t>
  </si>
  <si>
    <t>thereof: Demand deposits</t>
  </si>
  <si>
    <t>Thereof: wholesale deposits</t>
  </si>
  <si>
    <t>thereof: Term Deposits</t>
  </si>
  <si>
    <t>thereof: Corporate Term deposits</t>
  </si>
  <si>
    <t>Total Market Funding</t>
  </si>
  <si>
    <t>Trading &amp; fair value accounts</t>
  </si>
  <si>
    <t>Repo, Commercial Papers</t>
  </si>
  <si>
    <t>Derivatives</t>
  </si>
  <si>
    <t>Other borrowings</t>
  </si>
  <si>
    <t>Long-term debt (incl. medium-term)</t>
  </si>
  <si>
    <t>Other liabilities</t>
  </si>
  <si>
    <t>[Net interest-bearing liabilities]</t>
  </si>
  <si>
    <t>Financial Statements/Balance Sheet</t>
  </si>
  <si>
    <t>Total Equity</t>
  </si>
  <si>
    <t>Share capital and share premium</t>
  </si>
  <si>
    <t>Retained Earnings</t>
  </si>
  <si>
    <t>Reserves</t>
  </si>
  <si>
    <t>Minority Interest</t>
  </si>
  <si>
    <t>Other</t>
  </si>
  <si>
    <t>Income Statement</t>
  </si>
  <si>
    <t>Net Interest Income</t>
  </si>
  <si>
    <t>Interest income</t>
  </si>
  <si>
    <t>Interest expenses</t>
  </si>
  <si>
    <t xml:space="preserve">Net Fee and Commission Income </t>
  </si>
  <si>
    <t>Fee and Commission Income</t>
  </si>
  <si>
    <t>Fee and Commission Expenses</t>
  </si>
  <si>
    <t>Net Trading Income</t>
  </si>
  <si>
    <t>Trading income</t>
  </si>
  <si>
    <t xml:space="preserve">Trading expenses </t>
  </si>
  <si>
    <t>Other Operating Income</t>
  </si>
  <si>
    <t>Operating Income</t>
  </si>
  <si>
    <t>Total Operating Expenses</t>
  </si>
  <si>
    <t>Net impairment loss on financial assets</t>
  </si>
  <si>
    <t>thereof: Loan Loss Provisions</t>
  </si>
  <si>
    <t>Net operating income</t>
  </si>
  <si>
    <t>Net Non-Operating Income</t>
  </si>
  <si>
    <t>Net Extraordinary Income</t>
  </si>
  <si>
    <t>Profit before Income Tax</t>
  </si>
  <si>
    <t>Income Tax Expenses</t>
  </si>
  <si>
    <t>Profit for the Period (Post-tax Profit)</t>
  </si>
  <si>
    <t>Dividends to equity holders</t>
  </si>
  <si>
    <t>Minority Interests</t>
  </si>
  <si>
    <t>Other Comprehensive Income</t>
  </si>
  <si>
    <t>Total Comprehensive Income</t>
  </si>
  <si>
    <t>Cost Income Ratio (CIR)</t>
  </si>
  <si>
    <t>Net interest margin</t>
  </si>
  <si>
    <t>Non-interest income / Total income</t>
  </si>
  <si>
    <t>Deposits / Loans</t>
  </si>
  <si>
    <t>Return on Assets (ROA)</t>
  </si>
  <si>
    <t xml:space="preserve">Pre-impairment pre-tax ROA </t>
  </si>
  <si>
    <t>Return on Equity (ROE)</t>
  </si>
  <si>
    <t>Return on Risk-adjusted Capital (RORAC)</t>
  </si>
  <si>
    <t>Credit Risk</t>
  </si>
  <si>
    <t>Market Risk</t>
  </si>
  <si>
    <t>Operational Risk</t>
  </si>
  <si>
    <t>Regulatory Data</t>
  </si>
  <si>
    <t>Regulatory capital</t>
  </si>
  <si>
    <t>Regulatory Tier 1 capital</t>
  </si>
  <si>
    <t>Common/Core Tier 1 Capital</t>
  </si>
  <si>
    <t>Tier 2 Capital</t>
  </si>
  <si>
    <t>Tier 3 Capital</t>
  </si>
  <si>
    <t>Pillar 1 Risk-weighted Assets (RWAs)</t>
  </si>
  <si>
    <t>RWAs for Credit Risk</t>
  </si>
  <si>
    <t>RWAs for Market Risk</t>
  </si>
  <si>
    <t>RWAs for Operational Risk</t>
  </si>
  <si>
    <t>RWAs non-counterparty related assets</t>
  </si>
  <si>
    <t>Other Pillar 1 RWAs</t>
  </si>
  <si>
    <t>Pillar 2 RWAs</t>
  </si>
  <si>
    <t>Capital Adequacy Ratio (CAR)</t>
  </si>
  <si>
    <t>Tier 1 Ratio</t>
  </si>
  <si>
    <t>Core Tier 1 Ratio</t>
  </si>
  <si>
    <t>Leverage Ratio (Total Capital)</t>
  </si>
  <si>
    <t>Leverage Ratio (Tier 1)</t>
  </si>
  <si>
    <t>RWAs (Based on EC Calculations)</t>
  </si>
  <si>
    <t>Economic Capital</t>
  </si>
  <si>
    <t>Confidence Level</t>
  </si>
  <si>
    <t>thereof: Trading market risk</t>
  </si>
  <si>
    <t>thereof: Nontrading market risk</t>
  </si>
  <si>
    <t xml:space="preserve">Diversification </t>
  </si>
  <si>
    <t>Business Risk</t>
  </si>
  <si>
    <t>Market based Financial Soundness Indicators (for information only)</t>
  </si>
  <si>
    <t>KMV-EDF (one year)</t>
  </si>
  <si>
    <t>CDS Implied PD</t>
  </si>
  <si>
    <t>Altman Z-Score</t>
  </si>
  <si>
    <t>External Rating Implied PD</t>
  </si>
  <si>
    <t>I. Credit Risk Exposure by Product (net)</t>
  </si>
  <si>
    <t>Bank Book</t>
  </si>
  <si>
    <t>Total Customer Loans (net of provisions)</t>
  </si>
  <si>
    <t>thereof: Foreign-exchange denominated non-bank loans</t>
  </si>
  <si>
    <t>thereof: Floating Rate Loans</t>
  </si>
  <si>
    <t>Total Loans to Banks (net)</t>
  </si>
  <si>
    <t>Interbank Claims</t>
  </si>
  <si>
    <t>Off-balance sheet exposures</t>
  </si>
  <si>
    <t>Trading Book</t>
  </si>
  <si>
    <t>Securities with counterparty risk</t>
  </si>
  <si>
    <t>Total Credit Exposure</t>
  </si>
  <si>
    <t>II. Credit Risk Exposure by Regulatory Asset Class</t>
  </si>
  <si>
    <t>Sovereign</t>
  </si>
  <si>
    <t>Non-sovereign public sector entities</t>
  </si>
  <si>
    <t>Banks/Institutions</t>
  </si>
  <si>
    <t>Corporates</t>
  </si>
  <si>
    <t>SME</t>
  </si>
  <si>
    <t>Retail</t>
  </si>
  <si>
    <t>Residential mortgages</t>
  </si>
  <si>
    <t>Securitization</t>
  </si>
  <si>
    <t>Off-balance sheet credit</t>
  </si>
  <si>
    <t>Asset quality and asset type of Credit Exposure</t>
  </si>
  <si>
    <t>NPLs (Stock, at reporting date t)</t>
  </si>
  <si>
    <t xml:space="preserve">NPLs (Inflow, during year t) </t>
  </si>
  <si>
    <t>LLPs  (Stock, at reporting date t)</t>
  </si>
  <si>
    <t>LLPs (Inflow, during year t)</t>
  </si>
  <si>
    <t>Write-offs (during year t)</t>
  </si>
  <si>
    <t>NPLs (Stock) / Total Loans [Conservative Upper Bound for Potential Losses]</t>
  </si>
  <si>
    <t>NPLs (Inflow) / Total Loans [Measure for Default Rate]</t>
  </si>
  <si>
    <t>LLPs (Stock) / Total Loans</t>
  </si>
  <si>
    <t>LLPs (Inflow) / Total Loans</t>
  </si>
  <si>
    <t>Write-off / Total Loans</t>
  </si>
  <si>
    <t>LGD (exposure-weighted if available; otherwise arithmetic average)</t>
  </si>
  <si>
    <t>Credit Conversion Factor for Off-balance sheet exposure</t>
  </si>
  <si>
    <t>Average Effective Maturity (or approximation)</t>
  </si>
  <si>
    <t>Credit Concentration</t>
  </si>
  <si>
    <t>Largest Exposure</t>
  </si>
  <si>
    <t xml:space="preserve">2nd Largest </t>
  </si>
  <si>
    <t>3rd Largest</t>
  </si>
  <si>
    <t>Largest 10 exposures</t>
  </si>
  <si>
    <t>Total Large Exposure</t>
  </si>
  <si>
    <t>Herfindahl-Hirshman-Index (for full portfolio or for largest n connected exposures)</t>
  </si>
  <si>
    <t>n (for the calculation of HHI)</t>
  </si>
  <si>
    <t>Herfindahl-Hirshman-Index (Total Portfolio)</t>
  </si>
  <si>
    <t>Sovereign Bonds</t>
  </si>
  <si>
    <t>Other Bonds</t>
  </si>
  <si>
    <t>Equity</t>
  </si>
  <si>
    <t>Structured</t>
  </si>
  <si>
    <t>Total Gross Derivative Position (Asset side)</t>
  </si>
  <si>
    <t>"Net" Derivative Positions (Replacement Value)</t>
  </si>
  <si>
    <t>Total Gross FX Positions (before Hedging)</t>
  </si>
  <si>
    <t>Net open position in foreign exchange</t>
  </si>
  <si>
    <t>USD</t>
  </si>
  <si>
    <t>EUR</t>
  </si>
  <si>
    <t>JPY</t>
  </si>
  <si>
    <t>GBP</t>
  </si>
  <si>
    <t>CHF</t>
  </si>
  <si>
    <t>Percent of FX Risk Hedged</t>
  </si>
  <si>
    <t>Interest Rate shock in the banking book (Effect on P&amp;L, both through net interest income &amp; equity)</t>
  </si>
  <si>
    <t>fall in all yield curves (local currency only) by 100 bps</t>
  </si>
  <si>
    <t>increase in all yield curves (local currency only) by 100 bps</t>
  </si>
  <si>
    <t>fall in all yield curves (worldwide) by 100 bps</t>
  </si>
  <si>
    <t>increase in all yield curves (worldwide) by 100 bps</t>
  </si>
  <si>
    <t>fall in all yield curves (worldwide) by 200 bps</t>
  </si>
  <si>
    <t>increase in all yield curves (worldwide) by 200 bps</t>
  </si>
  <si>
    <t>fall in all yield curves greater than 12 months (worldwide) by 100 bps</t>
  </si>
  <si>
    <t>increase in all yield curves greater than 12 months (worldwide) by 100 bps</t>
  </si>
  <si>
    <t>Provision reserves for Market Risk positions (if applicable)</t>
  </si>
  <si>
    <t>Credit Risk (Portfolio Level)</t>
  </si>
  <si>
    <t>Total bank credit (by industry sector &amp; product type)</t>
  </si>
  <si>
    <t>Government and quasi-government</t>
  </si>
  <si>
    <t>Other Public Sector</t>
  </si>
  <si>
    <t>Banks</t>
  </si>
  <si>
    <t xml:space="preserve">Other Financials &amp; Real Estate </t>
  </si>
  <si>
    <t>Capital Industries</t>
  </si>
  <si>
    <t>Consumer industries</t>
  </si>
  <si>
    <t>Energy &amp; Environment</t>
  </si>
  <si>
    <t>Media &amp; Publishing</t>
  </si>
  <si>
    <t>Retail &amp; Distribution</t>
  </si>
  <si>
    <t>Technology</t>
  </si>
  <si>
    <t xml:space="preserve">Transportation </t>
  </si>
  <si>
    <t>Utilities</t>
  </si>
  <si>
    <t>Households - Mortgages (or total, if no split)</t>
  </si>
  <si>
    <t>Households - Consumer Credit &amp; Credit Cards</t>
  </si>
  <si>
    <t>Construction</t>
  </si>
  <si>
    <t>Other Liquid Credit</t>
  </si>
  <si>
    <t>Credit Exposure by Basel II Asset Classes</t>
  </si>
  <si>
    <t xml:space="preserve">Total Credit </t>
  </si>
  <si>
    <t>Total credit exposure by region</t>
  </si>
  <si>
    <t xml:space="preserve">Africa (Sub-Saharan) </t>
  </si>
  <si>
    <t xml:space="preserve">America (Central and South) </t>
  </si>
  <si>
    <t>America (North)</t>
  </si>
  <si>
    <t>Asia (East)</t>
  </si>
  <si>
    <t xml:space="preserve">Asia (South-East) </t>
  </si>
  <si>
    <t xml:space="preserve">Australia and New Zealand </t>
  </si>
  <si>
    <t>Commonwealth of Independent States</t>
  </si>
  <si>
    <t xml:space="preserve">Eastern (Central and East) </t>
  </si>
  <si>
    <t xml:space="preserve">Europe (West) </t>
  </si>
  <si>
    <t xml:space="preserve">Middle East and North Africa </t>
  </si>
  <si>
    <t>Credit Exposure by rating category (loan book)</t>
  </si>
  <si>
    <t>Total Exposure</t>
  </si>
  <si>
    <t>AAA</t>
  </si>
  <si>
    <t>AA+</t>
  </si>
  <si>
    <t>AA</t>
  </si>
  <si>
    <t>AA-</t>
  </si>
  <si>
    <t>A+</t>
  </si>
  <si>
    <t>A</t>
  </si>
  <si>
    <t>A-</t>
  </si>
  <si>
    <t>BBB+</t>
  </si>
  <si>
    <t>BBB</t>
  </si>
  <si>
    <t>BBB-</t>
  </si>
  <si>
    <t>BB+</t>
  </si>
  <si>
    <t>BB</t>
  </si>
  <si>
    <t>BB-</t>
  </si>
  <si>
    <t>B+</t>
  </si>
  <si>
    <t>B</t>
  </si>
  <si>
    <t>B-</t>
  </si>
  <si>
    <t>CCC+</t>
  </si>
  <si>
    <t>CCC</t>
  </si>
  <si>
    <t>CCC-</t>
  </si>
  <si>
    <t>C/CC</t>
  </si>
  <si>
    <t>Implied PD</t>
  </si>
  <si>
    <t>Credit exposure by rating category (off-balance)</t>
  </si>
  <si>
    <t>Credit exposure by rating category (Counterparty Credit Risk Exposure)</t>
  </si>
  <si>
    <t>Securitization exposure by Risk-Weight/Rating</t>
  </si>
  <si>
    <t>0-10% (~AAA)</t>
  </si>
  <si>
    <t>10-20% (~AA)</t>
  </si>
  <si>
    <t>20-35% (~A)</t>
  </si>
  <si>
    <t>35-75% (~BBB+)</t>
  </si>
  <si>
    <t>75-100% (~BBB-)</t>
  </si>
  <si>
    <t>100-250% (~BB+)</t>
  </si>
  <si>
    <t>250%-1250% (BB~)</t>
  </si>
  <si>
    <t>Full deduction (B and lower)</t>
  </si>
  <si>
    <t>Average Risk-Weight</t>
  </si>
  <si>
    <t xml:space="preserve">On-balance sheet exposure </t>
  </si>
  <si>
    <t>thereof: Loans</t>
  </si>
  <si>
    <t>thereof: Securities with counterparty risk</t>
  </si>
  <si>
    <t>Off-balance sheet exposure</t>
  </si>
  <si>
    <t>Loss Rates</t>
  </si>
  <si>
    <t>LGD</t>
  </si>
  <si>
    <t>Asset Correlations (IRB Model)</t>
  </si>
  <si>
    <t>Effective Maturity</t>
  </si>
  <si>
    <t>Impairments (% of credit exposure)</t>
  </si>
  <si>
    <t>Credit Exposure by Basel II Asset Class</t>
  </si>
  <si>
    <t>Corporate, Institutions</t>
  </si>
  <si>
    <t>LGD Assumption</t>
  </si>
  <si>
    <t>Default of Largest Counterpart (Loss)</t>
  </si>
  <si>
    <t>Default of 2 Largest Counterparts (Loss)</t>
  </si>
  <si>
    <t>Default of 3 Largest Counterparts (Loss)</t>
  </si>
  <si>
    <t>Default of 10 Largest Counterparts (Loss)</t>
  </si>
  <si>
    <t>Default of Total Large Exposure (Loss)</t>
  </si>
  <si>
    <t>Default of Largest Counterparts (Loss)</t>
  </si>
  <si>
    <t>Portfolio Concentration</t>
  </si>
  <si>
    <t>HHI of Portfolio</t>
  </si>
  <si>
    <t>HHI PD Factor (see Parameter sheet)</t>
  </si>
  <si>
    <t>HHI Calculation n adjustment factor</t>
  </si>
  <si>
    <t>Total Granularity Adjustment (Percent of Portfolio Risk)</t>
  </si>
  <si>
    <t>Sector concentration (HHI, for information)</t>
  </si>
  <si>
    <t>Group 1/Group 2</t>
  </si>
  <si>
    <t>Total Risk-weighted Assets (Pillar 1 + 2)</t>
  </si>
  <si>
    <t>Pillar 1</t>
  </si>
  <si>
    <t>Pillar 2</t>
  </si>
  <si>
    <t>Balance-Sheet Structure (Percent of total assets)</t>
  </si>
  <si>
    <t>Assets</t>
  </si>
  <si>
    <t>Cash and cash-like</t>
  </si>
  <si>
    <t>Interbank claims</t>
  </si>
  <si>
    <t>Net loans and leases</t>
  </si>
  <si>
    <t>Trading-related assets</t>
  </si>
  <si>
    <t>Investments and securities</t>
  </si>
  <si>
    <t>Other assets</t>
  </si>
  <si>
    <t>Liabilities</t>
  </si>
  <si>
    <t>Customers Deposits</t>
  </si>
  <si>
    <t>Interbank funding</t>
  </si>
  <si>
    <t>Trading-related liabilities</t>
  </si>
  <si>
    <t>Debt</t>
  </si>
  <si>
    <t>Common and preferred stock</t>
  </si>
  <si>
    <t>Other reserves and equity</t>
  </si>
  <si>
    <t>100%</t>
  </si>
  <si>
    <t>2.3%</t>
  </si>
  <si>
    <t>12.2%</t>
  </si>
  <si>
    <t>51.6%</t>
  </si>
  <si>
    <t>10.4%</t>
  </si>
  <si>
    <t>16.1%</t>
  </si>
  <si>
    <t>7.4%</t>
  </si>
  <si>
    <t>94.7%</t>
  </si>
  <si>
    <t>43.5%</t>
  </si>
  <si>
    <t>12.6%</t>
  </si>
  <si>
    <t>15.2%</t>
  </si>
  <si>
    <t>14.2%</t>
  </si>
  <si>
    <t>9.3%</t>
  </si>
  <si>
    <t>5.3%</t>
  </si>
  <si>
    <t>5%</t>
  </si>
  <si>
    <t>0.2%</t>
  </si>
  <si>
    <t>0.3%</t>
  </si>
  <si>
    <t>Risk-weighted Assets/Total Assets</t>
  </si>
  <si>
    <t xml:space="preserve">Income </t>
  </si>
  <si>
    <t>Interest Income</t>
  </si>
  <si>
    <t>Net interest income</t>
  </si>
  <si>
    <t>Other non-interest income</t>
  </si>
  <si>
    <t>Non-interest income</t>
  </si>
  <si>
    <t>Total revenues</t>
  </si>
  <si>
    <t>Total expenses</t>
  </si>
  <si>
    <t>Operating Profit</t>
  </si>
  <si>
    <t>Income tax provision</t>
  </si>
  <si>
    <t>Net income</t>
  </si>
  <si>
    <t>ROE</t>
  </si>
  <si>
    <t>ROA</t>
  </si>
  <si>
    <t>Leverage multiple (x)</t>
  </si>
  <si>
    <t>53.9%</t>
  </si>
  <si>
    <t>5.9%</t>
  </si>
  <si>
    <t>4%</t>
  </si>
  <si>
    <t>1.8%</t>
  </si>
  <si>
    <t>1.3%</t>
  </si>
  <si>
    <t>1.5%</t>
  </si>
  <si>
    <t>3.3%</t>
  </si>
  <si>
    <t>2.1%</t>
  </si>
  <si>
    <t>1.2%</t>
  </si>
  <si>
    <t>0.8%</t>
  </si>
  <si>
    <t>14.8%</t>
  </si>
  <si>
    <t>Baseline</t>
  </si>
  <si>
    <t>Moderate Macro Stress</t>
  </si>
  <si>
    <t>Medium Macro Stress</t>
  </si>
  <si>
    <t>Severe Macro Stress</t>
  </si>
  <si>
    <t>Country level credit risk data</t>
  </si>
  <si>
    <t>LGDs by country</t>
  </si>
  <si>
    <t>Non-Performing Loans (NPLs) (Country-level, Percent)</t>
  </si>
  <si>
    <t>Bank Provisions to Non-Performing Loans (Percent)</t>
  </si>
  <si>
    <t>Bank Regulatory Capital to Risk-weighted Assets (Percent)</t>
  </si>
  <si>
    <t>Bank Return on Assets (Percent)</t>
  </si>
  <si>
    <t>Source: World Bank database based on Djankov/Hart/McLiesh &amp; Shleifer (2008), JoPE</t>
  </si>
  <si>
    <t>Source: IMF, Global Financial Stability Report (GFSR), Table 24</t>
  </si>
  <si>
    <t>Source: IMF, Global Financial Stability Report (GFSR), Table 25</t>
  </si>
  <si>
    <t>Source: IMF, Global Financial Stability Report (GFSR), Table 22</t>
  </si>
  <si>
    <t>Source: IMF, Global Financial Stability Report (GFSR), Table 26</t>
  </si>
  <si>
    <t>Average</t>
  </si>
  <si>
    <t>Median</t>
  </si>
  <si>
    <t>Min</t>
  </si>
  <si>
    <t>Max</t>
  </si>
  <si>
    <t>Regional Average (lack of data)</t>
  </si>
  <si>
    <t>Region</t>
  </si>
  <si>
    <t>Country</t>
  </si>
  <si>
    <t>ISO-Code</t>
  </si>
  <si>
    <t>LGD (actual or proxy, percent)</t>
  </si>
  <si>
    <t>Recovery rate (cents on the dollar)</t>
  </si>
  <si>
    <t>Time (years)</t>
  </si>
  <si>
    <t>Afghanistan</t>
  </si>
  <si>
    <t>AFG</t>
  </si>
  <si>
    <t>n.a.</t>
  </si>
  <si>
    <t>Albania</t>
  </si>
  <si>
    <t>ALB</t>
  </si>
  <si>
    <t>Algeria</t>
  </si>
  <si>
    <t>DZA</t>
  </si>
  <si>
    <t>Angola</t>
  </si>
  <si>
    <t>AGO</t>
  </si>
  <si>
    <t>Antigua and Barbuda</t>
  </si>
  <si>
    <t>ATG</t>
  </si>
  <si>
    <t>Argentina</t>
  </si>
  <si>
    <t>ARG</t>
  </si>
  <si>
    <t>Armenia</t>
  </si>
  <si>
    <t>ARM</t>
  </si>
  <si>
    <t>Australia</t>
  </si>
  <si>
    <t>AUS</t>
  </si>
  <si>
    <t>Austria</t>
  </si>
  <si>
    <t>AUT</t>
  </si>
  <si>
    <t>Azerbaijan</t>
  </si>
  <si>
    <t>AZE</t>
  </si>
  <si>
    <t>Bahamas, the</t>
  </si>
  <si>
    <t>BHS</t>
  </si>
  <si>
    <t>Bahrain</t>
  </si>
  <si>
    <t>BHR</t>
  </si>
  <si>
    <t>Bangladesh</t>
  </si>
  <si>
    <t>BGD</t>
  </si>
  <si>
    <t>…</t>
  </si>
  <si>
    <t>Belarus</t>
  </si>
  <si>
    <t>BLR</t>
  </si>
  <si>
    <t>Belgium</t>
  </si>
  <si>
    <t>BEL</t>
  </si>
  <si>
    <t>Belize</t>
  </si>
  <si>
    <t>BLZ</t>
  </si>
  <si>
    <t>Benin</t>
  </si>
  <si>
    <t>BEN</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</si>
  <si>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</si>
  <si>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</si>
  <si>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</si>
  <si>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</si>
  <si>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</si>
  <si>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</si>
  <si>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</si>
  <si>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</si>
  <si>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</si>
  <si>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</si>
  <si>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</si>
  <si>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</si>
  <si>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</si>
  <si>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</si>
  <si>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</si>
  <si>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</si>
  <si>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</si>
  <si>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</si>
  <si>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</si>
  <si>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</si>
  <si>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</si>
  <si>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</si>
  <si>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</si>
  <si>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</si>
  <si>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</si>
  <si>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</si>
  <si>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Central African Republic</t>
  </si>
  <si>
    <t>CAF</t>
  </si>
  <si>
    <t>Chad</t>
  </si>
  <si>
    <t>TCD</t>
  </si>
  <si>
    <t>Chile</t>
  </si>
  <si>
    <t>CHL</t>
  </si>
  <si>
    <t>China</t>
  </si>
  <si>
    <t>CHN</t>
  </si>
  <si>
    <t>Colombia</t>
  </si>
  <si>
    <t>COL</t>
  </si>
  <si>
    <t>Comoros</t>
  </si>
  <si>
    <t>COM</t>
  </si>
  <si>
    <t>Congo, Dem. Rep.</t>
  </si>
  <si>
    <t>COD</t>
  </si>
  <si>
    <t>Congo, Rep.</t>
  </si>
  <si>
    <t>COG</t>
  </si>
  <si>
    <t>Costa Rica</t>
  </si>
  <si>
    <t>CRI</t>
  </si>
  <si>
    <t>Cote d'Ivoire</t>
  </si>
  <si>
    <t>CIV</t>
  </si>
  <si>
    <t>Croatia</t>
  </si>
  <si>
    <t>HRV</t>
  </si>
  <si>
    <t>Cyprus</t>
  </si>
  <si>
    <t>CYP</t>
  </si>
  <si>
    <t>Czech Republic</t>
  </si>
  <si>
    <t>CZE</t>
  </si>
  <si>
    <t>Denmark</t>
  </si>
  <si>
    <t>DNK</t>
  </si>
  <si>
    <t>Djibouti</t>
  </si>
  <si>
    <t>DJI</t>
  </si>
  <si>
    <t>Dominica</t>
  </si>
  <si>
    <t>DMA</t>
  </si>
  <si>
    <t>Dominican Republic</t>
  </si>
  <si>
    <t>DOM</t>
  </si>
  <si>
    <t>Ecuador</t>
  </si>
  <si>
    <t>ECU</t>
  </si>
  <si>
    <t>Egypt</t>
  </si>
  <si>
    <t>EGY</t>
  </si>
  <si>
    <t>El Salvador</t>
  </si>
  <si>
    <t>SLV</t>
  </si>
  <si>
    <t>Equatorial Guinea</t>
  </si>
  <si>
    <t>GNQ</t>
  </si>
  <si>
    <t>Eritrea</t>
  </si>
  <si>
    <t>ERI</t>
  </si>
  <si>
    <t>Estonia</t>
  </si>
  <si>
    <t>EST</t>
  </si>
  <si>
    <t>Ethiopia</t>
  </si>
  <si>
    <t>ETH</t>
  </si>
  <si>
    <t>Fiji</t>
  </si>
  <si>
    <t>FJI</t>
  </si>
  <si>
    <t>Finland</t>
  </si>
  <si>
    <t>FIN</t>
  </si>
  <si>
    <t>France</t>
  </si>
  <si>
    <t>FRA</t>
  </si>
  <si>
    <t>Gabon</t>
  </si>
  <si>
    <t>GAB</t>
  </si>
  <si>
    <t>Gambia</t>
  </si>
  <si>
    <t>GMB</t>
  </si>
  <si>
    <t>Georgia</t>
  </si>
  <si>
    <t>GEO</t>
  </si>
  <si>
    <t>Germany</t>
  </si>
  <si>
    <t>DEU</t>
  </si>
  <si>
    <t>Ghana</t>
  </si>
  <si>
    <t>GHA</t>
  </si>
  <si>
    <t>Greece</t>
  </si>
  <si>
    <t>GRC</t>
  </si>
  <si>
    <t>Grenada</t>
  </si>
  <si>
    <t>GRD</t>
  </si>
  <si>
    <t>Guatemala</t>
  </si>
  <si>
    <t>GTM</t>
  </si>
  <si>
    <t>Guinea</t>
  </si>
  <si>
    <t>GIN</t>
  </si>
  <si>
    <t>Guinea-Bissau</t>
  </si>
  <si>
    <t>GNB</t>
  </si>
  <si>
    <t>Guyana</t>
  </si>
  <si>
    <t>GUY</t>
  </si>
  <si>
    <t>Haiti</t>
  </si>
  <si>
    <t>HTI</t>
  </si>
  <si>
    <t>Honduras</t>
  </si>
  <si>
    <t>HND</t>
  </si>
  <si>
    <t>Hong Kong</t>
  </si>
  <si>
    <t>HKG</t>
  </si>
  <si>
    <t>Hungary</t>
  </si>
  <si>
    <t>HUN</t>
  </si>
  <si>
    <t>Iceland</t>
  </si>
  <si>
    <t>ISL</t>
  </si>
  <si>
    <t>India</t>
  </si>
  <si>
    <t>IND</t>
  </si>
  <si>
    <t>Indonesia</t>
  </si>
  <si>
    <t>IDN</t>
  </si>
  <si>
    <t>Iran, Islamic Republic of</t>
  </si>
  <si>
    <t>IRN</t>
  </si>
  <si>
    <t>Iraq</t>
  </si>
  <si>
    <t>IRQ</t>
  </si>
  <si>
    <t>Ireland</t>
  </si>
  <si>
    <t>IRL</t>
  </si>
  <si>
    <t>Israel</t>
  </si>
  <si>
    <t>ISR</t>
  </si>
  <si>
    <t>Italy</t>
  </si>
  <si>
    <t>ITA</t>
  </si>
  <si>
    <t>Jamaica</t>
  </si>
  <si>
    <t>JAM</t>
  </si>
  <si>
    <t>Japan</t>
  </si>
  <si>
    <t>JPN</t>
  </si>
  <si>
    <t>Jordan</t>
  </si>
  <si>
    <t>JOR</t>
  </si>
  <si>
    <t>Kazakhstan</t>
  </si>
  <si>
    <t>KAZ</t>
  </si>
  <si>
    <t>Kenya</t>
  </si>
  <si>
    <t>KEN</t>
  </si>
  <si>
    <t>Kiribati</t>
  </si>
  <si>
    <t>KIR</t>
  </si>
  <si>
    <t>Korea, Republic</t>
  </si>
  <si>
    <t>KOR</t>
  </si>
  <si>
    <t>Kosovo</t>
  </si>
  <si>
    <t>Kuwait</t>
  </si>
  <si>
    <t>KWT</t>
  </si>
  <si>
    <t>Kyrgyz Republic</t>
  </si>
  <si>
    <t>KGZ</t>
  </si>
  <si>
    <t>Lao PDR</t>
  </si>
  <si>
    <t>LAO</t>
  </si>
  <si>
    <t>Latvia</t>
  </si>
  <si>
    <t>LVA</t>
  </si>
  <si>
    <t>Lebanon</t>
  </si>
  <si>
    <t>LBN</t>
  </si>
  <si>
    <t>Lesotho</t>
  </si>
  <si>
    <t>LSO</t>
  </si>
  <si>
    <t>Liberia</t>
  </si>
  <si>
    <t>LBR</t>
  </si>
  <si>
    <t>Lithuania</t>
  </si>
  <si>
    <t>LTU</t>
  </si>
  <si>
    <t>Luxembourg</t>
  </si>
  <si>
    <t>LUX</t>
  </si>
  <si>
    <t>Macedonia, FYR</t>
  </si>
  <si>
    <t>MKD</t>
  </si>
  <si>
    <t>Madagascar</t>
  </si>
  <si>
    <t>MDG</t>
  </si>
  <si>
    <t>Malawi</t>
  </si>
  <si>
    <t>MWI</t>
  </si>
  <si>
    <t>Malaysia</t>
  </si>
  <si>
    <t>MYS</t>
  </si>
  <si>
    <t>Maldives</t>
  </si>
  <si>
    <t>MDV</t>
  </si>
  <si>
    <t>Mali</t>
  </si>
  <si>
    <t>MLI</t>
  </si>
  <si>
    <t>Malta</t>
  </si>
  <si>
    <t>MSA</t>
  </si>
  <si>
    <t>Marshall Islands</t>
  </si>
  <si>
    <t>MHL</t>
  </si>
  <si>
    <t>Mauritania</t>
  </si>
  <si>
    <t>MRT</t>
  </si>
  <si>
    <t>Mauritius</t>
  </si>
  <si>
    <t>MUS</t>
  </si>
  <si>
    <t>Mexico</t>
  </si>
  <si>
    <t>MEX</t>
  </si>
  <si>
    <t>Micronesia, Fed. Sts.</t>
  </si>
  <si>
    <t>FSM</t>
  </si>
  <si>
    <t>Moldova</t>
  </si>
  <si>
    <t>MDA</t>
  </si>
  <si>
    <t>Mongolia</t>
  </si>
  <si>
    <t>MNG</t>
  </si>
  <si>
    <t>Montenegro</t>
  </si>
  <si>
    <t>MNE</t>
  </si>
  <si>
    <t>Morocco</t>
  </si>
  <si>
    <t>MAR</t>
  </si>
  <si>
    <t>Mozambique</t>
  </si>
  <si>
    <t>MOZ</t>
  </si>
  <si>
    <t>Namibia</t>
  </si>
  <si>
    <t>NAM</t>
  </si>
  <si>
    <t>Nepal</t>
  </si>
  <si>
    <t>NPL</t>
  </si>
  <si>
    <t>Netherlands</t>
  </si>
  <si>
    <t>NLD</t>
  </si>
  <si>
    <t>New Zealand</t>
  </si>
  <si>
    <t>NZL</t>
  </si>
  <si>
    <t>Nicaragua</t>
  </si>
  <si>
    <t>NIC</t>
  </si>
  <si>
    <t>Niger</t>
  </si>
  <si>
    <t>NER</t>
  </si>
  <si>
    <t>Nigeria</t>
  </si>
  <si>
    <t>NGA</t>
  </si>
  <si>
    <t>Norway</t>
  </si>
  <si>
    <t>NOR</t>
  </si>
  <si>
    <t>Oman</t>
  </si>
  <si>
    <t>OMN</t>
  </si>
  <si>
    <t>Pakistan</t>
  </si>
  <si>
    <t>PAK</t>
  </si>
  <si>
    <t>Palau</t>
  </si>
  <si>
    <t>PLW</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</si>
  <si>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</si>
  <si>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</si>
  <si>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</si>
  <si>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</si>
  <si>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</si>
  <si>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</si>
  <si>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</si>
  <si>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</si>
  <si>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</si>
  <si>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</si>
  <si>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</si>
  <si>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</si>
  <si>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</si>
  <si>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</si>
  <si>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</si>
  <si>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</si>
  <si>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</si>
  <si>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</si>
  <si>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</si>
  <si>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ROU</t>
  </si>
  <si>
    <t>Russia</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</si>
  <si>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</si>
  <si>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</si>
  <si>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</si>
  <si>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</si>
  <si>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</si>
  <si>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</si>
  <si>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</si>
  <si>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</si>
  <si>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</si>
  <si>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</si>
  <si>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</si>
  <si>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</si>
  <si>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</si>
  <si>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</si>
  <si>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</si>
  <si>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</si>
  <si>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</si>
  <si>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</si>
  <si>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</si>
  <si>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</si>
  <si>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</si>
  <si>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</si>
  <si>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</si>
  <si>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</si>
  <si>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</si>
  <si>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</si>
  <si>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</si>
  <si>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</si>
  <si>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</si>
  <si>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</si>
  <si>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</si>
  <si>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</si>
  <si>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</si>
  <si>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</si>
  <si>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</si>
  <si>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</si>
  <si>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</si>
  <si>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</si>
  <si>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</si>
  <si>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</si>
  <si>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</si>
  <si>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</si>
  <si>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</si>
  <si>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</si>
  <si>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</si>
  <si>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</si>
  <si>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</si>
  <si>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</si>
  <si>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</si>
  <si>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Taiwan</t>
  </si>
  <si>
    <t>TWN</t>
  </si>
  <si>
    <t>Tajikistan</t>
  </si>
  <si>
    <t>TJK</t>
  </si>
  <si>
    <t>Tanzania</t>
  </si>
  <si>
    <t>TZA</t>
  </si>
  <si>
    <t>Thailand</t>
  </si>
  <si>
    <t>THA</t>
  </si>
  <si>
    <t>Timor-Leste (East Timor)</t>
  </si>
  <si>
    <t>TLS</t>
  </si>
  <si>
    <t>Togo</t>
  </si>
  <si>
    <t>TGO</t>
  </si>
  <si>
    <t>Tonga</t>
  </si>
  <si>
    <t>TON</t>
  </si>
  <si>
    <t>Trinidad and Tobago</t>
  </si>
  <si>
    <t>TTO</t>
  </si>
  <si>
    <t>Tunisia</t>
  </si>
  <si>
    <t>TUN</t>
  </si>
  <si>
    <t>Turkey</t>
  </si>
  <si>
    <t>TUR</t>
  </si>
  <si>
    <t>Uganda</t>
  </si>
  <si>
    <t>UGA</t>
  </si>
  <si>
    <t>Ukraine</t>
  </si>
  <si>
    <t>UKR</t>
  </si>
  <si>
    <t>United Arab Emirates</t>
  </si>
  <si>
    <t>ARE</t>
  </si>
  <si>
    <t>United Kingdom</t>
  </si>
  <si>
    <t>GBR</t>
  </si>
  <si>
    <t>United States</t>
  </si>
  <si>
    <t>USA</t>
  </si>
  <si>
    <t>Uruguay</t>
  </si>
  <si>
    <t>URY</t>
  </si>
  <si>
    <t>Uzbekistan</t>
  </si>
  <si>
    <t>UZB</t>
  </si>
  <si>
    <t>Vanuatu</t>
  </si>
  <si>
    <t>VUT</t>
  </si>
  <si>
    <t>Venezuela</t>
  </si>
  <si>
    <t>VEN</t>
  </si>
  <si>
    <t>Vietnam</t>
  </si>
  <si>
    <t>VNM</t>
  </si>
  <si>
    <t>West Bank and Gaza</t>
  </si>
  <si>
    <t>Yemen</t>
  </si>
  <si>
    <t>YEM</t>
  </si>
  <si>
    <t>Zambia</t>
  </si>
  <si>
    <t>ZMB</t>
  </si>
  <si>
    <t>Zimbabwe</t>
  </si>
  <si>
    <t>ZWE</t>
  </si>
  <si>
    <t>Asia (East) &amp; Pacific</t>
  </si>
  <si>
    <t>Figures for Developing Asia</t>
  </si>
  <si>
    <t>Figures for developing Asia</t>
  </si>
  <si>
    <t>Emerging Europe, Central Asia</t>
  </si>
  <si>
    <t>Latin America &amp; Caribbean/Western Hemisphere</t>
  </si>
  <si>
    <t>Middle East &amp; North Africa</t>
  </si>
  <si>
    <t>Advanced Countries</t>
  </si>
  <si>
    <t>South Asia</t>
  </si>
  <si>
    <t>Sub-Saharan Africa</t>
  </si>
  <si>
    <t>Country level Macroeconomic Data</t>
  </si>
  <si>
    <t>percentage</t>
  </si>
  <si>
    <t>Real GDP change (year-on-year)</t>
  </si>
  <si>
    <t>Real GDP change of major trading partners (yoy-figures)</t>
  </si>
  <si>
    <t xml:space="preserve">    US</t>
  </si>
  <si>
    <t xml:space="preserve">    EU</t>
  </si>
  <si>
    <t xml:space="preserve">    Japan</t>
  </si>
  <si>
    <t xml:space="preserve">    China </t>
  </si>
  <si>
    <t xml:space="preserve">    Other</t>
  </si>
  <si>
    <t>actual figure</t>
  </si>
  <si>
    <t>Nominal GDP</t>
  </si>
  <si>
    <t>Non-oil GDP (for oil-exporters only)</t>
  </si>
  <si>
    <t>Current Account (% of GDP)</t>
  </si>
  <si>
    <t>Fiscal balance (% of GDP)</t>
  </si>
  <si>
    <t>Government Debt (% of GDP)</t>
  </si>
  <si>
    <t>Government Expenditure (change vs. previous year)</t>
  </si>
  <si>
    <t>of which:</t>
  </si>
  <si>
    <t>contribution (percentage)</t>
  </si>
  <si>
    <t>Current Spending</t>
  </si>
  <si>
    <t>Capital Spending</t>
  </si>
  <si>
    <t>Real export growth (%, in constant prices)</t>
  </si>
  <si>
    <t>Short-term interest rates (Interbank market/T-bills)</t>
  </si>
  <si>
    <t>Long-term interest rates (government bonds)</t>
  </si>
  <si>
    <t>Unemployment Rate</t>
  </si>
  <si>
    <t>Inflation (CPI, ie compared to same quarter the year before)</t>
  </si>
  <si>
    <t>Oil price (USD, quarterly average)</t>
  </si>
  <si>
    <t>Oil revenues (USD) (for oil exporters only)</t>
  </si>
  <si>
    <t>Real effective exchange rate (REER)</t>
  </si>
  <si>
    <t>Annual change credit-to-GDP</t>
  </si>
  <si>
    <t>Annual change credit-to-non-oil-GDP (for oil-exporters only)</t>
  </si>
  <si>
    <t>Corporate Credit/GDP (current level)</t>
  </si>
  <si>
    <t>Household Credit/GDP (current level)</t>
  </si>
  <si>
    <t>Development of Commercial Real Estate Prices (Index)</t>
  </si>
  <si>
    <t>Year 1</t>
  </si>
  <si>
    <t>Year 2</t>
  </si>
  <si>
    <t>Year 3</t>
  </si>
  <si>
    <t>Year 4</t>
  </si>
  <si>
    <t>Year 5</t>
  </si>
  <si>
    <t>Satellite Models to link scenarios to macroeconomic conditions</t>
  </si>
  <si>
    <t>Coefficients</t>
  </si>
  <si>
    <t>Constant</t>
  </si>
  <si>
    <t>Macroeconomic Variables (Reference scenario, eg Baseline or previous year)</t>
  </si>
  <si>
    <t>Country Level NPLs/PDs</t>
  </si>
  <si>
    <t>NPLs (t-1)</t>
  </si>
  <si>
    <t>Real GDP (%)</t>
  </si>
  <si>
    <t xml:space="preserve">Model </t>
  </si>
  <si>
    <t>Actual</t>
  </si>
  <si>
    <t>Scenarios Year 1</t>
  </si>
  <si>
    <t>Scenarios Year 2</t>
  </si>
  <si>
    <t>Scenarios Year 3</t>
  </si>
  <si>
    <t>Scenarios Year 4</t>
  </si>
  <si>
    <t>Scenarios Year 5</t>
  </si>
  <si>
    <t>Credit Growth</t>
  </si>
  <si>
    <t>Bank Profit (ROA)</t>
  </si>
  <si>
    <t>NPLs</t>
  </si>
  <si>
    <t>GDP Growth</t>
  </si>
  <si>
    <t>N/A</t>
  </si>
  <si>
    <t>Profit (t-1)</t>
  </si>
  <si>
    <t>NPL (t-1)</t>
  </si>
  <si>
    <t>General Assumptions</t>
  </si>
  <si>
    <t>GDP (Nominal figure, in same unit as bank-by-bank data)</t>
  </si>
  <si>
    <t>Under-year adjustment of Profit?</t>
  </si>
  <si>
    <t>Reporting Year</t>
  </si>
  <si>
    <t>Lookup (for sectors)</t>
  </si>
  <si>
    <t>Basel Approaches - Credit Risk</t>
  </si>
  <si>
    <t>Basel Approaches - Market Risk</t>
  </si>
  <si>
    <t>Basel Approaches - Operational Risk</t>
  </si>
  <si>
    <t>Granularity Adjustment</t>
  </si>
  <si>
    <t>Adjustment for Sector Concentration</t>
  </si>
  <si>
    <t>RWA Assumption</t>
  </si>
  <si>
    <t>Scenario Type (PD, Correlations)</t>
  </si>
  <si>
    <t>Progress setting</t>
  </si>
  <si>
    <t>General</t>
  </si>
  <si>
    <t>Sector classification</t>
  </si>
  <si>
    <t>Profit forecast</t>
  </si>
  <si>
    <t>Rating downgrade by…</t>
  </si>
  <si>
    <t>Stress Testing Credit Risk RWAs</t>
  </si>
  <si>
    <t>Relative change (Baseline Year 2, 3)</t>
  </si>
  <si>
    <t>Baseline scenario definition</t>
  </si>
  <si>
    <t>Eligible scenarios Year 1</t>
  </si>
  <si>
    <t>Macro scenarios</t>
  </si>
  <si>
    <t>Outcome of Stress Test</t>
  </si>
  <si>
    <t>Large Exposure scenarios</t>
  </si>
  <si>
    <t>Macro models</t>
  </si>
  <si>
    <t>Country Type</t>
  </si>
  <si>
    <t>Loss Concept</t>
  </si>
  <si>
    <t>RWAs</t>
  </si>
  <si>
    <t>Interest Rate Shock</t>
  </si>
  <si>
    <t>FX Rate Shock</t>
  </si>
  <si>
    <t>Asset Price Shock</t>
  </si>
  <si>
    <t>PD shock</t>
  </si>
  <si>
    <t>Default of largest counterparts</t>
  </si>
  <si>
    <t>Sens Shock</t>
  </si>
  <si>
    <t>Banking Group</t>
  </si>
  <si>
    <t xml:space="preserve">Figures in </t>
  </si>
  <si>
    <t>Years</t>
  </si>
  <si>
    <t>Rating downgrade</t>
  </si>
  <si>
    <t>PD Option</t>
  </si>
  <si>
    <t>IRB approach</t>
  </si>
  <si>
    <t>Basel I</t>
  </si>
  <si>
    <t>No Adjustment</t>
  </si>
  <si>
    <t>Relative</t>
  </si>
  <si>
    <t>Not yet completed</t>
  </si>
  <si>
    <t>No</t>
  </si>
  <si>
    <t>t+1</t>
  </si>
  <si>
    <t>Non-interest Income explicit, Interest income implicit</t>
  </si>
  <si>
    <t>NA</t>
  </si>
  <si>
    <t>Std. Apr.</t>
  </si>
  <si>
    <t>Relative change</t>
  </si>
  <si>
    <t>Manual</t>
  </si>
  <si>
    <t>Total Capital</t>
  </si>
  <si>
    <t>Satellite Model</t>
  </si>
  <si>
    <t>Advanced country</t>
  </si>
  <si>
    <t>Regulatory Data (Default)</t>
  </si>
  <si>
    <t>Private</t>
  </si>
  <si>
    <t>Option 1</t>
  </si>
  <si>
    <t>Eco IRB</t>
  </si>
  <si>
    <t>BIA</t>
  </si>
  <si>
    <t>Absolute</t>
  </si>
  <si>
    <t>Absolute, by x %</t>
  </si>
  <si>
    <t>Completed</t>
  </si>
  <si>
    <t>Yes</t>
  </si>
  <si>
    <t>t+2</t>
  </si>
  <si>
    <t>Total profit forecast</t>
  </si>
  <si>
    <t>IRB</t>
  </si>
  <si>
    <t>Expert</t>
  </si>
  <si>
    <t>Tier 1</t>
  </si>
  <si>
    <t>Rule of Thumb</t>
  </si>
  <si>
    <t>Emerging Country</t>
  </si>
  <si>
    <t>Losses/Provisions</t>
  </si>
  <si>
    <t>Economic Capital Model</t>
  </si>
  <si>
    <t>All currencies</t>
  </si>
  <si>
    <t>All assets</t>
  </si>
  <si>
    <t>All</t>
  </si>
  <si>
    <t>Exposure to Largest Counterpart</t>
  </si>
  <si>
    <t>Savings</t>
  </si>
  <si>
    <t>Option 2</t>
  </si>
  <si>
    <t>Reg IRB</t>
  </si>
  <si>
    <t>FIRB</t>
  </si>
  <si>
    <t>IMA</t>
  </si>
  <si>
    <t>Absolute, to x %</t>
  </si>
  <si>
    <t>t+3</t>
  </si>
  <si>
    <t>Macro</t>
  </si>
  <si>
    <t>Common/Core Tier 1</t>
  </si>
  <si>
    <t>Trading book only</t>
  </si>
  <si>
    <t>Exposure to 2 Largest Counterparts</t>
  </si>
  <si>
    <t>Foreign Exchange Rate Shock</t>
  </si>
  <si>
    <t>Cooperative</t>
  </si>
  <si>
    <t>AIRB</t>
  </si>
  <si>
    <t>AMA</t>
  </si>
  <si>
    <t>Empirical PD-LGD link</t>
  </si>
  <si>
    <t>Trading book &amp; AfS</t>
  </si>
  <si>
    <t>Exposure to 3 Largest Counterparts</t>
  </si>
  <si>
    <t>Public Bank</t>
  </si>
  <si>
    <t>Exposure to 10 Largest Counterparts</t>
  </si>
  <si>
    <t>Change in RWAs for Market Risk</t>
  </si>
  <si>
    <t xml:space="preserve">Foreign </t>
  </si>
  <si>
    <t>Default of largest borrower</t>
  </si>
  <si>
    <t>Increase of PDs/Impairment losses</t>
  </si>
  <si>
    <t>Default of 2 largest borrowers</t>
  </si>
  <si>
    <t>Default of x largest counterparts</t>
  </si>
  <si>
    <t>Default of 3 largest borrowers</t>
  </si>
  <si>
    <t>Change in RWAs for OPRisk</t>
  </si>
  <si>
    <t>Default of 10 largest borrowers</t>
  </si>
  <si>
    <t>Default of all large exposures</t>
  </si>
  <si>
    <t/>
  </si>
  <si>
    <t>Number of years</t>
  </si>
  <si>
    <t>PD/LGD regime or losses?</t>
  </si>
  <si>
    <t>Input data for RWA (sets level of RWAs):</t>
  </si>
  <si>
    <t>Stress of Credit RWA Method</t>
  </si>
  <si>
    <t>Use Scaling Factor? (set level of RWAs)</t>
  </si>
  <si>
    <t>Add RWAs for Name Concentration?</t>
  </si>
  <si>
    <t>RWA based on…</t>
  </si>
  <si>
    <t>Other risks</t>
  </si>
  <si>
    <t>Include Pillar 2 RWAs?</t>
  </si>
  <si>
    <t>Profit</t>
  </si>
  <si>
    <t>Simulate taxes?</t>
  </si>
  <si>
    <t>Portion of profit retained</t>
  </si>
  <si>
    <t>Hurdle Rates</t>
  </si>
  <si>
    <t>Capital Ratio</t>
  </si>
  <si>
    <t>Total Capital Ratio</t>
  </si>
  <si>
    <t>Tier 1 Capital Ratio</t>
  </si>
  <si>
    <t>Common/Core Tier 1 Ratio</t>
  </si>
  <si>
    <t>Additional buffer above Hurdle Rate (also for Basel III test)</t>
  </si>
  <si>
    <t>Scenario</t>
  </si>
  <si>
    <t>Choice of Scenario</t>
  </si>
  <si>
    <t>Country type</t>
  </si>
  <si>
    <t>Other Assumptions</t>
  </si>
  <si>
    <t>Loss Assumption</t>
  </si>
  <si>
    <t>Simulate increase of PDs</t>
  </si>
  <si>
    <t>Simulate Rating downgrade</t>
  </si>
  <si>
    <t>For simlation of PD increase:</t>
  </si>
  <si>
    <t>For simulation of LGD increase (change):</t>
  </si>
  <si>
    <t>For simulation of PD increase (change):</t>
  </si>
  <si>
    <t>For simulation of Asset Correlation change:</t>
  </si>
  <si>
    <t>Increase of Market Risk RWA (relative):</t>
  </si>
  <si>
    <t>Stress of FX Rates (Impacts P&amp;L)</t>
  </si>
  <si>
    <t>Interest Rate Risk Scenario</t>
  </si>
  <si>
    <t>Change of asset values</t>
  </si>
  <si>
    <t>Include Hold-to-Maturity Portfolios</t>
  </si>
  <si>
    <t>Other Risks</t>
  </si>
  <si>
    <t>Increase of RWAs for other Pillar 1 &amp; 2 risks</t>
  </si>
  <si>
    <t>Increase of Operational Risk RWAs (relative):</t>
  </si>
  <si>
    <t>Evolution of Profit conditional on Scenario</t>
  </si>
  <si>
    <t>Change of Net Interest Income (other than changes in interest paid due to credit losses)</t>
  </si>
  <si>
    <t>Change of Fee and Commission Income</t>
  </si>
  <si>
    <t>Change of Trading Income</t>
  </si>
  <si>
    <t>Change in Other Income (Default category)</t>
  </si>
  <si>
    <t>Include in tests:</t>
  </si>
  <si>
    <t>Asset Correlations</t>
  </si>
  <si>
    <t>Relative Change in Correlations</t>
  </si>
  <si>
    <t>Resulting Level of Correlations</t>
  </si>
  <si>
    <t xml:space="preserve">Asset Price Risk </t>
  </si>
  <si>
    <t>Total Assets in Trading book &amp; AfS Portfolio</t>
  </si>
  <si>
    <t>Reported Figures</t>
  </si>
  <si>
    <t>Change of Risk-Weighted Assets (RWAs)</t>
  </si>
  <si>
    <t>Relative change of Risk-weighted Assets</t>
  </si>
  <si>
    <t>Foreign Exchange Rate Risk (FX Risk)</t>
  </si>
  <si>
    <t>Interest Rate Risk</t>
  </si>
  <si>
    <t>Reference scenario</t>
  </si>
  <si>
    <t>Change</t>
  </si>
  <si>
    <t>Change in Asset Value (average)</t>
  </si>
  <si>
    <t>Trading Portfolio</t>
  </si>
  <si>
    <t>Available for Sale Portfolio</t>
  </si>
  <si>
    <t>Hold-to-Maturity Portfolio</t>
  </si>
  <si>
    <t>Pillar II Risk-weighted Assets</t>
  </si>
  <si>
    <t>Net interest income, net fee and commission income, net trading income and other categories of income</t>
  </si>
  <si>
    <t>Changes in Bank Profits (ex-impairments and valuation losses/gains)</t>
  </si>
  <si>
    <t>Change in total credit volume, year-on-year</t>
  </si>
  <si>
    <t>Exposure at Default (Performing before stress in year 1)</t>
  </si>
  <si>
    <t>Total</t>
  </si>
  <si>
    <t>Total Credit Exposure included in Test</t>
  </si>
  <si>
    <t>Portion of credit exposure subject to stress test</t>
  </si>
  <si>
    <t>Stress Assumption</t>
  </si>
  <si>
    <t>FX Change</t>
  </si>
  <si>
    <t>Average Resulting loss (-) or profit (+)</t>
  </si>
  <si>
    <t xml:space="preserve">Include HTM </t>
  </si>
  <si>
    <t>Net interest Income</t>
  </si>
  <si>
    <t>Net Fee and Commission Income</t>
  </si>
  <si>
    <t>Default categories for income</t>
  </si>
  <si>
    <t>Change of Risk-weighted Assets (RWAs)</t>
  </si>
  <si>
    <t>Calculation of PDs for Rating Downgrade Analysis</t>
  </si>
  <si>
    <t>Calculation of the Risk Parameters</t>
  </si>
  <si>
    <t>Input Data: weighted average PD</t>
  </si>
  <si>
    <t>1 notch downgrade: weighted average PD</t>
  </si>
  <si>
    <t>Input Data</t>
  </si>
  <si>
    <t>1 Notch Downgrade</t>
  </si>
  <si>
    <t>2 notches downgrade: weighted average PD</t>
  </si>
  <si>
    <t>Loans</t>
  </si>
  <si>
    <t>Counterparty Credit Risk</t>
  </si>
  <si>
    <t>3 notches downgrade: weighted average PD</t>
  </si>
  <si>
    <t>4 notches downgrade: weighted average PD</t>
  </si>
  <si>
    <t>2 Notch Downgrade</t>
  </si>
  <si>
    <t>3 Notch Downgrade</t>
  </si>
  <si>
    <t>5 notches downgrade: weighted average PD</t>
  </si>
  <si>
    <t>4 Notch Downgrade</t>
  </si>
  <si>
    <t>5 Notch Downgrade</t>
  </si>
  <si>
    <t>6 Notch Downgrade</t>
  </si>
  <si>
    <t>7 Notch Downgrade</t>
  </si>
  <si>
    <t>6 notches downgrade: weighted average PD</t>
  </si>
  <si>
    <t>7 notches downgrade: weighted average PD</t>
  </si>
  <si>
    <t>8 Notch Downgrade</t>
  </si>
  <si>
    <t>9 Notch Downgrade</t>
  </si>
  <si>
    <t>8 notches downgrade: weighted average PD</t>
  </si>
  <si>
    <t>9 notches downgrade: weighted average PD</t>
  </si>
  <si>
    <t>Summary</t>
  </si>
  <si>
    <t>Calculation of RWAs for Regulatory IRB</t>
  </si>
  <si>
    <t>Before Stress</t>
  </si>
  <si>
    <t>After Year 1</t>
  </si>
  <si>
    <t>After Year 2</t>
  </si>
  <si>
    <t>After Year 3</t>
  </si>
  <si>
    <t>After Year 4</t>
  </si>
  <si>
    <t>After Year 5</t>
  </si>
  <si>
    <t>Total IRB Credit RWAs</t>
  </si>
  <si>
    <t>Exposure</t>
  </si>
  <si>
    <t>PD</t>
  </si>
  <si>
    <t>Correlation</t>
  </si>
  <si>
    <t>Correlation retail</t>
  </si>
  <si>
    <t>Maturity adjustment</t>
  </si>
  <si>
    <t>IRB Credit RWA</t>
  </si>
  <si>
    <t>Scaling</t>
  </si>
  <si>
    <t>Assumptions (to simulate sensitivity, all other assumptions defined on "Assumption" sheet)</t>
  </si>
  <si>
    <t>Aggregate Outcome of Scenario Analysis (Overview)</t>
  </si>
  <si>
    <t>Scenario Type:</t>
  </si>
  <si>
    <t>If Macro, type?</t>
  </si>
  <si>
    <t>Include Basel III:</t>
  </si>
  <si>
    <t>RWA Stress Test Method:</t>
  </si>
  <si>
    <t>Standard</t>
  </si>
  <si>
    <t>Include Scaling Factor?</t>
  </si>
  <si>
    <t>Hurdle Rate</t>
  </si>
  <si>
    <t>Necessary Recapitalization (abs)</t>
  </si>
  <si>
    <t>CAR</t>
  </si>
  <si>
    <t>Total capital adequacy ratio (CAR)</t>
  </si>
  <si>
    <t>Tier 1 ratio (T1R)</t>
  </si>
  <si>
    <t>Common/Core tier 1 ratio (Core T1R)</t>
  </si>
  <si>
    <t>T1R</t>
  </si>
  <si>
    <t>Core T1R</t>
  </si>
  <si>
    <t>Necessary Recapitalization (rel to GDP)</t>
  </si>
  <si>
    <t>Overall Outcome</t>
  </si>
  <si>
    <t>Net Profit (before losses)</t>
  </si>
  <si>
    <t>Losses (Credit Risk)</t>
  </si>
  <si>
    <t>Losses/Gains (Trading &amp; Investment Income)</t>
  </si>
  <si>
    <t>Net income (Profit or Loss)</t>
  </si>
  <si>
    <t>Sum of Risk weighted assets</t>
  </si>
  <si>
    <t>Profit (before losses)</t>
  </si>
  <si>
    <t>Losses (credit)</t>
  </si>
  <si>
    <t>Losses (trading)</t>
  </si>
  <si>
    <t>Net Losses/Profit</t>
  </si>
  <si>
    <t>Change in Risk weighted assets</t>
  </si>
  <si>
    <t>Risk Drivers</t>
  </si>
  <si>
    <t>Other (Credit Growth, etc)</t>
  </si>
  <si>
    <t>Risk Drivers: Contribution (ppts)</t>
  </si>
  <si>
    <t>Total Capital in the banking system</t>
  </si>
  <si>
    <t>Tier 1 Capital in the banking system</t>
  </si>
  <si>
    <t>Common/Core Capital in the banking system</t>
  </si>
  <si>
    <t>Leverage (capital/total credit)</t>
  </si>
  <si>
    <t>Leverage (Tier 1 capital/total credit)</t>
  </si>
  <si>
    <t>Return on total regulatory capital</t>
  </si>
  <si>
    <t>Dividend yield</t>
  </si>
  <si>
    <t>Hurdle Rate Total Capital</t>
  </si>
  <si>
    <t>Hurdle Rate Tier 1 Capital</t>
  </si>
  <si>
    <t>Hurdle Rate Common/Core Tier 1</t>
  </si>
  <si>
    <t>Percentage of Profit retained</t>
  </si>
  <si>
    <t>Use of  scaling factor? (yes/no)</t>
  </si>
  <si>
    <t>Pillar 2 capital charges included? (yes/no)</t>
  </si>
  <si>
    <t>RWAs for name concentration included? (yes/no)</t>
  </si>
  <si>
    <t>Loss Rate</t>
  </si>
  <si>
    <t>Market Risk RWAs</t>
  </si>
  <si>
    <t>Interest Rate Shock (bp)</t>
  </si>
  <si>
    <t>Asset Price Shock (Trading, AfS)</t>
  </si>
  <si>
    <t>Operational Risk RWAs</t>
  </si>
  <si>
    <t>Change of FX rates for all net open positions (%)</t>
  </si>
  <si>
    <t>Parameters for Sensitivity Analysis</t>
  </si>
  <si>
    <t>Shock Type:</t>
  </si>
  <si>
    <t>Market Risk Tests</t>
  </si>
  <si>
    <t>by</t>
  </si>
  <si>
    <t>Credit Risk Tests</t>
  </si>
  <si>
    <t>Increase of PDs</t>
  </si>
  <si>
    <t>Total Capital adequacy ratio</t>
  </si>
  <si>
    <t>Capital needs to recapitalize the bank</t>
  </si>
  <si>
    <t>Core Tier 1</t>
  </si>
  <si>
    <t>Losses (Credit, including foregone interest)</t>
  </si>
  <si>
    <t>Losses/Gains (Trading, FX Risk, Interest Rate Risk,Other)</t>
  </si>
  <si>
    <t>Risk weighted assets of the banking sector</t>
  </si>
  <si>
    <t>Instantaneous Shock</t>
  </si>
  <si>
    <t>Scenario analysis (for info)</t>
  </si>
  <si>
    <t>Outcome of Sensitivity Analysis</t>
  </si>
  <si>
    <t>Detailed Results</t>
  </si>
  <si>
    <t>Resulting Profit/Loss</t>
  </si>
  <si>
    <t>Change in RWAs</t>
  </si>
  <si>
    <t>Total Credit Exposure subject to stress</t>
  </si>
  <si>
    <t>Credit Loss Ratio (Stress)</t>
  </si>
  <si>
    <t>LGD (Stress)</t>
  </si>
  <si>
    <t>Resulting Loss</t>
  </si>
  <si>
    <t>Resulting Loss/Profit</t>
  </si>
  <si>
    <t>Profit available as buffer (assumption: same as previous year)</t>
  </si>
  <si>
    <t>Total Capital Ratio after stress</t>
  </si>
  <si>
    <t>Tier 1 Capital Ratio after stress</t>
  </si>
  <si>
    <t>Common/Core Tier 1 Ratio after stress</t>
  </si>
  <si>
    <t>Risk-weighted assets after stress</t>
  </si>
  <si>
    <t>Tier Capital Ratio after stress</t>
  </si>
  <si>
    <t>Capital needs Total Capital (Yes/No)</t>
  </si>
  <si>
    <t>Capital needs Tier 1 Capital (Yes/No)</t>
  </si>
  <si>
    <t>Capital needs Core/Common Tier 1 Capital (Yes/No)</t>
  </si>
  <si>
    <t xml:space="preserve">Capital needs (Total Capital Ratio) </t>
  </si>
  <si>
    <t>Capital needs (Tier Capital Ratio)</t>
  </si>
  <si>
    <t>Capital needs (Common/Core Tier 1)</t>
  </si>
  <si>
    <t>Outcome of Sensitivity Tests</t>
  </si>
  <si>
    <t>Stress Test Parameters</t>
  </si>
  <si>
    <t>Risk Parameters</t>
  </si>
  <si>
    <t>Definition of loss:</t>
  </si>
  <si>
    <t>Sector 1</t>
  </si>
  <si>
    <t>Sector 2</t>
  </si>
  <si>
    <t>Sector 3</t>
  </si>
  <si>
    <t>Sector 4</t>
  </si>
  <si>
    <t>Sector 5</t>
  </si>
  <si>
    <t>Sector 6</t>
  </si>
  <si>
    <t>Sector 7</t>
  </si>
  <si>
    <t>Sector 8</t>
  </si>
  <si>
    <t>Sector 9</t>
  </si>
  <si>
    <t>Sector 10</t>
  </si>
  <si>
    <t>Include Broad Sectors:</t>
  </si>
  <si>
    <t>If so, how many sectors:</t>
  </si>
  <si>
    <t>Sector 11</t>
  </si>
  <si>
    <t>Sector 12</t>
  </si>
  <si>
    <t>Sector 13</t>
  </si>
  <si>
    <t>Sector 14</t>
  </si>
  <si>
    <t>Sector 15</t>
  </si>
  <si>
    <t>Sector 16</t>
  </si>
  <si>
    <t>Sector 17</t>
  </si>
  <si>
    <t>Sector 18</t>
  </si>
  <si>
    <t>Sector 19</t>
  </si>
  <si>
    <t>Sector 20</t>
  </si>
  <si>
    <t>Region 1</t>
  </si>
  <si>
    <t>Region 2</t>
  </si>
  <si>
    <t>Region 3</t>
  </si>
  <si>
    <t>Region 4</t>
  </si>
  <si>
    <t>Region 5</t>
  </si>
  <si>
    <t>Region 6</t>
  </si>
  <si>
    <t>Region 7</t>
  </si>
  <si>
    <t>Region 8</t>
  </si>
  <si>
    <t>Region 9</t>
  </si>
  <si>
    <t>Region 10</t>
  </si>
  <si>
    <t>Region 11</t>
  </si>
  <si>
    <t>Region 12</t>
  </si>
  <si>
    <t>Region 13</t>
  </si>
  <si>
    <t>Region 14</t>
  </si>
  <si>
    <t>Region 15</t>
  </si>
  <si>
    <t>Region 16</t>
  </si>
  <si>
    <t>Region 17</t>
  </si>
  <si>
    <t>Region 18</t>
  </si>
  <si>
    <t>Region 19</t>
  </si>
  <si>
    <t>Region 20</t>
  </si>
  <si>
    <t>Definition of Market Risk Factors</t>
  </si>
  <si>
    <t>Broad credit sectors/asset classes</t>
  </si>
  <si>
    <t>Granular credit sectors</t>
  </si>
  <si>
    <t>Include Fine Sectors:</t>
  </si>
  <si>
    <t>Include Regional Split:</t>
  </si>
  <si>
    <t>If so, how many regions:</t>
  </si>
  <si>
    <t>Market Portfolio Categories</t>
  </si>
  <si>
    <t>Include Portfolio:</t>
  </si>
  <si>
    <t>PD/LGD</t>
  </si>
  <si>
    <t>Total Credit (on- &amp; off-balance, before stress)</t>
  </si>
  <si>
    <t>Total Customer Loans</t>
  </si>
  <si>
    <t>Total Credit Exposure included in Stress Test</t>
  </si>
  <si>
    <t>Credit Growth (during stress horizon)</t>
  </si>
  <si>
    <t>Defaulted Credit/NPL Inflow (conditional on scenario)</t>
  </si>
  <si>
    <t>LGD (stress)</t>
  </si>
  <si>
    <t>Total Credit (performing loans after stress)</t>
  </si>
  <si>
    <t>Impairments (reported before stress)</t>
  </si>
  <si>
    <t>Impairments (scenario)</t>
  </si>
  <si>
    <t>Total RWAs before Stress</t>
  </si>
  <si>
    <t>Total RWAs after stress</t>
  </si>
  <si>
    <t>Risk Weighted Assets</t>
  </si>
  <si>
    <t>Profits</t>
  </si>
  <si>
    <t>Profit (reported, re-scaled to one year, if applicable)</t>
  </si>
  <si>
    <t>Adjustment of profit (positive or genative)</t>
  </si>
  <si>
    <t>Profit/loss (after stress, added to capital)</t>
  </si>
  <si>
    <t>Change of all other income components not covered otherwise</t>
  </si>
  <si>
    <t>Basel II Approach to Credit Risk</t>
  </si>
  <si>
    <t>RWAs for Credit Risk (before stress)</t>
  </si>
  <si>
    <t>RWAs for Credit Risk (IRB)</t>
  </si>
  <si>
    <t>RWAs for Market Risk (before stress)</t>
  </si>
  <si>
    <t>RWAs for Operational Risk (before stress)</t>
  </si>
  <si>
    <t>RWAs for Other Pillar 1 charges (before stress)</t>
  </si>
  <si>
    <t>RWAs for Pillar 2 (if selected)</t>
  </si>
  <si>
    <t>RWAs for Credit Risk (after stress)</t>
  </si>
  <si>
    <t>RWAs for Market Risk (after stress)</t>
  </si>
  <si>
    <t>RWAs for Operational Risk (after stress)</t>
  </si>
  <si>
    <t>RWAs for Other Pillar 1 charges (after stress)</t>
  </si>
  <si>
    <t>RWAs for Pillar 2 (after stress)</t>
  </si>
  <si>
    <t>Impairments necessary exceeding reported provisions</t>
  </si>
  <si>
    <t>Losses/Gains in market portfolios (investment, trading)</t>
  </si>
  <si>
    <t>Interest Risk Shock in the banking book</t>
  </si>
  <si>
    <t>Foreign Exchange Rate Risk</t>
  </si>
  <si>
    <t>Regulatory Capital</t>
  </si>
  <si>
    <t>Regulatory capital before stress (Total)</t>
  </si>
  <si>
    <t>Regulatory capital after stress (Total)</t>
  </si>
  <si>
    <t>Regulatory capital before stress (Tier 1)</t>
  </si>
  <si>
    <t>Regulatory capital after stress (Tier 1)</t>
  </si>
  <si>
    <t>Regulatory capital before stress (Core Tier 1)</t>
  </si>
  <si>
    <t>Regulatory capital after stress (Core Tier 1)</t>
  </si>
  <si>
    <t>Total Capital Ratio before Stress (CAR)</t>
  </si>
  <si>
    <t>Total Capital Ratio after stress (CAR)</t>
  </si>
  <si>
    <t>Tier 1 Ratio before stress (T1R)</t>
  </si>
  <si>
    <t>Tier 1 Ratio after stress (T1R)</t>
  </si>
  <si>
    <t>Common/Core Tier 1 Ratio before stress (Core T1R)</t>
  </si>
  <si>
    <t>Common/Core Tier 1 Ratio after stress (Core T1R)</t>
  </si>
  <si>
    <t>Minimum regulatory capital (after stress, Total CAR)</t>
  </si>
  <si>
    <t>Minimum regulatory capital (after stress, Tier 1)</t>
  </si>
  <si>
    <t>Minimum regulatory capital (after stress, Core Tier 1)</t>
  </si>
  <si>
    <t>Capital Adequacy</t>
  </si>
  <si>
    <t>Recapitalization needed before stress (0=no, 1=yes)</t>
  </si>
  <si>
    <t>Recapitalization needs before stress</t>
  </si>
  <si>
    <t>Recapitalization needed after stress (0=no, 1=yes)</t>
  </si>
  <si>
    <t>Recapitalization needs after stress</t>
  </si>
  <si>
    <t>Recapitalization Needs (Total CAR)</t>
  </si>
  <si>
    <t>Recapitalization Needs (Core Tier 1)</t>
  </si>
  <si>
    <t>Leverage (based on Total Capital)</t>
  </si>
  <si>
    <t>Leverage (based on Tier 1 Capital)</t>
  </si>
  <si>
    <t>Phase-out Total Capital</t>
  </si>
  <si>
    <t>Phase-out Tier 1 Capital</t>
  </si>
  <si>
    <t>Phase-out Common/Core Tier 1 Capital</t>
  </si>
  <si>
    <t>Pass/Fail (post-test)</t>
  </si>
  <si>
    <t>Banks failing the tests (pre test)</t>
  </si>
  <si>
    <t>Definitions for Credit Risk Factors</t>
  </si>
  <si>
    <t>Stress Testing Setup</t>
  </si>
  <si>
    <t>Legend</t>
  </si>
  <si>
    <t>User selected value</t>
  </si>
  <si>
    <t>Identification ID</t>
  </si>
  <si>
    <t>Description</t>
  </si>
  <si>
    <t>Choose Input Section</t>
  </si>
  <si>
    <t>Basel Approach used by bank for…</t>
  </si>
  <si>
    <t>Satellite Sheet</t>
  </si>
  <si>
    <t>Assumptions</t>
  </si>
  <si>
    <t>Sensitivity</t>
  </si>
  <si>
    <t>GDP Growth Path (used for Rule of Thumb)</t>
  </si>
  <si>
    <t>Base Year</t>
  </si>
  <si>
    <t>Credit Risk:</t>
  </si>
  <si>
    <t>Market Risk:</t>
  </si>
  <si>
    <t>Op. Risk:</t>
  </si>
  <si>
    <t>Basic</t>
  </si>
  <si>
    <t>Standardized</t>
  </si>
  <si>
    <t>Country (3-Digit ISO Code)</t>
  </si>
  <si>
    <t>Total Large Exposures</t>
  </si>
  <si>
    <t>Country level</t>
  </si>
  <si>
    <t xml:space="preserve">Non-performing loans (NPLs) / Total loans </t>
  </si>
  <si>
    <t>Loan loss provisions (LLPs) / Total Loans</t>
  </si>
  <si>
    <t>Credit Growth (annualized growth previous year, for information only)</t>
  </si>
  <si>
    <t xml:space="preserve">Interest Rate Shock Scenario </t>
  </si>
  <si>
    <t>Shock 1</t>
  </si>
  <si>
    <t>Shock 2</t>
  </si>
  <si>
    <t>Shock 3</t>
  </si>
  <si>
    <t>Shock 4</t>
  </si>
  <si>
    <t>Shock 5</t>
  </si>
  <si>
    <t>Shock 6</t>
  </si>
  <si>
    <t>Shock 7</t>
  </si>
  <si>
    <t>Shock 8</t>
  </si>
  <si>
    <t>Shock 9</t>
  </si>
  <si>
    <t>Shock 10</t>
  </si>
  <si>
    <t>Number of unique shock scenarios:</t>
  </si>
  <si>
    <t>Definition of Credit Parameter Sensitivities and Relationships used for Stress Testing</t>
  </si>
  <si>
    <t>Definition of Conceptual Parameters</t>
  </si>
  <si>
    <t>Parameters</t>
  </si>
  <si>
    <t>Relationship between PDs and LGDs</t>
  </si>
  <si>
    <t>Purpose</t>
  </si>
  <si>
    <t>LGD intercept</t>
  </si>
  <si>
    <t>LGD slope</t>
  </si>
  <si>
    <t>Numerical Example</t>
  </si>
  <si>
    <t>Adjusted LGD for a country with higher LGDs</t>
  </si>
  <si>
    <t>Specification</t>
  </si>
  <si>
    <t>Potential Adjustment</t>
  </si>
  <si>
    <t>Other country specifications</t>
  </si>
  <si>
    <t>Bank-specific Parameters</t>
  </si>
  <si>
    <t>LGD (Country)</t>
  </si>
  <si>
    <t>LGD (Bank level)</t>
  </si>
  <si>
    <t>Duration of work-out process in country</t>
  </si>
  <si>
    <t>Asset Correlation (based on Country-level PD)</t>
  </si>
  <si>
    <t>Asset Correlation (based on Bank-level PD)</t>
  </si>
  <si>
    <t>Impairments (Country)</t>
  </si>
  <si>
    <t>Impairments (Bank)</t>
  </si>
  <si>
    <t>RWA Intercept Squared</t>
  </si>
  <si>
    <t>RWA Intercept</t>
  </si>
  <si>
    <t>RWA Constant</t>
  </si>
  <si>
    <t>Relationship between Name Concentration and RWAs</t>
  </si>
  <si>
    <t>Portfolio Size</t>
  </si>
  <si>
    <t>Large Portfolio</t>
  </si>
  <si>
    <t>Small Portfolio, concentrated</t>
  </si>
  <si>
    <t>Very Small Portfolio</t>
  </si>
  <si>
    <t>Medium sized Portfolio, low conc.</t>
  </si>
  <si>
    <t>Small Portfolio, low concentration</t>
  </si>
  <si>
    <t>HHI</t>
  </si>
  <si>
    <r>
      <rPr>
        <u/>
        <sz val="10"/>
        <color theme="1"/>
        <rFont val="Calibri"/>
        <family val="2"/>
        <scheme val="minor"/>
      </rPr>
      <t>Note</t>
    </r>
    <r>
      <rPr>
        <sz val="10"/>
        <color theme="1"/>
        <rFont val="Calibri"/>
        <family val="2"/>
        <scheme val="minor"/>
      </rPr>
      <t>: most internationally active banks would fall into the "large portfolio" category, or the "median-sized" bucket. Small credit portfolio would be held by banks with, say, assets of less than $1-5 billion.</t>
    </r>
  </si>
  <si>
    <t>Model parameters used on the stress test tabs</t>
  </si>
  <si>
    <t>Coefficient</t>
  </si>
  <si>
    <t>HHI Intercept</t>
  </si>
  <si>
    <t>HHI Parameter</t>
  </si>
  <si>
    <t>HHI PD Factor</t>
  </si>
  <si>
    <t>1+(PD of bank portfolio/0.4%-1)*0.1</t>
  </si>
  <si>
    <t>Number of Large Exposures</t>
  </si>
  <si>
    <t>Overestimation Factor</t>
  </si>
  <si>
    <t>Adjustment Factor</t>
  </si>
  <si>
    <t>Factors to rescale credit-risk related RWAs based on Standardized Approach into IRB RWAs</t>
  </si>
  <si>
    <t>Bank</t>
  </si>
  <si>
    <t>Approach used for Credit Risk</t>
  </si>
  <si>
    <t>Total Credit Exposure (On-&amp; Offbalance sheet)</t>
  </si>
  <si>
    <t>PD of the bank's total credit portfolio</t>
  </si>
  <si>
    <t>LGD of the Bank's credit exposures</t>
  </si>
  <si>
    <t>Correlation (Retail)</t>
  </si>
  <si>
    <t>Capital Requirements</t>
  </si>
  <si>
    <t>On-balance and Off-balance sheet credit</t>
  </si>
  <si>
    <t xml:space="preserve">Correlation </t>
  </si>
  <si>
    <t>Reported RWAs</t>
  </si>
  <si>
    <t>Scaling Factor for IRB</t>
  </si>
  <si>
    <t>Relationship between Asset Correlations and Risk-weighted Assets (RWAs)</t>
  </si>
  <si>
    <t>Impact of Asset Correlation Stress on RWAs</t>
  </si>
  <si>
    <t>Asset Correlation Elasticity</t>
  </si>
  <si>
    <t>Impact of Rating Downgrade by x notches on PDs</t>
  </si>
  <si>
    <t>Master Rating scale (data based on Moody's, on the lower end adjusted for inconsistencies)</t>
  </si>
  <si>
    <t xml:space="preserve">see Moody's (2009, "Corporate Default and Recovery Rates, 1920-2008", February 2009) </t>
  </si>
  <si>
    <t>Rating</t>
  </si>
  <si>
    <t>One Year PDs</t>
  </si>
  <si>
    <t>Scale</t>
  </si>
  <si>
    <t>Default (+ 1 notch from C/CC)</t>
  </si>
  <si>
    <t>Default (+ 2 notches from C/CC)</t>
  </si>
  <si>
    <t>Default (+ 3 notches from C/CC)</t>
  </si>
  <si>
    <t>Default (+ 4 notch from C/CC)</t>
  </si>
  <si>
    <t>Default (+ 5 notches from C/CC)</t>
  </si>
  <si>
    <t>Default (+ 6 notches from C/CC)</t>
  </si>
  <si>
    <t>Default (+ 7 notch from C/CC)</t>
  </si>
  <si>
    <t>Default (+ 8 notches from C/CC)</t>
  </si>
  <si>
    <t>Default (+ 9 notches from C/CC)</t>
  </si>
  <si>
    <t>Rating scale for structured credit</t>
  </si>
  <si>
    <t>Risk-weighting</t>
  </si>
  <si>
    <t>Structured credit</t>
  </si>
  <si>
    <t>Risk weight</t>
  </si>
  <si>
    <t>Default (+ 1 notch from B and lower)</t>
  </si>
  <si>
    <t>Default (+ 2 notches from B and lower)</t>
  </si>
  <si>
    <t>Default (+ 3 notches from B and lower)</t>
  </si>
  <si>
    <t>Default (+ 4 notch from B and lower)</t>
  </si>
  <si>
    <t>Default (+ 5 notches from B and lower)</t>
  </si>
  <si>
    <t>Default (+ 6 notches from B and lower)</t>
  </si>
  <si>
    <t>Default (+ 7 notch from B and lower)</t>
  </si>
  <si>
    <t>Default (+ 8 notches from B and lower)</t>
  </si>
  <si>
    <t>Default (+ 9 notches from B and lower)</t>
  </si>
  <si>
    <t>Rating distribution for different asset classes (for benchmarking purposes)</t>
  </si>
  <si>
    <t>C Categories</t>
  </si>
  <si>
    <t>Other public</t>
  </si>
  <si>
    <t>GDP Elasticities of credit risk parameters</t>
  </si>
  <si>
    <t>Parameter</t>
  </si>
  <si>
    <t>Default Rate/NPL</t>
  </si>
  <si>
    <t>Credit Correlation</t>
  </si>
  <si>
    <t>Pre-impairment pre-tax return on assets</t>
  </si>
  <si>
    <t>Normal Activity</t>
  </si>
  <si>
    <t xml:space="preserve"> </t>
  </si>
  <si>
    <t>Moderate Shock</t>
  </si>
  <si>
    <t>Medium Shock</t>
  </si>
  <si>
    <t>Severe Shock</t>
  </si>
  <si>
    <t>Advanced Economy</t>
  </si>
  <si>
    <t>Emerging Economy</t>
  </si>
  <si>
    <t>Level of credit risk parameters under different levels of stress (one-year period)</t>
  </si>
  <si>
    <t>GDP Elasticities</t>
  </si>
  <si>
    <t>Basel III Parameters and Assumptions (based on official documents and QIS data)</t>
  </si>
  <si>
    <t>Hurdle Rates (incl. additional buffer (if selected))</t>
  </si>
  <si>
    <t>Tier 1 Capital</t>
  </si>
  <si>
    <t>Additional buffer above hurdle rate?</t>
  </si>
  <si>
    <t>Enter on Assumptions tab</t>
  </si>
  <si>
    <t>Increase of RWAs</t>
  </si>
  <si>
    <t>Group 1 Banks</t>
  </si>
  <si>
    <t xml:space="preserve">Group 2 Banks </t>
  </si>
  <si>
    <t>Behavioral adjustment by banks</t>
  </si>
  <si>
    <t>2011 (based on QIS data)</t>
  </si>
  <si>
    <t>2011 (taking into account behavioral adjustments)</t>
  </si>
  <si>
    <t>Phase-in of core tier 1 capital deductions (label: "phase-out of capital")</t>
  </si>
  <si>
    <t>Portion subject to phase-out Group 1</t>
  </si>
  <si>
    <t>Portion subject to phase-out Group 2</t>
  </si>
  <si>
    <t>Source: Table 4 in the QIS report</t>
  </si>
  <si>
    <t>Phase-out portion (specific year)</t>
  </si>
  <si>
    <t xml:space="preserve">Phase-out of tier 1 capital </t>
  </si>
  <si>
    <t>Phase-out of total capital</t>
  </si>
  <si>
    <t>Major Currencies</t>
  </si>
  <si>
    <t>Stats</t>
  </si>
  <si>
    <t>Common/Cor Tier 1</t>
  </si>
  <si>
    <t>Asset Quality/Type</t>
  </si>
  <si>
    <t>Total Deposits</t>
  </si>
  <si>
    <t>Risk-weighted Assets (RWA)</t>
  </si>
  <si>
    <t>Earning/Profitability</t>
  </si>
  <si>
    <t>Interest Margin</t>
  </si>
  <si>
    <t>Reg. Capital/RWAs</t>
  </si>
  <si>
    <t>T1 Capital/RWAs</t>
  </si>
  <si>
    <t>Core Capital/RWAs</t>
  </si>
  <si>
    <t>Risk-weight (RW)</t>
  </si>
  <si>
    <t xml:space="preserve"> Note: If Basel III simulation is chosen, hurdle rates are as scheduled by the Basel Committee</t>
  </si>
  <si>
    <t>Simulate Rating Downgrade</t>
  </si>
  <si>
    <t>Default of Largest Exposures:</t>
  </si>
  <si>
    <t>Recapitalization Needs (Tier 1)</t>
  </si>
  <si>
    <t>RWA method for Credit Risk</t>
  </si>
  <si>
    <t>Capital needs to recapitalize banks (relative to GDP)</t>
  </si>
  <si>
    <t>Calculation</t>
  </si>
  <si>
    <t>Year 1-to-Year 5</t>
  </si>
  <si>
    <t>Summary of Stress Tests</t>
  </si>
  <si>
    <t>Summary of Input Data</t>
  </si>
  <si>
    <r>
      <rPr>
        <u/>
        <sz val="11"/>
        <color theme="1"/>
        <rFont val="Calibri"/>
        <family val="2"/>
        <scheme val="minor"/>
      </rPr>
      <t>Note</t>
    </r>
    <r>
      <rPr>
        <sz val="11"/>
        <color theme="1"/>
        <rFont val="Calibri"/>
        <family val="2"/>
        <scheme val="minor"/>
      </rPr>
      <t>: These values can either be set manually or linked to cells below</t>
    </r>
  </si>
  <si>
    <r>
      <rPr>
        <u/>
        <sz val="11"/>
        <color theme="1"/>
        <rFont val="Calibri"/>
        <family val="2"/>
        <scheme val="minor"/>
      </rPr>
      <t>Note</t>
    </r>
    <r>
      <rPr>
        <sz val="11"/>
        <color theme="1"/>
        <rFont val="Calibri"/>
        <family val="2"/>
        <scheme val="minor"/>
      </rPr>
      <t>: The models entered below are for illustrative purposes. Each model should be calibrated to meet the user's specific needs</t>
    </r>
  </si>
  <si>
    <t>Show All Input Sections</t>
  </si>
  <si>
    <t>Choose Variable:</t>
  </si>
  <si>
    <t>All Variables</t>
  </si>
  <si>
    <t>Choose Input Requirements:</t>
  </si>
  <si>
    <t>Minimum</t>
  </si>
  <si>
    <t>Extended</t>
  </si>
  <si>
    <t>Maximum</t>
  </si>
  <si>
    <t xml:space="preserve">  </t>
  </si>
  <si>
    <t>Relationship between PDs and Risk-weighted Assets (RWAs)</t>
  </si>
  <si>
    <t>Geographic Sectors</t>
  </si>
  <si>
    <t>Variable 1:</t>
  </si>
  <si>
    <t>Variable 3:</t>
  </si>
  <si>
    <t>Variable 2:</t>
  </si>
  <si>
    <t>Roadmap</t>
  </si>
  <si>
    <t>Simulation of basis point change</t>
  </si>
  <si>
    <t>Broad sectors (Basel II)</t>
  </si>
  <si>
    <r>
      <rPr>
        <u/>
        <sz val="11"/>
        <rFont val="Calibri"/>
        <family val="2"/>
        <scheme val="minor"/>
      </rPr>
      <t>Note</t>
    </r>
    <r>
      <rPr>
        <sz val="11"/>
        <rFont val="Calibri"/>
        <family val="2"/>
        <scheme val="minor"/>
      </rPr>
      <t>: if the user does not specify other country LGD assumptions, the bank-specific values will be used</t>
    </r>
  </si>
  <si>
    <t>Evidence suggests PDs and LGDs are positively correlated implying both variables increase in parallel during shocks. The challenge for stress testers is to predict their joint movement, particularly as LGD data remains very scarce. We provide evidence that can be used to define a stress scenarios. As the relationship can be different from the one we refer to (observed in advances countries), other scenarios based on expert judgment should complement this scenario.</t>
  </si>
  <si>
    <t>A recent study by Moody's (2009, "Corporate Default and Recovery Rates, 1920-2008", February 2009) investigates the relationship between default rates and recovery rates for bank loans. The period covered is between 1987 to 2008, which includes several periods of stress (the LGD for 2009 is not higher than for 2008, so the study remains also valid for the current crisis), and add additional stress for downturn, as the relationship found by Moody's is based on normal conditions.</t>
  </si>
  <si>
    <t>A study by S&amp;P (2010) reveals similar results and the Moody's study.The implications are slightly more conservative on the lower end of the PDs. This will be accounted for by adding a cushion for downturn LGDs.</t>
  </si>
  <si>
    <t>The Basel Committee on Banking Supervision (BCBS) has taken up, which added the requirement to use downturn LGDs to the Basel II framework (para. 468) and provided guidance. A formula that could be considered for stress testing has been proposed by the Fed (Downturn-LGD = 0.08 + 0.92*Long-term average LGD).</t>
  </si>
  <si>
    <t>The LGD paper by Schuermann (2004) is a recommended introduction to the concepts mentioned above.</t>
  </si>
  <si>
    <t xml:space="preserve">For stress testing purposes, the relationship between PDs and LGDs is adjusted for country-specific circumstances to account for LGD variation across countries. The LGDs derived in this multi-year study appear to be appropriate, but nevertheless stress testers should not rely on these parameters without additional considerations. </t>
  </si>
  <si>
    <t>The empirical relationship between PDs and LGD is given by: LGD = 1- (-2.3408*PD + 0.6498) = 0.3502 + 2.3408*PD and is additionally adjusted for downturn conditions: LGD (under stress) = 0.08 + (0.3502+2.3408*PD)*0.92 = 0.4022 + 2.1535*PD. The LGD will be capped at 100 percent.</t>
  </si>
  <si>
    <t>Many stress tests neglect the relationship between PDs (and/or LGDs) and capital adequacy. A PD stress will not only reduce capital adequacy through the resulting capital losses, but also increases the riskiness of the portfolio by affecting RWAs. To effectively capture the behaviour of capital adequacy, the non-linear changes of RWAs as a function of PDs must be modelled. Similarly, capturing the impact of changes in asset correlations on RWAs will increase the accuracy of the models.</t>
  </si>
  <si>
    <t>This tool uses the Basel II IRB model to determine a closed-form solution to measure the impact of an increase in PDs (or NPLs) on the increase in RWAs. To do so, a polynomial fit function was used (as shown below). The relationship was determined by fixing the asset correlations to the lowest level of the PDs (a level corresponding to a Aaa rating) and the LGD to 45%, then calculating the increase in RWAs for each incremental increase of PDs by 100bp.</t>
  </si>
  <si>
    <t>Accordingly, the post-shock Capital Adequacy Ratios (CARs) of a bank i and time t+1 reflect the impact of (i) losses (net of provisions and profits) and (ii) the increase in Risk-Weighted Assets (RWAs) after the shock (delta RWAs).</t>
  </si>
  <si>
    <t>A major limitation of the Basel II IRB model is that it does not capture name and sector concentrations. Due to its relatively conservative calibration, it implicitly captures a small degree of sector concentration. No name concentration is captured implicitly. To compensate for this limitation, the model refers to a study of the originator of the Basel II model, Michael Gordy and Eva Luetkebohmert (2007) who have proposed a so-called Granularity adjustment - in fact an add-on to the minimum capital requirements.</t>
  </si>
  <si>
    <t>In order to keep the reduce adjustment complexity, the outcome of the numerical results of Gordy and Luetkebohmert is used to derive a formula that translates name concentration into additional capital requirements. The adjustment depends on the actual level of name concentration, measured in terms of the Herdindahl-Hirschman-Index (HHI) and the level of the PD of the portfolio.</t>
  </si>
  <si>
    <t>The formula can be described as follows: all else equal, if the HHI of a portfolio be 0.01 the minimum capital requirements would have to be roughly 15 percent higher. The formula is calibrated for an average PD level of 0.4 percent. The Granularity adjustment can be assumed to increase relatively by 10% for each increase of the 40 bp increase of PD. By calculating the HHI for the largest n exposures only, the effect will be overestimated; this problem is also accounted for in the model. However, if one does not use borrower units to calculate the HHI, both effects can be assumed to approximately neutralize one another.</t>
  </si>
  <si>
    <t>A key advantage of the use of an economic capital model-type supervisory system (i.e. the IRB for Credit Risk, the IMA for Market Risk and the AMA for Operational Risk) is that the minimum capital requirements are risk sensitive. Risk sensitive measures are key for stress tests to decompose the evolution of risk. Many banks and countries have yet to move to advanced Basel II testing, particularly for Credit Risk and Operational Risk. In order to allow for risk-based stress testing, the framework is to rescale the risk-weighted assets of banks that have not yet implemented the IRB by means of an approximation and then to run risk sensitive tests and simulate scenarios accordingly.</t>
  </si>
  <si>
    <t>To derive an approximation, IRB inputs are required (i.e. the aggregate Credit Exposure (Exposure at Default, EAD) as well as the Probability of Default (PD) and the Loss Given Default (LGD) of the bank level). This tool distinguishes between on-balance sheet exposure and the sum of the on-balance and off-balance sheet exposure.</t>
  </si>
  <si>
    <t>One key parameter that determines the increase of unexpected losses in a portfolio (i.e. RWAs) is asset correlations. In order to simulate the impact of asset correlation stress, a relationship between asset correlation changes and changes in RWAs must be derived.</t>
  </si>
  <si>
    <t xml:space="preserve">The asset correlations used in the Basel II IRB model are dependent on the PD; this reflects the fact that larger firms are rated higher on average. Larger firms are typically more affected by macroeconomic developments therefore the impact of asset correlations on RWAs depends on the level of the PD. To determine a meaningful rule of thumb, the model simulates the impact of an incremental increase of asset correlations on RWAs. This doubles the IRB-based asset correlations and measures the impact on the RWAs (assuming that LGDs are 45 Percent). </t>
  </si>
  <si>
    <t>The validity of the relationship mentioned above is supported by an empirical study based on the economic relationship between asset correlations and Credit Portfolio Risk (ie RWAs). For credit portfolios resembling those of small, medium and large German banks, Mager and Schmieder (2008) found that the empirical relationship is approximately linear. The study finds that for a substantial relative increase of asset correlations (71%), RWAs increase by 45% for a small bank portfolio, 70% for a medium-sized bank portfolio, and 126% for a large bank portfolio. These findings essentially confirm the previous study.</t>
  </si>
  <si>
    <t>The following relationship is used in the model and can be adjusted according to severity</t>
  </si>
  <si>
    <t>Category 1</t>
  </si>
  <si>
    <t>Category 2</t>
  </si>
  <si>
    <t>Category 3</t>
  </si>
  <si>
    <t>Category 4</t>
  </si>
  <si>
    <t>Category 5</t>
  </si>
  <si>
    <t>Category 6</t>
  </si>
  <si>
    <t>Category 7</t>
  </si>
  <si>
    <t>Category 8</t>
  </si>
  <si>
    <t>Category 9</t>
  </si>
  <si>
    <t>Category 10</t>
  </si>
  <si>
    <t>Include Currencies:</t>
  </si>
  <si>
    <t>Basel Treatment for Credit Risk</t>
  </si>
  <si>
    <t>Basel II Approach used by bank for…</t>
  </si>
  <si>
    <t>Market based Financial Soundness Indicators</t>
  </si>
  <si>
    <t>Derivatives (with counterparty risk)</t>
  </si>
  <si>
    <t>Available for Sale (AfS) Positions</t>
  </si>
  <si>
    <t xml:space="preserve">Held-to-Maturity (HTM) Positions </t>
  </si>
  <si>
    <t>Interest Rate shock in the banking book</t>
  </si>
  <si>
    <t>fall in all yield curves (local currency) by 100bps</t>
  </si>
  <si>
    <t>increase in all yield curves (local currency) by 100bps</t>
  </si>
  <si>
    <t>fall in all yield curves (worldwide)</t>
  </si>
  <si>
    <t>increase in all yield curves (worldwide) by 100bps</t>
  </si>
  <si>
    <t>increase in all yield curves (worldwide)</t>
  </si>
  <si>
    <t>fall in all yield for&gt;12 months (worldwide) by 100 bps</t>
  </si>
  <si>
    <t>increase in all yield curves for&gt;12 months (worldwide) by 100 bps</t>
  </si>
  <si>
    <t>Ratio</t>
  </si>
  <si>
    <t>LGDs by Sector</t>
  </si>
  <si>
    <t xml:space="preserve">SME </t>
  </si>
  <si>
    <t>Total Credit</t>
  </si>
  <si>
    <t>Credit Exposure</t>
  </si>
  <si>
    <t>LGDs by sector</t>
  </si>
  <si>
    <t>Please select the Bank Profile whose Financial Data will be used in the tool</t>
  </si>
  <si>
    <t>Profile: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</si>
</sst>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3" formatCode="_(* #,##0.00_);_(* \(#,##0.00\);_(* &quot;-&quot;??_);_(@_)"/>
    <numFmt numFmtId="164" formatCode="_-* #,##0.00_-;\-* #,##0.00_-;_-* &quot;-&quot;??_-;_-@_-"/>
    <numFmt numFmtId="165" formatCode="0.0"/>
    <numFmt numFmtId="166" formatCode="_-* #,##0.0_-;\-* #,##0.0_-;_-* &quot;-&quot;??_-;_-@_-"/>
    <numFmt numFmtId="167" formatCode="0.0%"/>
    <numFmt numFmtId="168" formatCode="0.00000"/>
    <numFmt numFmtId="169" formatCode="_-* #,##0_-;\-* #,##0_-;_-* &quot;-&quot;??_-;_-@_-"/>
    <numFmt numFmtId="170" formatCode="0.0000"/>
    <numFmt numFmtId="171" formatCode="0.000"/>
    <numFmt numFmtId="172" formatCode="0.00000%"/>
    <numFmt numFmtId="173" formatCode="0.000%"/>
  </numFmts>
  <fonts count="64" x14ac:knownFonts="1">
    <font>
      <sz val="11"/>
      <color theme="1"/>
      <name val="Calibri"/>
      <family val="2"/>
      <scheme val="minor"/>
    </font>
    <font>
      <b/>
      <sz val="11"/>
      <color theme="1"/>
      <name val="Calibri"/>
      <family val="2"/>
      <scheme val="minor"/>
    </font>
    <font>
      <sz val="14"/>
      <color theme="1"/>
      <name val="Calibri"/>
      <family val="2"/>
      <scheme val="minor"/>
    </font>
    <font>
      <sz val="11"/>
      <color theme="1"/>
      <name val="Calibri"/>
      <family val="2"/>
      <scheme val="minor"/>
    </font>
    <font>
      <b/>
      <sz val="11"/>
      <color theme="0"/>
      <name val="Calibri"/>
      <family val="2"/>
      <scheme val="minor"/>
    </font>
    <font>
      <b/>
      <sz val="14"/>
      <color theme="1"/>
      <name val="Calibri"/>
      <family val="2"/>
      <scheme val="minor"/>
    </font>
    <font>
      <i/>
      <sz val="11"/>
      <color theme="1"/>
      <name val="Calibri"/>
      <family val="2"/>
      <scheme val="minor"/>
    </font>
    <font>
      <b/>
      <sz val="10"/>
      <name val="Arial"/>
      <family val="2"/>
    </font>
    <font>
      <b/>
      <sz val="12"/>
      <color indexed="9"/>
      <name val="Arial"/>
      <family val="2"/>
    </font>
    <font>
      <u/>
      <sz val="10"/>
      <color theme="10"/>
      <name val="Arial"/>
      <family val="2"/>
    </font>
    <font>
      <i/>
      <sz val="10"/>
      <name val="Arial"/>
      <family val="2"/>
    </font>
    <font>
      <sz val="10"/>
      <name val="Arial"/>
      <family val="2"/>
    </font>
    <font>
      <b/>
      <sz val="9.9"/>
      <color indexed="9"/>
      <name val="Arial"/>
      <family val="2"/>
    </font>
    <font>
      <sz val="9.9"/>
      <color indexed="8"/>
      <name val="Arial"/>
      <family val="2"/>
    </font>
    <font>
      <sz val="9.9"/>
      <color indexed="10"/>
      <name val="Arial"/>
      <family val="2"/>
    </font>
    <font>
      <sz val="10"/>
      <color indexed="10"/>
      <name val="Arial"/>
      <family val="2"/>
    </font>
    <font>
      <sz val="11"/>
      <name val="Times New Roman"/>
      <family val="1"/>
    </font>
    <font>
      <b/>
      <sz val="12"/>
      <name val="Arial"/>
      <family val="2"/>
    </font>
    <font>
      <sz val="12"/>
      <name val="Times New Roman"/>
      <family val="1"/>
    </font>
    <font>
      <b/>
      <sz val="9"/>
      <color indexed="81"/>
      <name val="Tahoma"/>
      <family val="2"/>
    </font>
    <font>
      <sz val="9"/>
      <color indexed="81"/>
      <name val="Tahoma"/>
      <family val="2"/>
    </font>
    <font>
      <b/>
      <sz val="10"/>
      <color theme="1"/>
      <name val="Calibri"/>
      <family val="2"/>
      <scheme val="minor"/>
    </font>
    <font>
      <b/>
      <sz val="10"/>
      <color theme="0"/>
      <name val="Calibri"/>
      <family val="2"/>
      <scheme val="minor"/>
    </font>
    <font>
      <sz val="11"/>
      <color rgb="FFFF0000"/>
      <name val="Calibri"/>
      <family val="2"/>
      <scheme val="minor"/>
    </font>
    <font>
      <b/>
      <sz val="10"/>
      <color indexed="9"/>
      <name val="Arial"/>
      <family val="2"/>
    </font>
    <font>
      <sz val="11"/>
      <color indexed="10"/>
      <name val="Arial"/>
      <family val="2"/>
    </font>
    <font>
      <sz val="11"/>
      <name val="Arial"/>
      <family val="2"/>
    </font>
    <font>
      <u/>
      <sz val="14"/>
      <color theme="1"/>
      <name val="Calibri"/>
      <family val="2"/>
      <scheme val="minor"/>
    </font>
    <font>
      <sz val="11"/>
      <color rgb="FF9C0006"/>
      <name val="Calibri"/>
      <family val="2"/>
      <scheme val="minor"/>
    </font>
    <font>
      <sz val="11"/>
      <color theme="0"/>
      <name val="Calibri"/>
      <family val="2"/>
      <scheme val="minor"/>
    </font>
    <font>
      <b/>
      <sz val="12"/>
      <color theme="1"/>
      <name val="Calibri"/>
      <family val="2"/>
      <scheme val="minor"/>
    </font>
    <font>
      <sz val="10.7"/>
      <color theme="1"/>
      <name val="Calibri"/>
      <family val="2"/>
      <scheme val="minor"/>
    </font>
    <font>
      <b/>
      <sz val="14"/>
      <color theme="4" tint="-0.249977111117893"/>
      <name val="Calibri"/>
      <family val="2"/>
      <scheme val="minor"/>
    </font>
    <font>
      <sz val="28"/>
      <color theme="4" tint="-0.249977111117893"/>
      <name val="Calibri"/>
      <family val="2"/>
      <scheme val="minor"/>
    </font>
    <font>
      <u/>
      <sz val="11"/>
      <color theme="11"/>
      <name val="Calibri"/>
      <family val="2"/>
      <scheme val="minor"/>
    </font>
    <font>
      <sz val="11"/>
      <color rgb="FF000000"/>
      <name val="Calibri"/>
      <family val="2"/>
      <scheme val="minor"/>
    </font>
    <font>
      <sz val="11"/>
      <color theme="4" tint="-0.249977111117893"/>
      <name val="Calibri"/>
      <family val="2"/>
      <scheme val="minor"/>
    </font>
    <font>
      <b/>
      <sz val="11"/>
      <color theme="4" tint="-0.249977111117893"/>
      <name val="Calibri"/>
      <family val="2"/>
      <scheme val="minor"/>
    </font>
    <font>
      <b/>
      <sz val="14"/>
      <color theme="4" tint="-0.249977111117893"/>
      <name val="Calibri"/>
      <family val="2"/>
      <scheme val="minor"/>
    </font>
    <font>
      <sz val="10"/>
      <color theme="1"/>
      <name val="Calibri"/>
      <family val="2"/>
      <scheme val="minor"/>
    </font>
    <font>
      <b/>
      <sz val="14"/>
      <color theme="0"/>
      <name val="Calibri"/>
      <family val="2"/>
      <scheme val="minor"/>
    </font>
    <font>
      <sz val="28"/>
      <color theme="4" tint="-0.249977111117893"/>
      <name val="Calibri"/>
      <family val="2"/>
      <scheme val="minor"/>
    </font>
    <font>
      <b/>
      <sz val="12"/>
      <color theme="4" tint="-0.249977111117893"/>
      <name val="Calibri"/>
      <family val="2"/>
      <scheme val="minor"/>
    </font>
    <font>
      <u/>
      <sz val="10"/>
      <color theme="1"/>
      <name val="Calibri"/>
      <family val="2"/>
      <scheme val="minor"/>
    </font>
    <font>
      <b/>
      <i/>
      <sz val="10"/>
      <color theme="1"/>
      <name val="Calibri"/>
      <family val="2"/>
      <scheme val="minor"/>
    </font>
    <font>
      <sz val="10"/>
      <name val="Times New Roman"/>
      <family val="1"/>
    </font>
    <font>
      <sz val="14"/>
      <color rgb="FFFF0000"/>
      <name val="Calibri"/>
      <family val="2"/>
      <scheme val="minor"/>
    </font>
    <font>
      <sz val="9"/>
      <color theme="1"/>
      <name val="Calibri"/>
      <family val="2"/>
      <scheme val="minor"/>
    </font>
    <font>
      <sz val="9"/>
      <color rgb="FFFF0000"/>
      <name val="Calibri"/>
      <family val="2"/>
      <scheme val="minor"/>
    </font>
    <font>
      <sz val="8"/>
      <color rgb="FFFF0000"/>
      <name val="Calibri"/>
      <family val="2"/>
      <scheme val="minor"/>
    </font>
    <font>
      <sz val="11"/>
      <name val="Calibri"/>
      <family val="2"/>
      <scheme val="minor"/>
    </font>
    <font>
      <b/>
      <sz val="11"/>
      <color theme="4" tint="-0.249977111117893"/>
      <name val="Calibri"/>
      <family val="2"/>
      <scheme val="minor"/>
    </font>
    <font>
      <u/>
      <sz val="11"/>
      <color theme="1"/>
      <name val="Calibri"/>
      <family val="2"/>
      <scheme val="minor"/>
    </font>
    <font>
      <sz val="11"/>
      <color theme="0" tint="-0.14999847407452621"/>
      <name val="Calibri"/>
      <family val="2"/>
      <scheme val="minor"/>
    </font>
    <font>
      <sz val="12"/>
      <color theme="1"/>
      <name val="Calibri"/>
      <family val="2"/>
      <scheme val="minor"/>
    </font>
    <font>
      <b/>
      <i/>
      <sz val="14"/>
      <color theme="4" tint="-0.249977111117893"/>
      <name val="Calibri"/>
      <family val="2"/>
      <scheme val="minor"/>
    </font>
    <font>
      <u/>
      <sz val="11"/>
      <name val="Calibri"/>
      <family val="2"/>
      <scheme val="minor"/>
    </font>
    <font>
      <b/>
      <sz val="11"/>
      <color rgb="FF3F3F3F"/>
      <name val="Calibri"/>
      <family val="2"/>
      <scheme val="minor"/>
    </font>
    <font>
      <b/>
      <sz val="14"/>
      <color rgb="FF000000"/>
      <name val="Calibri"/>
      <family val="2"/>
    </font>
    <font>
      <sz val="11"/>
      <color theme="1"/>
      <name val="Calibri"/>
      <family val="2"/>
    </font>
    <font>
      <b/>
      <u/>
      <sz val="11"/>
      <color rgb="FF000000"/>
      <name val="Calibri"/>
      <family val="2"/>
    </font>
    <font>
      <b/>
      <sz val="11"/>
      <color rgb="FFFFFFFF"/>
      <name val="Calibri"/>
      <family val="2"/>
    </font>
    <font>
      <b/>
      <sz val="18"/>
      <color theme="1"/>
      <name val="Calibri"/>
      <family val="2"/>
      <scheme val="minor"/>
    </font>
    <font>
      <sz val="11"/>
      <color rgb="FF000000"/>
      <name val="Calibri"/>
      <family val="2"/>
      <charset val="204"/>
    </font>
  </fonts>
  <fills count="37">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indexed="22"/>
        <bgColor indexed="64"/>
      </patternFill>
    </fill>
    <fill>
      <patternFill patternType="solid">
        <fgColor indexed="45"/>
        <bgColor indexed="64"/>
      </patternFill>
    </fill>
    <fill>
      <patternFill patternType="solid">
        <fgColor indexed="23"/>
        <bgColor indexed="64"/>
      </patternFill>
    </fill>
    <fill>
      <patternFill patternType="solid">
        <fgColor indexed="55"/>
        <bgColor indexed="64"/>
      </patternFill>
    </fill>
    <fill>
      <patternFill patternType="solid">
        <fgColor indexed="55"/>
        <bgColor indexed="8"/>
      </patternFill>
    </fill>
    <fill>
      <patternFill patternType="solid">
        <fgColor indexed="13"/>
        <bgColor indexed="64"/>
      </patternFill>
    </fill>
    <fill>
      <patternFill patternType="solid">
        <fgColor indexed="9"/>
        <bgColor indexed="64"/>
      </patternFill>
    </fill>
    <fill>
      <patternFill patternType="solid">
        <fgColor indexed="51"/>
        <bgColor indexed="64"/>
      </patternFill>
    </fill>
    <fill>
      <patternFill patternType="solid">
        <fgColor indexed="30"/>
        <bgColor indexed="8"/>
      </patternFill>
    </fill>
    <fill>
      <patternFill patternType="solid">
        <fgColor indexed="52"/>
        <bgColor indexed="64"/>
      </patternFill>
    </fill>
    <fill>
      <patternFill patternType="solid">
        <fgColor indexed="43"/>
        <bgColor indexed="64"/>
      </patternFill>
    </fill>
    <fill>
      <patternFill patternType="lightUp">
        <bgColor indexed="22"/>
      </patternFill>
    </fill>
    <fill>
      <patternFill patternType="solid">
        <fgColor rgb="FFFFC7CE"/>
      </patternFill>
    </fill>
    <fill>
      <patternFill patternType="solid">
        <fgColor theme="6"/>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0"/>
        <bgColor indexed="64"/>
      </patternFill>
    </fill>
    <fill>
      <patternFill patternType="solid">
        <fgColor rgb="FFDDEBF7"/>
        <bgColor rgb="FF000000"/>
      </patternFill>
    </fill>
    <fill>
      <patternFill patternType="solid">
        <fgColor theme="4" tint="0.79998168889431442"/>
        <bgColor rgb="FF000000"/>
      </patternFill>
    </fill>
    <fill>
      <patternFill patternType="solid">
        <fgColor theme="4" tint="0.79995117038483843"/>
        <bgColor indexed="64"/>
      </patternFill>
    </fill>
    <fill>
      <patternFill patternType="solid">
        <fgColor indexed="65"/>
        <bgColor indexed="64"/>
      </patternFill>
    </fill>
    <fill>
      <patternFill patternType="solid">
        <fgColor theme="4" tint="0.39994506668294322"/>
        <bgColor indexed="64"/>
      </patternFill>
    </fill>
    <fill>
      <patternFill patternType="solid">
        <fgColor theme="4" tint="0.79992065187536243"/>
        <bgColor indexed="64"/>
      </patternFill>
    </fill>
    <fill>
      <patternFill patternType="solid">
        <fgColor rgb="FFE7F8FD"/>
        <bgColor indexed="64"/>
      </patternFill>
    </fill>
    <fill>
      <patternFill patternType="solid">
        <fgColor rgb="FFF2F2F2"/>
      </patternFill>
    </fill>
    <fill>
      <patternFill patternType="solid">
        <fgColor theme="0" tint="-0.14996795556505021"/>
        <bgColor indexed="64"/>
      </patternFill>
    </fill>
    <fill>
      <patternFill patternType="solid">
        <fgColor theme="2"/>
        <bgColor indexed="64"/>
      </patternFill>
    </fill>
    <fill>
      <patternFill patternType="solid">
        <fgColor theme="2" tint="-9.9978637043366805E-2"/>
        <bgColor indexed="64"/>
      </patternFill>
    </fill>
    <fill>
      <patternFill patternType="solid">
        <fgColor rgb="FF2F75B5"/>
        <bgColor rgb="FF000000"/>
      </patternFill>
    </fill>
    <fill>
      <patternFill patternType="solid">
        <fgColor rgb="FFD0CECE"/>
        <bgColor rgb="FF000000"/>
      </patternFill>
    </fill>
    <fill>
      <patternFill patternType="solid">
        <fgColor rgb="FF002060"/>
        <bgColor indexed="64"/>
      </patternFill>
    </fill>
  </fills>
  <borders count="42">
    <border>
      <left/>
      <right/>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top/>
      <bottom style="thin">
        <color indexed="8"/>
      </bottom>
      <diagonal/>
    </border>
    <border>
      <left style="thin">
        <color auto="1"/>
      </left>
      <right style="thin">
        <color auto="1"/>
      </right>
      <top style="thin">
        <color auto="1"/>
      </top>
      <bottom style="thin">
        <color indexed="8"/>
      </bottom>
      <diagonal/>
    </border>
    <border>
      <left/>
      <right style="thin">
        <color indexed="8"/>
      </right>
      <top style="thin">
        <color auto="1"/>
      </top>
      <bottom style="thin">
        <color auto="1"/>
      </bottom>
      <diagonal/>
    </border>
    <border>
      <left style="thin">
        <color auto="1"/>
      </left>
      <right style="thin">
        <color auto="1"/>
      </right>
      <top/>
      <bottom style="thin">
        <color indexed="8"/>
      </bottom>
      <diagonal/>
    </border>
    <border>
      <left/>
      <right style="thin">
        <color indexed="8"/>
      </right>
      <top/>
      <bottom/>
      <diagonal/>
    </border>
    <border>
      <left style="thin">
        <color auto="1"/>
      </left>
      <right style="thin">
        <color auto="1"/>
      </right>
      <top style="thin">
        <color auto="1"/>
      </top>
      <bottom/>
      <diagonal/>
    </border>
    <border>
      <left/>
      <right/>
      <top style="thin">
        <color theme="4" tint="-0.249977111117893"/>
      </top>
      <bottom/>
      <diagonal/>
    </border>
    <border>
      <left/>
      <right/>
      <top/>
      <bottom style="thin">
        <color theme="4" tint="-0.249977111117893"/>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bottom style="thin">
        <color indexed="64"/>
      </bottom>
      <diagonal/>
    </border>
    <border>
      <left/>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bottom>
      <diagonal/>
    </border>
    <border>
      <left/>
      <right/>
      <top style="thin">
        <color theme="4"/>
      </top>
      <bottom/>
      <diagonal/>
    </border>
    <border>
      <left style="thin">
        <color rgb="FF3F3F3F"/>
      </left>
      <right style="thin">
        <color rgb="FF3F3F3F"/>
      </right>
      <top style="thin">
        <color rgb="FF3F3F3F"/>
      </top>
      <bottom style="thin">
        <color rgb="FF3F3F3F"/>
      </bottom>
      <diagonal/>
    </border>
  </borders>
  <cellStyleXfs count="106">
    <xf numFmtId="0" fontId="0" fillId="0" borderId="0"/>
    <xf numFmtId="164" fontId="3" fillId="0" borderId="0" applyFont="0" applyFill="0" applyBorder="0" applyAlignment="0" applyProtection="0"/>
    <xf numFmtId="9" fontId="3" fillId="0" borderId="0" applyFont="0" applyFill="0" applyBorder="0" applyAlignment="0" applyProtection="0"/>
    <xf numFmtId="0" fontId="9" fillId="0" borderId="0" applyNumberFormat="0" applyFill="0" applyBorder="0" applyAlignment="0" applyProtection="0">
      <alignment vertical="top"/>
      <protection locked="0"/>
    </xf>
    <xf numFmtId="0" fontId="28" fillId="17" borderId="0" applyNumberFormat="0" applyBorder="0" applyAlignment="0" applyProtection="0"/>
    <xf numFmtId="0" fontId="29" fillId="18" borderId="0" applyNumberFormat="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9" fontId="45" fillId="0" borderId="0" applyFont="0" applyFill="0" applyBorder="0" applyAlignment="0" applyProtection="0"/>
    <xf numFmtId="0" fontId="57" fillId="30" borderId="41" applyNumberFormat="0" applyAlignment="0" applyProtection="0"/>
  </cellStyleXfs>
  <cellXfs count="1291">
    <xf numFmtId="0" fontId="0" fillId="0" borderId="0" xfId="0"/>
    <xf numFmtId="0" fontId="0" fillId="2" borderId="0" xfId="0" applyFill="1"/>
    <xf numFmtId="0" fontId="0" fillId="3" borderId="5" xfId="0" applyFill="1" applyBorder="1"/>
    <xf numFmtId="0" fontId="0" fillId="3" borderId="6" xfId="0" applyFill="1" applyBorder="1"/>
    <xf numFmtId="0" fontId="0" fillId="3" borderId="0" xfId="0" applyFill="1" applyBorder="1"/>
    <xf numFmtId="0" fontId="0" fillId="3" borderId="7" xfId="0" applyFill="1" applyBorder="1"/>
    <xf numFmtId="0" fontId="0" fillId="3" borderId="8" xfId="0" applyFill="1" applyBorder="1"/>
    <xf numFmtId="0" fontId="0" fillId="3" borderId="9" xfId="0" applyFill="1" applyBorder="1"/>
    <xf numFmtId="0" fontId="0" fillId="0" borderId="0" xfId="0" applyFill="1"/>
    <xf numFmtId="0" fontId="0" fillId="0" borderId="0" xfId="0"/>
    <xf numFmtId="0" fontId="0" fillId="0" borderId="0" xfId="0" applyBorder="1"/>
    <xf numFmtId="0" fontId="0" fillId="3" borderId="1" xfId="0" applyFill="1" applyBorder="1"/>
    <xf numFmtId="0" fontId="0" fillId="3" borderId="2" xfId="0" applyFill="1" applyBorder="1"/>
    <xf numFmtId="0" fontId="0" fillId="3" borderId="3" xfId="0" applyFill="1" applyBorder="1"/>
    <xf numFmtId="0" fontId="0" fillId="3" borderId="11" xfId="0" applyFill="1" applyBorder="1"/>
    <xf numFmtId="0" fontId="0" fillId="3" borderId="12" xfId="0" applyFill="1" applyBorder="1"/>
    <xf numFmtId="0" fontId="0" fillId="3" borderId="13" xfId="0" applyFill="1" applyBorder="1"/>
    <xf numFmtId="0" fontId="0" fillId="0" borderId="0" xfId="0" applyFill="1" applyBorder="1"/>
    <xf numFmtId="0" fontId="0" fillId="0" borderId="4" xfId="0" applyBorder="1"/>
    <xf numFmtId="0" fontId="6" fillId="3" borderId="1" xfId="0" applyFont="1" applyFill="1" applyBorder="1"/>
    <xf numFmtId="0" fontId="6" fillId="3" borderId="2" xfId="0" applyFont="1" applyFill="1" applyBorder="1"/>
    <xf numFmtId="0" fontId="0" fillId="0" borderId="0" xfId="0" applyFill="1" applyAlignment="1">
      <alignment vertical="center"/>
    </xf>
    <xf numFmtId="0" fontId="0" fillId="0" borderId="0" xfId="0" applyAlignment="1">
      <alignment vertical="center"/>
    </xf>
    <xf numFmtId="0" fontId="0" fillId="0" borderId="0" xfId="0" applyBorder="1" applyAlignment="1">
      <alignment vertical="center"/>
    </xf>
    <xf numFmtId="0" fontId="0" fillId="2" borderId="0" xfId="0" applyFill="1" applyAlignment="1">
      <alignment vertical="center"/>
    </xf>
    <xf numFmtId="0" fontId="0" fillId="0" borderId="0" xfId="0" applyFill="1" applyBorder="1" applyAlignment="1">
      <alignment vertical="center"/>
    </xf>
    <xf numFmtId="0" fontId="0" fillId="3" borderId="11" xfId="0" applyFill="1" applyBorder="1" applyAlignment="1">
      <alignment vertical="center"/>
    </xf>
    <xf numFmtId="0" fontId="0" fillId="0" borderId="4" xfId="0" applyBorder="1" applyAlignment="1">
      <alignment vertical="center"/>
    </xf>
    <xf numFmtId="0" fontId="6" fillId="3" borderId="3" xfId="0" applyFont="1" applyFill="1" applyBorder="1" applyAlignment="1">
      <alignment vertical="center"/>
    </xf>
    <xf numFmtId="0" fontId="7" fillId="5" borderId="11" xfId="0" applyFont="1" applyFill="1" applyBorder="1"/>
    <xf numFmtId="0" fontId="0" fillId="5" borderId="12" xfId="0" applyFill="1" applyBorder="1"/>
    <xf numFmtId="0" fontId="0" fillId="5" borderId="13" xfId="0" applyFill="1" applyBorder="1"/>
    <xf numFmtId="0" fontId="9" fillId="0" borderId="0" xfId="3" applyAlignment="1" applyProtection="1"/>
    <xf numFmtId="0" fontId="10" fillId="0" borderId="0" xfId="0" applyFont="1"/>
    <xf numFmtId="0" fontId="7" fillId="0" borderId="0" xfId="0" applyFont="1"/>
    <xf numFmtId="4" fontId="0" fillId="0" borderId="0" xfId="1" applyNumberFormat="1" applyFont="1"/>
    <xf numFmtId="164" fontId="0" fillId="0" borderId="0" xfId="1" applyFont="1"/>
    <xf numFmtId="0" fontId="7" fillId="0" borderId="4" xfId="0" applyFont="1" applyBorder="1"/>
    <xf numFmtId="4" fontId="0" fillId="0" borderId="4" xfId="1" applyNumberFormat="1" applyFont="1" applyBorder="1"/>
    <xf numFmtId="0" fontId="7" fillId="0" borderId="1" xfId="0" applyFont="1" applyBorder="1"/>
    <xf numFmtId="164" fontId="0" fillId="0" borderId="6" xfId="1" applyFont="1" applyBorder="1"/>
    <xf numFmtId="0" fontId="7" fillId="0" borderId="2" xfId="0" applyFont="1" applyBorder="1"/>
    <xf numFmtId="164" fontId="0" fillId="0" borderId="7" xfId="1" applyFont="1" applyBorder="1"/>
    <xf numFmtId="164" fontId="0" fillId="0" borderId="4" xfId="1" applyFont="1" applyBorder="1"/>
    <xf numFmtId="0" fontId="7" fillId="0" borderId="3" xfId="0" applyFont="1" applyBorder="1"/>
    <xf numFmtId="164" fontId="0" fillId="0" borderId="9" xfId="1" applyFont="1" applyBorder="1"/>
    <xf numFmtId="0" fontId="10" fillId="0" borderId="0" xfId="0" applyFont="1" applyFill="1" applyBorder="1" applyAlignment="1">
      <alignment horizontal="center" wrapText="1"/>
    </xf>
    <xf numFmtId="0" fontId="11" fillId="8" borderId="4" xfId="0" applyFont="1" applyFill="1" applyBorder="1" applyAlignment="1">
      <alignment horizontal="center" vertical="center"/>
    </xf>
    <xf numFmtId="0" fontId="12" fillId="9" borderId="15" xfId="0" applyFont="1" applyFill="1" applyBorder="1" applyAlignment="1">
      <alignment horizontal="center" vertical="center"/>
    </xf>
    <xf numFmtId="0" fontId="12" fillId="9" borderId="16" xfId="0" applyFont="1" applyFill="1" applyBorder="1" applyAlignment="1">
      <alignment horizontal="center" vertical="center"/>
    </xf>
    <xf numFmtId="0" fontId="12" fillId="9" borderId="17" xfId="0" applyFont="1" applyFill="1" applyBorder="1" applyAlignment="1">
      <alignment horizontal="center" vertical="center" wrapText="1"/>
    </xf>
    <xf numFmtId="0" fontId="12" fillId="9" borderId="4" xfId="0" applyFont="1" applyFill="1" applyBorder="1" applyAlignment="1">
      <alignment horizontal="center" vertical="center" wrapText="1"/>
    </xf>
    <xf numFmtId="0" fontId="12" fillId="9" borderId="18" xfId="0" applyFont="1" applyFill="1" applyBorder="1" applyAlignment="1">
      <alignment horizontal="center" vertical="center" wrapText="1"/>
    </xf>
    <xf numFmtId="0" fontId="12" fillId="0" borderId="0" xfId="0" applyFont="1" applyFill="1" applyBorder="1" applyAlignment="1">
      <alignment horizontal="center" wrapText="1"/>
    </xf>
    <xf numFmtId="0" fontId="12" fillId="9" borderId="4" xfId="0" applyFont="1" applyFill="1" applyBorder="1" applyAlignment="1">
      <alignment horizontal="center" vertical="center"/>
    </xf>
    <xf numFmtId="0" fontId="12" fillId="9" borderId="19" xfId="0" applyFont="1" applyFill="1" applyBorder="1" applyAlignment="1">
      <alignment horizontal="center" vertical="center" wrapText="1"/>
    </xf>
    <xf numFmtId="0" fontId="12" fillId="9" borderId="13" xfId="0" applyFont="1" applyFill="1" applyBorder="1" applyAlignment="1">
      <alignment horizontal="center" vertical="center" wrapText="1"/>
    </xf>
    <xf numFmtId="0" fontId="12" fillId="9" borderId="12" xfId="0" applyFont="1" applyFill="1" applyBorder="1" applyAlignment="1">
      <alignment horizontal="center" vertical="center" wrapText="1"/>
    </xf>
    <xf numFmtId="0" fontId="0" fillId="0" borderId="10" xfId="0" applyBorder="1" applyAlignment="1">
      <alignment horizontal="center"/>
    </xf>
    <xf numFmtId="0" fontId="13" fillId="0" borderId="15" xfId="0" applyFont="1" applyBorder="1" applyAlignment="1">
      <alignment wrapText="1"/>
    </xf>
    <xf numFmtId="0" fontId="13" fillId="0" borderId="15" xfId="0" applyFont="1" applyBorder="1" applyAlignment="1">
      <alignment horizontal="center" wrapText="1"/>
    </xf>
    <xf numFmtId="165" fontId="14" fillId="10" borderId="15" xfId="0" applyNumberFormat="1" applyFont="1" applyFill="1" applyBorder="1" applyAlignment="1">
      <alignment horizontal="center" wrapText="1"/>
    </xf>
    <xf numFmtId="165" fontId="13" fillId="0" borderId="17" xfId="0" applyNumberFormat="1" applyFont="1" applyBorder="1" applyAlignment="1">
      <alignment horizontal="center" wrapText="1"/>
    </xf>
    <xf numFmtId="0" fontId="13" fillId="0" borderId="20" xfId="0" applyFont="1" applyBorder="1" applyAlignment="1">
      <alignment horizontal="center" wrapText="1"/>
    </xf>
    <xf numFmtId="0" fontId="13" fillId="0" borderId="0" xfId="0" applyFont="1" applyFill="1" applyBorder="1" applyAlignment="1">
      <alignment horizontal="center" wrapText="1"/>
    </xf>
    <xf numFmtId="0" fontId="13" fillId="0" borderId="20" xfId="0" applyFont="1" applyBorder="1" applyAlignment="1">
      <alignment wrapText="1"/>
    </xf>
    <xf numFmtId="166" fontId="15" fillId="0" borderId="0" xfId="1" applyNumberFormat="1" applyFont="1"/>
    <xf numFmtId="0" fontId="13" fillId="8" borderId="20" xfId="0" applyFont="1" applyFill="1" applyBorder="1" applyAlignment="1">
      <alignment horizontal="center" wrapText="1"/>
    </xf>
    <xf numFmtId="165" fontId="15" fillId="0" borderId="0" xfId="1" applyNumberFormat="1" applyFont="1" applyAlignment="1">
      <alignment horizontal="center"/>
    </xf>
    <xf numFmtId="4" fontId="15" fillId="0" borderId="0" xfId="1" applyNumberFormat="1" applyFont="1"/>
    <xf numFmtId="165" fontId="0" fillId="0" borderId="0" xfId="0" applyNumberFormat="1"/>
    <xf numFmtId="165" fontId="0" fillId="0" borderId="0" xfId="0" applyNumberFormat="1" applyAlignment="1">
      <alignment horizontal="right"/>
    </xf>
    <xf numFmtId="166" fontId="0" fillId="0" borderId="0" xfId="1" applyNumberFormat="1" applyFont="1" applyAlignment="1">
      <alignment horizontal="center" vertical="center"/>
    </xf>
    <xf numFmtId="165" fontId="0" fillId="0" borderId="0" xfId="0" applyNumberFormat="1" applyAlignment="1">
      <alignment horizontal="center"/>
    </xf>
    <xf numFmtId="0" fontId="13" fillId="0" borderId="0" xfId="0" applyFont="1" applyBorder="1" applyAlignment="1">
      <alignment wrapText="1"/>
    </xf>
    <xf numFmtId="4" fontId="0" fillId="0" borderId="0" xfId="1" applyNumberFormat="1" applyFont="1" applyAlignment="1">
      <alignment horizontal="center"/>
    </xf>
    <xf numFmtId="0" fontId="11" fillId="0" borderId="10" xfId="0" applyFont="1" applyBorder="1" applyAlignment="1">
      <alignment horizontal="center"/>
    </xf>
    <xf numFmtId="165" fontId="13" fillId="0" borderId="15" xfId="0" applyNumberFormat="1" applyFont="1" applyBorder="1" applyAlignment="1">
      <alignment horizontal="center" wrapText="1"/>
    </xf>
    <xf numFmtId="4" fontId="16" fillId="11" borderId="0" xfId="1" applyNumberFormat="1" applyFont="1" applyFill="1" applyAlignment="1">
      <alignment horizontal="center"/>
    </xf>
    <xf numFmtId="166" fontId="15" fillId="0" borderId="0" xfId="1" applyNumberFormat="1" applyFont="1" applyAlignment="1">
      <alignment horizontal="center" vertical="center"/>
    </xf>
    <xf numFmtId="0" fontId="13" fillId="0" borderId="21" xfId="0" applyFont="1" applyBorder="1" applyAlignment="1">
      <alignment wrapText="1"/>
    </xf>
    <xf numFmtId="0" fontId="13" fillId="0" borderId="21" xfId="0" applyFont="1" applyBorder="1" applyAlignment="1">
      <alignment horizontal="center" wrapText="1"/>
    </xf>
    <xf numFmtId="165" fontId="13" fillId="0" borderId="21" xfId="0" applyNumberFormat="1" applyFont="1" applyBorder="1" applyAlignment="1">
      <alignment horizontal="center" wrapText="1"/>
    </xf>
    <xf numFmtId="165" fontId="13" fillId="0" borderId="0" xfId="0" applyNumberFormat="1" applyFont="1" applyBorder="1" applyAlignment="1">
      <alignment horizontal="center" wrapText="1"/>
    </xf>
    <xf numFmtId="0" fontId="13" fillId="0" borderId="10" xfId="0" applyFont="1" applyBorder="1" applyAlignment="1">
      <alignment horizontal="center" wrapText="1"/>
    </xf>
    <xf numFmtId="0" fontId="13" fillId="0" borderId="10" xfId="0" applyFont="1" applyBorder="1" applyAlignment="1">
      <alignment wrapText="1"/>
    </xf>
    <xf numFmtId="0" fontId="13" fillId="8" borderId="10" xfId="0" applyFont="1" applyFill="1" applyBorder="1" applyAlignment="1">
      <alignment horizontal="center" wrapText="1"/>
    </xf>
    <xf numFmtId="0" fontId="13" fillId="0" borderId="13" xfId="0" applyFont="1" applyFill="1" applyBorder="1" applyAlignment="1">
      <alignment wrapText="1"/>
    </xf>
    <xf numFmtId="0" fontId="13" fillId="0" borderId="4" xfId="0" applyFont="1" applyFill="1" applyBorder="1" applyAlignment="1">
      <alignment horizontal="center" wrapText="1"/>
    </xf>
    <xf numFmtId="165" fontId="11" fillId="0" borderId="11" xfId="0" applyNumberFormat="1" applyFont="1" applyBorder="1" applyAlignment="1">
      <alignment horizontal="center"/>
    </xf>
    <xf numFmtId="0" fontId="11" fillId="0" borderId="4" xfId="0" applyFont="1" applyBorder="1" applyAlignment="1">
      <alignment horizontal="center"/>
    </xf>
    <xf numFmtId="0" fontId="11" fillId="0" borderId="0" xfId="0" applyFont="1" applyFill="1" applyBorder="1" applyAlignment="1">
      <alignment horizontal="center"/>
    </xf>
    <xf numFmtId="0" fontId="13" fillId="0" borderId="4" xfId="0" applyFont="1" applyFill="1" applyBorder="1" applyAlignment="1">
      <alignment wrapText="1"/>
    </xf>
    <xf numFmtId="0" fontId="13" fillId="8" borderId="4" xfId="0" applyFont="1" applyFill="1" applyBorder="1" applyAlignment="1">
      <alignment horizontal="center" wrapText="1"/>
    </xf>
    <xf numFmtId="0" fontId="13" fillId="0" borderId="0" xfId="0" applyFont="1" applyFill="1" applyBorder="1" applyAlignment="1">
      <alignment wrapText="1"/>
    </xf>
    <xf numFmtId="0" fontId="11" fillId="0" borderId="10" xfId="0" applyFont="1" applyFill="1" applyBorder="1" applyAlignment="1">
      <alignment horizontal="center"/>
    </xf>
    <xf numFmtId="0" fontId="13" fillId="0" borderId="0" xfId="0" applyFont="1" applyBorder="1" applyAlignment="1">
      <alignment horizontal="left" wrapText="1"/>
    </xf>
    <xf numFmtId="165" fontId="15" fillId="0" borderId="0" xfId="0" applyNumberFormat="1" applyFont="1" applyFill="1"/>
    <xf numFmtId="0" fontId="11" fillId="0" borderId="14" xfId="0" applyFont="1" applyBorder="1" applyAlignment="1">
      <alignment horizontal="center"/>
    </xf>
    <xf numFmtId="0" fontId="13" fillId="0" borderId="14" xfId="0" applyFont="1" applyBorder="1" applyAlignment="1">
      <alignment wrapText="1"/>
    </xf>
    <xf numFmtId="0" fontId="13" fillId="8" borderId="14" xfId="0" applyFont="1" applyFill="1" applyBorder="1" applyAlignment="1">
      <alignment horizontal="center" wrapText="1"/>
    </xf>
    <xf numFmtId="0" fontId="13" fillId="0" borderId="0" xfId="0" applyFont="1" applyBorder="1" applyAlignment="1">
      <alignment horizontal="center" wrapText="1"/>
    </xf>
    <xf numFmtId="0" fontId="11" fillId="8" borderId="11" xfId="0" applyFont="1" applyFill="1" applyBorder="1" applyAlignment="1">
      <alignment horizontal="left" vertical="center"/>
    </xf>
    <xf numFmtId="0" fontId="11" fillId="8" borderId="13" xfId="0" applyFont="1" applyFill="1" applyBorder="1" applyAlignment="1">
      <alignment horizontal="left" vertical="center"/>
    </xf>
    <xf numFmtId="0" fontId="13" fillId="0" borderId="4" xfId="0" applyFont="1" applyFill="1" applyBorder="1" applyAlignment="1">
      <alignment horizontal="center" vertical="center" wrapText="1"/>
    </xf>
    <xf numFmtId="165" fontId="13" fillId="0" borderId="4" xfId="0" applyNumberFormat="1" applyFont="1" applyBorder="1" applyAlignment="1">
      <alignment horizontal="center" vertical="center" wrapText="1"/>
    </xf>
    <xf numFmtId="165" fontId="13" fillId="0" borderId="11"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13" fillId="0" borderId="4" xfId="0" applyFont="1" applyFill="1" applyBorder="1" applyAlignment="1">
      <alignment vertical="center" wrapText="1"/>
    </xf>
    <xf numFmtId="164" fontId="11" fillId="0" borderId="4" xfId="1" applyFont="1" applyBorder="1" applyAlignment="1">
      <alignment vertical="center"/>
    </xf>
    <xf numFmtId="0" fontId="15" fillId="0" borderId="4" xfId="0" applyFont="1" applyBorder="1" applyAlignment="1">
      <alignment vertical="center"/>
    </xf>
    <xf numFmtId="164" fontId="15" fillId="0" borderId="4" xfId="1" applyFont="1" applyBorder="1" applyAlignment="1">
      <alignment vertical="center"/>
    </xf>
    <xf numFmtId="166" fontId="15" fillId="0" borderId="4" xfId="1" applyNumberFormat="1" applyFont="1" applyBorder="1" applyAlignment="1">
      <alignment vertical="center"/>
    </xf>
    <xf numFmtId="165" fontId="13" fillId="0" borderId="4" xfId="0" applyNumberFormat="1" applyFont="1" applyFill="1" applyBorder="1" applyAlignment="1">
      <alignment horizontal="center" vertical="center" wrapText="1"/>
    </xf>
    <xf numFmtId="164" fontId="0" fillId="0" borderId="4" xfId="1" applyFont="1" applyBorder="1" applyAlignment="1">
      <alignment vertical="center"/>
    </xf>
    <xf numFmtId="166" fontId="0" fillId="0" borderId="4" xfId="1" applyNumberFormat="1" applyFont="1" applyBorder="1" applyAlignment="1">
      <alignment vertical="center"/>
    </xf>
    <xf numFmtId="164" fontId="0" fillId="0" borderId="4" xfId="1" applyNumberFormat="1" applyFont="1" applyBorder="1" applyAlignment="1">
      <alignment vertical="center"/>
    </xf>
    <xf numFmtId="164" fontId="0" fillId="0" borderId="0" xfId="0" applyNumberFormat="1"/>
    <xf numFmtId="0" fontId="12" fillId="13" borderId="4" xfId="0" applyFont="1" applyFill="1" applyBorder="1" applyAlignment="1">
      <alignment horizontal="center" wrapText="1"/>
    </xf>
    <xf numFmtId="0" fontId="15" fillId="0" borderId="0" xfId="0" applyFont="1" applyBorder="1" applyAlignment="1">
      <alignment horizontal="center"/>
    </xf>
    <xf numFmtId="0" fontId="7" fillId="5" borderId="4" xfId="0" applyFont="1" applyFill="1" applyBorder="1" applyAlignment="1">
      <alignment horizontal="left" vertical="center"/>
    </xf>
    <xf numFmtId="3" fontId="7" fillId="14" borderId="0" xfId="0" applyNumberFormat="1" applyFont="1" applyFill="1" applyBorder="1" applyAlignment="1">
      <alignment horizontal="right"/>
    </xf>
    <xf numFmtId="167" fontId="7" fillId="14" borderId="0" xfId="2" applyNumberFormat="1" applyFont="1" applyFill="1" applyBorder="1" applyAlignment="1">
      <alignment horizontal="right"/>
    </xf>
    <xf numFmtId="0" fontId="11" fillId="5" borderId="4" xfId="0" applyFont="1" applyFill="1" applyBorder="1" applyAlignment="1">
      <alignment horizontal="left" vertical="center"/>
    </xf>
    <xf numFmtId="167" fontId="0" fillId="15" borderId="0" xfId="2" applyNumberFormat="1" applyFont="1" applyFill="1" applyBorder="1" applyAlignment="1">
      <alignment horizontal="right"/>
    </xf>
    <xf numFmtId="0" fontId="15" fillId="0" borderId="0" xfId="0" applyFont="1" applyFill="1" applyBorder="1" applyAlignment="1">
      <alignment horizontal="center"/>
    </xf>
    <xf numFmtId="0" fontId="15" fillId="0" borderId="0" xfId="0" applyFont="1" applyBorder="1" applyAlignment="1">
      <alignment horizontal="center" wrapText="1"/>
    </xf>
    <xf numFmtId="167" fontId="0" fillId="0" borderId="0" xfId="2" applyNumberFormat="1" applyFont="1" applyFill="1" applyBorder="1" applyAlignment="1">
      <alignment horizontal="right"/>
    </xf>
    <xf numFmtId="0" fontId="18" fillId="0" borderId="0" xfId="0" applyFont="1" applyFill="1"/>
    <xf numFmtId="0" fontId="24" fillId="7" borderId="22" xfId="0" applyFont="1" applyFill="1" applyBorder="1" applyAlignment="1">
      <alignment horizontal="center" vertical="center" wrapText="1"/>
    </xf>
    <xf numFmtId="0" fontId="24" fillId="7" borderId="4" xfId="0" applyFont="1" applyFill="1" applyBorder="1" applyAlignment="1">
      <alignment horizontal="center" vertical="center" wrapText="1"/>
    </xf>
    <xf numFmtId="0" fontId="24" fillId="7" borderId="10" xfId="0" applyFont="1" applyFill="1" applyBorder="1" applyAlignment="1">
      <alignment horizontal="center" vertical="center" wrapText="1"/>
    </xf>
    <xf numFmtId="0" fontId="11" fillId="5" borderId="22"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0" fillId="5" borderId="6" xfId="0" applyFill="1" applyBorder="1" applyAlignment="1">
      <alignment horizontal="center" vertical="center" wrapText="1"/>
    </xf>
    <xf numFmtId="0" fontId="0" fillId="5" borderId="22" xfId="0" applyFill="1" applyBorder="1" applyAlignment="1">
      <alignment horizontal="center" vertical="center" wrapText="1"/>
    </xf>
    <xf numFmtId="3" fontId="11" fillId="5" borderId="1" xfId="0" applyNumberFormat="1" applyFont="1" applyFill="1" applyBorder="1" applyAlignment="1">
      <alignment horizontal="center" vertical="center" wrapText="1"/>
    </xf>
    <xf numFmtId="3" fontId="11" fillId="5" borderId="22" xfId="0" applyNumberFormat="1" applyFont="1" applyFill="1" applyBorder="1" applyAlignment="1">
      <alignment horizontal="center" vertical="center" wrapText="1"/>
    </xf>
    <xf numFmtId="0" fontId="11" fillId="5" borderId="6" xfId="0" applyFont="1" applyFill="1" applyBorder="1" applyAlignment="1">
      <alignment horizontal="center" vertical="center" wrapText="1"/>
    </xf>
    <xf numFmtId="0" fontId="11" fillId="5" borderId="10"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11" fillId="5" borderId="5" xfId="0" applyFont="1" applyFill="1" applyBorder="1" applyAlignment="1">
      <alignment horizontal="center" vertical="center"/>
    </xf>
    <xf numFmtId="169" fontId="11" fillId="5" borderId="1" xfId="1" applyNumberFormat="1" applyFont="1" applyFill="1" applyBorder="1" applyAlignment="1">
      <alignment horizontal="center" vertical="center" wrapText="1"/>
    </xf>
    <xf numFmtId="1" fontId="11" fillId="5" borderId="1" xfId="1" applyNumberFormat="1" applyFont="1" applyFill="1" applyBorder="1" applyAlignment="1">
      <alignment horizontal="center" vertical="center" wrapText="1"/>
    </xf>
    <xf numFmtId="1" fontId="11" fillId="5" borderId="22" xfId="1" applyNumberFormat="1" applyFont="1" applyFill="1" applyBorder="1" applyAlignment="1">
      <alignment horizontal="center" vertical="center" wrapText="1"/>
    </xf>
    <xf numFmtId="0" fontId="11" fillId="5" borderId="2" xfId="0" applyFont="1" applyFill="1" applyBorder="1" applyAlignment="1">
      <alignment horizontal="center" vertical="center" wrapText="1"/>
    </xf>
    <xf numFmtId="0" fontId="0" fillId="5" borderId="9" xfId="0" applyFill="1" applyBorder="1" applyAlignment="1">
      <alignment horizontal="center" vertical="center" wrapText="1"/>
    </xf>
    <xf numFmtId="0" fontId="0" fillId="5" borderId="14" xfId="0" applyFill="1" applyBorder="1" applyAlignment="1">
      <alignment horizontal="center" vertical="center" wrapText="1"/>
    </xf>
    <xf numFmtId="3" fontId="11" fillId="5" borderId="3" xfId="0" applyNumberFormat="1"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9" xfId="0" applyFont="1" applyFill="1" applyBorder="1" applyAlignment="1">
      <alignment horizontal="center" vertical="center" wrapText="1"/>
    </xf>
    <xf numFmtId="0" fontId="0" fillId="5" borderId="10" xfId="0" applyFill="1" applyBorder="1" applyAlignment="1">
      <alignment horizontal="center" vertical="center" wrapText="1"/>
    </xf>
    <xf numFmtId="0" fontId="0" fillId="5" borderId="1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1" fillId="5" borderId="3" xfId="0" applyFont="1" applyFill="1" applyBorder="1" applyAlignment="1">
      <alignment horizontal="center" vertical="center" wrapText="1"/>
    </xf>
    <xf numFmtId="3" fontId="11" fillId="5" borderId="10" xfId="0" applyNumberFormat="1" applyFont="1" applyFill="1" applyBorder="1" applyAlignment="1">
      <alignment horizontal="center" vertical="center" wrapText="1"/>
    </xf>
    <xf numFmtId="0" fontId="11" fillId="5" borderId="0" xfId="0" applyFont="1" applyFill="1" applyBorder="1" applyAlignment="1">
      <alignment horizontal="center" vertical="center"/>
    </xf>
    <xf numFmtId="0" fontId="11" fillId="5" borderId="14" xfId="0" applyFont="1" applyFill="1" applyBorder="1" applyAlignment="1">
      <alignment horizontal="center" vertical="center" wrapText="1"/>
    </xf>
    <xf numFmtId="169" fontId="11" fillId="5" borderId="2" xfId="1" applyNumberFormat="1" applyFont="1" applyFill="1" applyBorder="1" applyAlignment="1">
      <alignment horizontal="center" vertical="center" wrapText="1"/>
    </xf>
    <xf numFmtId="1" fontId="11" fillId="5" borderId="2" xfId="1" applyNumberFormat="1" applyFont="1" applyFill="1" applyBorder="1" applyAlignment="1">
      <alignment horizontal="center" vertical="center" wrapText="1"/>
    </xf>
    <xf numFmtId="1" fontId="11" fillId="5" borderId="14" xfId="1"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11" fillId="5" borderId="8" xfId="0" applyFont="1" applyFill="1" applyBorder="1" applyAlignment="1">
      <alignment horizontal="center" vertical="center" wrapText="1"/>
    </xf>
    <xf numFmtId="0" fontId="11" fillId="5" borderId="8" xfId="0" applyFont="1" applyFill="1" applyBorder="1" applyAlignment="1">
      <alignment horizontal="center" vertical="center"/>
    </xf>
    <xf numFmtId="3" fontId="11" fillId="0" borderId="0" xfId="0" applyNumberFormat="1" applyFont="1" applyFill="1" applyBorder="1" applyAlignment="1">
      <alignment horizontal="left" vertical="center"/>
    </xf>
    <xf numFmtId="169" fontId="11" fillId="5" borderId="3" xfId="1" applyNumberFormat="1" applyFont="1" applyFill="1" applyBorder="1" applyAlignment="1">
      <alignment horizontal="center" vertical="center" wrapText="1"/>
    </xf>
    <xf numFmtId="1" fontId="11" fillId="5" borderId="10" xfId="1" applyNumberFormat="1" applyFont="1" applyFill="1" applyBorder="1" applyAlignment="1">
      <alignment horizontal="center" vertical="center" wrapText="1"/>
    </xf>
    <xf numFmtId="3" fontId="11" fillId="5" borderId="14" xfId="0" applyNumberFormat="1" applyFont="1" applyFill="1" applyBorder="1" applyAlignment="1">
      <alignment horizontal="center" vertical="center" wrapText="1"/>
    </xf>
    <xf numFmtId="1" fontId="11" fillId="5" borderId="3" xfId="1" applyNumberFormat="1" applyFont="1" applyFill="1" applyBorder="1" applyAlignment="1">
      <alignment horizontal="center" vertical="center" wrapText="1"/>
    </xf>
    <xf numFmtId="3" fontId="25" fillId="0" borderId="0" xfId="0" applyNumberFormat="1" applyFont="1" applyAlignment="1">
      <alignment horizontal="center" vertical="center" wrapText="1"/>
    </xf>
    <xf numFmtId="0" fontId="26" fillId="0" borderId="0" xfId="0" applyFont="1" applyAlignment="1">
      <alignment vertical="center" wrapText="1"/>
    </xf>
    <xf numFmtId="0" fontId="0" fillId="0" borderId="0" xfId="0" applyFill="1" applyAlignment="1">
      <alignment vertical="center" wrapText="1"/>
    </xf>
    <xf numFmtId="3" fontId="0" fillId="0" borderId="0" xfId="0" applyNumberFormat="1" applyAlignment="1">
      <alignment vertical="center"/>
    </xf>
    <xf numFmtId="0" fontId="11" fillId="16" borderId="6" xfId="0" applyFont="1" applyFill="1" applyBorder="1" applyAlignment="1">
      <alignment horizontal="center" vertical="center" wrapText="1"/>
    </xf>
    <xf numFmtId="0" fontId="6" fillId="3" borderId="2" xfId="0" applyFont="1" applyFill="1" applyBorder="1" applyAlignment="1">
      <alignment vertical="center"/>
    </xf>
    <xf numFmtId="0" fontId="0" fillId="0" borderId="0" xfId="0"/>
    <xf numFmtId="0" fontId="0" fillId="3" borderId="4" xfId="0" applyFill="1" applyBorder="1" applyAlignment="1">
      <alignment horizontal="center" vertical="center"/>
    </xf>
    <xf numFmtId="0" fontId="0" fillId="3" borderId="11" xfId="0" applyFill="1" applyBorder="1" applyAlignment="1">
      <alignment horizontal="left" vertical="center"/>
    </xf>
    <xf numFmtId="0" fontId="0" fillId="3" borderId="4" xfId="0" applyFill="1" applyBorder="1"/>
    <xf numFmtId="0" fontId="1" fillId="3" borderId="4" xfId="0" applyFont="1" applyFill="1" applyBorder="1"/>
    <xf numFmtId="0" fontId="0" fillId="3" borderId="14" xfId="0" applyFill="1" applyBorder="1"/>
    <xf numFmtId="0" fontId="0" fillId="3" borderId="11" xfId="0" applyFill="1" applyBorder="1" applyAlignment="1"/>
    <xf numFmtId="0" fontId="0" fillId="3" borderId="12" xfId="0" applyFill="1" applyBorder="1" applyAlignment="1"/>
    <xf numFmtId="0" fontId="0" fillId="3" borderId="13" xfId="0" applyFill="1" applyBorder="1" applyAlignment="1"/>
    <xf numFmtId="0" fontId="1" fillId="3" borderId="4" xfId="0" applyFont="1" applyFill="1" applyBorder="1" applyAlignment="1">
      <alignment vertical="center"/>
    </xf>
    <xf numFmtId="0" fontId="0" fillId="3" borderId="22" xfId="0" applyFill="1" applyBorder="1"/>
    <xf numFmtId="0" fontId="0" fillId="3" borderId="10" xfId="0" applyFill="1" applyBorder="1"/>
    <xf numFmtId="0" fontId="1" fillId="3" borderId="2" xfId="0" applyFont="1" applyFill="1" applyBorder="1"/>
    <xf numFmtId="0" fontId="1" fillId="3" borderId="3" xfId="0" applyFont="1" applyFill="1" applyBorder="1"/>
    <xf numFmtId="0" fontId="31" fillId="3" borderId="2" xfId="0" applyFont="1" applyFill="1" applyBorder="1"/>
    <xf numFmtId="0" fontId="0" fillId="19" borderId="0" xfId="0" applyFill="1"/>
    <xf numFmtId="0" fontId="0" fillId="19" borderId="0" xfId="0" applyFill="1" applyAlignment="1">
      <alignment vertical="center"/>
    </xf>
    <xf numFmtId="0" fontId="0" fillId="19" borderId="0" xfId="0" applyFill="1" applyBorder="1"/>
    <xf numFmtId="0" fontId="0" fillId="19" borderId="0" xfId="0" applyFill="1" applyBorder="1" applyAlignment="1"/>
    <xf numFmtId="0" fontId="0" fillId="3" borderId="11" xfId="0" applyFont="1" applyFill="1" applyBorder="1" applyAlignment="1"/>
    <xf numFmtId="0" fontId="23" fillId="19" borderId="0" xfId="0" applyFont="1" applyFill="1"/>
    <xf numFmtId="0" fontId="0" fillId="3" borderId="4" xfId="0" applyFont="1" applyFill="1" applyBorder="1" applyAlignment="1"/>
    <xf numFmtId="0" fontId="0" fillId="19" borderId="0" xfId="0" applyFont="1" applyFill="1" applyBorder="1" applyAlignment="1"/>
    <xf numFmtId="0" fontId="0" fillId="4" borderId="0" xfId="0" applyFill="1" applyAlignment="1">
      <alignment vertical="center"/>
    </xf>
    <xf numFmtId="0" fontId="0" fillId="4" borderId="0" xfId="0" applyFill="1" applyBorder="1" applyAlignment="1">
      <alignment vertical="center"/>
    </xf>
    <xf numFmtId="0" fontId="0" fillId="19" borderId="23" xfId="0" applyFill="1" applyBorder="1" applyAlignment="1">
      <alignment vertical="center"/>
    </xf>
    <xf numFmtId="0" fontId="0" fillId="19" borderId="24" xfId="0" applyFill="1" applyBorder="1" applyAlignment="1">
      <alignment vertical="center"/>
    </xf>
    <xf numFmtId="0" fontId="32" fillId="19" borderId="0" xfId="0" applyFont="1" applyFill="1" applyAlignment="1">
      <alignment vertical="center"/>
    </xf>
    <xf numFmtId="0" fontId="0" fillId="0" borderId="0" xfId="0" applyFill="1" applyBorder="1" applyAlignment="1">
      <alignment vertical="center"/>
    </xf>
    <xf numFmtId="0" fontId="0" fillId="19" borderId="0" xfId="0" applyFill="1" applyBorder="1" applyAlignment="1">
      <alignment vertical="center"/>
    </xf>
    <xf numFmtId="0" fontId="0" fillId="0" borderId="0" xfId="0" applyFill="1" applyBorder="1" applyAlignment="1">
      <alignment vertical="center"/>
    </xf>
    <xf numFmtId="0" fontId="0" fillId="19" borderId="0" xfId="0" applyFill="1" applyBorder="1" applyAlignment="1">
      <alignment vertical="center"/>
    </xf>
    <xf numFmtId="0" fontId="0" fillId="0" borderId="0" xfId="0"/>
    <xf numFmtId="0" fontId="0" fillId="0" borderId="0" xfId="0" applyBorder="1" applyAlignment="1">
      <alignment vertical="center"/>
    </xf>
    <xf numFmtId="0" fontId="0" fillId="19" borderId="24" xfId="0" applyFill="1" applyBorder="1" applyAlignment="1">
      <alignment vertical="center"/>
    </xf>
    <xf numFmtId="0" fontId="0" fillId="19" borderId="24" xfId="0" applyFill="1" applyBorder="1"/>
    <xf numFmtId="0" fontId="0" fillId="19" borderId="0" xfId="0" applyFill="1"/>
    <xf numFmtId="0" fontId="32" fillId="19" borderId="0" xfId="0" applyFont="1" applyFill="1"/>
    <xf numFmtId="0" fontId="0" fillId="19" borderId="23" xfId="0" applyFill="1" applyBorder="1"/>
    <xf numFmtId="0" fontId="32" fillId="19" borderId="23" xfId="0" applyFont="1" applyFill="1" applyBorder="1"/>
    <xf numFmtId="0" fontId="0" fillId="19" borderId="0" xfId="0" applyFont="1" applyFill="1"/>
    <xf numFmtId="0" fontId="37" fillId="19" borderId="0" xfId="0" applyFont="1" applyFill="1"/>
    <xf numFmtId="0" fontId="37" fillId="19" borderId="0" xfId="0" applyFont="1" applyFill="1" applyAlignment="1">
      <alignment vertical="center"/>
    </xf>
    <xf numFmtId="0" fontId="1" fillId="19" borderId="0" xfId="0" applyFont="1" applyFill="1"/>
    <xf numFmtId="0" fontId="6" fillId="19" borderId="0" xfId="0" applyFont="1" applyFill="1"/>
    <xf numFmtId="0" fontId="5" fillId="19" borderId="0" xfId="0" applyFont="1" applyFill="1"/>
    <xf numFmtId="0" fontId="36" fillId="19" borderId="23" xfId="0" applyFont="1" applyFill="1" applyBorder="1"/>
    <xf numFmtId="0" fontId="27" fillId="19" borderId="0" xfId="0" applyFont="1" applyFill="1"/>
    <xf numFmtId="0" fontId="0" fillId="19" borderId="0" xfId="0" applyFill="1"/>
    <xf numFmtId="0" fontId="2" fillId="19" borderId="0" xfId="0" applyFont="1" applyFill="1"/>
    <xf numFmtId="0" fontId="32" fillId="19" borderId="0" xfId="0" applyFont="1" applyFill="1" applyBorder="1" applyAlignment="1">
      <alignment vertical="center"/>
    </xf>
    <xf numFmtId="0" fontId="5" fillId="19" borderId="0" xfId="0" applyFont="1" applyFill="1" applyBorder="1" applyAlignment="1">
      <alignment vertical="center"/>
    </xf>
    <xf numFmtId="0" fontId="36" fillId="19" borderId="0" xfId="0" applyFont="1" applyFill="1"/>
    <xf numFmtId="0" fontId="0" fillId="0" borderId="0" xfId="0" applyFill="1" applyBorder="1" applyAlignment="1">
      <alignment vertical="center"/>
    </xf>
    <xf numFmtId="0" fontId="0" fillId="19" borderId="0" xfId="0" applyFill="1" applyBorder="1" applyAlignment="1">
      <alignment vertical="center"/>
    </xf>
    <xf numFmtId="0" fontId="0" fillId="0" borderId="0" xfId="0" applyBorder="1" applyAlignment="1">
      <alignment vertical="center"/>
    </xf>
    <xf numFmtId="0" fontId="0" fillId="19" borderId="0" xfId="0" applyFill="1"/>
    <xf numFmtId="0" fontId="0" fillId="0" borderId="0" xfId="0"/>
    <xf numFmtId="0" fontId="0" fillId="19" borderId="0" xfId="0" applyFill="1"/>
    <xf numFmtId="0" fontId="0" fillId="3" borderId="1" xfId="0" applyFill="1" applyBorder="1" applyAlignment="1">
      <alignment vertical="center"/>
    </xf>
    <xf numFmtId="0" fontId="38" fillId="19" borderId="0" xfId="0" applyFont="1" applyFill="1" applyAlignment="1">
      <alignment vertical="center"/>
    </xf>
    <xf numFmtId="0" fontId="11" fillId="5" borderId="28" xfId="0" applyFont="1" applyFill="1" applyBorder="1" applyAlignment="1">
      <alignment horizontal="center" vertical="center" wrapText="1"/>
    </xf>
    <xf numFmtId="0" fontId="1" fillId="3" borderId="11" xfId="0" applyFont="1" applyFill="1" applyBorder="1" applyAlignment="1">
      <alignment vertical="center"/>
    </xf>
    <xf numFmtId="0" fontId="38" fillId="19" borderId="23" xfId="0" applyFont="1" applyFill="1" applyBorder="1"/>
    <xf numFmtId="0" fontId="0" fillId="19" borderId="1" xfId="0" applyFill="1" applyBorder="1"/>
    <xf numFmtId="0" fontId="0" fillId="19" borderId="5" xfId="0" applyFill="1" applyBorder="1"/>
    <xf numFmtId="0" fontId="0" fillId="19" borderId="6" xfId="0" applyFill="1" applyBorder="1"/>
    <xf numFmtId="0" fontId="0" fillId="19" borderId="2" xfId="0" applyFill="1" applyBorder="1"/>
    <xf numFmtId="0" fontId="0" fillId="19" borderId="30" xfId="0" applyFill="1" applyBorder="1"/>
    <xf numFmtId="0" fontId="0" fillId="19" borderId="26" xfId="0" applyFill="1" applyBorder="1"/>
    <xf numFmtId="0" fontId="0" fillId="19" borderId="29" xfId="0" applyFill="1" applyBorder="1"/>
    <xf numFmtId="0" fontId="0" fillId="19" borderId="27" xfId="0" applyFill="1" applyBorder="1"/>
    <xf numFmtId="0" fontId="0" fillId="19" borderId="11" xfId="0" applyFill="1" applyBorder="1"/>
    <xf numFmtId="0" fontId="0" fillId="19" borderId="12" xfId="0" applyFill="1" applyBorder="1"/>
    <xf numFmtId="0" fontId="0" fillId="19" borderId="13" xfId="0" applyFill="1" applyBorder="1"/>
    <xf numFmtId="0" fontId="0" fillId="3" borderId="12" xfId="0" applyFill="1" applyBorder="1" applyAlignment="1">
      <alignment horizontal="center"/>
    </xf>
    <xf numFmtId="0" fontId="40" fillId="4" borderId="0" xfId="0" applyFont="1" applyFill="1" applyAlignment="1">
      <alignment vertical="center"/>
    </xf>
    <xf numFmtId="0" fontId="42" fillId="19" borderId="0" xfId="0" applyFont="1" applyFill="1" applyBorder="1"/>
    <xf numFmtId="0" fontId="0" fillId="19" borderId="0" xfId="0" applyFill="1" applyBorder="1" applyAlignment="1">
      <alignment vertical="top" wrapText="1"/>
    </xf>
    <xf numFmtId="0" fontId="0" fillId="19" borderId="0" xfId="0" applyFill="1" applyAlignment="1">
      <alignment vertical="top" wrapText="1"/>
    </xf>
    <xf numFmtId="0" fontId="0" fillId="3" borderId="25" xfId="0" applyFill="1" applyBorder="1" applyAlignment="1">
      <alignment horizontal="center"/>
    </xf>
    <xf numFmtId="0" fontId="0" fillId="3" borderId="30" xfId="0" applyFill="1" applyBorder="1"/>
    <xf numFmtId="0" fontId="0" fillId="3" borderId="26" xfId="0" applyFill="1" applyBorder="1"/>
    <xf numFmtId="0" fontId="0" fillId="3" borderId="29" xfId="0" applyFill="1" applyBorder="1"/>
    <xf numFmtId="0" fontId="0" fillId="3" borderId="27" xfId="0" applyFill="1" applyBorder="1"/>
    <xf numFmtId="164" fontId="0" fillId="19" borderId="0" xfId="0" quotePrefix="1" applyNumberFormat="1" applyFill="1"/>
    <xf numFmtId="0" fontId="0" fillId="19" borderId="0" xfId="0" quotePrefix="1" applyFill="1"/>
    <xf numFmtId="0" fontId="1" fillId="3" borderId="11" xfId="0" applyFont="1" applyFill="1" applyBorder="1" applyAlignment="1"/>
    <xf numFmtId="0" fontId="0" fillId="19" borderId="0" xfId="0" applyFill="1" applyAlignment="1"/>
    <xf numFmtId="10" fontId="0" fillId="19" borderId="0" xfId="2" applyNumberFormat="1" applyFont="1" applyFill="1"/>
    <xf numFmtId="0" fontId="6" fillId="19" borderId="0" xfId="0" applyFont="1" applyFill="1" applyAlignment="1">
      <alignment vertical="center"/>
    </xf>
    <xf numFmtId="0" fontId="32" fillId="19" borderId="0" xfId="0" applyFont="1" applyFill="1" applyBorder="1"/>
    <xf numFmtId="0" fontId="0" fillId="19" borderId="0" xfId="0" applyNumberFormat="1" applyFill="1"/>
    <xf numFmtId="0" fontId="48" fillId="19" borderId="0" xfId="0" applyFont="1" applyFill="1" applyAlignment="1">
      <alignment vertical="center"/>
    </xf>
    <xf numFmtId="0" fontId="48" fillId="19" borderId="0" xfId="0" applyFont="1" applyFill="1"/>
    <xf numFmtId="0" fontId="0" fillId="19" borderId="0" xfId="0" applyFill="1" applyAlignment="1">
      <alignment horizontal="left" indent="1"/>
    </xf>
    <xf numFmtId="9" fontId="4" fillId="4" borderId="25" xfId="0" applyNumberFormat="1" applyFont="1" applyFill="1" applyBorder="1" applyAlignment="1">
      <alignment horizontal="center"/>
    </xf>
    <xf numFmtId="0" fontId="0" fillId="3" borderId="11" xfId="0" applyFill="1" applyBorder="1" applyAlignment="1">
      <alignment horizontal="left"/>
    </xf>
    <xf numFmtId="0" fontId="48" fillId="19" borderId="0" xfId="0" applyFont="1" applyFill="1" applyAlignment="1">
      <alignment horizontal="left" vertical="center" indent="1"/>
    </xf>
    <xf numFmtId="0" fontId="38" fillId="19" borderId="0" xfId="0" applyFont="1" applyFill="1"/>
    <xf numFmtId="0" fontId="0" fillId="0" borderId="31" xfId="0" applyBorder="1" applyAlignment="1">
      <alignment vertical="center"/>
    </xf>
    <xf numFmtId="0" fontId="0" fillId="0" borderId="32" xfId="0" applyBorder="1" applyAlignment="1">
      <alignment vertical="center"/>
    </xf>
    <xf numFmtId="0" fontId="0" fillId="0" borderId="32" xfId="0" applyFill="1" applyBorder="1" applyAlignment="1">
      <alignment vertical="center"/>
    </xf>
    <xf numFmtId="0" fontId="0" fillId="0" borderId="33" xfId="0" applyFill="1" applyBorder="1" applyAlignment="1">
      <alignment vertical="center"/>
    </xf>
    <xf numFmtId="0" fontId="0" fillId="0" borderId="34" xfId="0" applyBorder="1" applyAlignment="1">
      <alignment vertical="center"/>
    </xf>
    <xf numFmtId="0" fontId="0" fillId="0" borderId="35" xfId="0" applyFill="1" applyBorder="1" applyAlignment="1">
      <alignment vertical="center"/>
    </xf>
    <xf numFmtId="0" fontId="0" fillId="0" borderId="36" xfId="0" applyBorder="1" applyAlignment="1">
      <alignment vertical="center"/>
    </xf>
    <xf numFmtId="0" fontId="0" fillId="0" borderId="37" xfId="0" applyBorder="1" applyAlignment="1">
      <alignment vertical="center"/>
    </xf>
    <xf numFmtId="0" fontId="0" fillId="0" borderId="37" xfId="0" applyFill="1" applyBorder="1" applyAlignment="1">
      <alignment vertical="center"/>
    </xf>
    <xf numFmtId="0" fontId="0" fillId="0" borderId="38" xfId="0" applyFill="1" applyBorder="1" applyAlignment="1">
      <alignment vertical="center"/>
    </xf>
    <xf numFmtId="0" fontId="0" fillId="0" borderId="31" xfId="0" applyBorder="1" applyAlignment="1">
      <alignment vertical="center" wrapText="1"/>
    </xf>
    <xf numFmtId="0" fontId="0" fillId="0" borderId="32" xfId="0" applyBorder="1" applyAlignment="1">
      <alignment vertical="center" wrapText="1"/>
    </xf>
    <xf numFmtId="0" fontId="0" fillId="0" borderId="32" xfId="0" applyFill="1" applyBorder="1" applyAlignment="1">
      <alignment vertical="center" wrapText="1"/>
    </xf>
    <xf numFmtId="0" fontId="0" fillId="0" borderId="33" xfId="0" applyFill="1" applyBorder="1" applyAlignment="1">
      <alignment vertical="center" wrapText="1"/>
    </xf>
    <xf numFmtId="0" fontId="0" fillId="0" borderId="34" xfId="0" applyBorder="1" applyAlignment="1">
      <alignment vertical="center" wrapText="1"/>
    </xf>
    <xf numFmtId="0" fontId="0" fillId="0" borderId="0" xfId="0" applyBorder="1" applyAlignment="1">
      <alignment vertical="center" wrapText="1"/>
    </xf>
    <xf numFmtId="0" fontId="0" fillId="0" borderId="0" xfId="0" applyFill="1" applyBorder="1" applyAlignment="1">
      <alignment vertical="center" wrapText="1"/>
    </xf>
    <xf numFmtId="0" fontId="0" fillId="0" borderId="35" xfId="0" applyFill="1"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37" xfId="0" applyFill="1" applyBorder="1" applyAlignment="1">
      <alignment vertical="center" wrapText="1"/>
    </xf>
    <xf numFmtId="0" fontId="0" fillId="0" borderId="38" xfId="0" applyFill="1" applyBorder="1" applyAlignment="1">
      <alignment vertical="center" wrapText="1"/>
    </xf>
    <xf numFmtId="0" fontId="51" fillId="19" borderId="0" xfId="0" applyFont="1" applyFill="1"/>
    <xf numFmtId="0" fontId="0" fillId="28" borderId="1" xfId="0" applyFill="1" applyBorder="1"/>
    <xf numFmtId="0" fontId="0" fillId="28" borderId="5" xfId="0" applyFill="1" applyBorder="1"/>
    <xf numFmtId="0" fontId="0" fillId="28" borderId="6" xfId="0" applyFill="1" applyBorder="1"/>
    <xf numFmtId="0" fontId="0" fillId="28" borderId="2" xfId="0" applyFill="1" applyBorder="1"/>
    <xf numFmtId="0" fontId="0" fillId="28" borderId="0" xfId="0" applyFill="1" applyBorder="1"/>
    <xf numFmtId="0" fontId="0" fillId="28" borderId="30" xfId="0" applyFill="1" applyBorder="1"/>
    <xf numFmtId="0" fontId="0" fillId="28" borderId="26" xfId="0" applyFill="1" applyBorder="1"/>
    <xf numFmtId="0" fontId="0" fillId="28" borderId="29" xfId="0" applyFill="1" applyBorder="1"/>
    <xf numFmtId="0" fontId="0" fillId="28" borderId="27" xfId="0" applyFill="1" applyBorder="1"/>
    <xf numFmtId="0" fontId="0" fillId="28" borderId="7" xfId="0" applyFill="1" applyBorder="1"/>
    <xf numFmtId="0" fontId="0" fillId="28" borderId="3" xfId="0" applyFill="1" applyBorder="1"/>
    <xf numFmtId="0" fontId="0" fillId="28" borderId="8" xfId="0" applyFill="1" applyBorder="1"/>
    <xf numFmtId="0" fontId="0" fillId="28" borderId="9" xfId="0" applyFill="1" applyBorder="1"/>
    <xf numFmtId="3" fontId="0" fillId="19" borderId="0" xfId="0" applyNumberFormat="1" applyFill="1"/>
    <xf numFmtId="0" fontId="1" fillId="3" borderId="11" xfId="0" applyFont="1" applyFill="1" applyBorder="1"/>
    <xf numFmtId="0" fontId="1" fillId="3" borderId="5" xfId="0" applyFont="1" applyFill="1" applyBorder="1" applyAlignment="1">
      <alignment horizontal="center"/>
    </xf>
    <xf numFmtId="0" fontId="1" fillId="3" borderId="6" xfId="0" applyFont="1" applyFill="1" applyBorder="1" applyAlignment="1">
      <alignment horizontal="center"/>
    </xf>
    <xf numFmtId="0" fontId="0" fillId="3" borderId="11" xfId="0" applyFont="1" applyFill="1" applyBorder="1"/>
    <xf numFmtId="0" fontId="1" fillId="3" borderId="1" xfId="0" applyFont="1" applyFill="1" applyBorder="1"/>
    <xf numFmtId="0" fontId="53" fillId="19" borderId="0" xfId="0" applyFont="1" applyFill="1"/>
    <xf numFmtId="0" fontId="0" fillId="3" borderId="1" xfId="0" applyFill="1" applyBorder="1" applyAlignment="1"/>
    <xf numFmtId="0" fontId="0" fillId="3" borderId="5" xfId="0" applyFill="1" applyBorder="1" applyAlignment="1"/>
    <xf numFmtId="0" fontId="0" fillId="3" borderId="2" xfId="0" applyFill="1" applyBorder="1" applyAlignment="1"/>
    <xf numFmtId="0" fontId="0" fillId="3" borderId="0" xfId="0" applyFill="1" applyBorder="1" applyAlignment="1"/>
    <xf numFmtId="0" fontId="0" fillId="3" borderId="3" xfId="0" applyFill="1" applyBorder="1" applyAlignment="1"/>
    <xf numFmtId="0" fontId="0" fillId="3" borderId="8" xfId="0" applyFill="1" applyBorder="1" applyAlignment="1"/>
    <xf numFmtId="0" fontId="1" fillId="3" borderId="12" xfId="0" applyFont="1" applyFill="1" applyBorder="1"/>
    <xf numFmtId="0" fontId="1" fillId="3" borderId="13" xfId="0" applyFont="1" applyFill="1" applyBorder="1"/>
    <xf numFmtId="0" fontId="0" fillId="29" borderId="5" xfId="0" applyFill="1" applyBorder="1"/>
    <xf numFmtId="0" fontId="0" fillId="29" borderId="6" xfId="0" applyFill="1" applyBorder="1"/>
    <xf numFmtId="0" fontId="0" fillId="29" borderId="0" xfId="0" applyFill="1" applyBorder="1"/>
    <xf numFmtId="0" fontId="0" fillId="29" borderId="30" xfId="0" applyFill="1" applyBorder="1"/>
    <xf numFmtId="0" fontId="0" fillId="29" borderId="29" xfId="0" applyFill="1" applyBorder="1"/>
    <xf numFmtId="0" fontId="0" fillId="29" borderId="27" xfId="0" applyFill="1" applyBorder="1"/>
    <xf numFmtId="0" fontId="0" fillId="19" borderId="0" xfId="0" applyFill="1" applyProtection="1"/>
    <xf numFmtId="0" fontId="0" fillId="19" borderId="0" xfId="0" applyFill="1" applyBorder="1" applyProtection="1"/>
    <xf numFmtId="0" fontId="0" fillId="19" borderId="0" xfId="0" applyFont="1" applyFill="1" applyBorder="1" applyAlignment="1" applyProtection="1"/>
    <xf numFmtId="0" fontId="0" fillId="19" borderId="0" xfId="0" applyFill="1" applyBorder="1" applyAlignment="1" applyProtection="1"/>
    <xf numFmtId="0" fontId="0" fillId="19" borderId="0" xfId="0" applyFill="1" applyAlignment="1" applyProtection="1">
      <alignment vertical="center"/>
    </xf>
    <xf numFmtId="0" fontId="23" fillId="19" borderId="0" xfId="0" applyFont="1" applyFill="1" applyProtection="1"/>
    <xf numFmtId="0" fontId="5" fillId="19" borderId="0" xfId="0" applyFont="1" applyFill="1" applyBorder="1" applyProtection="1"/>
    <xf numFmtId="0" fontId="0" fillId="19" borderId="0" xfId="0" applyFill="1" applyBorder="1" applyAlignment="1" applyProtection="1">
      <alignment horizontal="center" vertical="center"/>
    </xf>
    <xf numFmtId="0" fontId="6" fillId="19" borderId="0" xfId="0" applyFont="1" applyFill="1" applyBorder="1" applyProtection="1"/>
    <xf numFmtId="0" fontId="0" fillId="21" borderId="4" xfId="0" applyFill="1" applyBorder="1" applyProtection="1"/>
    <xf numFmtId="0" fontId="0" fillId="20" borderId="4" xfId="0" applyFill="1" applyBorder="1" applyAlignment="1" applyProtection="1"/>
    <xf numFmtId="0" fontId="1" fillId="19" borderId="0" xfId="0" applyFont="1" applyFill="1" applyBorder="1" applyAlignment="1" applyProtection="1"/>
    <xf numFmtId="0" fontId="0" fillId="19" borderId="0" xfId="0" applyFill="1" applyBorder="1" applyAlignment="1" applyProtection="1">
      <alignment vertical="center"/>
    </xf>
    <xf numFmtId="0" fontId="0" fillId="19" borderId="5" xfId="0" applyFill="1" applyBorder="1" applyAlignment="1" applyProtection="1">
      <alignment horizontal="center" vertical="center" wrapText="1"/>
    </xf>
    <xf numFmtId="0" fontId="0" fillId="20" borderId="1" xfId="0" applyFill="1" applyBorder="1" applyProtection="1"/>
    <xf numFmtId="0" fontId="0" fillId="20" borderId="5" xfId="0" applyFill="1" applyBorder="1" applyProtection="1"/>
    <xf numFmtId="0" fontId="6" fillId="20" borderId="3" xfId="0" applyFont="1" applyFill="1" applyBorder="1" applyProtection="1"/>
    <xf numFmtId="0" fontId="0" fillId="20" borderId="8" xfId="0" applyFill="1" applyBorder="1" applyProtection="1"/>
    <xf numFmtId="0" fontId="0" fillId="3" borderId="25" xfId="0" applyFont="1" applyFill="1" applyBorder="1" applyAlignment="1" applyProtection="1"/>
    <xf numFmtId="0" fontId="0" fillId="3" borderId="11" xfId="0" applyFont="1" applyFill="1" applyBorder="1" applyAlignment="1" applyProtection="1"/>
    <xf numFmtId="0" fontId="0" fillId="0" borderId="0" xfId="0" applyFill="1" applyAlignment="1" applyProtection="1">
      <alignment vertical="center"/>
    </xf>
    <xf numFmtId="0" fontId="0" fillId="0" borderId="0" xfId="0" applyAlignment="1" applyProtection="1">
      <alignment vertical="center"/>
    </xf>
    <xf numFmtId="0" fontId="0" fillId="0" borderId="0" xfId="0" applyBorder="1" applyAlignment="1" applyProtection="1">
      <alignment vertical="center"/>
    </xf>
    <xf numFmtId="0" fontId="0" fillId="2" borderId="0" xfId="0" applyFill="1" applyAlignment="1" applyProtection="1">
      <alignment vertical="center"/>
    </xf>
    <xf numFmtId="0" fontId="0" fillId="0" borderId="0" xfId="0" applyFill="1" applyBorder="1" applyAlignment="1" applyProtection="1">
      <alignment vertical="center"/>
    </xf>
    <xf numFmtId="0" fontId="0" fillId="4" borderId="0" xfId="0" applyFill="1" applyAlignment="1" applyProtection="1">
      <alignment vertical="center"/>
    </xf>
    <xf numFmtId="0" fontId="0" fillId="4" borderId="0" xfId="0" applyFill="1" applyBorder="1" applyAlignment="1" applyProtection="1">
      <alignment vertical="center"/>
    </xf>
    <xf numFmtId="0" fontId="1" fillId="3" borderId="1" xfId="0" applyFont="1" applyFill="1" applyBorder="1" applyAlignment="1" applyProtection="1">
      <alignment vertical="center"/>
    </xf>
    <xf numFmtId="0" fontId="0" fillId="3" borderId="5" xfId="0" applyFill="1" applyBorder="1" applyAlignment="1" applyProtection="1">
      <alignment vertical="center"/>
    </xf>
    <xf numFmtId="0" fontId="0" fillId="3" borderId="6" xfId="0" applyFill="1" applyBorder="1" applyAlignment="1" applyProtection="1">
      <alignment vertical="center"/>
    </xf>
    <xf numFmtId="0" fontId="1" fillId="3" borderId="11" xfId="0" applyFont="1" applyFill="1" applyBorder="1" applyAlignment="1" applyProtection="1">
      <alignment vertical="center"/>
    </xf>
    <xf numFmtId="0" fontId="0" fillId="3" borderId="12" xfId="0" applyFill="1" applyBorder="1" applyAlignment="1" applyProtection="1">
      <alignment vertical="center"/>
    </xf>
    <xf numFmtId="0" fontId="0" fillId="3" borderId="13" xfId="0" applyFill="1" applyBorder="1" applyAlignment="1" applyProtection="1">
      <alignment vertical="center"/>
    </xf>
    <xf numFmtId="0" fontId="1" fillId="3" borderId="2" xfId="0" applyFont="1" applyFill="1" applyBorder="1" applyAlignment="1" applyProtection="1">
      <alignment vertical="center"/>
    </xf>
    <xf numFmtId="0" fontId="0" fillId="3" borderId="0" xfId="0" applyFill="1" applyBorder="1" applyAlignment="1" applyProtection="1">
      <alignment vertical="center"/>
    </xf>
    <xf numFmtId="0" fontId="0" fillId="3" borderId="7" xfId="0" applyFill="1" applyBorder="1" applyAlignment="1" applyProtection="1">
      <alignment vertical="center"/>
    </xf>
    <xf numFmtId="0" fontId="1" fillId="3" borderId="3" xfId="0" applyFont="1" applyFill="1" applyBorder="1" applyAlignment="1" applyProtection="1">
      <alignment vertical="center"/>
    </xf>
    <xf numFmtId="0" fontId="0" fillId="3" borderId="8" xfId="0" applyFill="1" applyBorder="1" applyAlignment="1" applyProtection="1">
      <alignment vertical="center"/>
    </xf>
    <xf numFmtId="0" fontId="0" fillId="3" borderId="9" xfId="0" applyFill="1" applyBorder="1" applyAlignment="1" applyProtection="1">
      <alignment vertical="center"/>
    </xf>
    <xf numFmtId="0" fontId="32" fillId="19" borderId="23" xfId="0" applyFont="1" applyFill="1" applyBorder="1" applyAlignment="1" applyProtection="1">
      <alignment vertical="center"/>
    </xf>
    <xf numFmtId="0" fontId="0" fillId="19" borderId="23" xfId="0" applyFill="1" applyBorder="1" applyAlignment="1" applyProtection="1">
      <alignment vertical="center"/>
    </xf>
    <xf numFmtId="164" fontId="0" fillId="19" borderId="0" xfId="1" applyFont="1" applyFill="1" applyBorder="1" applyAlignment="1" applyProtection="1">
      <alignment vertical="center"/>
    </xf>
    <xf numFmtId="0" fontId="0" fillId="3" borderId="1" xfId="0" applyFill="1" applyBorder="1" applyAlignment="1" applyProtection="1">
      <alignment vertical="center"/>
    </xf>
    <xf numFmtId="0" fontId="0" fillId="3" borderId="2" xfId="0" applyFill="1" applyBorder="1" applyAlignment="1" applyProtection="1">
      <alignment vertical="center"/>
    </xf>
    <xf numFmtId="0" fontId="0" fillId="3" borderId="3" xfId="0" applyFill="1" applyBorder="1" applyAlignment="1" applyProtection="1">
      <alignment vertical="center"/>
    </xf>
    <xf numFmtId="0" fontId="0" fillId="3" borderId="11" xfId="0" applyFill="1" applyBorder="1" applyAlignment="1" applyProtection="1">
      <alignment vertical="center"/>
    </xf>
    <xf numFmtId="0" fontId="0" fillId="19" borderId="24" xfId="0" applyFill="1" applyBorder="1" applyAlignment="1" applyProtection="1">
      <alignment vertical="center"/>
    </xf>
    <xf numFmtId="0" fontId="32" fillId="19" borderId="0" xfId="0" applyFont="1" applyFill="1" applyAlignment="1" applyProtection="1">
      <alignment vertical="center"/>
    </xf>
    <xf numFmtId="0" fontId="0" fillId="19" borderId="40" xfId="0" applyFill="1" applyBorder="1" applyAlignment="1" applyProtection="1">
      <alignment vertical="center"/>
    </xf>
    <xf numFmtId="0" fontId="38" fillId="19" borderId="40" xfId="0" applyFont="1" applyFill="1" applyBorder="1" applyAlignment="1" applyProtection="1">
      <alignment vertical="center"/>
    </xf>
    <xf numFmtId="0" fontId="0" fillId="19" borderId="39" xfId="0" applyFill="1" applyBorder="1" applyAlignment="1" applyProtection="1">
      <alignment vertical="center"/>
    </xf>
    <xf numFmtId="0" fontId="32" fillId="19" borderId="40" xfId="0" applyFont="1" applyFill="1" applyBorder="1" applyAlignment="1" applyProtection="1">
      <alignment vertical="center"/>
    </xf>
    <xf numFmtId="0" fontId="38" fillId="19" borderId="0" xfId="0" applyFont="1" applyFill="1" applyAlignment="1" applyProtection="1">
      <alignment vertical="center"/>
    </xf>
    <xf numFmtId="10" fontId="4" fillId="4" borderId="4" xfId="2" applyNumberFormat="1" applyFont="1" applyFill="1" applyBorder="1" applyAlignment="1" applyProtection="1">
      <alignment vertical="center" wrapText="1"/>
    </xf>
    <xf numFmtId="164" fontId="4" fillId="4" borderId="13" xfId="1" applyFont="1" applyFill="1" applyBorder="1" applyAlignment="1" applyProtection="1">
      <alignmen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0" fillId="21" borderId="7" xfId="0" applyFill="1" applyBorder="1" applyAlignment="1" applyProtection="1">
      <alignment vertical="center"/>
    </xf>
    <xf numFmtId="0" fontId="4" fillId="4" borderId="4" xfId="0" applyFont="1" applyFill="1" applyBorder="1" applyAlignment="1" applyProtection="1">
      <alignment vertical="center" wrapText="1"/>
    </xf>
    <xf numFmtId="0" fontId="4" fillId="4" borderId="25" xfId="0" applyFont="1" applyFill="1" applyBorder="1" applyAlignment="1" applyProtection="1">
      <alignment vertical="center"/>
    </xf>
    <xf numFmtId="167" fontId="4" fillId="4" borderId="4" xfId="2" applyNumberFormat="1" applyFont="1" applyFill="1" applyBorder="1" applyAlignment="1" applyProtection="1">
      <alignment vertical="center" wrapText="1"/>
    </xf>
    <xf numFmtId="0" fontId="0" fillId="19" borderId="0" xfId="0" applyFill="1" applyBorder="1" applyAlignment="1" applyProtection="1">
      <alignment vertical="center"/>
    </xf>
    <xf numFmtId="0" fontId="0" fillId="3" borderId="26" xfId="0" applyFill="1" applyBorder="1" applyAlignment="1" applyProtection="1">
      <alignment vertical="center"/>
    </xf>
    <xf numFmtId="0" fontId="0" fillId="3" borderId="29" xfId="0" applyFill="1" applyBorder="1" applyAlignment="1" applyProtection="1">
      <alignment vertical="center"/>
    </xf>
    <xf numFmtId="0" fontId="0" fillId="3" borderId="27" xfId="0" applyFill="1" applyBorder="1" applyAlignment="1" applyProtection="1">
      <alignment vertical="center"/>
    </xf>
    <xf numFmtId="0" fontId="0" fillId="19" borderId="0" xfId="0" applyFill="1" applyBorder="1" applyAlignment="1" applyProtection="1">
      <alignment vertical="center" wrapText="1"/>
    </xf>
    <xf numFmtId="0" fontId="0" fillId="19" borderId="12" xfId="0" applyFill="1" applyBorder="1" applyAlignment="1" applyProtection="1">
      <alignment vertical="center"/>
    </xf>
    <xf numFmtId="0" fontId="35" fillId="19" borderId="0" xfId="0" applyFont="1" applyFill="1" applyBorder="1" applyAlignment="1" applyProtection="1">
      <alignmen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35" fillId="24" borderId="1" xfId="0" applyFont="1" applyFill="1" applyBorder="1" applyAlignment="1" applyProtection="1">
      <alignment vertical="center"/>
    </xf>
    <xf numFmtId="0" fontId="35" fillId="24" borderId="5" xfId="0" applyFont="1" applyFill="1" applyBorder="1" applyAlignment="1" applyProtection="1">
      <alignment vertical="center"/>
    </xf>
    <xf numFmtId="0" fontId="35" fillId="24" borderId="6" xfId="0" applyFont="1" applyFill="1" applyBorder="1" applyAlignment="1" applyProtection="1">
      <alignment vertical="center"/>
    </xf>
    <xf numFmtId="0" fontId="35" fillId="24" borderId="2" xfId="0" applyFont="1" applyFill="1" applyBorder="1" applyAlignment="1" applyProtection="1">
      <alignment vertical="center"/>
    </xf>
    <xf numFmtId="0" fontId="35" fillId="24" borderId="0" xfId="0" applyFont="1" applyFill="1" applyAlignment="1" applyProtection="1">
      <alignment vertical="center"/>
    </xf>
    <xf numFmtId="0" fontId="35" fillId="24" borderId="7" xfId="0" applyFont="1" applyFill="1" applyBorder="1" applyAlignment="1" applyProtection="1">
      <alignment vertical="center"/>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35" fillId="24" borderId="11" xfId="0" applyFont="1" applyFill="1" applyBorder="1" applyAlignment="1" applyProtection="1">
      <alignment vertical="center"/>
    </xf>
    <xf numFmtId="0" fontId="35" fillId="24" borderId="12" xfId="0" applyFont="1" applyFill="1" applyBorder="1" applyAlignment="1" applyProtection="1">
      <alignment vertical="center"/>
    </xf>
    <xf numFmtId="0" fontId="35" fillId="24" borderId="13" xfId="0" applyFont="1" applyFill="1" applyBorder="1" applyAlignment="1" applyProtection="1">
      <alignment vertical="center"/>
    </xf>
    <xf numFmtId="0" fontId="0" fillId="19" borderId="24" xfId="0" applyFont="1" applyFill="1" applyBorder="1" applyAlignment="1" applyProtection="1">
      <alignment vertical="center"/>
    </xf>
    <xf numFmtId="0" fontId="46" fillId="19" borderId="0" xfId="0" applyFont="1" applyFill="1" applyBorder="1" applyAlignment="1" applyProtection="1">
      <alignment vertical="center"/>
    </xf>
    <xf numFmtId="0" fontId="0" fillId="19" borderId="2" xfId="0" applyFill="1" applyBorder="1" applyAlignment="1" applyProtection="1">
      <alignment vertical="center" wrapText="1"/>
    </xf>
    <xf numFmtId="0" fontId="35" fillId="19" borderId="24" xfId="0" applyFont="1" applyFill="1" applyBorder="1" applyAlignment="1" applyProtection="1">
      <alignment vertical="center"/>
    </xf>
    <xf numFmtId="0" fontId="1" fillId="3" borderId="12" xfId="0" applyFont="1" applyFill="1" applyBorder="1" applyAlignment="1" applyProtection="1">
      <alignmen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36" fillId="19" borderId="0" xfId="0" applyFont="1" applyFill="1" applyBorder="1" applyAlignment="1" applyProtection="1">
      <alignment vertical="center"/>
    </xf>
    <xf numFmtId="0" fontId="36" fillId="19" borderId="0" xfId="0" applyFont="1" applyFill="1" applyAlignment="1" applyProtection="1">
      <alignment vertical="center"/>
    </xf>
    <xf numFmtId="0" fontId="36" fillId="19" borderId="40" xfId="0" applyFont="1" applyFill="1" applyBorder="1" applyAlignment="1" applyProtection="1">
      <alignment vertical="center"/>
    </xf>
    <xf numFmtId="0" fontId="1" fillId="3" borderId="13" xfId="0" applyFont="1" applyFill="1" applyBorder="1" applyAlignment="1" applyProtection="1">
      <alignment vertical="center"/>
    </xf>
    <xf numFmtId="0" fontId="0" fillId="21" borderId="6" xfId="0" applyFill="1" applyBorder="1" applyAlignment="1" applyProtection="1">
      <alignment vertical="center"/>
    </xf>
    <xf numFmtId="0" fontId="0" fillId="21" borderId="9" xfId="0" applyFill="1" applyBorder="1" applyAlignment="1" applyProtection="1">
      <alignment vertical="center"/>
    </xf>
    <xf numFmtId="0" fontId="36" fillId="19" borderId="24" xfId="0" applyFont="1" applyFill="1" applyBorder="1" applyAlignment="1" applyProtection="1">
      <alignment vertical="center"/>
    </xf>
    <xf numFmtId="0" fontId="23" fillId="19" borderId="0" xfId="0" applyFont="1" applyFill="1" applyBorder="1" applyAlignment="1" applyProtection="1">
      <alignment vertical="center"/>
    </xf>
    <xf numFmtId="0" fontId="0" fillId="19" borderId="2" xfId="0" applyFill="1" applyBorder="1" applyAlignment="1" applyProtection="1">
      <alignment vertical="center"/>
    </xf>
    <xf numFmtId="164" fontId="0" fillId="19" borderId="0" xfId="0" applyNumberFormat="1" applyFill="1" applyAlignment="1" applyProtection="1">
      <alignment vertical="center"/>
    </xf>
    <xf numFmtId="172" fontId="0" fillId="19" borderId="40" xfId="0" applyNumberFormat="1" applyFill="1" applyBorder="1" applyAlignment="1" applyProtection="1">
      <alignment vertical="center"/>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0" fillId="21" borderId="9" xfId="0" applyFill="1" applyBorder="1" applyAlignment="1" applyProtection="1">
      <alignment vertical="center"/>
    </xf>
    <xf numFmtId="0" fontId="36" fillId="0" borderId="0" xfId="0" applyFont="1" applyFill="1" applyAlignment="1" applyProtection="1">
      <alignment vertical="center"/>
    </xf>
    <xf numFmtId="0" fontId="0" fillId="0" borderId="13" xfId="0" applyFill="1" applyBorder="1" applyAlignment="1" applyProtection="1">
      <alignment vertical="center"/>
      <protection locked="0"/>
    </xf>
    <xf numFmtId="164" fontId="0" fillId="22" borderId="13" xfId="1" applyFont="1" applyFill="1" applyBorder="1" applyAlignment="1" applyProtection="1">
      <alignment vertical="center" wrapText="1"/>
      <protection locked="0"/>
    </xf>
    <xf numFmtId="164" fontId="0" fillId="22" borderId="13" xfId="1" applyFont="1" applyFill="1" applyBorder="1" applyAlignment="1" applyProtection="1">
      <alignment vertical="center"/>
      <protection locked="0"/>
    </xf>
    <xf numFmtId="164" fontId="0" fillId="22" borderId="4" xfId="1" applyFont="1" applyFill="1" applyBorder="1" applyAlignment="1" applyProtection="1">
      <alignment vertical="center"/>
      <protection locked="0"/>
    </xf>
    <xf numFmtId="164" fontId="0" fillId="0" borderId="4" xfId="1" applyFont="1" applyFill="1" applyBorder="1" applyAlignment="1" applyProtection="1">
      <alignment vertical="center"/>
      <protection locked="0"/>
    </xf>
    <xf numFmtId="0" fontId="0" fillId="0" borderId="4" xfId="0" applyBorder="1" applyAlignment="1" applyProtection="1">
      <alignment vertical="center"/>
      <protection locked="0"/>
    </xf>
    <xf numFmtId="2" fontId="0" fillId="22" borderId="4" xfId="0" applyNumberFormat="1" applyFill="1" applyBorder="1" applyAlignment="1" applyProtection="1">
      <alignment vertical="center"/>
      <protection locked="0"/>
    </xf>
    <xf numFmtId="167" fontId="0" fillId="22" borderId="4" xfId="2" applyNumberFormat="1" applyFont="1" applyFill="1" applyBorder="1" applyAlignment="1" applyProtection="1">
      <alignment vertical="center" wrapText="1"/>
      <protection locked="0"/>
    </xf>
    <xf numFmtId="0" fontId="0" fillId="0" borderId="4" xfId="0" applyFill="1" applyBorder="1" applyAlignment="1" applyProtection="1">
      <alignment vertical="center"/>
      <protection locked="0"/>
    </xf>
    <xf numFmtId="164" fontId="35" fillId="0" borderId="4" xfId="1" applyFont="1" applyBorder="1" applyAlignment="1" applyProtection="1">
      <alignment vertical="center"/>
      <protection locked="0"/>
    </xf>
    <xf numFmtId="164" fontId="0" fillId="0" borderId="13" xfId="1" applyFont="1" applyFill="1" applyBorder="1" applyAlignment="1" applyProtection="1">
      <alignment vertical="center"/>
      <protection locked="0"/>
    </xf>
    <xf numFmtId="10" fontId="0" fillId="0" borderId="25" xfId="2" applyNumberFormat="1" applyFont="1" applyBorder="1" applyAlignment="1" applyProtection="1">
      <alignment vertical="center"/>
      <protection locked="0"/>
    </xf>
    <xf numFmtId="0" fontId="0" fillId="19" borderId="0" xfId="0" applyFill="1"/>
    <xf numFmtId="0" fontId="0" fillId="19" borderId="0" xfId="0" applyFill="1" applyBorder="1"/>
    <xf numFmtId="2" fontId="0" fillId="29" borderId="25" xfId="0" applyNumberFormat="1" applyFill="1" applyBorder="1" applyAlignment="1">
      <alignment horizontal="center"/>
    </xf>
    <xf numFmtId="170" fontId="4" fillId="4" borderId="22" xfId="0" applyNumberFormat="1" applyFont="1" applyFill="1" applyBorder="1" applyAlignment="1">
      <alignment horizontal="center"/>
    </xf>
    <xf numFmtId="170" fontId="4" fillId="4" borderId="10" xfId="0" applyNumberFormat="1" applyFont="1" applyFill="1" applyBorder="1" applyAlignment="1">
      <alignment horizontal="center"/>
    </xf>
    <xf numFmtId="170" fontId="4" fillId="4" borderId="28" xfId="0" applyNumberFormat="1" applyFont="1" applyFill="1" applyBorder="1" applyAlignment="1">
      <alignment horizontal="center"/>
    </xf>
    <xf numFmtId="0" fontId="37" fillId="19" borderId="0" xfId="0" applyFont="1" applyFill="1" applyBorder="1"/>
    <xf numFmtId="0" fontId="32" fillId="19" borderId="23" xfId="0" applyFont="1" applyFill="1" applyBorder="1" applyAlignment="1">
      <alignment horizontal="right"/>
    </xf>
    <xf numFmtId="0" fontId="1" fillId="19" borderId="0" xfId="0" applyFont="1" applyFill="1" applyAlignment="1">
      <alignment vertical="center"/>
    </xf>
    <xf numFmtId="0" fontId="55" fillId="19" borderId="0" xfId="0" applyFont="1" applyFill="1"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xf numFmtId="164" fontId="0" fillId="0" borderId="25" xfId="1" applyFont="1" applyFill="1" applyBorder="1" applyAlignment="1" applyProtection="1">
      <alignment vertical="center"/>
      <protection locked="0"/>
    </xf>
    <xf numFmtId="0" fontId="0" fillId="0" borderId="0" xfId="0" applyBorder="1" applyAlignment="1" applyProtection="1">
      <alignment vertical="center"/>
    </xf>
    <xf numFmtId="0" fontId="0" fillId="19" borderId="0" xfId="0" applyFill="1"/>
    <xf numFmtId="0" fontId="0" fillId="19" borderId="0" xfId="0" applyFill="1" applyBorder="1"/>
    <xf numFmtId="10" fontId="0" fillId="0" borderId="25" xfId="2" applyNumberFormat="1" applyFont="1" applyBorder="1" applyAlignment="1" applyProtection="1">
      <alignment horizontal="center" vertical="center"/>
      <protection locked="0"/>
    </xf>
    <xf numFmtId="0" fontId="50" fillId="0" borderId="25" xfId="0" applyFont="1" applyFill="1" applyBorder="1" applyAlignment="1" applyProtection="1">
      <alignment horizontal="center"/>
      <protection locked="0"/>
    </xf>
    <xf numFmtId="170" fontId="0" fillId="22" borderId="22" xfId="0" applyNumberFormat="1" applyFill="1" applyBorder="1" applyAlignment="1" applyProtection="1">
      <alignment horizontal="center"/>
      <protection locked="0"/>
    </xf>
    <xf numFmtId="170" fontId="0" fillId="22" borderId="10" xfId="0" applyNumberFormat="1" applyFill="1" applyBorder="1" applyAlignment="1" applyProtection="1">
      <alignment horizontal="center"/>
      <protection locked="0"/>
    </xf>
    <xf numFmtId="170" fontId="0" fillId="22" borderId="28" xfId="0" applyNumberFormat="1" applyFill="1" applyBorder="1" applyAlignment="1" applyProtection="1">
      <alignment horizontal="center"/>
      <protection locked="0"/>
    </xf>
    <xf numFmtId="167" fontId="0" fillId="6" borderId="22" xfId="2" applyNumberFormat="1" applyFont="1" applyFill="1" applyBorder="1" applyAlignment="1" applyProtection="1">
      <alignment horizontal="center"/>
      <protection locked="0"/>
    </xf>
    <xf numFmtId="10" fontId="0" fillId="6" borderId="22" xfId="2" applyNumberFormat="1" applyFont="1" applyFill="1" applyBorder="1" applyAlignment="1" applyProtection="1">
      <alignment horizontal="center"/>
      <protection locked="0"/>
    </xf>
    <xf numFmtId="167" fontId="0" fillId="6" borderId="10" xfId="2" applyNumberFormat="1" applyFont="1" applyFill="1" applyBorder="1" applyAlignment="1" applyProtection="1">
      <alignment horizontal="center"/>
      <protection locked="0"/>
    </xf>
    <xf numFmtId="167" fontId="0" fillId="6" borderId="28" xfId="2" applyNumberFormat="1" applyFont="1" applyFill="1" applyBorder="1" applyAlignment="1" applyProtection="1">
      <alignment horizontal="center"/>
      <protection locked="0"/>
    </xf>
    <xf numFmtId="167" fontId="0" fillId="6" borderId="25" xfId="2" applyNumberFormat="1" applyFont="1" applyFill="1" applyBorder="1" applyAlignment="1" applyProtection="1">
      <alignment horizontal="center"/>
      <protection locked="0"/>
    </xf>
    <xf numFmtId="10" fontId="0" fillId="0" borderId="4" xfId="2" applyNumberFormat="1" applyFont="1" applyBorder="1" applyProtection="1">
      <protection locked="0"/>
    </xf>
    <xf numFmtId="10" fontId="0" fillId="0" borderId="4" xfId="2" applyNumberFormat="1" applyFont="1" applyBorder="1" applyAlignment="1" applyProtection="1">
      <alignment vertical="center"/>
      <protection locked="0"/>
    </xf>
    <xf numFmtId="0" fontId="0" fillId="0" borderId="0" xfId="0" applyBorder="1" applyAlignment="1" applyProtection="1">
      <alignment vertical="center"/>
    </xf>
    <xf numFmtId="0" fontId="0" fillId="0" borderId="0" xfId="0" applyFill="1" applyBorder="1" applyAlignment="1" applyProtection="1">
      <alignment vertical="center"/>
    </xf>
    <xf numFmtId="10" fontId="0" fillId="19" borderId="0" xfId="0" applyNumberFormat="1" applyFill="1"/>
    <xf numFmtId="164" fontId="0" fillId="19" borderId="0" xfId="2" applyNumberFormat="1" applyFont="1" applyFill="1" applyAlignment="1"/>
    <xf numFmtId="164" fontId="0" fillId="19" borderId="0" xfId="0" applyNumberFormat="1" applyFill="1"/>
    <xf numFmtId="173" fontId="0" fillId="19" borderId="0" xfId="0" applyNumberFormat="1" applyFill="1"/>
    <xf numFmtId="0" fontId="0" fillId="0" borderId="31" xfId="0" applyBorder="1" applyAlignment="1" applyProtection="1">
      <alignment vertical="center"/>
    </xf>
    <xf numFmtId="0" fontId="0" fillId="0" borderId="32" xfId="0" applyBorder="1" applyAlignment="1" applyProtection="1">
      <alignment vertical="center"/>
    </xf>
    <xf numFmtId="0" fontId="0" fillId="0" borderId="32" xfId="0" applyFill="1" applyBorder="1" applyAlignment="1" applyProtection="1">
      <alignment vertical="center"/>
    </xf>
    <xf numFmtId="0" fontId="0" fillId="0" borderId="33" xfId="0" applyFill="1" applyBorder="1" applyAlignment="1" applyProtection="1">
      <alignment vertical="center"/>
    </xf>
    <xf numFmtId="0" fontId="0" fillId="0" borderId="34" xfId="0" applyBorder="1" applyAlignment="1" applyProtection="1">
      <alignment vertical="center"/>
    </xf>
    <xf numFmtId="0" fontId="0" fillId="0" borderId="35" xfId="0" applyFill="1" applyBorder="1" applyAlignment="1" applyProtection="1">
      <alignment vertical="center"/>
    </xf>
    <xf numFmtId="0" fontId="0" fillId="0" borderId="36" xfId="0" applyBorder="1" applyAlignment="1" applyProtection="1">
      <alignment vertical="center"/>
    </xf>
    <xf numFmtId="0" fontId="0" fillId="0" borderId="37" xfId="0" applyBorder="1" applyAlignment="1" applyProtection="1">
      <alignment vertical="center"/>
    </xf>
    <xf numFmtId="0" fontId="0" fillId="0" borderId="37" xfId="0" applyFill="1" applyBorder="1" applyAlignment="1" applyProtection="1">
      <alignment vertical="center"/>
    </xf>
    <xf numFmtId="0" fontId="0" fillId="0" borderId="38" xfId="0" applyFill="1" applyBorder="1" applyAlignment="1" applyProtection="1">
      <alignment vertical="center"/>
    </xf>
    <xf numFmtId="0" fontId="0" fillId="19" borderId="0" xfId="0" applyFill="1"/>
    <xf numFmtId="0" fontId="0" fillId="0" borderId="13" xfId="0" applyBorder="1" applyAlignment="1">
      <alignment horizontal="center"/>
    </xf>
    <xf numFmtId="164" fontId="4" fillId="4" borderId="13" xfId="1" applyFont="1" applyFill="1" applyBorder="1" applyAlignment="1" applyProtection="1">
      <alignment horizontal="center" vertical="center"/>
      <protection hidden="1"/>
    </xf>
    <xf numFmtId="0" fontId="50" fillId="0" borderId="4" xfId="0" applyFont="1" applyFill="1" applyBorder="1" applyAlignment="1" applyProtection="1">
      <alignment horizontal="center" vertical="center"/>
      <protection locked="0"/>
    </xf>
    <xf numFmtId="0" fontId="50" fillId="0" borderId="4" xfId="0" applyFont="1" applyFill="1" applyBorder="1" applyAlignment="1" applyProtection="1">
      <alignment horizontal="center"/>
      <protection locked="0"/>
    </xf>
    <xf numFmtId="0" fontId="0" fillId="0" borderId="14" xfId="0" applyFill="1" applyBorder="1" applyProtection="1"/>
    <xf numFmtId="164" fontId="4" fillId="4" borderId="4" xfId="1" applyFont="1" applyFill="1" applyBorder="1" applyAlignment="1" applyProtection="1">
      <alignment horizontal="center" vertical="center"/>
      <protection hidden="1"/>
    </xf>
    <xf numFmtId="164" fontId="0" fillId="0" borderId="28" xfId="1" applyFont="1" applyBorder="1"/>
    <xf numFmtId="164" fontId="0" fillId="32" borderId="4" xfId="1" applyFont="1" applyFill="1" applyBorder="1"/>
    <xf numFmtId="164" fontId="0" fillId="33" borderId="4" xfId="1" applyFont="1" applyFill="1" applyBorder="1"/>
    <xf numFmtId="0" fontId="0" fillId="0" borderId="4" xfId="0" applyBorder="1" applyAlignment="1">
      <alignment horizontal="center"/>
    </xf>
    <xf numFmtId="0" fontId="0" fillId="32" borderId="4" xfId="0" applyFill="1" applyBorder="1" applyAlignment="1">
      <alignment horizontal="center"/>
    </xf>
    <xf numFmtId="0" fontId="0" fillId="33" borderId="4" xfId="0" applyFill="1" applyBorder="1"/>
    <xf numFmtId="43" fontId="4" fillId="4" borderId="4" xfId="5" applyNumberFormat="1" applyFont="1" applyFill="1" applyBorder="1" applyProtection="1">
      <protection hidden="1"/>
    </xf>
    <xf numFmtId="164" fontId="0" fillId="32" borderId="28" xfId="1" applyFont="1" applyFill="1" applyBorder="1"/>
    <xf numFmtId="164" fontId="0" fillId="33" borderId="22" xfId="1" applyFont="1" applyFill="1" applyBorder="1"/>
    <xf numFmtId="10" fontId="4" fillId="4" borderId="4" xfId="5" applyNumberFormat="1" applyFont="1" applyFill="1" applyBorder="1" applyProtection="1">
      <protection hidden="1"/>
    </xf>
    <xf numFmtId="10" fontId="0" fillId="32" borderId="4" xfId="2" applyNumberFormat="1" applyFont="1" applyFill="1" applyBorder="1"/>
    <xf numFmtId="164" fontId="0" fillId="0" borderId="22" xfId="1" applyFont="1" applyBorder="1"/>
    <xf numFmtId="9" fontId="4" fillId="4" borderId="4" xfId="5" applyNumberFormat="1" applyFont="1" applyFill="1" applyBorder="1" applyProtection="1">
      <protection hidden="1"/>
    </xf>
    <xf numFmtId="10" fontId="4" fillId="4" borderId="4" xfId="5" applyNumberFormat="1" applyFont="1" applyFill="1" applyBorder="1"/>
    <xf numFmtId="10" fontId="0" fillId="33" borderId="4" xfId="2" applyNumberFormat="1" applyFont="1" applyFill="1" applyBorder="1"/>
    <xf numFmtId="10" fontId="0" fillId="32" borderId="28" xfId="2" applyNumberFormat="1" applyFont="1" applyFill="1" applyBorder="1"/>
    <xf numFmtId="10" fontId="0" fillId="33" borderId="28" xfId="2" applyNumberFormat="1" applyFont="1" applyFill="1" applyBorder="1"/>
    <xf numFmtId="164" fontId="0" fillId="33" borderId="28" xfId="1" applyFont="1" applyFill="1" applyBorder="1"/>
    <xf numFmtId="0" fontId="1" fillId="0" borderId="11" xfId="0" applyFont="1" applyFill="1" applyBorder="1"/>
    <xf numFmtId="0" fontId="6" fillId="3" borderId="26" xfId="0" applyFont="1" applyFill="1" applyBorder="1"/>
    <xf numFmtId="0" fontId="0" fillId="0" borderId="13" xfId="0" applyBorder="1"/>
    <xf numFmtId="164" fontId="0" fillId="0" borderId="13" xfId="1" applyFont="1" applyBorder="1"/>
    <xf numFmtId="164" fontId="0" fillId="0" borderId="27" xfId="1" applyFont="1" applyBorder="1"/>
    <xf numFmtId="0" fontId="6" fillId="3" borderId="0" xfId="0" applyFont="1" applyFill="1" applyBorder="1"/>
    <xf numFmtId="0" fontId="0" fillId="0" borderId="12" xfId="0" applyFill="1" applyBorder="1"/>
    <xf numFmtId="0" fontId="0" fillId="0" borderId="12" xfId="0" applyBorder="1"/>
    <xf numFmtId="0" fontId="0" fillId="0" borderId="5" xfId="0" applyBorder="1"/>
    <xf numFmtId="0" fontId="0" fillId="0" borderId="6" xfId="0" applyBorder="1"/>
    <xf numFmtId="164" fontId="0" fillId="32" borderId="13" xfId="1" applyFont="1" applyFill="1" applyBorder="1"/>
    <xf numFmtId="164" fontId="0" fillId="33" borderId="13" xfId="1" applyFont="1" applyFill="1" applyBorder="1"/>
    <xf numFmtId="0" fontId="6" fillId="3" borderId="5" xfId="0" applyFont="1" applyFill="1" applyBorder="1"/>
    <xf numFmtId="0" fontId="6" fillId="3" borderId="29" xfId="0" applyFont="1" applyFill="1" applyBorder="1"/>
    <xf numFmtId="0" fontId="6" fillId="3" borderId="12" xfId="0" applyFont="1" applyFill="1" applyBorder="1"/>
    <xf numFmtId="0" fontId="0" fillId="32" borderId="13" xfId="0" applyFill="1" applyBorder="1" applyAlignment="1">
      <alignment horizontal="center"/>
    </xf>
    <xf numFmtId="0" fontId="0" fillId="33" borderId="13" xfId="0" applyFill="1" applyBorder="1"/>
    <xf numFmtId="43" fontId="4" fillId="4" borderId="13" xfId="5" applyNumberFormat="1" applyFont="1" applyFill="1" applyBorder="1" applyProtection="1">
      <protection hidden="1"/>
    </xf>
    <xf numFmtId="164" fontId="0" fillId="32" borderId="27" xfId="1" applyFont="1" applyFill="1" applyBorder="1"/>
    <xf numFmtId="164" fontId="0" fillId="33" borderId="6" xfId="1" applyFont="1" applyFill="1" applyBorder="1"/>
    <xf numFmtId="0" fontId="0" fillId="0" borderId="11" xfId="0" applyBorder="1" applyAlignment="1"/>
    <xf numFmtId="0" fontId="0" fillId="0" borderId="12" xfId="0" applyBorder="1" applyAlignment="1"/>
    <xf numFmtId="0" fontId="0" fillId="0" borderId="1" xfId="0" applyBorder="1" applyAlignment="1"/>
    <xf numFmtId="0" fontId="0" fillId="0" borderId="5" xfId="0" applyBorder="1" applyAlignment="1"/>
    <xf numFmtId="0" fontId="0" fillId="0" borderId="6" xfId="0" applyBorder="1" applyAlignment="1"/>
    <xf numFmtId="10" fontId="4" fillId="4" borderId="13" xfId="5" applyNumberFormat="1" applyFont="1" applyFill="1" applyBorder="1" applyProtection="1">
      <protection hidden="1"/>
    </xf>
    <xf numFmtId="10" fontId="0" fillId="32" borderId="13" xfId="2" applyNumberFormat="1" applyFont="1" applyFill="1" applyBorder="1"/>
    <xf numFmtId="0" fontId="4" fillId="4" borderId="13" xfId="5" applyFont="1" applyFill="1" applyBorder="1" applyProtection="1">
      <protection hidden="1"/>
    </xf>
    <xf numFmtId="0" fontId="0" fillId="0" borderId="11" xfId="0" applyFont="1" applyBorder="1" applyAlignment="1"/>
    <xf numFmtId="0" fontId="0" fillId="0" borderId="12" xfId="0" applyFont="1" applyBorder="1" applyAlignment="1"/>
    <xf numFmtId="9" fontId="4" fillId="4" borderId="13" xfId="5" applyNumberFormat="1" applyFont="1" applyFill="1" applyBorder="1" applyProtection="1">
      <protection hidden="1"/>
    </xf>
    <xf numFmtId="10" fontId="4" fillId="4" borderId="13" xfId="5" applyNumberFormat="1" applyFont="1" applyFill="1" applyBorder="1"/>
    <xf numFmtId="0" fontId="0" fillId="0" borderId="1" xfId="0" applyFont="1" applyBorder="1"/>
    <xf numFmtId="0" fontId="0" fillId="0" borderId="5" xfId="0" applyFont="1" applyBorder="1"/>
    <xf numFmtId="10" fontId="0" fillId="33" borderId="13" xfId="2" applyNumberFormat="1" applyFont="1" applyFill="1" applyBorder="1"/>
    <xf numFmtId="10" fontId="0" fillId="32" borderId="27" xfId="2" applyNumberFormat="1" applyFont="1" applyFill="1" applyBorder="1"/>
    <xf numFmtId="10" fontId="0" fillId="33" borderId="27" xfId="2" applyNumberFormat="1" applyFont="1" applyFill="1" applyBorder="1"/>
    <xf numFmtId="164" fontId="0" fillId="33" borderId="27" xfId="1" applyFont="1" applyFill="1" applyBorder="1"/>
    <xf numFmtId="0" fontId="59" fillId="0" borderId="11" xfId="0" applyFont="1" applyFill="1" applyBorder="1"/>
    <xf numFmtId="43" fontId="61" fillId="34" borderId="4" xfId="5" applyNumberFormat="1" applyFont="1" applyFill="1" applyBorder="1" applyProtection="1">
      <protection hidden="1"/>
    </xf>
    <xf numFmtId="43" fontId="59" fillId="35" borderId="28" xfId="1" applyNumberFormat="1" applyFont="1" applyFill="1" applyBorder="1"/>
    <xf numFmtId="43" fontId="59" fillId="35" borderId="4" xfId="1" applyNumberFormat="1" applyFont="1" applyFill="1" applyBorder="1"/>
    <xf numFmtId="43" fontId="59" fillId="35" borderId="22" xfId="1" applyNumberFormat="1" applyFont="1" applyFill="1" applyBorder="1"/>
    <xf numFmtId="10" fontId="59" fillId="35" borderId="4" xfId="2" applyNumberFormat="1" applyFont="1" applyFill="1" applyBorder="1"/>
    <xf numFmtId="43" fontId="59" fillId="35" borderId="27" xfId="1" applyNumberFormat="1" applyFont="1" applyFill="1" applyBorder="1"/>
    <xf numFmtId="43" fontId="59" fillId="35" borderId="13" xfId="1" applyNumberFormat="1" applyFont="1" applyFill="1" applyBorder="1"/>
    <xf numFmtId="43" fontId="59" fillId="35" borderId="6" xfId="1" applyNumberFormat="1" applyFont="1" applyFill="1" applyBorder="1"/>
    <xf numFmtId="0" fontId="59" fillId="0" borderId="12" xfId="0" applyFont="1" applyFill="1" applyBorder="1"/>
    <xf numFmtId="43" fontId="61" fillId="34" borderId="13" xfId="5" applyNumberFormat="1" applyFont="1" applyFill="1" applyBorder="1" applyProtection="1">
      <protection hidden="1"/>
    </xf>
    <xf numFmtId="0" fontId="59" fillId="24" borderId="2" xfId="0" applyFont="1" applyFill="1" applyBorder="1"/>
    <xf numFmtId="0" fontId="59" fillId="24" borderId="0" xfId="0" applyFont="1" applyFill="1" applyBorder="1"/>
    <xf numFmtId="10" fontId="59" fillId="35" borderId="13" xfId="2" applyNumberFormat="1" applyFont="1" applyFill="1" applyBorder="1"/>
    <xf numFmtId="2" fontId="61" fillId="34" borderId="13" xfId="5" applyNumberFormat="1" applyFont="1" applyFill="1" applyBorder="1" applyProtection="1">
      <protection hidden="1"/>
    </xf>
    <xf numFmtId="0" fontId="59" fillId="24" borderId="1" xfId="0" applyFont="1" applyFill="1" applyBorder="1"/>
    <xf numFmtId="0" fontId="59" fillId="24" borderId="5" xfId="0" applyFont="1" applyFill="1" applyBorder="1"/>
    <xf numFmtId="0" fontId="59" fillId="24" borderId="26" xfId="0" applyFont="1" applyFill="1" applyBorder="1"/>
    <xf numFmtId="0" fontId="59" fillId="24" borderId="8" xfId="0" applyFont="1" applyFill="1" applyBorder="1"/>
    <xf numFmtId="0" fontId="4" fillId="36" borderId="4" xfId="105" applyFont="1" applyFill="1" applyBorder="1" applyAlignment="1">
      <alignment horizontal="center" vertical="center"/>
    </xf>
    <xf numFmtId="0" fontId="0" fillId="31" borderId="0" xfId="0" applyFill="1"/>
    <xf numFmtId="0" fontId="5" fillId="31" borderId="0" xfId="0" applyFont="1" applyFill="1"/>
    <xf numFmtId="0" fontId="1" fillId="31" borderId="0" xfId="0" applyFont="1" applyFill="1"/>
    <xf numFmtId="0" fontId="6" fillId="31" borderId="0" xfId="0" applyFont="1" applyFill="1"/>
    <xf numFmtId="0" fontId="0" fillId="31" borderId="0" xfId="0" applyFont="1" applyFill="1"/>
    <xf numFmtId="0" fontId="58" fillId="31" borderId="0" xfId="0" applyFont="1" applyFill="1" applyBorder="1"/>
    <xf numFmtId="0" fontId="59" fillId="31" borderId="0" xfId="0" applyFont="1" applyFill="1" applyBorder="1"/>
    <xf numFmtId="0" fontId="60" fillId="31" borderId="0" xfId="0" applyFont="1" applyFill="1" applyBorder="1"/>
    <xf numFmtId="0" fontId="0" fillId="19" borderId="0" xfId="0" applyFill="1"/>
    <xf numFmtId="0" fontId="11" fillId="5" borderId="1" xfId="0" applyFont="1" applyFill="1" applyBorder="1" applyAlignment="1">
      <alignment horizontal="center"/>
    </xf>
    <xf numFmtId="0" fontId="11" fillId="5" borderId="5" xfId="0" applyFont="1" applyFill="1" applyBorder="1" applyAlignment="1">
      <alignment horizontal="center"/>
    </xf>
    <xf numFmtId="0" fontId="11" fillId="5" borderId="6" xfId="0" applyFont="1" applyFill="1" applyBorder="1" applyAlignment="1">
      <alignment horizontal="center"/>
    </xf>
    <xf numFmtId="0" fontId="7" fillId="5" borderId="11" xfId="0" applyFont="1" applyFill="1" applyBorder="1" applyAlignment="1">
      <alignment horizontal="center"/>
    </xf>
    <xf numFmtId="0" fontId="7" fillId="5" borderId="12" xfId="0" applyFont="1" applyFill="1" applyBorder="1" applyAlignment="1">
      <alignment horizontal="center"/>
    </xf>
    <xf numFmtId="0" fontId="7" fillId="5" borderId="13" xfId="0" applyFont="1" applyFill="1" applyBorder="1" applyAlignment="1">
      <alignment horizontal="center"/>
    </xf>
    <xf numFmtId="0" fontId="9" fillId="0" borderId="0" xfId="3" applyAlignment="1" applyProtection="1">
      <alignment horizontal="left" wrapText="1"/>
    </xf>
    <xf numFmtId="0" fontId="17" fillId="12" borderId="11" xfId="0" applyFont="1" applyFill="1" applyBorder="1" applyAlignment="1">
      <alignment horizontal="left"/>
    </xf>
    <xf numFmtId="0" fontId="17" fillId="12" borderId="12" xfId="0" applyFont="1" applyFill="1" applyBorder="1" applyAlignment="1">
      <alignment horizontal="left"/>
    </xf>
    <xf numFmtId="0" fontId="17" fillId="12" borderId="13" xfId="0" applyFont="1" applyFill="1" applyBorder="1" applyAlignment="1">
      <alignment horizontal="left"/>
    </xf>
    <xf numFmtId="0" fontId="8" fillId="7" borderId="11" xfId="0" applyFont="1" applyFill="1" applyBorder="1" applyAlignment="1">
      <alignment horizontal="left"/>
    </xf>
    <xf numFmtId="0" fontId="8" fillId="7" borderId="12" xfId="0" applyFont="1" applyFill="1" applyBorder="1" applyAlignment="1">
      <alignment horizontal="left"/>
    </xf>
    <xf numFmtId="0" fontId="8" fillId="7" borderId="13" xfId="0" applyFont="1" applyFill="1" applyBorder="1" applyAlignment="1">
      <alignment horizontal="left"/>
    </xf>
    <xf numFmtId="0" fontId="7" fillId="5" borderId="0" xfId="0" applyFont="1" applyFill="1" applyAlignment="1">
      <alignment horizontal="center"/>
    </xf>
    <xf numFmtId="0" fontId="11" fillId="5" borderId="11" xfId="0" applyFont="1" applyFill="1" applyBorder="1" applyAlignment="1">
      <alignment horizontal="center"/>
    </xf>
    <xf numFmtId="0" fontId="11" fillId="5" borderId="12" xfId="0" applyFont="1" applyFill="1" applyBorder="1" applyAlignment="1">
      <alignment horizontal="center"/>
    </xf>
    <xf numFmtId="0" fontId="11" fillId="5" borderId="13" xfId="0" applyFont="1" applyFill="1" applyBorder="1" applyAlignment="1">
      <alignment horizontal="center"/>
    </xf>
    <xf numFmtId="0" fontId="0" fillId="3" borderId="11" xfId="0" applyFill="1" applyBorder="1" applyAlignment="1">
      <alignment horizontal="left" wrapText="1"/>
    </xf>
    <xf numFmtId="0" fontId="0" fillId="3" borderId="12" xfId="0" applyFill="1" applyBorder="1" applyAlignment="1">
      <alignment horizontal="left" wrapText="1"/>
    </xf>
    <xf numFmtId="0" fontId="0" fillId="3" borderId="13" xfId="0" applyFill="1" applyBorder="1" applyAlignment="1">
      <alignment horizontal="left" wrapText="1"/>
    </xf>
    <xf numFmtId="0" fontId="6" fillId="3" borderId="1" xfId="0" applyFont="1" applyFill="1" applyBorder="1" applyAlignment="1">
      <alignment horizontal="left" wrapText="1"/>
    </xf>
    <xf numFmtId="0" fontId="6" fillId="3" borderId="5" xfId="0" applyFont="1" applyFill="1" applyBorder="1" applyAlignment="1">
      <alignment horizontal="left" wrapText="1"/>
    </xf>
    <xf numFmtId="0" fontId="6" fillId="3" borderId="6" xfId="0" applyFont="1" applyFill="1" applyBorder="1" applyAlignment="1">
      <alignment horizontal="left" wrapText="1"/>
    </xf>
    <xf numFmtId="0" fontId="0" fillId="3" borderId="1" xfId="0" applyFill="1" applyBorder="1" applyAlignment="1">
      <alignment horizontal="left" wrapText="1"/>
    </xf>
    <xf numFmtId="0" fontId="0" fillId="3" borderId="5" xfId="0" applyFill="1" applyBorder="1" applyAlignment="1">
      <alignment horizontal="left" wrapText="1"/>
    </xf>
    <xf numFmtId="0" fontId="0" fillId="3" borderId="6" xfId="0" applyFill="1" applyBorder="1" applyAlignment="1">
      <alignment horizontal="left" wrapText="1"/>
    </xf>
    <xf numFmtId="0" fontId="0" fillId="0" borderId="1" xfId="0" applyFont="1" applyBorder="1" applyAlignment="1"/>
    <xf numFmtId="0" fontId="0" fillId="0" borderId="5" xfId="0" applyFont="1" applyBorder="1" applyAlignment="1"/>
    <xf numFmtId="0" fontId="33" fillId="19" borderId="31" xfId="0" applyFont="1" applyFill="1" applyBorder="1" applyAlignment="1">
      <alignment horizontal="center" vertical="center" wrapText="1"/>
    </xf>
    <xf numFmtId="0" fontId="33" fillId="19" borderId="32" xfId="0" applyFont="1" applyFill="1" applyBorder="1" applyAlignment="1">
      <alignment horizontal="center" vertical="center" wrapText="1"/>
    </xf>
    <xf numFmtId="0" fontId="33" fillId="19" borderId="33" xfId="0" applyFont="1" applyFill="1" applyBorder="1" applyAlignment="1">
      <alignment horizontal="center" vertical="center" wrapText="1"/>
    </xf>
    <xf numFmtId="0" fontId="33" fillId="19" borderId="34" xfId="0" applyFont="1" applyFill="1" applyBorder="1" applyAlignment="1">
      <alignment horizontal="center" vertical="center" wrapText="1"/>
    </xf>
    <xf numFmtId="0" fontId="33" fillId="19" borderId="0" xfId="0" applyFont="1" applyFill="1" applyBorder="1" applyAlignment="1">
      <alignment horizontal="center" vertical="center" wrapText="1"/>
    </xf>
    <xf numFmtId="0" fontId="33" fillId="19" borderId="35" xfId="0" applyFont="1" applyFill="1" applyBorder="1" applyAlignment="1">
      <alignment horizontal="center" vertical="center" wrapText="1"/>
    </xf>
    <xf numFmtId="0" fontId="33" fillId="19" borderId="36" xfId="0" applyFont="1" applyFill="1" applyBorder="1" applyAlignment="1">
      <alignment horizontal="center" vertical="center" wrapText="1"/>
    </xf>
    <xf numFmtId="0" fontId="33" fillId="19" borderId="37" xfId="0" applyFont="1" applyFill="1" applyBorder="1" applyAlignment="1">
      <alignment horizontal="center" vertical="center" wrapText="1"/>
    </xf>
    <xf numFmtId="0" fontId="33" fillId="19" borderId="38" xfId="0" applyFont="1" applyFill="1" applyBorder="1" applyAlignment="1">
      <alignment horizontal="center" vertical="center" wrapText="1"/>
    </xf>
    <xf numFmtId="0" fontId="62" fillId="0" borderId="31" xfId="0" applyFont="1" applyBorder="1" applyAlignment="1">
      <alignment horizontal="center" vertical="center" wrapText="1"/>
    </xf>
    <xf numFmtId="0" fontId="62" fillId="0" borderId="32" xfId="0" applyFont="1" applyBorder="1" applyAlignment="1">
      <alignment horizontal="center" vertical="center" wrapText="1"/>
    </xf>
    <xf numFmtId="0" fontId="62" fillId="0" borderId="33" xfId="0" applyFont="1" applyBorder="1" applyAlignment="1">
      <alignment horizontal="center" vertical="center" wrapText="1"/>
    </xf>
    <xf numFmtId="0" fontId="62" fillId="0" borderId="34" xfId="0" applyFont="1" applyBorder="1" applyAlignment="1">
      <alignment horizontal="center" vertical="center" wrapText="1"/>
    </xf>
    <xf numFmtId="0" fontId="62" fillId="0" borderId="0" xfId="0" applyFont="1" applyBorder="1" applyAlignment="1">
      <alignment horizontal="center" vertical="center" wrapText="1"/>
    </xf>
    <xf numFmtId="0" fontId="62" fillId="0" borderId="35" xfId="0" applyFont="1" applyBorder="1" applyAlignment="1">
      <alignment horizontal="center" vertical="center" wrapText="1"/>
    </xf>
    <xf numFmtId="0" fontId="2" fillId="0" borderId="34" xfId="0" applyFont="1" applyBorder="1" applyAlignment="1">
      <alignment horizontal="center" vertical="center"/>
    </xf>
    <xf numFmtId="0" fontId="2" fillId="0" borderId="0" xfId="0" applyFont="1" applyBorder="1" applyAlignment="1">
      <alignment horizontal="center" vertical="center"/>
    </xf>
    <xf numFmtId="0" fontId="2" fillId="0" borderId="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6" fillId="3" borderId="26" xfId="0" applyFont="1" applyFill="1" applyBorder="1" applyAlignment="1">
      <alignment horizontal="left" wrapText="1"/>
    </xf>
    <xf numFmtId="0" fontId="6" fillId="3" borderId="29" xfId="0" applyFont="1" applyFill="1" applyBorder="1" applyAlignment="1">
      <alignment horizontal="left" wrapText="1"/>
    </xf>
    <xf numFmtId="0" fontId="6" fillId="3" borderId="27" xfId="0" applyFont="1" applyFill="1" applyBorder="1" applyAlignment="1">
      <alignment horizontal="left" wrapText="1"/>
    </xf>
    <xf numFmtId="0" fontId="0" fillId="19" borderId="0" xfId="0" applyFill="1" applyBorder="1" applyAlignment="1">
      <alignment horizontal="left" vertical="center"/>
    </xf>
    <xf numFmtId="0" fontId="0" fillId="19" borderId="0" xfId="0" applyFill="1" applyBorder="1" applyAlignment="1" applyProtection="1">
      <alignment horizontal="left" vertical="center"/>
    </xf>
    <xf numFmtId="0" fontId="1" fillId="19" borderId="0" xfId="0" applyFont="1" applyFill="1" applyBorder="1" applyAlignment="1" applyProtection="1">
      <alignment horizontal="center"/>
    </xf>
    <xf numFmtId="0" fontId="0" fillId="21" borderId="4" xfId="0" applyFill="1" applyBorder="1" applyAlignment="1" applyProtection="1">
      <alignment horizontal="center"/>
    </xf>
    <xf numFmtId="0" fontId="0" fillId="22" borderId="4" xfId="0" applyFill="1" applyBorder="1" applyAlignment="1" applyProtection="1">
      <alignment horizontal="left" vertical="center"/>
      <protection locked="0"/>
    </xf>
    <xf numFmtId="0" fontId="0" fillId="22" borderId="4" xfId="0" applyFill="1" applyBorder="1" applyAlignment="1" applyProtection="1">
      <alignment horizontal="left" vertical="center"/>
    </xf>
    <xf numFmtId="0" fontId="33" fillId="19" borderId="0" xfId="0" applyFont="1" applyFill="1" applyAlignment="1" applyProtection="1">
      <alignment horizontal="center" vertical="center"/>
    </xf>
    <xf numFmtId="0" fontId="0" fillId="22" borderId="11" xfId="0" applyFill="1" applyBorder="1" applyAlignment="1" applyProtection="1">
      <alignment horizontal="left" vertical="center"/>
      <protection locked="0"/>
    </xf>
    <xf numFmtId="0" fontId="0" fillId="22" borderId="13" xfId="0" applyFill="1" applyBorder="1" applyAlignment="1" applyProtection="1">
      <alignment horizontal="left" vertical="center"/>
      <protection locked="0"/>
    </xf>
    <xf numFmtId="0" fontId="1" fillId="3" borderId="11" xfId="0" applyFont="1" applyFill="1" applyBorder="1" applyAlignment="1" applyProtection="1">
      <alignment horizontal="center"/>
    </xf>
    <xf numFmtId="0" fontId="1" fillId="3" borderId="12" xfId="0" applyFont="1" applyFill="1" applyBorder="1" applyAlignment="1" applyProtection="1">
      <alignment horizontal="center"/>
    </xf>
    <xf numFmtId="0" fontId="1" fillId="3" borderId="13" xfId="0" applyFont="1" applyFill="1" applyBorder="1" applyAlignment="1" applyProtection="1">
      <alignment horizontal="center"/>
    </xf>
    <xf numFmtId="0" fontId="0" fillId="22" borderId="25" xfId="0" applyFill="1" applyBorder="1" applyAlignment="1" applyProtection="1">
      <alignment horizontal="left" vertical="center"/>
      <protection locked="0"/>
    </xf>
    <xf numFmtId="0" fontId="0" fillId="19" borderId="0" xfId="0" applyFill="1" applyBorder="1" applyAlignment="1" applyProtection="1">
      <alignment horizontal="center"/>
    </xf>
    <xf numFmtId="0" fontId="32" fillId="19" borderId="0" xfId="0" applyFont="1" applyFill="1" applyAlignment="1" applyProtection="1">
      <alignment horizontal="center"/>
    </xf>
    <xf numFmtId="0" fontId="1" fillId="3" borderId="4" xfId="0" applyFont="1" applyFill="1" applyBorder="1" applyAlignment="1" applyProtection="1">
      <alignment horizontal="center"/>
    </xf>
    <xf numFmtId="0" fontId="0" fillId="3" borderId="25" xfId="0" applyFill="1" applyBorder="1" applyAlignment="1" applyProtection="1">
      <alignment horizontal="center" vertical="center" wrapText="1"/>
    </xf>
    <xf numFmtId="0" fontId="50" fillId="0" borderId="25" xfId="0" applyFont="1" applyFill="1" applyBorder="1" applyAlignment="1" applyProtection="1">
      <alignment horizontal="center" vertical="center" wrapText="1"/>
      <protection locked="0"/>
    </xf>
    <xf numFmtId="0" fontId="2" fillId="3" borderId="1"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6" xfId="0" applyFont="1" applyFill="1" applyBorder="1" applyAlignment="1" applyProtection="1">
      <alignment horizontal="center" vertical="center" wrapText="1"/>
    </xf>
    <xf numFmtId="0" fontId="2" fillId="3" borderId="2"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0" xfId="0" applyFont="1" applyFill="1" applyBorder="1" applyAlignment="1" applyProtection="1">
      <alignment horizontal="center" vertical="center" wrapText="1"/>
    </xf>
    <xf numFmtId="0" fontId="2" fillId="3" borderId="26"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2" fillId="3" borderId="27" xfId="0" applyFont="1" applyFill="1" applyBorder="1" applyAlignment="1" applyProtection="1">
      <alignment horizontal="center" vertical="center" wrapText="1"/>
    </xf>
    <xf numFmtId="0" fontId="2" fillId="0" borderId="1" xfId="0" applyFont="1" applyFill="1" applyBorder="1" applyAlignment="1" applyProtection="1">
      <alignment horizontal="center" vertical="center"/>
      <protection locked="0"/>
    </xf>
    <xf numFmtId="0" fontId="2" fillId="0" borderId="5" xfId="0" applyFont="1" applyFill="1" applyBorder="1" applyAlignment="1" applyProtection="1">
      <alignment horizontal="center" vertical="center"/>
      <protection locked="0"/>
    </xf>
    <xf numFmtId="0" fontId="2" fillId="0" borderId="6" xfId="0" applyFont="1" applyFill="1" applyBorder="1" applyAlignment="1" applyProtection="1">
      <alignment horizontal="center" vertical="center"/>
      <protection locked="0"/>
    </xf>
    <xf numFmtId="0" fontId="2" fillId="0" borderId="2" xfId="0"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protection locked="0"/>
    </xf>
    <xf numFmtId="0" fontId="2" fillId="0" borderId="30" xfId="0" applyFont="1" applyFill="1" applyBorder="1" applyAlignment="1" applyProtection="1">
      <alignment horizontal="center" vertical="center"/>
      <protection locked="0"/>
    </xf>
    <xf numFmtId="0" fontId="2" fillId="0" borderId="26" xfId="0" applyFont="1" applyFill="1" applyBorder="1" applyAlignment="1" applyProtection="1">
      <alignment horizontal="center" vertical="center"/>
      <protection locked="0"/>
    </xf>
    <xf numFmtId="0" fontId="2" fillId="0" borderId="8" xfId="0" applyFont="1" applyFill="1" applyBorder="1" applyAlignment="1" applyProtection="1">
      <alignment horizontal="center" vertical="center"/>
      <protection locked="0"/>
    </xf>
    <xf numFmtId="0" fontId="2" fillId="0" borderId="27" xfId="0" applyFont="1" applyFill="1" applyBorder="1" applyAlignment="1" applyProtection="1">
      <alignment horizontal="center" vertical="center"/>
      <protection locked="0"/>
    </xf>
    <xf numFmtId="10" fontId="0" fillId="0" borderId="11" xfId="2" applyNumberFormat="1" applyFont="1" applyBorder="1" applyAlignment="1" applyProtection="1">
      <alignment horizontal="center" vertical="center"/>
      <protection locked="0"/>
    </xf>
    <xf numFmtId="10" fontId="0" fillId="0" borderId="13" xfId="2" applyNumberFormat="1" applyFont="1" applyBorder="1" applyAlignment="1" applyProtection="1">
      <alignment horizontal="center" vertical="center"/>
      <protection locked="0"/>
    </xf>
    <xf numFmtId="10" fontId="4" fillId="4" borderId="4" xfId="2" applyNumberFormat="1" applyFont="1" applyFill="1" applyBorder="1" applyAlignment="1" applyProtection="1">
      <alignment vertical="center"/>
    </xf>
    <xf numFmtId="164" fontId="4" fillId="4" borderId="4" xfId="1" applyFont="1" applyFill="1" applyBorder="1" applyAlignment="1" applyProtection="1">
      <alignment vertical="center"/>
    </xf>
    <xf numFmtId="0" fontId="0" fillId="19" borderId="0" xfId="0" applyFill="1" applyBorder="1" applyAlignment="1" applyProtection="1">
      <alignment vertical="center"/>
    </xf>
    <xf numFmtId="10" fontId="0" fillId="0" borderId="11" xfId="2" applyNumberFormat="1" applyFont="1" applyBorder="1" applyAlignment="1" applyProtection="1">
      <alignment vertical="center"/>
      <protection locked="0"/>
    </xf>
    <xf numFmtId="10" fontId="0" fillId="0" borderId="13" xfId="2" applyNumberFormat="1" applyFont="1" applyBorder="1" applyAlignment="1" applyProtection="1">
      <alignment vertical="center"/>
      <protection locked="0"/>
    </xf>
    <xf numFmtId="0" fontId="0" fillId="0" borderId="4" xfId="0" applyBorder="1" applyAlignment="1" applyProtection="1">
      <alignment vertical="center"/>
      <protection locked="0"/>
    </xf>
    <xf numFmtId="164" fontId="35" fillId="0" borderId="25" xfId="1" applyFont="1" applyBorder="1" applyAlignment="1" applyProtection="1">
      <alignment vertical="center"/>
      <protection locked="0"/>
    </xf>
    <xf numFmtId="164" fontId="0" fillId="0" borderId="11" xfId="1" applyFont="1" applyBorder="1" applyAlignment="1" applyProtection="1">
      <alignment vertical="center"/>
      <protection locked="0"/>
    </xf>
    <xf numFmtId="164" fontId="0" fillId="0" borderId="13" xfId="1" applyFont="1" applyBorder="1" applyAlignment="1" applyProtection="1">
      <alignment vertical="center"/>
      <protection locked="0"/>
    </xf>
    <xf numFmtId="0" fontId="0" fillId="19" borderId="24" xfId="0" applyFill="1" applyBorder="1" applyAlignment="1" applyProtection="1">
      <alignment vertical="center"/>
    </xf>
    <xf numFmtId="0" fontId="0" fillId="19" borderId="0" xfId="0" applyFill="1" applyBorder="1" applyAlignment="1" applyProtection="1">
      <alignment vertical="center" wrapText="1"/>
    </xf>
    <xf numFmtId="164" fontId="4" fillId="4" borderId="4" xfId="0" applyNumberFormat="1" applyFont="1" applyFill="1" applyBorder="1" applyAlignment="1" applyProtection="1">
      <alignment vertical="center"/>
    </xf>
    <xf numFmtId="0" fontId="4" fillId="4" borderId="4" xfId="0" applyFont="1" applyFill="1" applyBorder="1" applyAlignment="1" applyProtection="1">
      <alignment vertical="center"/>
    </xf>
    <xf numFmtId="0" fontId="0" fillId="21" borderId="2" xfId="0" applyFill="1" applyBorder="1" applyAlignment="1" applyProtection="1">
      <alignment vertical="center" wrapText="1"/>
    </xf>
    <xf numFmtId="0" fontId="0" fillId="21" borderId="0" xfId="0" applyFill="1" applyBorder="1" applyAlignment="1" applyProtection="1">
      <alignment vertical="center" wrapText="1"/>
    </xf>
    <xf numFmtId="0" fontId="0" fillId="21" borderId="30" xfId="0" applyFill="1" applyBorder="1" applyAlignment="1" applyProtection="1">
      <alignment vertical="center" wrapText="1"/>
    </xf>
    <xf numFmtId="0" fontId="0" fillId="3" borderId="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0" xfId="0" applyFill="1" applyBorder="1" applyAlignment="1" applyProtection="1">
      <alignment horizontal="left" vertical="center"/>
    </xf>
    <xf numFmtId="0" fontId="0" fillId="3" borderId="26" xfId="0" applyFill="1" applyBorder="1" applyAlignment="1" applyProtection="1">
      <alignment horizontal="left" vertical="center"/>
    </xf>
    <xf numFmtId="0" fontId="0" fillId="3" borderId="29"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0" fillId="21" borderId="6" xfId="0" applyFill="1" applyBorder="1" applyAlignment="1" applyProtection="1">
      <alignmen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0" fillId="21" borderId="30" xfId="0" applyFill="1" applyBorder="1" applyAlignment="1" applyProtection="1">
      <alignment vertical="center"/>
    </xf>
    <xf numFmtId="0" fontId="0" fillId="0" borderId="0" xfId="0" applyBorder="1" applyAlignment="1" applyProtection="1">
      <alignment vertical="center"/>
    </xf>
    <xf numFmtId="0" fontId="0" fillId="21" borderId="1" xfId="0" applyFill="1" applyBorder="1" applyAlignment="1" applyProtection="1">
      <alignment horizontal="left" vertical="center"/>
    </xf>
    <xf numFmtId="0" fontId="0" fillId="21" borderId="5" xfId="0" applyFill="1" applyBorder="1" applyAlignment="1" applyProtection="1">
      <alignment horizontal="left" vertical="center"/>
    </xf>
    <xf numFmtId="0" fontId="0" fillId="21" borderId="6" xfId="0" applyFill="1" applyBorder="1" applyAlignment="1" applyProtection="1">
      <alignment horizontal="left" vertical="center"/>
    </xf>
    <xf numFmtId="0" fontId="0" fillId="21" borderId="2" xfId="0" applyFill="1" applyBorder="1" applyAlignment="1" applyProtection="1">
      <alignment horizontal="left" vertical="center"/>
    </xf>
    <xf numFmtId="0" fontId="0" fillId="21" borderId="0" xfId="0" applyFill="1" applyBorder="1" applyAlignment="1" applyProtection="1">
      <alignment horizontal="left" vertical="center"/>
    </xf>
    <xf numFmtId="0" fontId="0" fillId="21" borderId="30" xfId="0" applyFill="1" applyBorder="1" applyAlignment="1" applyProtection="1">
      <alignment horizontal="left" vertical="center"/>
    </xf>
    <xf numFmtId="0" fontId="0" fillId="21" borderId="26" xfId="0" applyFill="1" applyBorder="1" applyAlignment="1" applyProtection="1">
      <alignment horizontal="left" vertical="center"/>
    </xf>
    <xf numFmtId="0" fontId="0" fillId="21" borderId="29" xfId="0" applyFill="1" applyBorder="1" applyAlignment="1" applyProtection="1">
      <alignment horizontal="left" vertical="center"/>
    </xf>
    <xf numFmtId="0" fontId="0" fillId="21" borderId="27" xfId="0" applyFill="1" applyBorder="1" applyAlignment="1" applyProtection="1">
      <alignment horizontal="left" vertical="center"/>
    </xf>
    <xf numFmtId="0" fontId="33" fillId="19" borderId="31" xfId="0" applyFont="1" applyFill="1" applyBorder="1" applyAlignment="1" applyProtection="1">
      <alignment horizontal="center" vertical="center" wrapText="1"/>
    </xf>
    <xf numFmtId="0" fontId="33" fillId="19" borderId="32" xfId="0" applyFont="1" applyFill="1" applyBorder="1" applyAlignment="1" applyProtection="1">
      <alignment horizontal="center" vertical="center" wrapText="1"/>
    </xf>
    <xf numFmtId="0" fontId="33" fillId="19" borderId="34" xfId="0" applyFont="1" applyFill="1" applyBorder="1" applyAlignment="1" applyProtection="1">
      <alignment horizontal="center" vertical="center" wrapText="1"/>
    </xf>
    <xf numFmtId="0" fontId="33" fillId="19" borderId="0" xfId="0" applyFont="1" applyFill="1" applyBorder="1" applyAlignment="1" applyProtection="1">
      <alignment horizontal="center" vertical="center" wrapText="1"/>
    </xf>
    <xf numFmtId="0" fontId="33" fillId="19" borderId="36" xfId="0" applyFont="1" applyFill="1" applyBorder="1" applyAlignment="1" applyProtection="1">
      <alignment horizontal="center" vertical="center" wrapText="1"/>
    </xf>
    <xf numFmtId="0" fontId="33" fillId="19" borderId="37" xfId="0" applyFont="1" applyFill="1" applyBorder="1" applyAlignment="1" applyProtection="1">
      <alignment horizontal="center" vertical="center" wrapText="1"/>
    </xf>
    <xf numFmtId="164" fontId="0" fillId="0" borderId="4" xfId="1" applyFont="1" applyFill="1" applyBorder="1" applyAlignment="1" applyProtection="1">
      <alignment vertical="center"/>
      <protection locked="0"/>
    </xf>
    <xf numFmtId="0" fontId="0" fillId="0" borderId="4" xfId="0" applyBorder="1" applyAlignment="1" applyProtection="1">
      <alignment horizontal="center" vertical="center"/>
      <protection locked="0"/>
    </xf>
    <xf numFmtId="164" fontId="0" fillId="0" borderId="11" xfId="1" applyFont="1" applyFill="1" applyBorder="1" applyAlignment="1" applyProtection="1">
      <alignment vertical="center"/>
      <protection locked="0"/>
    </xf>
    <xf numFmtId="164" fontId="0" fillId="0" borderId="13" xfId="1" applyFont="1" applyFill="1" applyBorder="1" applyAlignment="1" applyProtection="1">
      <alignment vertical="center"/>
      <protection locked="0"/>
    </xf>
    <xf numFmtId="164" fontId="0" fillId="19" borderId="0" xfId="1" applyFont="1" applyFill="1" applyBorder="1" applyAlignment="1" applyProtection="1">
      <alignment vertical="center"/>
    </xf>
    <xf numFmtId="167" fontId="4" fillId="4" borderId="11" xfId="2" applyNumberFormat="1" applyFont="1" applyFill="1" applyBorder="1" applyAlignment="1" applyProtection="1">
      <alignment horizontal="center" vertical="center"/>
    </xf>
    <xf numFmtId="167" fontId="4" fillId="4" borderId="13" xfId="2" applyNumberFormat="1" applyFont="1" applyFill="1" applyBorder="1" applyAlignment="1" applyProtection="1">
      <alignment horizontal="center" vertical="center"/>
    </xf>
    <xf numFmtId="164" fontId="0" fillId="0" borderId="4" xfId="1" applyFont="1" applyBorder="1" applyAlignment="1" applyProtection="1">
      <alignment horizontal="center" vertical="center"/>
      <protection locked="0"/>
    </xf>
    <xf numFmtId="0" fontId="0" fillId="19" borderId="0" xfId="0" applyFill="1" applyBorder="1" applyAlignment="1" applyProtection="1">
      <alignment horizontal="center" vertical="center"/>
    </xf>
    <xf numFmtId="0" fontId="0" fillId="0" borderId="0" xfId="0" applyFill="1" applyBorder="1" applyAlignment="1" applyProtection="1">
      <alignment vertical="center"/>
    </xf>
    <xf numFmtId="0" fontId="0" fillId="19" borderId="39" xfId="0" applyFill="1" applyBorder="1" applyAlignment="1" applyProtection="1">
      <alignment horizontal="center" vertical="center"/>
    </xf>
    <xf numFmtId="0" fontId="0" fillId="3" borderId="2" xfId="0" applyFill="1" applyBorder="1" applyAlignment="1" applyProtection="1">
      <alignment vertical="center" wrapText="1"/>
    </xf>
    <xf numFmtId="0" fontId="0" fillId="3" borderId="0" xfId="0" applyFill="1" applyBorder="1" applyAlignment="1" applyProtection="1">
      <alignment vertical="center" wrapText="1"/>
    </xf>
    <xf numFmtId="0" fontId="0" fillId="3" borderId="30" xfId="0" applyFill="1" applyBorder="1" applyAlignment="1" applyProtection="1">
      <alignment vertical="center" wrapText="1"/>
    </xf>
    <xf numFmtId="0" fontId="0" fillId="0" borderId="11" xfId="0" applyNumberFormat="1" applyBorder="1" applyAlignment="1" applyProtection="1">
      <alignment vertical="center"/>
      <protection locked="0"/>
    </xf>
    <xf numFmtId="0" fontId="0" fillId="0" borderId="13" xfId="0" applyNumberFormat="1" applyBorder="1" applyAlignment="1" applyProtection="1">
      <alignment vertical="center"/>
      <protection locked="0"/>
    </xf>
    <xf numFmtId="0" fontId="35" fillId="24" borderId="11" xfId="0" applyFont="1" applyFill="1" applyBorder="1" applyAlignment="1" applyProtection="1">
      <alignment horizontal="left" vertical="top" wrapText="1"/>
    </xf>
    <xf numFmtId="0" fontId="35" fillId="24" borderId="12" xfId="0" applyFont="1" applyFill="1" applyBorder="1" applyAlignment="1" applyProtection="1">
      <alignment horizontal="left" vertical="top" wrapText="1"/>
    </xf>
    <xf numFmtId="0" fontId="35" fillId="24" borderId="13" xfId="0" applyFont="1" applyFill="1" applyBorder="1" applyAlignment="1" applyProtection="1">
      <alignment horizontal="left" vertical="top" wrapText="1"/>
    </xf>
    <xf numFmtId="0" fontId="35" fillId="24" borderId="11" xfId="0" applyFont="1" applyFill="1" applyBorder="1" applyAlignment="1" applyProtection="1">
      <alignment horizontal="left" vertical="center" wrapText="1"/>
    </xf>
    <xf numFmtId="0" fontId="35" fillId="24" borderId="12" xfId="0" applyFont="1" applyFill="1" applyBorder="1" applyAlignment="1" applyProtection="1">
      <alignment horizontal="left" vertical="center" wrapText="1"/>
    </xf>
    <xf numFmtId="0" fontId="35" fillId="24" borderId="13" xfId="0" applyFont="1" applyFill="1" applyBorder="1" applyAlignment="1" applyProtection="1">
      <alignment horizontal="left" vertical="center" wrapText="1"/>
    </xf>
    <xf numFmtId="0" fontId="0" fillId="3" borderId="26" xfId="0" applyFill="1" applyBorder="1" applyAlignment="1" applyProtection="1">
      <alignment horizontal="left" vertical="center" wrapText="1"/>
    </xf>
    <xf numFmtId="0" fontId="0" fillId="3" borderId="29" xfId="0" applyFill="1" applyBorder="1" applyAlignment="1" applyProtection="1">
      <alignment horizontal="left" vertical="center" wrapText="1"/>
    </xf>
    <xf numFmtId="0" fontId="0" fillId="3" borderId="27" xfId="0" applyFill="1" applyBorder="1" applyAlignment="1" applyProtection="1">
      <alignment horizontal="left" vertical="center" wrapText="1"/>
    </xf>
    <xf numFmtId="0" fontId="1" fillId="3" borderId="11" xfId="0" applyFont="1" applyFill="1" applyBorder="1" applyAlignment="1" applyProtection="1">
      <alignment horizontal="center" vertical="center" wrapText="1"/>
    </xf>
    <xf numFmtId="0" fontId="1" fillId="3" borderId="12"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0" fontId="1" fillId="3" borderId="22" xfId="0" applyFont="1" applyFill="1" applyBorder="1" applyAlignment="1" applyProtection="1">
      <alignment horizontal="center" vertical="center"/>
    </xf>
    <xf numFmtId="0" fontId="1" fillId="3" borderId="4" xfId="0" applyFont="1" applyFill="1" applyBorder="1" applyAlignment="1" applyProtection="1">
      <alignment horizontal="center" vertical="center"/>
    </xf>
    <xf numFmtId="0" fontId="0" fillId="3" borderId="1" xfId="0" applyFill="1" applyBorder="1" applyAlignment="1" applyProtection="1">
      <alignment vertical="center" wrapText="1"/>
    </xf>
    <xf numFmtId="0" fontId="0" fillId="3" borderId="5" xfId="0" applyFill="1" applyBorder="1" applyAlignment="1" applyProtection="1">
      <alignment vertical="center" wrapText="1"/>
    </xf>
    <xf numFmtId="0" fontId="0" fillId="3" borderId="6" xfId="0" applyFill="1" applyBorder="1" applyAlignment="1" applyProtection="1">
      <alignment vertical="center" wrapText="1"/>
    </xf>
    <xf numFmtId="0" fontId="35" fillId="19" borderId="24" xfId="0" applyFont="1" applyFill="1" applyBorder="1" applyAlignment="1" applyProtection="1">
      <alignment vertical="center"/>
    </xf>
    <xf numFmtId="0" fontId="35" fillId="19" borderId="0" xfId="0" applyFont="1" applyFill="1" applyBorder="1" applyAlignment="1" applyProtection="1">
      <alignment vertical="center"/>
    </xf>
    <xf numFmtId="0" fontId="1" fillId="3" borderId="1" xfId="0" applyFont="1" applyFill="1" applyBorder="1" applyAlignment="1" applyProtection="1">
      <alignment horizontal="left" vertical="center" wrapText="1"/>
    </xf>
    <xf numFmtId="0" fontId="1" fillId="3" borderId="5" xfId="0" applyFont="1" applyFill="1" applyBorder="1" applyAlignment="1" applyProtection="1">
      <alignment horizontal="left" vertical="center" wrapText="1"/>
    </xf>
    <xf numFmtId="0" fontId="1" fillId="3" borderId="6" xfId="0" applyFont="1" applyFill="1" applyBorder="1" applyAlignment="1" applyProtection="1">
      <alignment horizontal="left" vertical="center" wrapText="1"/>
    </xf>
    <xf numFmtId="0" fontId="0" fillId="3" borderId="1" xfId="0" applyFill="1" applyBorder="1" applyAlignment="1" applyProtection="1">
      <alignment horizontal="left" vertical="center"/>
    </xf>
    <xf numFmtId="0" fontId="0" fillId="3" borderId="5" xfId="0" applyFill="1" applyBorder="1" applyAlignment="1" applyProtection="1">
      <alignment horizontal="left" vertical="center"/>
    </xf>
    <xf numFmtId="0" fontId="0" fillId="3" borderId="6" xfId="0" applyFill="1" applyBorder="1" applyAlignment="1" applyProtection="1">
      <alignment horizontal="left" vertical="center"/>
    </xf>
    <xf numFmtId="0" fontId="36" fillId="19" borderId="0" xfId="0" applyFont="1" applyFill="1" applyBorder="1" applyAlignment="1" applyProtection="1">
      <alignment vertical="center"/>
    </xf>
    <xf numFmtId="0" fontId="0" fillId="21" borderId="7" xfId="0" applyFill="1" applyBorder="1" applyAlignment="1" applyProtection="1">
      <alignment horizontal="left" vertical="center"/>
    </xf>
    <xf numFmtId="0" fontId="0" fillId="3" borderId="1" xfId="0" applyFill="1" applyBorder="1" applyAlignment="1" applyProtection="1">
      <alignment vertical="center"/>
    </xf>
    <xf numFmtId="0" fontId="0" fillId="3" borderId="5" xfId="0" applyFill="1" applyBorder="1" applyAlignment="1" applyProtection="1">
      <alignment vertical="center"/>
    </xf>
    <xf numFmtId="0" fontId="0" fillId="3" borderId="6" xfId="0" applyFill="1" applyBorder="1" applyAlignment="1" applyProtection="1">
      <alignment vertical="center"/>
    </xf>
    <xf numFmtId="0" fontId="0" fillId="3" borderId="11" xfId="0" applyFill="1" applyBorder="1" applyAlignment="1" applyProtection="1">
      <alignment horizontal="left" vertical="center"/>
    </xf>
    <xf numFmtId="0" fontId="0" fillId="3" borderId="12" xfId="0" applyFill="1" applyBorder="1" applyAlignment="1" applyProtection="1">
      <alignment horizontal="left" vertical="center"/>
    </xf>
    <xf numFmtId="0" fontId="0" fillId="3" borderId="13" xfId="0" applyFill="1" applyBorder="1" applyAlignment="1" applyProtection="1">
      <alignment horizontal="left" vertical="center"/>
    </xf>
    <xf numFmtId="0" fontId="0" fillId="3" borderId="11" xfId="0" applyFill="1" applyBorder="1" applyAlignment="1" applyProtection="1">
      <alignment horizontal="center" vertical="center"/>
    </xf>
    <xf numFmtId="0" fontId="0" fillId="3" borderId="12" xfId="0" applyFill="1" applyBorder="1" applyAlignment="1" applyProtection="1">
      <alignment horizontal="center" vertical="center"/>
    </xf>
    <xf numFmtId="0" fontId="0" fillId="3" borderId="13" xfId="0" applyFill="1" applyBorder="1" applyAlignment="1" applyProtection="1">
      <alignment horizontal="center" vertical="center"/>
    </xf>
    <xf numFmtId="0" fontId="0" fillId="21" borderId="3" xfId="0" applyFill="1" applyBorder="1" applyAlignment="1" applyProtection="1">
      <alignment horizontal="left" vertical="center"/>
    </xf>
    <xf numFmtId="0" fontId="0" fillId="21" borderId="8" xfId="0" applyFill="1" applyBorder="1" applyAlignment="1" applyProtection="1">
      <alignment horizontal="left" vertical="center"/>
    </xf>
    <xf numFmtId="0" fontId="0" fillId="21" borderId="9" xfId="0" applyFill="1" applyBorder="1" applyAlignment="1" applyProtection="1">
      <alignment horizontal="left" vertical="center"/>
    </xf>
    <xf numFmtId="0" fontId="2" fillId="3" borderId="1" xfId="0" applyFont="1" applyFill="1" applyBorder="1" applyAlignment="1" applyProtection="1">
      <alignment horizontal="center" vertical="center"/>
    </xf>
    <xf numFmtId="0" fontId="2" fillId="3" borderId="5"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7"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8" xfId="0" applyFont="1" applyFill="1" applyBorder="1" applyAlignment="1" applyProtection="1">
      <alignment horizontal="center" vertical="center"/>
    </xf>
    <xf numFmtId="0" fontId="2" fillId="3" borderId="9" xfId="0" applyFont="1" applyFill="1" applyBorder="1" applyAlignment="1" applyProtection="1">
      <alignment horizontal="center" vertical="center"/>
    </xf>
    <xf numFmtId="0" fontId="0" fillId="0" borderId="1"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4" xfId="0" applyFill="1" applyBorder="1" applyAlignment="1" applyProtection="1">
      <alignment horizontal="center" vertical="center"/>
      <protection locked="0"/>
    </xf>
    <xf numFmtId="164" fontId="0" fillId="0" borderId="4" xfId="1" applyFont="1" applyFill="1" applyBorder="1" applyAlignment="1" applyProtection="1">
      <alignment horizontal="center" vertical="center"/>
      <protection locked="0"/>
    </xf>
    <xf numFmtId="2" fontId="0" fillId="0" borderId="4" xfId="0" applyNumberFormat="1" applyFill="1" applyBorder="1" applyAlignment="1" applyProtection="1">
      <alignment horizontal="center" vertical="center"/>
      <protection locked="0"/>
    </xf>
    <xf numFmtId="0" fontId="0" fillId="3" borderId="7" xfId="0" applyFill="1" applyBorder="1" applyAlignment="1" applyProtection="1">
      <alignment vertical="center" wrapText="1"/>
    </xf>
    <xf numFmtId="0" fontId="0" fillId="0" borderId="25" xfId="0" applyFill="1" applyBorder="1" applyAlignment="1" applyProtection="1">
      <alignment horizontal="center" vertical="center"/>
      <protection locked="0"/>
    </xf>
    <xf numFmtId="0" fontId="0" fillId="3" borderId="11" xfId="0" applyFill="1" applyBorder="1" applyAlignment="1" applyProtection="1">
      <alignment horizontal="center" vertical="center" wrapText="1"/>
    </xf>
    <xf numFmtId="0" fontId="0" fillId="3" borderId="12" xfId="0" applyFill="1" applyBorder="1" applyAlignment="1" applyProtection="1">
      <alignment horizontal="center" vertical="center" wrapText="1"/>
    </xf>
    <xf numFmtId="0" fontId="0" fillId="3" borderId="13" xfId="0" applyFill="1" applyBorder="1" applyAlignment="1" applyProtection="1">
      <alignment horizontal="center" vertical="center" wrapText="1"/>
    </xf>
    <xf numFmtId="0" fontId="0" fillId="3" borderId="2" xfId="0" applyFill="1" applyBorder="1" applyAlignment="1" applyProtection="1">
      <alignment horizontal="left" vertical="top" wrapText="1"/>
    </xf>
    <xf numFmtId="0" fontId="0" fillId="3" borderId="0" xfId="0" applyFill="1" applyBorder="1" applyAlignment="1" applyProtection="1">
      <alignment horizontal="left" vertical="top" wrapText="1"/>
    </xf>
    <xf numFmtId="0" fontId="0" fillId="3" borderId="7" xfId="0" applyFill="1" applyBorder="1" applyAlignment="1" applyProtection="1">
      <alignment horizontal="left" vertical="top" wrapText="1"/>
    </xf>
    <xf numFmtId="0" fontId="0" fillId="21" borderId="1" xfId="0" applyFill="1" applyBorder="1" applyAlignment="1" applyProtection="1">
      <alignment vertical="center" wrapText="1"/>
    </xf>
    <xf numFmtId="0" fontId="0" fillId="21" borderId="5" xfId="0" applyFill="1" applyBorder="1" applyAlignment="1" applyProtection="1">
      <alignment vertical="center" wrapText="1"/>
    </xf>
    <xf numFmtId="0" fontId="0" fillId="21" borderId="6" xfId="0" applyFill="1" applyBorder="1" applyAlignment="1" applyProtection="1">
      <alignment vertical="center" wrapText="1"/>
    </xf>
    <xf numFmtId="164" fontId="35" fillId="0" borderId="11" xfId="1" applyFont="1" applyBorder="1" applyAlignment="1" applyProtection="1">
      <alignment vertical="center"/>
      <protection locked="0"/>
    </xf>
    <xf numFmtId="164" fontId="35" fillId="0" borderId="13" xfId="1" applyFont="1" applyBorder="1" applyAlignment="1" applyProtection="1">
      <alignment vertical="center"/>
      <protection locked="0"/>
    </xf>
    <xf numFmtId="0" fontId="0" fillId="3" borderId="26" xfId="0" applyFill="1" applyBorder="1" applyAlignment="1" applyProtection="1">
      <alignment vertical="center" wrapText="1"/>
    </xf>
    <xf numFmtId="0" fontId="0" fillId="3" borderId="29" xfId="0" applyFill="1" applyBorder="1" applyAlignment="1" applyProtection="1">
      <alignment vertical="center" wrapText="1"/>
    </xf>
    <xf numFmtId="0" fontId="0" fillId="3" borderId="27" xfId="0" applyFill="1" applyBorder="1" applyAlignment="1" applyProtection="1">
      <alignment vertical="center" wrapText="1"/>
    </xf>
    <xf numFmtId="0" fontId="1" fillId="3" borderId="1" xfId="0" applyFont="1" applyFill="1" applyBorder="1" applyAlignment="1" applyProtection="1">
      <alignment vertical="center"/>
    </xf>
    <xf numFmtId="0" fontId="1" fillId="3" borderId="5" xfId="0" applyFont="1" applyFill="1" applyBorder="1" applyAlignment="1" applyProtection="1">
      <alignment vertical="center"/>
    </xf>
    <xf numFmtId="0" fontId="1" fillId="3" borderId="13" xfId="0" applyFont="1" applyFill="1" applyBorder="1" applyAlignment="1" applyProtection="1">
      <alignment vertical="center"/>
    </xf>
    <xf numFmtId="0" fontId="0" fillId="21" borderId="26" xfId="0" applyFill="1" applyBorder="1" applyAlignment="1" applyProtection="1">
      <alignment vertical="center" wrapText="1"/>
    </xf>
    <xf numFmtId="0" fontId="0" fillId="21" borderId="29" xfId="0" applyFill="1" applyBorder="1" applyAlignment="1" applyProtection="1">
      <alignment vertical="center" wrapText="1"/>
    </xf>
    <xf numFmtId="0" fontId="0" fillId="21" borderId="27" xfId="0" applyFill="1" applyBorder="1" applyAlignment="1" applyProtection="1">
      <alignment vertical="center" wrapText="1"/>
    </xf>
    <xf numFmtId="0" fontId="0" fillId="3" borderId="11" xfId="0" applyFill="1" applyBorder="1" applyAlignment="1" applyProtection="1">
      <alignment horizontal="left" vertical="center" wrapText="1"/>
    </xf>
    <xf numFmtId="0" fontId="0" fillId="3" borderId="12" xfId="0" applyFill="1" applyBorder="1" applyAlignment="1" applyProtection="1">
      <alignment horizontal="left" vertical="center" wrapText="1"/>
    </xf>
    <xf numFmtId="0" fontId="0" fillId="3" borderId="13" xfId="0" applyFill="1" applyBorder="1" applyAlignment="1" applyProtection="1">
      <alignment horizontal="left" vertical="center" wrapText="1"/>
    </xf>
    <xf numFmtId="0" fontId="35" fillId="23" borderId="1" xfId="0" applyFont="1" applyFill="1" applyBorder="1" applyAlignment="1" applyProtection="1">
      <alignment horizontal="left" vertical="center"/>
    </xf>
    <xf numFmtId="0" fontId="35" fillId="23" borderId="5" xfId="0" applyFont="1" applyFill="1" applyBorder="1" applyAlignment="1" applyProtection="1">
      <alignment horizontal="left" vertical="center"/>
    </xf>
    <xf numFmtId="0" fontId="35" fillId="23" borderId="6" xfId="0" applyFont="1" applyFill="1" applyBorder="1" applyAlignment="1" applyProtection="1">
      <alignment horizontal="left" vertical="center"/>
    </xf>
    <xf numFmtId="0" fontId="35" fillId="23" borderId="2" xfId="0" applyFont="1" applyFill="1" applyBorder="1" applyAlignment="1" applyProtection="1">
      <alignment horizontal="left" vertical="center"/>
    </xf>
    <xf numFmtId="0" fontId="35" fillId="23" borderId="0" xfId="0" applyFont="1" applyFill="1" applyBorder="1" applyAlignment="1" applyProtection="1">
      <alignment horizontal="left" vertical="center"/>
    </xf>
    <xf numFmtId="0" fontId="35" fillId="23" borderId="30" xfId="0" applyFont="1" applyFill="1" applyBorder="1" applyAlignment="1" applyProtection="1">
      <alignment horizontal="left" vertical="center"/>
    </xf>
    <xf numFmtId="0" fontId="35" fillId="23" borderId="26" xfId="0" applyFont="1" applyFill="1" applyBorder="1" applyAlignment="1" applyProtection="1">
      <alignment horizontal="left" vertical="center"/>
    </xf>
    <xf numFmtId="0" fontId="35" fillId="23" borderId="29" xfId="0" applyFont="1" applyFill="1" applyBorder="1" applyAlignment="1" applyProtection="1">
      <alignment horizontal="left" vertical="center"/>
    </xf>
    <xf numFmtId="0" fontId="35" fillId="23" borderId="27" xfId="0"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3" xfId="0" applyBorder="1" applyAlignment="1" applyProtection="1">
      <alignment vertical="center"/>
      <protection locked="0"/>
    </xf>
    <xf numFmtId="0" fontId="0" fillId="3" borderId="4" xfId="0" applyFill="1" applyBorder="1" applyAlignment="1" applyProtection="1">
      <alignment vertical="center" wrapText="1"/>
    </xf>
    <xf numFmtId="0" fontId="0" fillId="21" borderId="26" xfId="0" applyFill="1" applyBorder="1" applyAlignment="1" applyProtection="1">
      <alignment vertical="center"/>
    </xf>
    <xf numFmtId="0" fontId="0" fillId="21" borderId="29" xfId="0" applyFill="1" applyBorder="1" applyAlignment="1" applyProtection="1">
      <alignment vertical="center"/>
    </xf>
    <xf numFmtId="0" fontId="0" fillId="21" borderId="27" xfId="0" applyFill="1" applyBorder="1" applyAlignment="1" applyProtection="1">
      <alignment vertical="center"/>
    </xf>
    <xf numFmtId="10" fontId="0" fillId="0" borderId="12" xfId="2" applyNumberFormat="1" applyFont="1" applyBorder="1" applyAlignment="1" applyProtection="1">
      <alignment horizontal="center" vertical="center"/>
      <protection locked="0"/>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0" fillId="21" borderId="9" xfId="0" applyFill="1" applyBorder="1" applyAlignment="1" applyProtection="1">
      <alignment vertical="center"/>
    </xf>
    <xf numFmtId="0" fontId="41" fillId="19" borderId="31" xfId="0" applyFont="1" applyFill="1" applyBorder="1" applyAlignment="1">
      <alignment horizontal="center" vertical="center" wrapText="1"/>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3" borderId="13" xfId="0" applyFont="1" applyFill="1" applyBorder="1" applyAlignment="1">
      <alignment horizontal="center"/>
    </xf>
    <xf numFmtId="10" fontId="4" fillId="4" borderId="11" xfId="2" applyNumberFormat="1" applyFont="1" applyFill="1" applyBorder="1" applyAlignment="1" applyProtection="1">
      <alignment horizontal="center"/>
      <protection hidden="1"/>
    </xf>
    <xf numFmtId="10" fontId="4" fillId="4" borderId="13" xfId="2" applyNumberFormat="1" applyFont="1" applyFill="1" applyBorder="1" applyAlignment="1" applyProtection="1">
      <alignment horizontal="center"/>
      <protection hidden="1"/>
    </xf>
    <xf numFmtId="164" fontId="4" fillId="4" borderId="11" xfId="1" applyFont="1" applyFill="1" applyBorder="1" applyAlignment="1" applyProtection="1">
      <alignment horizontal="center"/>
      <protection hidden="1"/>
    </xf>
    <xf numFmtId="164" fontId="4" fillId="4" borderId="13" xfId="1" applyFont="1" applyFill="1" applyBorder="1" applyAlignment="1" applyProtection="1">
      <alignment horizontal="center"/>
      <protection hidden="1"/>
    </xf>
    <xf numFmtId="164" fontId="4" fillId="4" borderId="12" xfId="1" applyFont="1" applyFill="1" applyBorder="1" applyAlignment="1" applyProtection="1">
      <alignment horizontal="center"/>
      <protection hidden="1"/>
    </xf>
    <xf numFmtId="9" fontId="0" fillId="0" borderId="11" xfId="2" applyFont="1" applyFill="1" applyBorder="1" applyAlignment="1" applyProtection="1">
      <alignment horizontal="center"/>
      <protection locked="0"/>
    </xf>
    <xf numFmtId="9" fontId="0" fillId="0" borderId="13" xfId="2" applyFont="1" applyFill="1" applyBorder="1" applyAlignment="1" applyProtection="1">
      <alignment horizontal="center"/>
      <protection locked="0"/>
    </xf>
    <xf numFmtId="0" fontId="1" fillId="3" borderId="11" xfId="0" applyFont="1" applyFill="1" applyBorder="1" applyAlignment="1">
      <alignment wrapText="1"/>
    </xf>
    <xf numFmtId="0" fontId="1" fillId="3" borderId="12" xfId="0" applyFont="1" applyFill="1" applyBorder="1" applyAlignment="1">
      <alignment wrapText="1"/>
    </xf>
    <xf numFmtId="0" fontId="1" fillId="3" borderId="13" xfId="0" applyFont="1" applyFill="1" applyBorder="1" applyAlignment="1">
      <alignment wrapText="1"/>
    </xf>
    <xf numFmtId="0" fontId="0" fillId="6" borderId="4" xfId="0" applyFill="1" applyBorder="1" applyAlignment="1">
      <alignment horizontal="center" vertical="center"/>
    </xf>
    <xf numFmtId="2" fontId="4" fillId="4" borderId="11" xfId="2" applyNumberFormat="1" applyFont="1" applyFill="1" applyBorder="1" applyAlignment="1" applyProtection="1">
      <alignment horizontal="center"/>
      <protection hidden="1"/>
    </xf>
    <xf numFmtId="2" fontId="4" fillId="4" borderId="13" xfId="2" applyNumberFormat="1" applyFont="1" applyFill="1" applyBorder="1" applyAlignment="1" applyProtection="1">
      <alignment horizontal="center"/>
      <protection hidden="1"/>
    </xf>
    <xf numFmtId="0" fontId="0" fillId="6" borderId="4" xfId="0" applyFill="1" applyBorder="1" applyAlignment="1">
      <alignment horizontal="center"/>
    </xf>
    <xf numFmtId="10" fontId="4" fillId="4" borderId="11" xfId="2" applyNumberFormat="1" applyFont="1" applyFill="1" applyBorder="1" applyAlignment="1" applyProtection="1">
      <alignment horizontal="center" vertical="center"/>
      <protection hidden="1"/>
    </xf>
    <xf numFmtId="10" fontId="4" fillId="4" borderId="13" xfId="2" applyNumberFormat="1" applyFont="1" applyFill="1" applyBorder="1" applyAlignment="1" applyProtection="1">
      <alignment horizontal="center" vertical="center"/>
      <protection hidden="1"/>
    </xf>
    <xf numFmtId="0" fontId="0" fillId="19" borderId="0" xfId="0" applyFill="1"/>
    <xf numFmtId="164" fontId="4" fillId="4" borderId="12" xfId="2" applyNumberFormat="1" applyFont="1" applyFill="1" applyBorder="1" applyAlignment="1" applyProtection="1">
      <alignment horizontal="center"/>
      <protection hidden="1"/>
    </xf>
    <xf numFmtId="10" fontId="4" fillId="4" borderId="12" xfId="2" applyNumberFormat="1" applyFont="1" applyFill="1" applyBorder="1" applyAlignment="1" applyProtection="1">
      <alignment horizontal="center"/>
      <protection hidden="1"/>
    </xf>
    <xf numFmtId="170" fontId="4" fillId="4" borderId="11" xfId="1" applyNumberFormat="1" applyFont="1" applyFill="1" applyBorder="1" applyAlignment="1" applyProtection="1">
      <alignment horizontal="center"/>
      <protection hidden="1"/>
    </xf>
    <xf numFmtId="170" fontId="4" fillId="4" borderId="13" xfId="1" applyNumberFormat="1" applyFont="1" applyFill="1" applyBorder="1" applyAlignment="1" applyProtection="1">
      <alignment horizontal="center"/>
      <protection hidden="1"/>
    </xf>
    <xf numFmtId="0" fontId="1" fillId="3" borderId="1" xfId="0" applyFont="1" applyFill="1" applyBorder="1" applyAlignment="1">
      <alignment horizontal="left"/>
    </xf>
    <xf numFmtId="0" fontId="1" fillId="3" borderId="5" xfId="0" applyFont="1" applyFill="1" applyBorder="1" applyAlignment="1">
      <alignment horizontal="left"/>
    </xf>
    <xf numFmtId="0" fontId="1" fillId="3" borderId="12" xfId="0" applyFont="1" applyFill="1" applyBorder="1" applyAlignment="1">
      <alignment horizontal="left"/>
    </xf>
    <xf numFmtId="0" fontId="1" fillId="3" borderId="13" xfId="0" applyFont="1" applyFill="1" applyBorder="1" applyAlignment="1">
      <alignment horizontal="left"/>
    </xf>
    <xf numFmtId="0" fontId="1" fillId="3" borderId="11" xfId="0" applyFont="1" applyFill="1" applyBorder="1" applyAlignment="1">
      <alignment horizontal="left"/>
    </xf>
    <xf numFmtId="0" fontId="0" fillId="3" borderId="2" xfId="0" applyFill="1" applyBorder="1" applyAlignment="1">
      <alignment horizontal="left" wrapText="1"/>
    </xf>
    <xf numFmtId="0" fontId="0" fillId="3" borderId="0" xfId="0" applyFill="1" applyBorder="1" applyAlignment="1">
      <alignment horizontal="left" wrapText="1"/>
    </xf>
    <xf numFmtId="0" fontId="0" fillId="3" borderId="30" xfId="0" applyFill="1" applyBorder="1" applyAlignment="1">
      <alignment horizontal="left" wrapText="1"/>
    </xf>
    <xf numFmtId="0" fontId="4" fillId="4" borderId="11" xfId="1" applyNumberFormat="1" applyFont="1" applyFill="1" applyBorder="1" applyAlignment="1" applyProtection="1">
      <alignment horizontal="center"/>
      <protection hidden="1"/>
    </xf>
    <xf numFmtId="0" fontId="4" fillId="4" borderId="13" xfId="1" applyNumberFormat="1" applyFont="1" applyFill="1" applyBorder="1" applyAlignment="1" applyProtection="1">
      <alignment horizontal="center"/>
      <protection hidden="1"/>
    </xf>
    <xf numFmtId="0" fontId="41" fillId="19" borderId="31" xfId="0" applyFont="1" applyFill="1" applyBorder="1" applyAlignment="1">
      <alignment horizontal="center" vertical="center"/>
    </xf>
    <xf numFmtId="0" fontId="33" fillId="19" borderId="32" xfId="0" applyFont="1" applyFill="1" applyBorder="1" applyAlignment="1">
      <alignment horizontal="center" vertical="center"/>
    </xf>
    <xf numFmtId="0" fontId="33" fillId="19" borderId="33" xfId="0" applyFont="1" applyFill="1" applyBorder="1" applyAlignment="1">
      <alignment horizontal="center" vertical="center"/>
    </xf>
    <xf numFmtId="0" fontId="33" fillId="19" borderId="34" xfId="0" applyFont="1" applyFill="1" applyBorder="1" applyAlignment="1">
      <alignment horizontal="center" vertical="center"/>
    </xf>
    <xf numFmtId="0" fontId="33" fillId="19" borderId="0" xfId="0" applyFont="1" applyFill="1" applyBorder="1" applyAlignment="1">
      <alignment horizontal="center" vertical="center"/>
    </xf>
    <xf numFmtId="0" fontId="33" fillId="19" borderId="35" xfId="0" applyFont="1" applyFill="1" applyBorder="1" applyAlignment="1">
      <alignment horizontal="center" vertical="center"/>
    </xf>
    <xf numFmtId="0" fontId="33" fillId="19" borderId="36" xfId="0" applyFont="1" applyFill="1" applyBorder="1" applyAlignment="1">
      <alignment horizontal="center" vertical="center"/>
    </xf>
    <xf numFmtId="0" fontId="33" fillId="19" borderId="37" xfId="0" applyFont="1" applyFill="1" applyBorder="1" applyAlignment="1">
      <alignment horizontal="center" vertical="center"/>
    </xf>
    <xf numFmtId="0" fontId="33" fillId="19" borderId="38" xfId="0" applyFont="1" applyFill="1" applyBorder="1" applyAlignment="1">
      <alignment horizontal="center" vertical="center"/>
    </xf>
    <xf numFmtId="0" fontId="4" fillId="4" borderId="11" xfId="0" applyFont="1" applyFill="1" applyBorder="1" applyAlignment="1">
      <alignment horizontal="center"/>
    </xf>
    <xf numFmtId="0" fontId="4" fillId="4" borderId="13" xfId="0" applyFont="1" applyFill="1" applyBorder="1" applyAlignment="1">
      <alignment horizontal="center"/>
    </xf>
    <xf numFmtId="164" fontId="4" fillId="4" borderId="11" xfId="0" applyNumberFormat="1" applyFont="1" applyFill="1" applyBorder="1" applyAlignment="1">
      <alignment horizontal="center"/>
    </xf>
    <xf numFmtId="0" fontId="0" fillId="29" borderId="5" xfId="0" applyFill="1" applyBorder="1" applyAlignment="1">
      <alignment vertical="top" wrapText="1"/>
    </xf>
    <xf numFmtId="0" fontId="0" fillId="29" borderId="6" xfId="0" applyFill="1" applyBorder="1" applyAlignment="1">
      <alignment vertical="top" wrapText="1"/>
    </xf>
    <xf numFmtId="0" fontId="0" fillId="29" borderId="0" xfId="0" applyFill="1" applyBorder="1" applyAlignment="1">
      <alignment vertical="top" wrapText="1"/>
    </xf>
    <xf numFmtId="0" fontId="0" fillId="29" borderId="30" xfId="0" applyFill="1" applyBorder="1" applyAlignment="1">
      <alignment vertical="top" wrapText="1"/>
    </xf>
    <xf numFmtId="0" fontId="0" fillId="29" borderId="29" xfId="0" applyFill="1" applyBorder="1" applyAlignment="1">
      <alignment vertical="top" wrapText="1"/>
    </xf>
    <xf numFmtId="0" fontId="0" fillId="29" borderId="27" xfId="0" applyFill="1" applyBorder="1" applyAlignment="1">
      <alignment vertical="top" wrapText="1"/>
    </xf>
    <xf numFmtId="0" fontId="30" fillId="3" borderId="1" xfId="0" applyFont="1" applyFill="1" applyBorder="1" applyAlignment="1">
      <alignment horizontal="center" vertical="center"/>
    </xf>
    <xf numFmtId="0" fontId="30" fillId="3" borderId="5" xfId="0" applyFont="1" applyFill="1" applyBorder="1" applyAlignment="1">
      <alignment horizontal="center" vertical="center"/>
    </xf>
    <xf numFmtId="0" fontId="30" fillId="3" borderId="6" xfId="0" applyFont="1" applyFill="1" applyBorder="1" applyAlignment="1">
      <alignment horizontal="center" vertical="center"/>
    </xf>
    <xf numFmtId="0" fontId="30" fillId="3" borderId="2" xfId="0" applyFont="1" applyFill="1" applyBorder="1" applyAlignment="1">
      <alignment horizontal="center" vertical="center"/>
    </xf>
    <xf numFmtId="0" fontId="30" fillId="3" borderId="0" xfId="0" applyFont="1" applyFill="1" applyBorder="1" applyAlignment="1">
      <alignment horizontal="center" vertical="center"/>
    </xf>
    <xf numFmtId="0" fontId="30" fillId="3" borderId="30" xfId="0" applyFont="1" applyFill="1" applyBorder="1" applyAlignment="1">
      <alignment horizontal="center" vertical="center"/>
    </xf>
    <xf numFmtId="0" fontId="30" fillId="3" borderId="26" xfId="0" applyFont="1" applyFill="1" applyBorder="1" applyAlignment="1">
      <alignment horizontal="center" vertical="center"/>
    </xf>
    <xf numFmtId="0" fontId="30" fillId="3" borderId="29" xfId="0" applyFont="1" applyFill="1" applyBorder="1" applyAlignment="1">
      <alignment horizontal="center" vertical="center"/>
    </xf>
    <xf numFmtId="0" fontId="30" fillId="3" borderId="27" xfId="0" applyFont="1" applyFill="1" applyBorder="1" applyAlignment="1">
      <alignment horizontal="center" vertical="center"/>
    </xf>
    <xf numFmtId="0" fontId="0" fillId="0" borderId="25" xfId="0" applyFill="1" applyBorder="1" applyProtection="1">
      <protection locked="0"/>
    </xf>
    <xf numFmtId="0" fontId="0" fillId="0" borderId="11" xfId="0" applyFill="1" applyBorder="1" applyProtection="1">
      <protection locked="0"/>
    </xf>
    <xf numFmtId="0" fontId="0" fillId="0" borderId="12" xfId="0" applyFill="1" applyBorder="1" applyProtection="1">
      <protection locked="0"/>
    </xf>
    <xf numFmtId="0" fontId="0" fillId="0" borderId="13" xfId="0" applyFill="1" applyBorder="1" applyProtection="1">
      <protection locked="0"/>
    </xf>
    <xf numFmtId="0" fontId="0" fillId="3" borderId="11" xfId="0" applyFill="1" applyBorder="1" applyAlignment="1">
      <alignment horizontal="left" vertical="center"/>
    </xf>
    <xf numFmtId="0" fontId="0" fillId="3" borderId="12" xfId="0" applyFill="1" applyBorder="1" applyAlignment="1">
      <alignment horizontal="left" vertical="center"/>
    </xf>
    <xf numFmtId="0" fontId="0" fillId="3" borderId="13" xfId="0" applyFill="1" applyBorder="1" applyAlignment="1">
      <alignment horizontal="left" vertical="center"/>
    </xf>
    <xf numFmtId="0" fontId="0" fillId="0" borderId="11" xfId="0" applyFill="1" applyBorder="1" applyAlignment="1" applyProtection="1">
      <alignment horizontal="center" vertical="top" wrapText="1"/>
      <protection locked="0"/>
    </xf>
    <xf numFmtId="0" fontId="0" fillId="0" borderId="12" xfId="0" applyFill="1" applyBorder="1" applyAlignment="1" applyProtection="1">
      <alignment horizontal="center" vertical="top" wrapText="1"/>
      <protection locked="0"/>
    </xf>
    <xf numFmtId="0" fontId="0" fillId="0" borderId="13" xfId="0" applyFill="1" applyBorder="1" applyAlignment="1" applyProtection="1">
      <alignment horizontal="center" vertical="top" wrapText="1"/>
      <protection locked="0"/>
    </xf>
    <xf numFmtId="0" fontId="0" fillId="29" borderId="5" xfId="0" applyFill="1" applyBorder="1" applyAlignment="1">
      <alignment horizontal="left" vertical="top" wrapText="1"/>
    </xf>
    <xf numFmtId="0" fontId="0" fillId="29" borderId="6" xfId="0" applyFill="1" applyBorder="1" applyAlignment="1">
      <alignment horizontal="left" vertical="top" wrapText="1"/>
    </xf>
    <xf numFmtId="0" fontId="0" fillId="29" borderId="0" xfId="0" applyFill="1" applyBorder="1" applyAlignment="1">
      <alignment horizontal="left" vertical="top" wrapText="1"/>
    </xf>
    <xf numFmtId="0" fontId="0" fillId="29" borderId="30" xfId="0" applyFill="1" applyBorder="1" applyAlignment="1">
      <alignment horizontal="left" vertical="top" wrapText="1"/>
    </xf>
    <xf numFmtId="0" fontId="0" fillId="29" borderId="29" xfId="0" applyFill="1" applyBorder="1" applyAlignment="1">
      <alignment horizontal="left" vertical="top" wrapText="1"/>
    </xf>
    <xf numFmtId="0" fontId="0" fillId="29" borderId="27" xfId="0" applyFill="1" applyBorder="1" applyAlignment="1">
      <alignment horizontal="left" vertical="top" wrapText="1"/>
    </xf>
    <xf numFmtId="0" fontId="0" fillId="0" borderId="11" xfId="0" applyFill="1" applyBorder="1" applyAlignment="1" applyProtection="1">
      <alignment horizontal="center"/>
      <protection locked="0"/>
    </xf>
    <xf numFmtId="0" fontId="0" fillId="0" borderId="13" xfId="0" applyFill="1" applyBorder="1" applyAlignment="1" applyProtection="1">
      <alignment horizontal="center"/>
      <protection locked="0"/>
    </xf>
    <xf numFmtId="0" fontId="0" fillId="3" borderId="5" xfId="0" applyFill="1" applyBorder="1" applyAlignment="1">
      <alignment horizontal="center" vertical="center" wrapText="1"/>
    </xf>
    <xf numFmtId="0" fontId="0" fillId="3" borderId="6" xfId="0" applyFill="1" applyBorder="1" applyAlignment="1">
      <alignment horizontal="center" vertical="center" wrapText="1"/>
    </xf>
    <xf numFmtId="0" fontId="0" fillId="3" borderId="0" xfId="0" applyFill="1" applyBorder="1" applyAlignment="1">
      <alignment horizontal="center" vertical="center" wrapText="1"/>
    </xf>
    <xf numFmtId="0" fontId="0" fillId="3" borderId="30" xfId="0" applyFill="1" applyBorder="1" applyAlignment="1">
      <alignment horizontal="center" vertical="center" wrapText="1"/>
    </xf>
    <xf numFmtId="0" fontId="0" fillId="3" borderId="29" xfId="0" applyFill="1" applyBorder="1" applyAlignment="1">
      <alignment horizontal="center" vertical="center" wrapText="1"/>
    </xf>
    <xf numFmtId="0" fontId="0" fillId="3" borderId="27" xfId="0" applyFill="1" applyBorder="1" applyAlignment="1">
      <alignment horizontal="center" vertical="center" wrapText="1"/>
    </xf>
    <xf numFmtId="0" fontId="0" fillId="29" borderId="1" xfId="0" applyFill="1" applyBorder="1" applyAlignment="1">
      <alignment horizontal="left" vertical="top" wrapText="1"/>
    </xf>
    <xf numFmtId="0" fontId="0" fillId="29" borderId="2" xfId="0" applyFill="1" applyBorder="1" applyAlignment="1">
      <alignment horizontal="left" vertical="top" wrapText="1"/>
    </xf>
    <xf numFmtId="0" fontId="0" fillId="29" borderId="26" xfId="0" applyFill="1" applyBorder="1" applyAlignment="1">
      <alignment horizontal="left" vertical="top" wrapText="1"/>
    </xf>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50" fillId="3" borderId="1" xfId="4" applyFont="1" applyFill="1" applyBorder="1" applyAlignment="1">
      <alignment horizontal="left" wrapText="1"/>
    </xf>
    <xf numFmtId="0" fontId="50" fillId="3" borderId="5" xfId="4" applyFont="1" applyFill="1" applyBorder="1" applyAlignment="1">
      <alignment horizontal="left" wrapText="1"/>
    </xf>
    <xf numFmtId="0" fontId="50" fillId="3" borderId="6" xfId="4" applyFont="1" applyFill="1" applyBorder="1" applyAlignment="1">
      <alignment horizontal="left" wrapText="1"/>
    </xf>
    <xf numFmtId="0" fontId="50" fillId="3" borderId="2" xfId="4" applyFont="1" applyFill="1" applyBorder="1" applyAlignment="1">
      <alignment horizontal="left" wrapText="1"/>
    </xf>
    <xf numFmtId="0" fontId="50" fillId="3" borderId="0" xfId="4" applyFont="1" applyFill="1" applyBorder="1" applyAlignment="1">
      <alignment horizontal="left" wrapText="1"/>
    </xf>
    <xf numFmtId="0" fontId="50" fillId="3" borderId="30" xfId="4" applyFont="1" applyFill="1" applyBorder="1" applyAlignment="1">
      <alignment horizontal="left" wrapText="1"/>
    </xf>
    <xf numFmtId="0" fontId="50" fillId="3" borderId="26" xfId="4" applyFont="1" applyFill="1" applyBorder="1" applyAlignment="1">
      <alignment horizontal="left" wrapText="1"/>
    </xf>
    <xf numFmtId="0" fontId="50" fillId="3" borderId="29" xfId="4" applyFont="1" applyFill="1" applyBorder="1" applyAlignment="1">
      <alignment horizontal="left" wrapText="1"/>
    </xf>
    <xf numFmtId="0" fontId="50" fillId="3" borderId="27" xfId="4" applyFont="1" applyFill="1" applyBorder="1" applyAlignment="1">
      <alignment horizontal="left" wrapText="1"/>
    </xf>
    <xf numFmtId="2" fontId="0" fillId="29" borderId="11" xfId="0" applyNumberFormat="1" applyFill="1" applyBorder="1" applyAlignment="1">
      <alignment horizontal="center"/>
    </xf>
    <xf numFmtId="2" fontId="0" fillId="29" borderId="12" xfId="0" applyNumberFormat="1" applyFill="1" applyBorder="1" applyAlignment="1">
      <alignment horizontal="center"/>
    </xf>
    <xf numFmtId="2" fontId="0" fillId="29" borderId="13" xfId="0" applyNumberFormat="1" applyFill="1" applyBorder="1" applyAlignment="1">
      <alignment horizontal="center"/>
    </xf>
    <xf numFmtId="0" fontId="0" fillId="3" borderId="12" xfId="0" applyFill="1" applyBorder="1" applyAlignment="1">
      <alignment horizontal="left" vertical="top" wrapText="1"/>
    </xf>
    <xf numFmtId="0" fontId="0" fillId="3" borderId="13" xfId="0" applyFill="1" applyBorder="1" applyAlignment="1">
      <alignment horizontal="left" vertical="top" wrapText="1"/>
    </xf>
    <xf numFmtId="0" fontId="0" fillId="3" borderId="1"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29" borderId="25" xfId="0" applyFill="1" applyBorder="1" applyAlignment="1">
      <alignment horizontal="center"/>
    </xf>
    <xf numFmtId="0" fontId="39" fillId="19" borderId="5" xfId="0" applyFont="1" applyFill="1" applyBorder="1" applyAlignment="1">
      <alignment horizontal="left" vertical="top" wrapText="1"/>
    </xf>
    <xf numFmtId="0" fontId="39" fillId="19" borderId="0" xfId="0" applyFont="1" applyFill="1" applyAlignment="1">
      <alignment horizontal="left" vertical="top" wrapText="1"/>
    </xf>
    <xf numFmtId="0" fontId="0" fillId="29" borderId="5" xfId="0" applyFill="1" applyBorder="1" applyAlignment="1">
      <alignment horizontal="left" wrapText="1"/>
    </xf>
    <xf numFmtId="0" fontId="0" fillId="29" borderId="6" xfId="0" applyFill="1" applyBorder="1" applyAlignment="1">
      <alignment horizontal="left" wrapText="1"/>
    </xf>
    <xf numFmtId="0" fontId="0" fillId="29" borderId="0" xfId="0" applyFill="1" applyBorder="1" applyAlignment="1">
      <alignment horizontal="left" wrapText="1"/>
    </xf>
    <xf numFmtId="0" fontId="0" fillId="29" borderId="30" xfId="0" applyFill="1" applyBorder="1" applyAlignment="1">
      <alignment horizontal="left" wrapText="1"/>
    </xf>
    <xf numFmtId="0" fontId="0" fillId="29" borderId="29" xfId="0" applyFill="1" applyBorder="1" applyAlignment="1">
      <alignment horizontal="left" wrapText="1"/>
    </xf>
    <xf numFmtId="0" fontId="0" fillId="29" borderId="27" xfId="0" applyFill="1" applyBorder="1" applyAlignment="1">
      <alignment horizontal="left"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wrapText="1"/>
    </xf>
    <xf numFmtId="0" fontId="4" fillId="4" borderId="12" xfId="0" applyFont="1" applyFill="1" applyBorder="1" applyAlignment="1">
      <alignment horizontal="center"/>
    </xf>
    <xf numFmtId="171" fontId="0" fillId="29" borderId="2" xfId="0" applyNumberFormat="1" applyFill="1" applyBorder="1" applyAlignment="1">
      <alignment horizontal="center"/>
    </xf>
    <xf numFmtId="171" fontId="0" fillId="29" borderId="0" xfId="0" applyNumberFormat="1" applyFill="1" applyBorder="1" applyAlignment="1">
      <alignment horizontal="center"/>
    </xf>
    <xf numFmtId="171" fontId="0" fillId="29" borderId="30" xfId="0" applyNumberFormat="1" applyFill="1" applyBorder="1" applyAlignment="1">
      <alignment horizontal="center"/>
    </xf>
    <xf numFmtId="171" fontId="0" fillId="29" borderId="26" xfId="0" applyNumberFormat="1" applyFill="1" applyBorder="1" applyAlignment="1">
      <alignment horizontal="center"/>
    </xf>
    <xf numFmtId="171" fontId="0" fillId="29" borderId="29" xfId="0" applyNumberFormat="1" applyFill="1" applyBorder="1" applyAlignment="1">
      <alignment horizontal="center"/>
    </xf>
    <xf numFmtId="171" fontId="0" fillId="29" borderId="27" xfId="0" applyNumberFormat="1" applyFill="1" applyBorder="1" applyAlignment="1">
      <alignment horizontal="center"/>
    </xf>
    <xf numFmtId="0" fontId="0" fillId="29" borderId="0" xfId="0" applyFill="1" applyBorder="1" applyAlignment="1">
      <alignment horizontal="center"/>
    </xf>
    <xf numFmtId="0" fontId="0" fillId="29" borderId="30" xfId="0" applyFill="1" applyBorder="1" applyAlignment="1">
      <alignment horizontal="center"/>
    </xf>
    <xf numFmtId="0" fontId="0" fillId="29" borderId="29" xfId="0" applyFill="1" applyBorder="1" applyAlignment="1">
      <alignment horizontal="center"/>
    </xf>
    <xf numFmtId="0" fontId="0" fillId="29" borderId="27" xfId="0" applyFill="1" applyBorder="1" applyAlignment="1">
      <alignment horizontal="center"/>
    </xf>
    <xf numFmtId="0" fontId="0" fillId="3" borderId="25" xfId="0" applyFill="1" applyBorder="1" applyAlignment="1">
      <alignment horizontal="center"/>
    </xf>
    <xf numFmtId="171" fontId="0" fillId="29" borderId="1" xfId="0" applyNumberFormat="1" applyFill="1" applyBorder="1" applyAlignment="1">
      <alignment horizontal="center"/>
    </xf>
    <xf numFmtId="171" fontId="0" fillId="29" borderId="5" xfId="0" applyNumberFormat="1" applyFill="1" applyBorder="1" applyAlignment="1">
      <alignment horizontal="center"/>
    </xf>
    <xf numFmtId="171" fontId="0" fillId="29" borderId="6" xfId="0" applyNumberFormat="1" applyFill="1" applyBorder="1" applyAlignment="1">
      <alignment horizontal="center"/>
    </xf>
    <xf numFmtId="0" fontId="0" fillId="29" borderId="5" xfId="0" applyFill="1" applyBorder="1" applyAlignment="1">
      <alignment horizontal="center"/>
    </xf>
    <xf numFmtId="0" fontId="0" fillId="29" borderId="6" xfId="0" applyFill="1" applyBorder="1" applyAlignment="1">
      <alignment horizontal="center"/>
    </xf>
    <xf numFmtId="0" fontId="0" fillId="29" borderId="1" xfId="0" applyFill="1" applyBorder="1" applyAlignment="1">
      <alignment horizontal="left" wrapText="1"/>
    </xf>
    <xf numFmtId="0" fontId="0" fillId="29" borderId="2" xfId="0" applyFill="1" applyBorder="1" applyAlignment="1">
      <alignment horizontal="left" wrapText="1"/>
    </xf>
    <xf numFmtId="0" fontId="0" fillId="29" borderId="26" xfId="0" applyFill="1" applyBorder="1" applyAlignment="1">
      <alignment horizontal="left" wrapText="1"/>
    </xf>
    <xf numFmtId="10" fontId="4" fillId="4" borderId="11" xfId="2" applyNumberFormat="1" applyFont="1" applyFill="1" applyBorder="1" applyAlignment="1">
      <alignment horizontal="center"/>
    </xf>
    <xf numFmtId="10" fontId="4" fillId="4" borderId="13" xfId="2" applyNumberFormat="1" applyFont="1" applyFill="1" applyBorder="1" applyAlignment="1">
      <alignment horizontal="center"/>
    </xf>
    <xf numFmtId="164" fontId="4" fillId="4" borderId="11" xfId="1" applyFont="1" applyFill="1" applyBorder="1" applyAlignment="1">
      <alignment horizontal="center"/>
    </xf>
    <xf numFmtId="164" fontId="4" fillId="4" borderId="13" xfId="1" applyFont="1" applyFill="1" applyBorder="1" applyAlignment="1">
      <alignment horizontal="center"/>
    </xf>
    <xf numFmtId="0" fontId="4" fillId="4" borderId="11" xfId="0" applyFont="1" applyFill="1" applyBorder="1" applyAlignment="1">
      <alignment horizontal="center" vertical="center"/>
    </xf>
    <xf numFmtId="0" fontId="4" fillId="4" borderId="13" xfId="0" applyFont="1" applyFill="1" applyBorder="1" applyAlignment="1">
      <alignment horizontal="center" vertical="center"/>
    </xf>
    <xf numFmtId="0" fontId="0" fillId="0" borderId="1" xfId="0" applyFill="1" applyBorder="1" applyAlignment="1" applyProtection="1">
      <alignment horizontal="center"/>
      <protection locked="0"/>
    </xf>
    <xf numFmtId="0" fontId="0" fillId="0" borderId="5"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0" fillId="0" borderId="12" xfId="0" applyFill="1" applyBorder="1" applyAlignment="1" applyProtection="1">
      <alignment horizontal="center"/>
      <protection locked="0"/>
    </xf>
    <xf numFmtId="0" fontId="0" fillId="19" borderId="1" xfId="0" applyFill="1" applyBorder="1" applyAlignment="1">
      <alignment horizontal="center"/>
    </xf>
    <xf numFmtId="0" fontId="0" fillId="19" borderId="5" xfId="0" applyFill="1" applyBorder="1" applyAlignment="1">
      <alignment horizontal="center"/>
    </xf>
    <xf numFmtId="0" fontId="0" fillId="19" borderId="6" xfId="0" applyFill="1" applyBorder="1" applyAlignment="1">
      <alignment horizontal="center"/>
    </xf>
    <xf numFmtId="0" fontId="0" fillId="19" borderId="2" xfId="0" applyFill="1" applyBorder="1" applyAlignment="1">
      <alignment horizontal="center"/>
    </xf>
    <xf numFmtId="0" fontId="0" fillId="19" borderId="0" xfId="0" applyFill="1" applyBorder="1" applyAlignment="1">
      <alignment horizontal="center"/>
    </xf>
    <xf numFmtId="0" fontId="0" fillId="19" borderId="30" xfId="0" applyFill="1" applyBorder="1" applyAlignment="1">
      <alignment horizontal="center"/>
    </xf>
    <xf numFmtId="0" fontId="0" fillId="0" borderId="26" xfId="0" applyFill="1" applyBorder="1" applyAlignment="1" applyProtection="1">
      <alignment horizontal="center"/>
      <protection locked="0"/>
    </xf>
    <xf numFmtId="0" fontId="0" fillId="0" borderId="29" xfId="0" applyFill="1" applyBorder="1" applyAlignment="1" applyProtection="1">
      <alignment horizontal="center"/>
      <protection locked="0"/>
    </xf>
    <xf numFmtId="168" fontId="0" fillId="0" borderId="1" xfId="0" applyNumberFormat="1" applyFill="1" applyBorder="1" applyAlignment="1" applyProtection="1">
      <alignment horizontal="center"/>
      <protection locked="0"/>
    </xf>
    <xf numFmtId="168" fontId="0" fillId="0" borderId="5" xfId="0" applyNumberFormat="1" applyFill="1" applyBorder="1" applyAlignment="1" applyProtection="1">
      <alignment horizontal="center"/>
      <protection locked="0"/>
    </xf>
    <xf numFmtId="168" fontId="0" fillId="0" borderId="6" xfId="0" applyNumberFormat="1" applyFill="1" applyBorder="1" applyAlignment="1" applyProtection="1">
      <alignment horizontal="center"/>
      <protection locked="0"/>
    </xf>
    <xf numFmtId="168" fontId="0" fillId="0" borderId="2" xfId="0" applyNumberFormat="1" applyFill="1" applyBorder="1" applyAlignment="1" applyProtection="1">
      <alignment horizontal="center"/>
      <protection locked="0"/>
    </xf>
    <xf numFmtId="168" fontId="0" fillId="0" borderId="0" xfId="0" applyNumberFormat="1" applyFill="1" applyBorder="1" applyAlignment="1" applyProtection="1">
      <alignment horizontal="center"/>
      <protection locked="0"/>
    </xf>
    <xf numFmtId="168" fontId="0" fillId="0" borderId="30" xfId="0" applyNumberFormat="1" applyFill="1" applyBorder="1" applyAlignment="1" applyProtection="1">
      <alignment horizontal="center"/>
      <protection locked="0"/>
    </xf>
    <xf numFmtId="168" fontId="0" fillId="0" borderId="26" xfId="0" applyNumberFormat="1" applyFill="1" applyBorder="1" applyAlignment="1" applyProtection="1">
      <alignment horizontal="center"/>
      <protection locked="0"/>
    </xf>
    <xf numFmtId="168" fontId="0" fillId="0" borderId="29" xfId="0" applyNumberFormat="1" applyFill="1" applyBorder="1" applyAlignment="1" applyProtection="1">
      <alignment horizontal="center"/>
      <protection locked="0"/>
    </xf>
    <xf numFmtId="168" fontId="0" fillId="0" borderId="27" xfId="0" applyNumberFormat="1" applyFill="1" applyBorder="1" applyAlignment="1" applyProtection="1">
      <alignment horizontal="center"/>
      <protection locked="0"/>
    </xf>
    <xf numFmtId="0" fontId="0" fillId="19" borderId="26" xfId="0" applyFill="1" applyBorder="1" applyAlignment="1">
      <alignment horizontal="center"/>
    </xf>
    <xf numFmtId="0" fontId="0" fillId="19" borderId="29" xfId="0" applyFill="1" applyBorder="1" applyAlignment="1">
      <alignment horizontal="center"/>
    </xf>
    <xf numFmtId="0" fontId="0" fillId="19" borderId="27" xfId="0" applyFill="1" applyBorder="1" applyAlignment="1">
      <alignment horizontal="center"/>
    </xf>
    <xf numFmtId="0" fontId="1" fillId="3" borderId="1" xfId="0" applyFont="1" applyFill="1" applyBorder="1" applyAlignment="1">
      <alignment horizontal="center"/>
    </xf>
    <xf numFmtId="0" fontId="1" fillId="3" borderId="5" xfId="0" applyFont="1" applyFill="1" applyBorder="1" applyAlignment="1">
      <alignment horizontal="center"/>
    </xf>
    <xf numFmtId="0" fontId="1" fillId="3" borderId="6" xfId="0" applyFont="1" applyFill="1" applyBorder="1" applyAlignment="1">
      <alignment horizontal="center"/>
    </xf>
    <xf numFmtId="0" fontId="44" fillId="3" borderId="26" xfId="0" applyFont="1" applyFill="1" applyBorder="1" applyAlignment="1">
      <alignment horizontal="center"/>
    </xf>
    <xf numFmtId="0" fontId="44" fillId="3" borderId="29" xfId="0" applyFont="1" applyFill="1" applyBorder="1" applyAlignment="1">
      <alignment horizontal="center"/>
    </xf>
    <xf numFmtId="0" fontId="44" fillId="3" borderId="27" xfId="0" applyFont="1" applyFill="1" applyBorder="1" applyAlignment="1">
      <alignment horizontal="center"/>
    </xf>
    <xf numFmtId="9" fontId="0" fillId="19" borderId="2" xfId="2" applyFont="1" applyFill="1" applyBorder="1" applyAlignment="1">
      <alignment horizontal="center"/>
    </xf>
    <xf numFmtId="9" fontId="0" fillId="19" borderId="0" xfId="2" applyFont="1" applyFill="1" applyBorder="1" applyAlignment="1">
      <alignment horizontal="center"/>
    </xf>
    <xf numFmtId="9" fontId="0" fillId="19" borderId="30" xfId="2" applyFont="1" applyFill="1" applyBorder="1" applyAlignment="1">
      <alignment horizontal="center"/>
    </xf>
    <xf numFmtId="9" fontId="0" fillId="19" borderId="26" xfId="2" applyFont="1" applyFill="1" applyBorder="1" applyAlignment="1">
      <alignment horizontal="center"/>
    </xf>
    <xf numFmtId="9" fontId="0" fillId="19" borderId="29" xfId="2" applyFont="1" applyFill="1" applyBorder="1" applyAlignment="1">
      <alignment horizontal="center"/>
    </xf>
    <xf numFmtId="9" fontId="0" fillId="19" borderId="27" xfId="2" applyFont="1" applyFill="1" applyBorder="1" applyAlignment="1">
      <alignment horizontal="center"/>
    </xf>
    <xf numFmtId="9" fontId="0" fillId="19" borderId="1" xfId="2" applyFont="1" applyFill="1" applyBorder="1" applyAlignment="1">
      <alignment horizontal="center"/>
    </xf>
    <xf numFmtId="9" fontId="0" fillId="19" borderId="5" xfId="2" applyFont="1" applyFill="1" applyBorder="1" applyAlignment="1">
      <alignment horizontal="center"/>
    </xf>
    <xf numFmtId="9" fontId="0" fillId="19" borderId="6" xfId="2" applyFont="1" applyFill="1" applyBorder="1" applyAlignment="1">
      <alignment horizontal="center"/>
    </xf>
    <xf numFmtId="170" fontId="0" fillId="0" borderId="2" xfId="0" applyNumberFormat="1" applyFill="1" applyBorder="1" applyAlignment="1" applyProtection="1">
      <alignment horizontal="center"/>
      <protection locked="0"/>
    </xf>
    <xf numFmtId="170" fontId="0" fillId="0" borderId="0" xfId="0" applyNumberFormat="1" applyFill="1" applyBorder="1" applyAlignment="1" applyProtection="1">
      <alignment horizontal="center"/>
      <protection locked="0"/>
    </xf>
    <xf numFmtId="170" fontId="0" fillId="0" borderId="30" xfId="0" applyNumberFormat="1" applyFill="1" applyBorder="1" applyAlignment="1" applyProtection="1">
      <alignment horizontal="center"/>
      <protection locked="0"/>
    </xf>
    <xf numFmtId="170" fontId="0" fillId="0" borderId="26" xfId="0" applyNumberFormat="1" applyFill="1" applyBorder="1" applyAlignment="1" applyProtection="1">
      <alignment horizontal="center"/>
      <protection locked="0"/>
    </xf>
    <xf numFmtId="170" fontId="0" fillId="0" borderId="29" xfId="0" applyNumberFormat="1" applyFill="1" applyBorder="1" applyAlignment="1" applyProtection="1">
      <alignment horizontal="center"/>
      <protection locked="0"/>
    </xf>
    <xf numFmtId="170" fontId="0" fillId="0" borderId="27" xfId="0" applyNumberFormat="1" applyFill="1" applyBorder="1" applyAlignment="1" applyProtection="1">
      <alignment horizontal="center"/>
      <protection locked="0"/>
    </xf>
    <xf numFmtId="0" fontId="0" fillId="0" borderId="1" xfId="0" applyFill="1" applyBorder="1" applyAlignment="1" applyProtection="1">
      <alignment horizontal="left"/>
      <protection locked="0"/>
    </xf>
    <xf numFmtId="0" fontId="0" fillId="0" borderId="5" xfId="0" applyFill="1" applyBorder="1" applyAlignment="1" applyProtection="1">
      <alignment horizontal="left"/>
      <protection locked="0"/>
    </xf>
    <xf numFmtId="0" fontId="0" fillId="0" borderId="6" xfId="0" applyFill="1" applyBorder="1" applyAlignment="1" applyProtection="1">
      <alignment horizontal="left"/>
      <protection locked="0"/>
    </xf>
    <xf numFmtId="0" fontId="0" fillId="0" borderId="2" xfId="0"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30" xfId="0" applyFill="1" applyBorder="1" applyAlignment="1" applyProtection="1">
      <alignment horizontal="left"/>
      <protection locked="0"/>
    </xf>
    <xf numFmtId="0" fontId="0" fillId="0" borderId="26" xfId="0" applyFill="1" applyBorder="1" applyAlignment="1" applyProtection="1">
      <alignment horizontal="left"/>
      <protection locked="0"/>
    </xf>
    <xf numFmtId="0" fontId="0" fillId="0" borderId="29" xfId="0" applyFill="1" applyBorder="1" applyAlignment="1" applyProtection="1">
      <alignment horizontal="left"/>
      <protection locked="0"/>
    </xf>
    <xf numFmtId="0" fontId="0" fillId="0" borderId="27" xfId="0" applyFill="1" applyBorder="1" applyAlignment="1" applyProtection="1">
      <alignment horizontal="left"/>
      <protection locked="0"/>
    </xf>
    <xf numFmtId="170" fontId="0" fillId="0" borderId="1" xfId="0" applyNumberFormat="1" applyFill="1" applyBorder="1" applyAlignment="1" applyProtection="1">
      <alignment horizontal="center"/>
      <protection locked="0"/>
    </xf>
    <xf numFmtId="170" fontId="0" fillId="0" borderId="5" xfId="0" applyNumberFormat="1" applyFill="1" applyBorder="1" applyAlignment="1" applyProtection="1">
      <alignment horizontal="center"/>
      <protection locked="0"/>
    </xf>
    <xf numFmtId="170" fontId="0" fillId="0" borderId="6" xfId="0" applyNumberFormat="1" applyFill="1" applyBorder="1" applyAlignment="1" applyProtection="1">
      <alignment horizontal="center"/>
      <protection locked="0"/>
    </xf>
    <xf numFmtId="170" fontId="0" fillId="19" borderId="1" xfId="0" applyNumberFormat="1" applyFill="1" applyBorder="1" applyAlignment="1">
      <alignment horizontal="center"/>
    </xf>
    <xf numFmtId="170" fontId="0" fillId="19" borderId="5" xfId="0" applyNumberFormat="1" applyFill="1" applyBorder="1" applyAlignment="1">
      <alignment horizontal="center"/>
    </xf>
    <xf numFmtId="170" fontId="0" fillId="19" borderId="6" xfId="0" applyNumberFormat="1" applyFill="1" applyBorder="1" applyAlignment="1">
      <alignment horizontal="center"/>
    </xf>
    <xf numFmtId="170" fontId="0" fillId="19" borderId="2" xfId="0" applyNumberFormat="1" applyFill="1" applyBorder="1" applyAlignment="1">
      <alignment horizontal="center"/>
    </xf>
    <xf numFmtId="170" fontId="0" fillId="19" borderId="0" xfId="0" applyNumberFormat="1" applyFill="1" applyBorder="1" applyAlignment="1">
      <alignment horizontal="center"/>
    </xf>
    <xf numFmtId="170" fontId="0" fillId="19" borderId="30" xfId="0" applyNumberFormat="1" applyFill="1" applyBorder="1" applyAlignment="1">
      <alignment horizontal="center"/>
    </xf>
    <xf numFmtId="170" fontId="0" fillId="19" borderId="26" xfId="0" applyNumberFormat="1" applyFill="1" applyBorder="1" applyAlignment="1">
      <alignment horizontal="center"/>
    </xf>
    <xf numFmtId="170" fontId="0" fillId="19" borderId="29" xfId="0" applyNumberFormat="1" applyFill="1" applyBorder="1" applyAlignment="1">
      <alignment horizontal="center"/>
    </xf>
    <xf numFmtId="170" fontId="0" fillId="19" borderId="27" xfId="0" applyNumberFormat="1" applyFill="1" applyBorder="1" applyAlignment="1">
      <alignment horizontal="center"/>
    </xf>
    <xf numFmtId="0" fontId="0" fillId="19" borderId="1" xfId="0" applyFill="1" applyBorder="1" applyAlignment="1">
      <alignment horizontal="left"/>
    </xf>
    <xf numFmtId="0" fontId="0" fillId="19" borderId="5" xfId="0" applyFill="1" applyBorder="1" applyAlignment="1">
      <alignment horizontal="left"/>
    </xf>
    <xf numFmtId="0" fontId="0" fillId="19" borderId="6" xfId="0" applyFill="1" applyBorder="1" applyAlignment="1">
      <alignment horizontal="left"/>
    </xf>
    <xf numFmtId="0" fontId="0" fillId="19" borderId="2" xfId="0" applyFill="1" applyBorder="1" applyAlignment="1">
      <alignment horizontal="left"/>
    </xf>
    <xf numFmtId="0" fontId="0" fillId="19" borderId="0" xfId="0" applyFill="1" applyBorder="1" applyAlignment="1">
      <alignment horizontal="left"/>
    </xf>
    <xf numFmtId="0" fontId="0" fillId="19" borderId="30" xfId="0" applyFill="1" applyBorder="1" applyAlignment="1">
      <alignment horizontal="left"/>
    </xf>
    <xf numFmtId="0" fontId="0" fillId="19" borderId="26" xfId="0" applyFill="1" applyBorder="1" applyAlignment="1">
      <alignment horizontal="left"/>
    </xf>
    <xf numFmtId="0" fontId="0" fillId="19" borderId="29" xfId="0" applyFill="1" applyBorder="1" applyAlignment="1">
      <alignment horizontal="left"/>
    </xf>
    <xf numFmtId="0" fontId="0" fillId="19" borderId="27" xfId="0" applyFill="1" applyBorder="1" applyAlignment="1">
      <alignment horizontal="left"/>
    </xf>
    <xf numFmtId="0" fontId="0" fillId="19" borderId="1" xfId="0" applyFill="1" applyBorder="1"/>
    <xf numFmtId="0" fontId="0" fillId="19" borderId="5" xfId="0" applyFill="1" applyBorder="1"/>
    <xf numFmtId="0" fontId="0" fillId="19" borderId="2" xfId="0" applyFill="1" applyBorder="1"/>
    <xf numFmtId="0" fontId="0" fillId="19" borderId="0" xfId="0" applyFill="1" applyBorder="1"/>
    <xf numFmtId="0" fontId="0" fillId="19" borderId="26" xfId="0" applyFill="1" applyBorder="1"/>
    <xf numFmtId="0" fontId="0" fillId="19" borderId="29" xfId="0" applyFill="1" applyBorder="1"/>
    <xf numFmtId="0" fontId="0" fillId="19" borderId="11" xfId="0" applyFill="1" applyBorder="1"/>
    <xf numFmtId="0" fontId="0" fillId="19" borderId="12" xfId="0" applyFill="1" applyBorder="1"/>
    <xf numFmtId="165" fontId="11" fillId="19" borderId="11" xfId="104" applyNumberFormat="1" applyFont="1" applyFill="1" applyBorder="1" applyAlignment="1">
      <alignment horizontal="center"/>
    </xf>
    <xf numFmtId="165" fontId="11" fillId="19" borderId="13" xfId="104" applyNumberFormat="1" applyFont="1" applyFill="1" applyBorder="1" applyAlignment="1">
      <alignment horizontal="center"/>
    </xf>
    <xf numFmtId="0" fontId="1" fillId="3" borderId="25" xfId="0" applyFont="1" applyFill="1" applyBorder="1" applyAlignment="1">
      <alignment horizontal="center"/>
    </xf>
    <xf numFmtId="165" fontId="0" fillId="19" borderId="25" xfId="0" applyNumberFormat="1" applyFill="1" applyBorder="1" applyAlignment="1">
      <alignment horizontal="center" vertical="center"/>
    </xf>
    <xf numFmtId="0" fontId="0" fillId="19" borderId="25" xfId="0" applyFill="1" applyBorder="1" applyAlignment="1">
      <alignment wrapText="1"/>
    </xf>
    <xf numFmtId="0" fontId="0" fillId="19" borderId="11" xfId="0" applyFill="1" applyBorder="1" applyAlignment="1"/>
    <xf numFmtId="0" fontId="0" fillId="19" borderId="12" xfId="0" applyFill="1" applyBorder="1" applyAlignment="1"/>
    <xf numFmtId="0" fontId="0" fillId="19" borderId="13" xfId="0" applyFill="1" applyBorder="1" applyAlignment="1"/>
    <xf numFmtId="0" fontId="0" fillId="19" borderId="25" xfId="0" applyFill="1" applyBorder="1"/>
    <xf numFmtId="171" fontId="0" fillId="19" borderId="25" xfId="0" applyNumberFormat="1" applyFill="1" applyBorder="1" applyAlignment="1">
      <alignment horizontal="center" vertical="center"/>
    </xf>
    <xf numFmtId="0" fontId="1" fillId="19" borderId="1" xfId="0" applyFont="1" applyFill="1" applyBorder="1" applyAlignment="1">
      <alignment horizontal="center"/>
    </xf>
    <xf numFmtId="0" fontId="1" fillId="19" borderId="6" xfId="0" applyFont="1" applyFill="1" applyBorder="1" applyAlignment="1">
      <alignment horizontal="center"/>
    </xf>
    <xf numFmtId="0" fontId="1" fillId="19" borderId="2" xfId="0" applyFont="1" applyFill="1" applyBorder="1" applyAlignment="1">
      <alignment horizontal="center"/>
    </xf>
    <xf numFmtId="0" fontId="1" fillId="19" borderId="30" xfId="0" applyFont="1" applyFill="1" applyBorder="1" applyAlignment="1">
      <alignment horizontal="center"/>
    </xf>
    <xf numFmtId="0" fontId="1" fillId="19" borderId="26" xfId="0" applyFont="1" applyFill="1" applyBorder="1" applyAlignment="1">
      <alignment horizontal="center"/>
    </xf>
    <xf numFmtId="0" fontId="1" fillId="19" borderId="27" xfId="0" applyFont="1" applyFill="1" applyBorder="1" applyAlignment="1">
      <alignment horizontal="center"/>
    </xf>
    <xf numFmtId="167" fontId="0" fillId="6" borderId="25" xfId="2" applyNumberFormat="1" applyFont="1" applyFill="1" applyBorder="1" applyAlignment="1" applyProtection="1">
      <alignment horizontal="center"/>
      <protection locked="0"/>
    </xf>
    <xf numFmtId="0" fontId="0" fillId="3" borderId="11" xfId="0" applyFill="1" applyBorder="1" applyAlignment="1">
      <alignment horizontal="center"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10" fontId="0" fillId="0" borderId="11" xfId="2" applyNumberFormat="1" applyFont="1" applyFill="1" applyBorder="1" applyAlignment="1" applyProtection="1">
      <alignment horizontal="center"/>
      <protection locked="0"/>
    </xf>
    <xf numFmtId="10" fontId="0" fillId="0" borderId="12" xfId="2" applyNumberFormat="1" applyFont="1" applyFill="1" applyBorder="1" applyAlignment="1" applyProtection="1">
      <alignment horizontal="center"/>
      <protection locked="0"/>
    </xf>
    <xf numFmtId="10" fontId="0" fillId="0" borderId="13" xfId="2" applyNumberFormat="1" applyFont="1" applyFill="1" applyBorder="1" applyAlignment="1" applyProtection="1">
      <alignment horizontal="center"/>
      <protection locked="0"/>
    </xf>
    <xf numFmtId="10" fontId="4" fillId="4" borderId="25" xfId="2" applyNumberFormat="1" applyFont="1" applyFill="1" applyBorder="1" applyAlignment="1">
      <alignment horizontal="center"/>
    </xf>
    <xf numFmtId="0" fontId="0" fillId="3" borderId="22" xfId="0" applyFill="1" applyBorder="1" applyAlignment="1">
      <alignment horizontal="center"/>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54" fillId="0" borderId="11" xfId="0" applyFont="1" applyFill="1" applyBorder="1" applyAlignment="1" applyProtection="1">
      <alignment horizontal="center" vertical="center"/>
      <protection locked="0"/>
    </xf>
    <xf numFmtId="0" fontId="54" fillId="0" borderId="12" xfId="0" applyFont="1" applyFill="1" applyBorder="1" applyAlignment="1" applyProtection="1">
      <alignment horizontal="center" vertical="center"/>
      <protection locked="0"/>
    </xf>
    <xf numFmtId="0" fontId="54" fillId="0" borderId="13" xfId="0" applyFont="1" applyFill="1" applyBorder="1" applyAlignment="1" applyProtection="1">
      <alignment horizontal="center" vertical="center"/>
      <protection locked="0"/>
    </xf>
    <xf numFmtId="0" fontId="0" fillId="3" borderId="1" xfId="0" applyFill="1" applyBorder="1" applyAlignment="1">
      <alignment horizontal="center" wrapText="1"/>
    </xf>
    <xf numFmtId="0" fontId="0" fillId="3" borderId="5" xfId="0" applyFill="1" applyBorder="1" applyAlignment="1">
      <alignment horizontal="center" wrapText="1"/>
    </xf>
    <xf numFmtId="0" fontId="0" fillId="3" borderId="6" xfId="0" applyFill="1" applyBorder="1" applyAlignment="1">
      <alignment horizontal="center" wrapText="1"/>
    </xf>
    <xf numFmtId="0" fontId="0" fillId="3" borderId="26" xfId="0" applyFill="1" applyBorder="1" applyAlignment="1">
      <alignment horizontal="center" wrapText="1"/>
    </xf>
    <xf numFmtId="0" fontId="0" fillId="3" borderId="8" xfId="0" applyFill="1" applyBorder="1" applyAlignment="1">
      <alignment horizontal="center" wrapText="1"/>
    </xf>
    <xf numFmtId="0" fontId="0" fillId="3" borderId="27" xfId="0" applyFill="1" applyBorder="1" applyAlignment="1">
      <alignment horizontal="center"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30"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27" xfId="0" applyFont="1" applyFill="1" applyBorder="1" applyAlignment="1">
      <alignment horizontal="center" vertical="center"/>
    </xf>
    <xf numFmtId="10" fontId="4" fillId="4" borderId="4" xfId="2" applyNumberFormat="1" applyFont="1" applyFill="1" applyBorder="1"/>
    <xf numFmtId="10" fontId="0" fillId="0" borderId="4" xfId="2" applyNumberFormat="1" applyFont="1" applyBorder="1" applyProtection="1">
      <protection locked="0"/>
    </xf>
    <xf numFmtId="10" fontId="0" fillId="0" borderId="11" xfId="2" applyNumberFormat="1" applyFont="1" applyBorder="1" applyProtection="1">
      <protection locked="0"/>
    </xf>
    <xf numFmtId="10" fontId="0" fillId="0" borderId="13" xfId="2" applyNumberFormat="1" applyFont="1" applyBorder="1" applyProtection="1">
      <protection locked="0"/>
    </xf>
    <xf numFmtId="0" fontId="1" fillId="3" borderId="11" xfId="0" applyFont="1" applyFill="1" applyBorder="1" applyAlignment="1">
      <alignment horizontal="center" vertical="center"/>
    </xf>
    <xf numFmtId="0" fontId="1" fillId="3" borderId="13" xfId="0" applyFont="1" applyFill="1" applyBorder="1" applyAlignment="1">
      <alignment horizontal="center" vertical="center"/>
    </xf>
    <xf numFmtId="0" fontId="33" fillId="19" borderId="31" xfId="0" applyFont="1" applyFill="1" applyBorder="1" applyAlignment="1">
      <alignment horizontal="center" vertical="center"/>
    </xf>
    <xf numFmtId="168" fontId="0" fillId="0" borderId="11" xfId="0" applyNumberFormat="1" applyBorder="1" applyAlignment="1" applyProtection="1">
      <alignment horizontal="center"/>
      <protection locked="0"/>
    </xf>
    <xf numFmtId="168" fontId="0" fillId="0" borderId="13" xfId="0" applyNumberFormat="1" applyBorder="1" applyAlignment="1" applyProtection="1">
      <alignment horizontal="center"/>
      <protection locked="0"/>
    </xf>
    <xf numFmtId="0" fontId="0" fillId="3" borderId="1" xfId="0" applyFill="1" applyBorder="1" applyAlignment="1">
      <alignment horizontal="center" vertical="center"/>
    </xf>
    <xf numFmtId="0" fontId="0" fillId="3" borderId="6" xfId="0" applyFill="1" applyBorder="1" applyAlignment="1">
      <alignment horizontal="center" vertical="center"/>
    </xf>
    <xf numFmtId="0" fontId="0" fillId="3" borderId="2" xfId="0" applyFill="1" applyBorder="1" applyAlignment="1">
      <alignment horizontal="center" vertical="center"/>
    </xf>
    <xf numFmtId="0" fontId="0" fillId="3" borderId="7" xfId="0" applyFill="1" applyBorder="1" applyAlignment="1">
      <alignment horizontal="center" vertical="center"/>
    </xf>
    <xf numFmtId="0" fontId="0" fillId="3" borderId="3" xfId="0" applyFill="1" applyBorder="1" applyAlignment="1">
      <alignment horizontal="center" vertical="center"/>
    </xf>
    <xf numFmtId="0" fontId="0" fillId="3" borderId="9" xfId="0" applyFill="1" applyBorder="1" applyAlignment="1">
      <alignment horizontal="center" vertical="center"/>
    </xf>
    <xf numFmtId="10" fontId="4" fillId="4" borderId="11" xfId="1" applyNumberFormat="1" applyFont="1" applyFill="1" applyBorder="1" applyAlignment="1">
      <alignment horizontal="center"/>
    </xf>
    <xf numFmtId="10" fontId="4" fillId="4" borderId="13" xfId="1" applyNumberFormat="1" applyFont="1" applyFill="1" applyBorder="1" applyAlignment="1">
      <alignment horizontal="center"/>
    </xf>
    <xf numFmtId="0" fontId="21" fillId="3" borderId="11" xfId="0" applyFont="1" applyFill="1" applyBorder="1" applyAlignment="1">
      <alignment horizontal="center" vertical="center" wrapText="1"/>
    </xf>
    <xf numFmtId="0" fontId="21" fillId="3" borderId="12" xfId="0" applyFont="1" applyFill="1" applyBorder="1" applyAlignment="1">
      <alignment horizontal="center" vertical="center" wrapText="1"/>
    </xf>
    <xf numFmtId="0" fontId="21" fillId="3" borderId="13" xfId="0" applyFont="1" applyFill="1" applyBorder="1" applyAlignment="1">
      <alignment horizontal="center" vertical="center" wrapText="1"/>
    </xf>
    <xf numFmtId="0" fontId="21" fillId="0" borderId="11" xfId="0" applyFont="1" applyFill="1" applyBorder="1" applyAlignment="1" applyProtection="1">
      <alignment horizontal="center" vertical="center" wrapText="1"/>
      <protection locked="0"/>
    </xf>
    <xf numFmtId="0" fontId="21" fillId="0" borderId="13" xfId="0" applyFont="1" applyFill="1" applyBorder="1" applyAlignment="1" applyProtection="1">
      <alignment horizontal="center" vertical="center" wrapText="1"/>
      <protection locked="0"/>
    </xf>
    <xf numFmtId="0" fontId="22" fillId="4" borderId="11" xfId="0" applyFont="1" applyFill="1" applyBorder="1" applyAlignment="1">
      <alignment horizontal="center" vertical="center" wrapText="1"/>
    </xf>
    <xf numFmtId="0" fontId="22" fillId="4" borderId="13" xfId="0" applyFont="1" applyFill="1" applyBorder="1" applyAlignment="1">
      <alignment horizontal="center" vertical="center" wrapText="1"/>
    </xf>
    <xf numFmtId="0" fontId="21" fillId="0" borderId="11"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168" fontId="0" fillId="0" borderId="12" xfId="0" applyNumberFormat="1" applyBorder="1" applyAlignment="1" applyProtection="1">
      <alignment horizontal="center"/>
      <protection locked="0"/>
    </xf>
    <xf numFmtId="10" fontId="0" fillId="0" borderId="0" xfId="0" applyNumberFormat="1" applyAlignment="1">
      <alignment horizontal="center" vertical="center"/>
    </xf>
    <xf numFmtId="0" fontId="0" fillId="0" borderId="0" xfId="0" applyAlignment="1">
      <alignment horizontal="center" vertical="center"/>
    </xf>
    <xf numFmtId="9" fontId="0" fillId="0" borderId="11" xfId="2" applyFont="1" applyBorder="1" applyAlignment="1" applyProtection="1">
      <alignment horizontal="center" vertical="center"/>
      <protection locked="0"/>
    </xf>
    <xf numFmtId="9" fontId="0" fillId="0" borderId="13" xfId="2" applyFont="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9" fontId="0" fillId="0" borderId="11" xfId="2" applyFont="1" applyBorder="1" applyAlignment="1" applyProtection="1">
      <alignment horizontal="center"/>
      <protection locked="0"/>
    </xf>
    <xf numFmtId="9" fontId="0" fillId="0" borderId="13" xfId="2" applyFont="1" applyBorder="1" applyAlignment="1" applyProtection="1">
      <alignment horizontal="center"/>
      <protection locked="0"/>
    </xf>
    <xf numFmtId="0" fontId="0" fillId="19" borderId="0" xfId="0" applyFont="1" applyFill="1" applyAlignment="1">
      <alignment horizontal="center"/>
    </xf>
    <xf numFmtId="0" fontId="0" fillId="19" borderId="0" xfId="0" applyFill="1" applyAlignment="1">
      <alignment wrapText="1"/>
    </xf>
    <xf numFmtId="10" fontId="0" fillId="0" borderId="0" xfId="0" applyNumberFormat="1" applyAlignment="1">
      <alignment horizontal="center"/>
    </xf>
    <xf numFmtId="0" fontId="0" fillId="0" borderId="0" xfId="0" applyAlignment="1">
      <alignment horizontal="center"/>
    </xf>
    <xf numFmtId="0" fontId="47" fillId="0" borderId="11" xfId="0" applyFont="1" applyBorder="1" applyAlignment="1" applyProtection="1">
      <alignment horizontal="center" vertical="center" wrapText="1"/>
      <protection locked="0"/>
    </xf>
    <xf numFmtId="0" fontId="47" fillId="0" borderId="13" xfId="0" applyFont="1" applyBorder="1" applyAlignment="1" applyProtection="1">
      <alignment horizontal="center" vertical="center" wrapText="1"/>
      <protection locked="0"/>
    </xf>
    <xf numFmtId="0" fontId="0" fillId="0" borderId="4" xfId="0" applyBorder="1" applyAlignment="1" applyProtection="1">
      <alignment horizontal="center"/>
      <protection locked="0"/>
    </xf>
    <xf numFmtId="10" fontId="0" fillId="0" borderId="0" xfId="2" applyNumberFormat="1" applyFont="1" applyAlignment="1">
      <alignment horizontal="center"/>
    </xf>
    <xf numFmtId="0" fontId="48" fillId="19" borderId="0" xfId="0" applyFont="1" applyFill="1" applyAlignment="1">
      <alignment horizontal="left" wrapText="1"/>
    </xf>
    <xf numFmtId="0" fontId="48" fillId="19" borderId="30" xfId="0" applyFont="1" applyFill="1" applyBorder="1" applyAlignment="1">
      <alignment horizontal="left" wrapText="1"/>
    </xf>
    <xf numFmtId="10" fontId="4" fillId="4" borderId="11" xfId="2" applyNumberFormat="1" applyFont="1" applyFill="1" applyBorder="1" applyAlignment="1">
      <alignment horizontal="center" vertical="center"/>
    </xf>
    <xf numFmtId="10" fontId="4" fillId="4" borderId="13" xfId="2" applyNumberFormat="1" applyFont="1" applyFill="1" applyBorder="1" applyAlignment="1">
      <alignment horizontal="center" vertical="center"/>
    </xf>
    <xf numFmtId="0" fontId="4" fillId="4" borderId="11" xfId="0" applyFont="1" applyFill="1" applyBorder="1" applyAlignment="1">
      <alignment horizontal="center" wrapText="1"/>
    </xf>
    <xf numFmtId="0" fontId="4" fillId="4" borderId="13" xfId="0" applyFont="1" applyFill="1" applyBorder="1" applyAlignment="1">
      <alignment horizontal="center" wrapText="1"/>
    </xf>
    <xf numFmtId="0" fontId="0" fillId="27" borderId="1" xfId="0" applyFill="1" applyBorder="1" applyAlignment="1">
      <alignment horizontal="center" vertical="center" wrapText="1"/>
    </xf>
    <xf numFmtId="0" fontId="0" fillId="27" borderId="5" xfId="0" applyFill="1" applyBorder="1" applyAlignment="1">
      <alignment horizontal="center" vertical="center" wrapText="1"/>
    </xf>
    <xf numFmtId="0" fontId="0" fillId="27" borderId="6" xfId="0" applyFill="1" applyBorder="1" applyAlignment="1">
      <alignment horizontal="center" vertical="center" wrapText="1"/>
    </xf>
    <xf numFmtId="0" fontId="0" fillId="27" borderId="2" xfId="0" applyFill="1" applyBorder="1" applyAlignment="1">
      <alignment horizontal="center" vertical="center" wrapText="1"/>
    </xf>
    <xf numFmtId="0" fontId="0" fillId="27" borderId="0" xfId="0" applyFill="1" applyBorder="1" applyAlignment="1">
      <alignment horizontal="center" vertical="center" wrapText="1"/>
    </xf>
    <xf numFmtId="0" fontId="0" fillId="27" borderId="30" xfId="0" applyFill="1" applyBorder="1" applyAlignment="1">
      <alignment horizontal="center" vertical="center" wrapText="1"/>
    </xf>
    <xf numFmtId="0" fontId="0" fillId="27" borderId="26" xfId="0" applyFill="1" applyBorder="1" applyAlignment="1">
      <alignment horizontal="center" vertical="center" wrapText="1"/>
    </xf>
    <xf numFmtId="0" fontId="0" fillId="27" borderId="29" xfId="0" applyFill="1" applyBorder="1" applyAlignment="1">
      <alignment horizontal="center" vertical="center" wrapText="1"/>
    </xf>
    <xf numFmtId="0" fontId="0" fillId="27" borderId="27" xfId="0" applyFill="1" applyBorder="1" applyAlignment="1">
      <alignment horizontal="center" vertical="center" wrapText="1"/>
    </xf>
    <xf numFmtId="0" fontId="0" fillId="19" borderId="0" xfId="0" applyFill="1" applyAlignment="1">
      <alignment horizontal="left" vertical="center" wrapText="1"/>
    </xf>
    <xf numFmtId="0" fontId="0" fillId="19" borderId="30" xfId="0" applyFill="1" applyBorder="1" applyAlignment="1">
      <alignment horizontal="left" vertical="center" wrapText="1"/>
    </xf>
    <xf numFmtId="9" fontId="4" fillId="4" borderId="11" xfId="0" applyNumberFormat="1" applyFont="1" applyFill="1" applyBorder="1" applyAlignment="1">
      <alignment horizontal="center"/>
    </xf>
    <xf numFmtId="0" fontId="0" fillId="0" borderId="11" xfId="0" applyBorder="1" applyAlignment="1" applyProtection="1">
      <alignment horizontal="center" wrapText="1"/>
      <protection locked="0"/>
    </xf>
    <xf numFmtId="0" fontId="0" fillId="0" borderId="13" xfId="0" applyBorder="1" applyAlignment="1" applyProtection="1">
      <alignment horizontal="center" wrapText="1"/>
      <protection locked="0"/>
    </xf>
    <xf numFmtId="0" fontId="48" fillId="19" borderId="0" xfId="0" applyFont="1" applyFill="1" applyAlignment="1">
      <alignment horizontal="left" wrapText="1" indent="1"/>
    </xf>
    <xf numFmtId="0" fontId="48" fillId="19" borderId="30" xfId="0" applyFont="1" applyFill="1" applyBorder="1" applyAlignment="1">
      <alignment horizontal="left" wrapText="1" indent="1"/>
    </xf>
    <xf numFmtId="0" fontId="0" fillId="26" borderId="11" xfId="0" applyFill="1" applyBorder="1" applyAlignment="1" applyProtection="1">
      <alignment horizontal="center" wrapText="1"/>
      <protection locked="0"/>
    </xf>
    <xf numFmtId="0" fontId="0" fillId="26" borderId="13" xfId="0" applyFill="1" applyBorder="1" applyAlignment="1" applyProtection="1">
      <alignment horizontal="center" wrapText="1"/>
      <protection locked="0"/>
    </xf>
    <xf numFmtId="0" fontId="0" fillId="19" borderId="0" xfId="0" applyFont="1" applyFill="1" applyAlignment="1">
      <alignment horizontal="left"/>
    </xf>
    <xf numFmtId="0" fontId="0" fillId="19" borderId="7" xfId="0" applyFont="1" applyFill="1" applyBorder="1" applyAlignment="1">
      <alignment horizontal="left"/>
    </xf>
    <xf numFmtId="0" fontId="0" fillId="19" borderId="0" xfId="0" applyFont="1" applyFill="1" applyAlignment="1">
      <alignment horizontal="left" vertical="top" wrapText="1"/>
    </xf>
    <xf numFmtId="0" fontId="0" fillId="19" borderId="7" xfId="0" applyFont="1" applyFill="1" applyBorder="1" applyAlignment="1">
      <alignment horizontal="left" vertical="top" wrapText="1"/>
    </xf>
    <xf numFmtId="0" fontId="6" fillId="19" borderId="0" xfId="0" applyFont="1" applyFill="1" applyAlignment="1">
      <alignment horizontal="left" vertical="center" wrapText="1"/>
    </xf>
    <xf numFmtId="0" fontId="6" fillId="19" borderId="30" xfId="0" applyFont="1" applyFill="1" applyBorder="1" applyAlignment="1">
      <alignment horizontal="left" vertical="center" wrapText="1"/>
    </xf>
    <xf numFmtId="0" fontId="6" fillId="19" borderId="0" xfId="0" applyFont="1" applyFill="1" applyAlignment="1">
      <alignment vertical="center" wrapText="1"/>
    </xf>
    <xf numFmtId="0" fontId="6" fillId="19" borderId="7" xfId="0" applyFont="1" applyFill="1" applyBorder="1" applyAlignment="1">
      <alignment vertical="center" wrapText="1"/>
    </xf>
    <xf numFmtId="0" fontId="46" fillId="19" borderId="2" xfId="0" applyFont="1" applyFill="1" applyBorder="1" applyAlignment="1">
      <alignment horizontal="center" vertical="center"/>
    </xf>
    <xf numFmtId="0" fontId="46" fillId="19" borderId="0" xfId="0" applyFont="1" applyFill="1" applyBorder="1" applyAlignment="1">
      <alignment horizontal="center" vertical="center"/>
    </xf>
    <xf numFmtId="0" fontId="1" fillId="19" borderId="0" xfId="0" applyFont="1" applyFill="1" applyAlignment="1">
      <alignment horizontal="left" vertical="center" wrapText="1"/>
    </xf>
    <xf numFmtId="0" fontId="49" fillId="19" borderId="2" xfId="0" applyFont="1" applyFill="1" applyBorder="1" applyAlignment="1">
      <alignment horizontal="left" vertical="center" wrapText="1"/>
    </xf>
    <xf numFmtId="0" fontId="49" fillId="19" borderId="0" xfId="0" applyFont="1" applyFill="1" applyAlignment="1">
      <alignment horizontal="left" vertical="center" wrapText="1"/>
    </xf>
    <xf numFmtId="0" fontId="49" fillId="19" borderId="30" xfId="0" applyFont="1" applyFill="1" applyBorder="1" applyAlignment="1">
      <alignment horizontal="left" vertical="center" wrapText="1"/>
    </xf>
    <xf numFmtId="0" fontId="48" fillId="19" borderId="2" xfId="0" applyFont="1" applyFill="1" applyBorder="1" applyAlignment="1">
      <alignment horizontal="left" vertical="center" wrapText="1"/>
    </xf>
    <xf numFmtId="0" fontId="48" fillId="19" borderId="0" xfId="0" applyFont="1" applyFill="1" applyAlignment="1">
      <alignment horizontal="left" vertical="center" wrapText="1"/>
    </xf>
    <xf numFmtId="0" fontId="48" fillId="19" borderId="30" xfId="0" applyFont="1" applyFill="1" applyBorder="1" applyAlignment="1">
      <alignment horizontal="left" vertical="center" wrapText="1"/>
    </xf>
    <xf numFmtId="9" fontId="0" fillId="0" borderId="11" xfId="2" applyFont="1" applyFill="1" applyBorder="1" applyAlignment="1" applyProtection="1">
      <alignment horizontal="center" vertical="center"/>
      <protection locked="0"/>
    </xf>
    <xf numFmtId="9" fontId="0" fillId="0" borderId="13" xfId="2" applyFont="1" applyFill="1" applyBorder="1" applyAlignment="1" applyProtection="1">
      <alignment horizontal="center" vertical="center"/>
      <protection locked="0"/>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11" xfId="0" applyFont="1" applyFill="1" applyBorder="1" applyAlignment="1">
      <alignment horizontal="center" wrapText="1"/>
    </xf>
    <xf numFmtId="0" fontId="1" fillId="3" borderId="12" xfId="0" applyFont="1" applyFill="1" applyBorder="1" applyAlignment="1">
      <alignment horizontal="center" wrapText="1"/>
    </xf>
    <xf numFmtId="0" fontId="1" fillId="3" borderId="13" xfId="0" applyFont="1" applyFill="1" applyBorder="1" applyAlignment="1">
      <alignment horizontal="center" wrapText="1"/>
    </xf>
    <xf numFmtId="9" fontId="4" fillId="4" borderId="11" xfId="1" applyNumberFormat="1" applyFont="1" applyFill="1" applyBorder="1" applyAlignment="1" applyProtection="1">
      <alignment horizontal="center"/>
      <protection hidden="1"/>
    </xf>
    <xf numFmtId="10" fontId="4" fillId="4" borderId="11" xfId="1" applyNumberFormat="1" applyFont="1" applyFill="1" applyBorder="1" applyAlignment="1" applyProtection="1">
      <alignment horizontal="center"/>
      <protection hidden="1"/>
    </xf>
    <xf numFmtId="10" fontId="4" fillId="4" borderId="13" xfId="1" applyNumberFormat="1" applyFont="1" applyFill="1" applyBorder="1" applyAlignment="1" applyProtection="1">
      <alignment horizontal="center"/>
      <protection hidden="1"/>
    </xf>
    <xf numFmtId="164" fontId="4" fillId="4" borderId="11" xfId="1" applyFont="1" applyFill="1" applyBorder="1" applyAlignment="1" applyProtection="1">
      <alignment horizontal="center" wrapText="1"/>
      <protection hidden="1"/>
    </xf>
    <xf numFmtId="164" fontId="4" fillId="4" borderId="13" xfId="1" applyFont="1" applyFill="1" applyBorder="1" applyAlignment="1" applyProtection="1">
      <alignment horizontal="center" wrapText="1"/>
      <protection hidden="1"/>
    </xf>
    <xf numFmtId="0" fontId="0" fillId="0" borderId="11" xfId="0" applyBorder="1" applyAlignment="1">
      <alignment horizontal="center"/>
    </xf>
    <xf numFmtId="0" fontId="0" fillId="0" borderId="13" xfId="0" applyBorder="1" applyAlignment="1">
      <alignment horizontal="center"/>
    </xf>
    <xf numFmtId="164" fontId="4" fillId="4" borderId="11" xfId="1" applyFont="1" applyFill="1" applyBorder="1" applyAlignment="1" applyProtection="1">
      <alignment horizontal="center" vertical="center"/>
      <protection hidden="1"/>
    </xf>
    <xf numFmtId="164" fontId="4" fillId="4" borderId="13" xfId="1" applyFont="1" applyFill="1" applyBorder="1" applyAlignment="1" applyProtection="1">
      <alignment horizontal="center" vertical="center"/>
      <protection hidden="1"/>
    </xf>
    <xf numFmtId="171" fontId="4" fillId="4" borderId="11" xfId="1" applyNumberFormat="1" applyFont="1" applyFill="1" applyBorder="1" applyAlignment="1" applyProtection="1">
      <alignment horizontal="center"/>
      <protection hidden="1"/>
    </xf>
    <xf numFmtId="171" fontId="4" fillId="4" borderId="13" xfId="1" applyNumberFormat="1" applyFont="1" applyFill="1" applyBorder="1" applyAlignment="1" applyProtection="1">
      <alignment horizontal="center"/>
      <protection hidden="1"/>
    </xf>
    <xf numFmtId="0" fontId="4" fillId="4" borderId="11" xfId="4" applyNumberFormat="1" applyFont="1" applyFill="1" applyBorder="1" applyAlignment="1" applyProtection="1">
      <protection hidden="1"/>
    </xf>
    <xf numFmtId="0" fontId="4" fillId="4" borderId="13" xfId="4" applyNumberFormat="1" applyFont="1" applyFill="1" applyBorder="1" applyAlignment="1" applyProtection="1">
      <protection hidden="1"/>
    </xf>
    <xf numFmtId="10" fontId="4" fillId="4" borderId="12" xfId="0" applyNumberFormat="1" applyFont="1" applyFill="1" applyBorder="1" applyAlignment="1">
      <alignment horizontal="center"/>
    </xf>
    <xf numFmtId="10" fontId="4" fillId="4" borderId="11" xfId="0" applyNumberFormat="1" applyFont="1" applyFill="1" applyBorder="1" applyAlignment="1">
      <alignment horizontal="center"/>
    </xf>
    <xf numFmtId="10" fontId="4" fillId="4" borderId="13" xfId="0" applyNumberFormat="1" applyFont="1" applyFill="1" applyBorder="1" applyAlignment="1">
      <alignment horizontal="center"/>
    </xf>
    <xf numFmtId="10" fontId="4" fillId="4" borderId="12" xfId="2" applyNumberFormat="1" applyFont="1" applyFill="1" applyBorder="1" applyAlignment="1">
      <alignment horizontal="center"/>
    </xf>
    <xf numFmtId="0" fontId="0" fillId="3" borderId="4" xfId="0" applyFill="1" applyBorder="1" applyAlignment="1">
      <alignment horizontal="center"/>
    </xf>
    <xf numFmtId="10" fontId="4" fillId="4" borderId="3" xfId="2" applyNumberFormat="1" applyFont="1" applyFill="1" applyBorder="1" applyAlignment="1">
      <alignment horizontal="center"/>
    </xf>
    <xf numFmtId="10" fontId="4" fillId="4" borderId="9" xfId="2" applyNumberFormat="1" applyFont="1" applyFill="1" applyBorder="1" applyAlignment="1">
      <alignment horizont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7" xfId="0" applyFill="1" applyBorder="1" applyAlignment="1">
      <alignment horizontal="center" vertical="center" wrapText="1"/>
    </xf>
    <xf numFmtId="0" fontId="0" fillId="3" borderId="3"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4" xfId="0" applyFill="1" applyBorder="1" applyAlignment="1">
      <alignment horizontal="center"/>
    </xf>
    <xf numFmtId="0" fontId="0" fillId="3" borderId="8" xfId="0" applyFill="1" applyBorder="1" applyAlignment="1">
      <alignment horizontal="center" vertical="center" wrapText="1"/>
    </xf>
    <xf numFmtId="0" fontId="51" fillId="19" borderId="0" xfId="0" applyFont="1" applyFill="1" applyAlignment="1">
      <alignment horizontal="left" wrapText="1"/>
    </xf>
    <xf numFmtId="0" fontId="51" fillId="19" borderId="29" xfId="0" applyFont="1" applyFill="1" applyBorder="1" applyAlignment="1">
      <alignment horizontal="left" wrapText="1"/>
    </xf>
    <xf numFmtId="0" fontId="0" fillId="0" borderId="11"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0" fillId="0" borderId="13" xfId="0" applyBorder="1" applyAlignment="1" applyProtection="1">
      <alignment horizontal="center" vertical="center" wrapText="1"/>
      <protection locked="0"/>
    </xf>
    <xf numFmtId="10" fontId="0" fillId="0" borderId="4" xfId="2" applyNumberFormat="1" applyFont="1" applyBorder="1" applyAlignment="1" applyProtection="1">
      <alignment horizontal="center"/>
      <protection locked="0"/>
    </xf>
    <xf numFmtId="0" fontId="0" fillId="3" borderId="4" xfId="0" applyFill="1" applyBorder="1" applyAlignment="1">
      <alignment horizontal="right"/>
    </xf>
    <xf numFmtId="0" fontId="29" fillId="18" borderId="4" xfId="5" applyBorder="1" applyAlignment="1">
      <alignment horizontal="center" vertical="center"/>
    </xf>
    <xf numFmtId="0" fontId="0" fillId="3" borderId="4" xfId="0" applyFill="1" applyBorder="1" applyAlignment="1">
      <alignment horizontal="center" vertical="center"/>
    </xf>
    <xf numFmtId="0" fontId="0" fillId="0" borderId="4" xfId="0" applyFill="1" applyBorder="1" applyAlignment="1" applyProtection="1">
      <alignment horizontal="center"/>
      <protection locked="0"/>
    </xf>
    <xf numFmtId="0" fontId="0" fillId="25" borderId="4" xfId="0" applyFill="1" applyBorder="1" applyAlignment="1">
      <alignment horizontal="center" vertical="center"/>
    </xf>
    <xf numFmtId="164" fontId="4" fillId="4" borderId="26" xfId="0" applyNumberFormat="1" applyFont="1" applyFill="1" applyBorder="1" applyAlignment="1">
      <alignment horizontal="center"/>
    </xf>
    <xf numFmtId="0" fontId="4" fillId="4" borderId="27" xfId="0" applyFont="1" applyFill="1" applyBorder="1" applyAlignment="1">
      <alignment horizontal="center"/>
    </xf>
    <xf numFmtId="0" fontId="4" fillId="4" borderId="26" xfId="0" applyNumberFormat="1" applyFont="1" applyFill="1" applyBorder="1" applyAlignment="1">
      <alignment horizontal="center"/>
    </xf>
    <xf numFmtId="0" fontId="4" fillId="4" borderId="27" xfId="0" applyNumberFormat="1" applyFont="1" applyFill="1" applyBorder="1" applyAlignment="1">
      <alignment horizontal="center"/>
    </xf>
    <xf numFmtId="0" fontId="0" fillId="25" borderId="4" xfId="0" applyFill="1" applyBorder="1" applyAlignment="1">
      <alignment horizontal="center" vertical="center" wrapText="1"/>
    </xf>
    <xf numFmtId="0" fontId="1" fillId="3" borderId="22" xfId="0" applyFont="1" applyFill="1" applyBorder="1" applyAlignment="1">
      <alignment horizontal="center" vertical="center" wrapText="1"/>
    </xf>
    <xf numFmtId="0" fontId="0" fillId="3" borderId="4" xfId="0" applyFill="1" applyBorder="1" applyAlignment="1"/>
    <xf numFmtId="10" fontId="4" fillId="4" borderId="26" xfId="0" applyNumberFormat="1" applyFont="1" applyFill="1" applyBorder="1" applyAlignment="1">
      <alignment horizontal="center"/>
    </xf>
    <xf numFmtId="10" fontId="4" fillId="4" borderId="27" xfId="0" applyNumberFormat="1" applyFont="1" applyFill="1" applyBorder="1" applyAlignment="1">
      <alignment horizontal="center"/>
    </xf>
    <xf numFmtId="0" fontId="0" fillId="3" borderId="5"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26" xfId="0" applyFill="1" applyBorder="1" applyAlignment="1">
      <alignment horizontal="center" vertical="center"/>
    </xf>
    <xf numFmtId="0" fontId="0" fillId="3" borderId="29" xfId="0" applyFill="1" applyBorder="1" applyAlignment="1">
      <alignment horizontal="center" vertical="center"/>
    </xf>
    <xf numFmtId="0" fontId="0" fillId="3" borderId="27" xfId="0" applyFill="1" applyBorder="1" applyAlignment="1">
      <alignment horizontal="center" vertical="center"/>
    </xf>
    <xf numFmtId="0" fontId="0" fillId="3" borderId="2" xfId="0" applyFill="1" applyBorder="1" applyAlignment="1">
      <alignment horizontal="left" vertical="center"/>
    </xf>
    <xf numFmtId="0" fontId="0" fillId="3" borderId="0" xfId="0" applyFill="1" applyBorder="1" applyAlignment="1">
      <alignment horizontal="left" vertical="center"/>
    </xf>
    <xf numFmtId="0" fontId="0" fillId="3" borderId="30" xfId="0" applyFill="1" applyBorder="1" applyAlignment="1">
      <alignment horizontal="left" vertical="center"/>
    </xf>
    <xf numFmtId="0" fontId="0" fillId="3" borderId="26" xfId="0" applyFill="1" applyBorder="1" applyAlignment="1">
      <alignment horizontal="left" vertical="center"/>
    </xf>
    <xf numFmtId="0" fontId="0" fillId="3" borderId="29" xfId="0" applyFill="1" applyBorder="1" applyAlignment="1">
      <alignment horizontal="left" vertical="center"/>
    </xf>
    <xf numFmtId="0" fontId="0" fillId="3" borderId="27" xfId="0" applyFill="1" applyBorder="1" applyAlignment="1">
      <alignment horizontal="left" vertical="center"/>
    </xf>
    <xf numFmtId="164" fontId="4" fillId="4" borderId="26" xfId="1" applyFont="1" applyFill="1" applyBorder="1" applyAlignment="1">
      <alignment horizontal="center"/>
    </xf>
    <xf numFmtId="164" fontId="4" fillId="4" borderId="27" xfId="1" applyFont="1" applyFill="1" applyBorder="1" applyAlignment="1">
      <alignment horizontal="center"/>
    </xf>
    <xf numFmtId="0" fontId="0" fillId="3" borderId="1" xfId="0"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0" fillId="3" borderId="2" xfId="0" applyFill="1" applyBorder="1" applyAlignment="1">
      <alignment vertical="center"/>
    </xf>
    <xf numFmtId="0" fontId="0" fillId="3" borderId="0" xfId="0" applyFill="1" applyBorder="1" applyAlignment="1">
      <alignment vertical="center"/>
    </xf>
    <xf numFmtId="0" fontId="0" fillId="3" borderId="7" xfId="0" applyFill="1" applyBorder="1" applyAlignment="1">
      <alignment vertical="center"/>
    </xf>
    <xf numFmtId="0" fontId="0" fillId="3" borderId="3" xfId="0" applyFill="1" applyBorder="1" applyAlignment="1">
      <alignment vertical="center"/>
    </xf>
    <xf numFmtId="0" fontId="0" fillId="3" borderId="8" xfId="0" applyFill="1" applyBorder="1" applyAlignment="1">
      <alignment vertical="center"/>
    </xf>
    <xf numFmtId="0" fontId="0" fillId="3" borderId="9" xfId="0" applyFill="1" applyBorder="1" applyAlignment="1">
      <alignment vertical="center"/>
    </xf>
    <xf numFmtId="10" fontId="4" fillId="4" borderId="26" xfId="1" applyNumberFormat="1" applyFont="1" applyFill="1" applyBorder="1" applyAlignment="1">
      <alignment horizontal="center"/>
    </xf>
    <xf numFmtId="164" fontId="4" fillId="4" borderId="25" xfId="1" applyFont="1" applyFill="1" applyBorder="1" applyAlignment="1">
      <alignment horizontal="center"/>
    </xf>
    <xf numFmtId="10" fontId="4" fillId="4" borderId="25" xfId="2" applyNumberFormat="1" applyFont="1" applyFill="1" applyBorder="1" applyAlignment="1">
      <alignment horizontal="center" vertical="center"/>
    </xf>
    <xf numFmtId="0" fontId="30" fillId="3" borderId="4" xfId="0" applyFont="1" applyFill="1" applyBorder="1" applyAlignment="1">
      <alignment horizontal="center" vertical="top"/>
    </xf>
    <xf numFmtId="164" fontId="4" fillId="4" borderId="11" xfId="1" applyFont="1" applyFill="1" applyBorder="1" applyAlignment="1">
      <alignment horizontal="center" vertical="center"/>
    </xf>
    <xf numFmtId="164" fontId="4" fillId="4" borderId="13" xfId="1" applyFont="1" applyFill="1" applyBorder="1" applyAlignment="1">
      <alignment horizontal="center" vertical="center"/>
    </xf>
    <xf numFmtId="0" fontId="24" fillId="7" borderId="11" xfId="0" applyFont="1" applyFill="1" applyBorder="1" applyAlignment="1">
      <alignment horizontal="center" vertical="center" wrapText="1"/>
    </xf>
    <xf numFmtId="0" fontId="24" fillId="7" borderId="12" xfId="0" applyFont="1" applyFill="1" applyBorder="1" applyAlignment="1">
      <alignment horizontal="center" vertical="center" wrapText="1"/>
    </xf>
    <xf numFmtId="0" fontId="24" fillId="7" borderId="13" xfId="0" applyFont="1" applyFill="1" applyBorder="1" applyAlignment="1">
      <alignment horizontal="center" vertical="center" wrapText="1"/>
    </xf>
  </cellXfs>
  <cellStyles count="106">
    <cellStyle name="Accent3" xfId="5" builtinId="37"/>
    <cellStyle name="Bad" xfId="4" builtinId="27"/>
    <cellStyle name="Comma" xfId="1" builtinId="3"/>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Hyperlink" xfId="3" builtinId="8"/>
    <cellStyle name="Normal" xfId="0" builtinId="0"/>
    <cellStyle name="Output" xfId="105" builtinId="21"/>
    <cellStyle name="Percent" xfId="2" builtinId="5"/>
    <cellStyle name="Percent 2" xfId="104"/>
  </cellStyles>
  <dxfs count="3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14996795556505021"/>
      </font>
      <fill>
        <patternFill patternType="solid">
          <bgColor theme="0" tint="-0.14996795556505021"/>
        </patternFill>
      </fill>
    </dxf>
    <dxf>
      <fill>
        <patternFill patternType="lightGrid">
          <fgColor theme="4"/>
        </patternFill>
      </fill>
    </dxf>
    <dxf>
      <fill>
        <patternFill patternType="darkVertical">
          <fgColor theme="4"/>
        </patternFill>
      </fill>
    </dxf>
    <dxf>
      <fill>
        <patternFill patternType="darkHorizontal"/>
      </fill>
    </dxf>
    <dxf>
      <fill>
        <patternFill patternType="lightTrellis"/>
      </fill>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border>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vertical/>
        <horizontal/>
      </border>
    </dxf>
    <dxf>
      <font>
        <color theme="0" tint="-0.14996795556505021"/>
      </font>
      <fill>
        <patternFill patternType="solid">
          <bgColor theme="0" tint="-0.14996795556505021"/>
        </patternFill>
      </fill>
    </dxf>
    <dxf>
      <fill>
        <patternFill patternType="lightGrid">
          <fgColor theme="0" tint="-0.14996795556505021"/>
        </patternFill>
      </fill>
    </dxf>
  </dxfs>
  <tableStyles count="0" defaultTableStyle="TableStyleMedium2" defaultPivotStyle="PivotStyleLight16"/>
  <colors>
    <mruColors>
      <color rgb="FFE7F8FD"/>
      <color rgb="FFB1510F"/>
      <color rgb="FFE39225"/>
      <color rgb="FFFA9898"/>
      <color rgb="FFFDD7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1"/>
            <c:dispEq val="1"/>
            <c:trendlineLbl>
              <c:layout>
                <c:manualLayout>
                  <c:x val="0.39798403324584702"/>
                  <c:y val="-0.29215405365996"/>
                </c:manualLayout>
              </c:layout>
              <c:numFmt formatCode="General"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trendline>
            <c:trendlineType val="poly"/>
            <c:order val="2"/>
            <c:dispRSqr val="0"/>
            <c:dispEq val="0"/>
          </c:trendline>
          <c:xVal>
            <c:numLit>
              <c:formatCode>General</c:formatCode>
              <c:ptCount val="184"/>
              <c:pt idx="0">
                <c:v>7.0401813274763745</c:v>
              </c:pt>
              <c:pt idx="1">
                <c:v>6.0107353401752732</c:v>
              </c:pt>
              <c:pt idx="2">
                <c:v>9.0775743914327158</c:v>
              </c:pt>
              <c:pt idx="3">
                <c:v>10.179607861768913</c:v>
              </c:pt>
              <c:pt idx="4">
                <c:v>3.4405060590269807</c:v>
              </c:pt>
              <c:pt idx="5">
                <c:v>4.6333333333333329</c:v>
              </c:pt>
              <c:pt idx="6">
                <c:v>3.300471291919826</c:v>
              </c:pt>
              <c:pt idx="7">
                <c:v>0.56699808098364424</c:v>
              </c:pt>
              <c:pt idx="8">
                <c:v>2.4166666666666665</c:v>
              </c:pt>
              <c:pt idx="9">
                <c:v>7.0401813274763745</c:v>
              </c:pt>
              <c:pt idx="10">
                <c:v>3.4405060590269807</c:v>
              </c:pt>
              <c:pt idx="11">
                <c:v>9.0775743914327158</c:v>
              </c:pt>
              <c:pt idx="12">
                <c:v>13.84</c:v>
              </c:pt>
              <c:pt idx="13">
                <c:v>3.0571428571428569</c:v>
              </c:pt>
              <c:pt idx="14">
                <c:v>1.9166666666666667</c:v>
              </c:pt>
              <c:pt idx="15">
                <c:v>3.4405060590269807</c:v>
              </c:pt>
              <c:pt idx="16">
                <c:v>10.179607861768913</c:v>
              </c:pt>
              <c:pt idx="17">
                <c:v>7.5485797897320221</c:v>
              </c:pt>
              <c:pt idx="18">
                <c:v>7.958333333333333</c:v>
              </c:pt>
              <c:pt idx="19">
                <c:v>5.2220270395642228</c:v>
              </c:pt>
              <c:pt idx="20">
                <c:v>12.639230769230769</c:v>
              </c:pt>
              <c:pt idx="21">
                <c:v>3.39972096109795</c:v>
              </c:pt>
              <c:pt idx="22">
                <c:v>2.8192396588884496</c:v>
              </c:pt>
              <c:pt idx="23">
                <c:v>3.9957142857142856</c:v>
              </c:pt>
              <c:pt idx="24">
                <c:v>10.179607861768913</c:v>
              </c:pt>
              <c:pt idx="25">
                <c:v>10.179607861768913</c:v>
              </c:pt>
              <c:pt idx="26">
                <c:v>7.5485797897320221</c:v>
              </c:pt>
              <c:pt idx="27">
                <c:v>10.179607861768913</c:v>
              </c:pt>
              <c:pt idx="28">
                <c:v>0.85663189464548761</c:v>
              </c:pt>
              <c:pt idx="29">
                <c:v>10.179607861768913</c:v>
              </c:pt>
              <c:pt idx="30">
                <c:v>10.179607861768913</c:v>
              </c:pt>
              <c:pt idx="31">
                <c:v>10.179607861768913</c:v>
              </c:pt>
              <c:pt idx="32">
                <c:v>0.99801666666666655</c:v>
              </c:pt>
              <c:pt idx="33">
                <c:v>13.21</c:v>
              </c:pt>
              <c:pt idx="34">
                <c:v>3.416363956807384</c:v>
              </c:pt>
              <c:pt idx="35">
                <c:v>10.179607861768913</c:v>
              </c:pt>
              <c:pt idx="36">
                <c:v>10.179607861768913</c:v>
              </c:pt>
              <c:pt idx="37">
                <c:v>10.179607861768913</c:v>
              </c:pt>
              <c:pt idx="38">
                <c:v>1.6203628110915609</c:v>
              </c:pt>
              <c:pt idx="39">
                <c:v>10.179607861768913</c:v>
              </c:pt>
              <c:pt idx="40">
                <c:v>6.4667937884281423</c:v>
              </c:pt>
              <c:pt idx="41">
                <c:v>7.0401813274763745</c:v>
              </c:pt>
              <c:pt idx="42">
                <c:v>3.9128571428571428</c:v>
              </c:pt>
              <c:pt idx="43">
                <c:v>0.435</c:v>
              </c:pt>
              <c:pt idx="44">
                <c:v>10.179607861768913</c:v>
              </c:pt>
              <c:pt idx="45">
                <c:v>3.4405060590269807</c:v>
              </c:pt>
              <c:pt idx="46">
                <c:v>4.8756249249456669</c:v>
              </c:pt>
              <c:pt idx="47">
                <c:v>3.9131853553119114</c:v>
              </c:pt>
              <c:pt idx="48">
                <c:v>19.3</c:v>
              </c:pt>
              <c:pt idx="49">
                <c:v>2.5666666666666669</c:v>
              </c:pt>
              <c:pt idx="50">
                <c:v>10.179607861768913</c:v>
              </c:pt>
              <c:pt idx="51">
                <c:v>10.179607861768913</c:v>
              </c:pt>
              <c:pt idx="52">
                <c:v>1.9799249584797327</c:v>
              </c:pt>
              <c:pt idx="53">
                <c:v>10.179607861768913</c:v>
              </c:pt>
              <c:pt idx="54">
                <c:v>7.5485797897320221</c:v>
              </c:pt>
              <c:pt idx="55">
                <c:v>0.45128571428571423</c:v>
              </c:pt>
              <c:pt idx="56">
                <c:v>3.3181664209701451</c:v>
              </c:pt>
              <c:pt idx="57">
                <c:v>11.116666666666667</c:v>
              </c:pt>
              <c:pt idx="58">
                <c:v>10.179607861768913</c:v>
              </c:pt>
              <c:pt idx="59">
                <c:v>3.1714285714285713</c:v>
              </c:pt>
              <c:pt idx="60">
                <c:v>3.5</c:v>
              </c:pt>
              <c:pt idx="61">
                <c:v>12.341428571428569</c:v>
              </c:pt>
              <c:pt idx="62">
                <c:v>6.4266196726625253</c:v>
              </c:pt>
              <c:pt idx="63">
                <c:v>3.4405060590269807</c:v>
              </c:pt>
              <c:pt idx="64">
                <c:v>4.458333333333333</c:v>
              </c:pt>
              <c:pt idx="65">
                <c:v>10.179607861768913</c:v>
              </c:pt>
              <c:pt idx="66">
                <c:v>10.179607861768913</c:v>
              </c:pt>
              <c:pt idx="67">
                <c:v>3.4405060590269807</c:v>
              </c:pt>
              <c:pt idx="68">
                <c:v>3.4405060590269807</c:v>
              </c:pt>
              <c:pt idx="69">
                <c:v>3.4405060590269807</c:v>
              </c:pt>
              <c:pt idx="70">
                <c:v>2.8192396588884496</c:v>
              </c:pt>
              <c:pt idx="71">
                <c:v>4</c:v>
              </c:pt>
              <c:pt idx="72">
                <c:v>16.000259005783949</c:v>
              </c:pt>
              <c:pt idx="73">
                <c:v>3.8000000000000003</c:v>
              </c:pt>
              <c:pt idx="74">
                <c:v>4.7415869034941336</c:v>
              </c:pt>
              <c:pt idx="75">
                <c:v>9.0775743914327158</c:v>
              </c:pt>
              <c:pt idx="76">
                <c:v>9.0775743914327158</c:v>
              </c:pt>
              <c:pt idx="77">
                <c:v>3.9285714285714284</c:v>
              </c:pt>
              <c:pt idx="78">
                <c:v>1.8778319080423929</c:v>
              </c:pt>
              <c:pt idx="79">
                <c:v>5.8231443522296473</c:v>
              </c:pt>
              <c:pt idx="80">
                <c:v>3.4405060590269807</c:v>
              </c:pt>
              <c:pt idx="81">
                <c:v>1.8166666666666664</c:v>
              </c:pt>
              <c:pt idx="82">
                <c:v>6.0333333333333323</c:v>
              </c:pt>
              <c:pt idx="83">
                <c:v>17.733333333333331</c:v>
              </c:pt>
              <c:pt idx="84">
                <c:v>15.965714285714288</c:v>
              </c:pt>
              <c:pt idx="85">
                <c:v>7.5485797897320221</c:v>
              </c:pt>
              <c:pt idx="86">
                <c:v>1.9</c:v>
              </c:pt>
              <c:pt idx="87">
                <c:v>7.0401813274763745</c:v>
              </c:pt>
              <c:pt idx="88">
                <c:v>5.25</c:v>
              </c:pt>
              <c:pt idx="89">
                <c:v>7.0401813274763745</c:v>
              </c:pt>
              <c:pt idx="90">
                <c:v>7.5485797897320221</c:v>
              </c:pt>
              <c:pt idx="91">
                <c:v>6.0719527887151497</c:v>
              </c:pt>
              <c:pt idx="92">
                <c:v>10.938169522894453</c:v>
              </c:pt>
              <c:pt idx="93">
                <c:v>3</c:v>
              </c:pt>
              <c:pt idx="94">
                <c:v>10.179607861768913</c:v>
              </c:pt>
              <c:pt idx="95">
                <c:v>6.8314285714285727</c:v>
              </c:pt>
              <c:pt idx="96">
                <c:v>0.51428571428571435</c:v>
              </c:pt>
              <c:pt idx="97">
                <c:v>10.950554124523267</c:v>
              </c:pt>
              <c:pt idx="98">
                <c:v>10.179607861768913</c:v>
              </c:pt>
              <c:pt idx="99">
                <c:v>10.179607861768913</c:v>
              </c:pt>
              <c:pt idx="100">
                <c:v>6.8999999999999995</c:v>
              </c:pt>
              <c:pt idx="101">
                <c:v>7.5485797897320221</c:v>
              </c:pt>
              <c:pt idx="102">
                <c:v>10.179607861768913</c:v>
              </c:pt>
              <c:pt idx="103">
                <c:v>3.1833333333333331</c:v>
              </c:pt>
              <c:pt idx="104">
                <c:v>7.5485797897320221</c:v>
              </c:pt>
              <c:pt idx="105">
                <c:v>10.179607861768913</c:v>
              </c:pt>
              <c:pt idx="106">
                <c:v>10.179607861768913</c:v>
              </c:pt>
              <c:pt idx="107">
                <c:v>2.6043120706341099</c:v>
              </c:pt>
              <c:pt idx="108">
                <c:v>7.5485797897320221</c:v>
              </c:pt>
              <c:pt idx="109">
                <c:v>8.0771428571428565</c:v>
              </c:pt>
              <c:pt idx="110">
                <c:v>7.0401813274763745</c:v>
              </c:pt>
              <c:pt idx="111">
                <c:v>7.4423473461344996</c:v>
              </c:pt>
              <c:pt idx="112">
                <c:v>10.085714285714285</c:v>
              </c:pt>
              <c:pt idx="113">
                <c:v>3.0298106399129163</c:v>
              </c:pt>
              <c:pt idx="114">
                <c:v>2.65</c:v>
              </c:pt>
              <c:pt idx="115">
                <c:v>7.5485797897320221</c:v>
              </c:pt>
              <c:pt idx="116">
                <c:v>1.8383333333333336</c:v>
              </c:pt>
              <c:pt idx="117">
                <c:v>2.8192396588884496</c:v>
              </c:pt>
              <c:pt idx="118">
                <c:v>3.4405060590269807</c:v>
              </c:pt>
              <c:pt idx="119">
                <c:v>10.179607861768913</c:v>
              </c:pt>
              <c:pt idx="120">
                <c:v>11.63</c:v>
              </c:pt>
              <c:pt idx="121">
                <c:v>0.85</c:v>
              </c:pt>
              <c:pt idx="122">
                <c:v>5</c:v>
              </c:pt>
              <c:pt idx="123">
                <c:v>10.031939402037365</c:v>
              </c:pt>
              <c:pt idx="124">
                <c:v>7.5485797897320221</c:v>
              </c:pt>
              <c:pt idx="125">
                <c:v>1.5984651030199084</c:v>
              </c:pt>
              <c:pt idx="126">
                <c:v>7.5485797897320221</c:v>
              </c:pt>
              <c:pt idx="127">
                <c:v>4.1316666666666668</c:v>
              </c:pt>
              <c:pt idx="128">
                <c:v>4.5783333333333323</c:v>
              </c:pt>
              <c:pt idx="129">
                <c:v>7.416666666666667</c:v>
              </c:pt>
              <c:pt idx="130">
                <c:v>8.5356922117479481</c:v>
              </c:pt>
              <c:pt idx="131">
                <c:v>2.0938737425988436</c:v>
              </c:pt>
              <c:pt idx="132">
                <c:v>3.4405060590269807</c:v>
              </c:pt>
              <c:pt idx="133">
                <c:v>9.0775743914327158</c:v>
              </c:pt>
              <c:pt idx="134">
                <c:v>8.120000000000001</c:v>
              </c:pt>
              <c:pt idx="135">
                <c:v>4.7714285714285722</c:v>
              </c:pt>
              <c:pt idx="136">
                <c:v>20.185714285714283</c:v>
              </c:pt>
              <c:pt idx="137">
                <c:v>7.5485797897320221</c:v>
              </c:pt>
              <c:pt idx="138">
                <c:v>10.179607861768913</c:v>
              </c:pt>
              <c:pt idx="139">
                <c:v>2.25</c:v>
              </c:pt>
              <c:pt idx="140">
                <c:v>16.283333333333335</c:v>
              </c:pt>
              <c:pt idx="141">
                <c:v>7.0401813274763745</c:v>
              </c:pt>
              <c:pt idx="142">
                <c:v>10.179607861768913</c:v>
              </c:pt>
              <c:pt idx="143">
                <c:v>21.755831585147753</c:v>
              </c:pt>
              <c:pt idx="144">
                <c:v>2.85</c:v>
              </c:pt>
              <c:pt idx="145">
                <c:v>3.8471428571428574</c:v>
              </c:pt>
              <c:pt idx="146">
                <c:v>2.34</c:v>
              </c:pt>
              <c:pt idx="147">
                <c:v>7.5485797897320221</c:v>
              </c:pt>
              <c:pt idx="148">
                <c:v>3.0785714285714287</c:v>
              </c:pt>
              <c:pt idx="149">
                <c:v>2.4867842240442912</c:v>
              </c:pt>
              <c:pt idx="150">
                <c:v>7.5485797897320221</c:v>
              </c:pt>
              <c:pt idx="151">
                <c:v>3.4405060590269807</c:v>
              </c:pt>
              <c:pt idx="152">
                <c:v>3.4405060590269807</c:v>
              </c:pt>
              <c:pt idx="153">
                <c:v>3.4405060590269807</c:v>
              </c:pt>
              <c:pt idx="154">
                <c:v>10.179607861768913</c:v>
              </c:pt>
              <c:pt idx="155">
                <c:v>3.4405060590269807</c:v>
              </c:pt>
              <c:pt idx="156">
                <c:v>7.5166666666666666</c:v>
              </c:pt>
              <c:pt idx="157">
                <c:v>1.0499050885438228</c:v>
              </c:pt>
              <c:pt idx="158">
                <c:v>0.48081584692351864</c:v>
              </c:pt>
              <c:pt idx="159">
                <c:v>9.0775743914327158</c:v>
              </c:pt>
              <c:pt idx="160">
                <c:v>7.5485797897320221</c:v>
              </c:pt>
              <c:pt idx="161">
                <c:v>7.0401813274763745</c:v>
              </c:pt>
              <c:pt idx="162">
                <c:v>10.179607861768913</c:v>
              </c:pt>
              <c:pt idx="163">
                <c:v>7.557090171160449</c:v>
              </c:pt>
              <c:pt idx="164">
                <c:v>7.5485797897320221</c:v>
              </c:pt>
              <c:pt idx="165">
                <c:v>10.179607861768913</c:v>
              </c:pt>
              <c:pt idx="166">
                <c:v>7.5485797897320221</c:v>
              </c:pt>
              <c:pt idx="167">
                <c:v>3.4405060590269807</c:v>
              </c:pt>
              <c:pt idx="168">
                <c:v>17.614285714285717</c:v>
              </c:pt>
              <c:pt idx="169">
                <c:v>4.7609342718331105</c:v>
              </c:pt>
              <c:pt idx="170">
                <c:v>3.089099199278825</c:v>
              </c:pt>
              <c:pt idx="171">
                <c:v>25.690724488891789</c:v>
              </c:pt>
              <c:pt idx="172">
                <c:v>6.1571428571428566</c:v>
              </c:pt>
              <c:pt idx="173">
                <c:v>1.6333333333333335</c:v>
              </c:pt>
              <c:pt idx="174">
                <c:v>2.5128571428571429</c:v>
              </c:pt>
              <c:pt idx="175">
                <c:v>2.2198293552604036</c:v>
              </c:pt>
              <c:pt idx="176">
                <c:v>7.0401813274763745</c:v>
              </c:pt>
              <c:pt idx="177">
                <c:v>7.5485797897320221</c:v>
              </c:pt>
              <c:pt idx="178">
                <c:v>1.8024360920788149</c:v>
              </c:pt>
              <c:pt idx="179">
                <c:v>7.5485797897320221</c:v>
              </c:pt>
              <c:pt idx="180">
                <c:v>9.0775743914327158</c:v>
              </c:pt>
              <c:pt idx="181">
                <c:v>9.0775743914327158</c:v>
              </c:pt>
              <c:pt idx="182">
                <c:v>10.179607861768913</c:v>
              </c:pt>
              <c:pt idx="183">
                <c:v>10.179607861768913</c:v>
              </c:pt>
            </c:numLit>
          </c:xVal>
          <c:yVal>
            <c:numLit>
              <c:formatCode>General</c:formatCode>
              <c:ptCount val="184"/>
              <c:pt idx="0">
                <c:v>18.446439877799925</c:v>
              </c:pt>
              <c:pt idx="1">
                <c:v>18.209260348599422</c:v>
              </c:pt>
              <c:pt idx="2">
                <c:v>16.007592592592591</c:v>
              </c:pt>
              <c:pt idx="3">
                <c:v>18.195419580419578</c:v>
              </c:pt>
              <c:pt idx="4">
                <c:v>15.1948169275505</c:v>
              </c:pt>
              <c:pt idx="5">
                <c:v>16.400000000000002</c:v>
              </c:pt>
              <c:pt idx="6">
                <c:v>31.059308719508241</c:v>
              </c:pt>
              <c:pt idx="7">
                <c:v>10.765833333333333</c:v>
              </c:pt>
              <c:pt idx="8">
                <c:v>12.881666666666668</c:v>
              </c:pt>
              <c:pt idx="9">
                <c:v>18.446439877799925</c:v>
              </c:pt>
              <c:pt idx="10">
                <c:v>15.1948169275505</c:v>
              </c:pt>
              <c:pt idx="11">
                <c:v>16.007592592592591</c:v>
              </c:pt>
              <c:pt idx="12">
                <c:v>7.3599999999999994</c:v>
              </c:pt>
              <c:pt idx="13">
                <c:v>22.731666666666666</c:v>
              </c:pt>
              <c:pt idx="14">
                <c:v>13.35</c:v>
              </c:pt>
              <c:pt idx="15">
                <c:v>15.1948169275505</c:v>
              </c:pt>
              <c:pt idx="16">
                <c:v>18.195419580419578</c:v>
              </c:pt>
              <c:pt idx="17">
                <c:v>12.748324098086011</c:v>
              </c:pt>
              <c:pt idx="18">
                <c:v>13.746666666666668</c:v>
              </c:pt>
              <c:pt idx="19">
                <c:v>17.351261705054313</c:v>
              </c:pt>
              <c:pt idx="20">
                <c:v>18.195419580419578</c:v>
              </c:pt>
              <c:pt idx="21">
                <c:v>18.449538365978785</c:v>
              </c:pt>
              <c:pt idx="22">
                <c:v>12.874231333263134</c:v>
              </c:pt>
              <c:pt idx="23">
                <c:v>15.4</c:v>
              </c:pt>
              <c:pt idx="24">
                <c:v>18.195419580419578</c:v>
              </c:pt>
              <c:pt idx="25">
                <c:v>18.195419580419578</c:v>
              </c:pt>
              <c:pt idx="26">
                <c:v>12.748324098086011</c:v>
              </c:pt>
              <c:pt idx="27">
                <c:v>18.195419580419578</c:v>
              </c:pt>
              <c:pt idx="28">
                <c:v>12.926666666666668</c:v>
              </c:pt>
              <c:pt idx="29">
                <c:v>18.195419580419578</c:v>
              </c:pt>
              <c:pt idx="30">
                <c:v>18.195419580419578</c:v>
              </c:pt>
              <c:pt idx="31">
                <c:v>18.195419580419578</c:v>
              </c:pt>
              <c:pt idx="32">
                <c:v>13.011666666666665</c:v>
              </c:pt>
              <c:pt idx="33">
                <c:v>5.5258547008547003</c:v>
              </c:pt>
              <c:pt idx="34">
                <c:v>14.008685988488191</c:v>
              </c:pt>
              <c:pt idx="35">
                <c:v>18.195419580419578</c:v>
              </c:pt>
              <c:pt idx="36">
                <c:v>18.195419580419578</c:v>
              </c:pt>
              <c:pt idx="37">
                <c:v>18.195419580419578</c:v>
              </c:pt>
              <c:pt idx="38">
                <c:v>17.299999999999997</c:v>
              </c:pt>
              <c:pt idx="39">
                <c:v>18.195419580419578</c:v>
              </c:pt>
              <c:pt idx="40">
                <c:v>15.676903426794416</c:v>
              </c:pt>
              <c:pt idx="41">
                <c:v>18.446439877799925</c:v>
              </c:pt>
              <c:pt idx="42">
                <c:v>12.25</c:v>
              </c:pt>
              <c:pt idx="43">
                <c:v>13.189250000000001</c:v>
              </c:pt>
              <c:pt idx="44">
                <c:v>18.195419580419578</c:v>
              </c:pt>
              <c:pt idx="45">
                <c:v>15.1948169275505</c:v>
              </c:pt>
              <c:pt idx="46">
                <c:v>13.122719478436906</c:v>
              </c:pt>
              <c:pt idx="47">
                <c:v>12.514093579351185</c:v>
              </c:pt>
              <c:pt idx="48">
                <c:v>14.1</c:v>
              </c:pt>
              <c:pt idx="49">
                <c:v>14.351666666666667</c:v>
              </c:pt>
              <c:pt idx="50">
                <c:v>18.195419580419578</c:v>
              </c:pt>
              <c:pt idx="51">
                <c:v>18.195419580419578</c:v>
              </c:pt>
              <c:pt idx="52">
                <c:v>12.144062256654339</c:v>
              </c:pt>
              <c:pt idx="53">
                <c:v>18.195419580419578</c:v>
              </c:pt>
              <c:pt idx="54">
                <c:v>12.748324098086011</c:v>
              </c:pt>
              <c:pt idx="55">
                <c:v>16.059999999999999</c:v>
              </c:pt>
              <c:pt idx="56">
                <c:v>10.98</c:v>
              </c:pt>
              <c:pt idx="57">
                <c:v>18.72</c:v>
              </c:pt>
              <c:pt idx="58">
                <c:v>18.195419580419578</c:v>
              </c:pt>
              <c:pt idx="59">
                <c:v>30.599999999999998</c:v>
              </c:pt>
              <c:pt idx="60">
                <c:v>12.72</c:v>
              </c:pt>
              <c:pt idx="61">
                <c:v>15.016666666666666</c:v>
              </c:pt>
              <c:pt idx="62">
                <c:v>11.754593612305994</c:v>
              </c:pt>
              <c:pt idx="63">
                <c:v>15.1948169275505</c:v>
              </c:pt>
              <c:pt idx="64">
                <c:v>13.983333333333333</c:v>
              </c:pt>
              <c:pt idx="65">
                <c:v>18.195419580419578</c:v>
              </c:pt>
              <c:pt idx="66">
                <c:v>18.195419580419578</c:v>
              </c:pt>
              <c:pt idx="67">
                <c:v>15.1948169275505</c:v>
              </c:pt>
              <c:pt idx="68">
                <c:v>15.1948169275505</c:v>
              </c:pt>
              <c:pt idx="69">
                <c:v>15.1948169275505</c:v>
              </c:pt>
              <c:pt idx="70">
                <c:v>14.983333333333334</c:v>
              </c:pt>
              <c:pt idx="71">
                <c:v>11.599214773572998</c:v>
              </c:pt>
              <c:pt idx="72">
                <c:v>13.20925337519755</c:v>
              </c:pt>
              <c:pt idx="73">
                <c:v>12.75</c:v>
              </c:pt>
              <c:pt idx="74">
                <c:v>18.923333333333332</c:v>
              </c:pt>
              <c:pt idx="75">
                <c:v>16.007592592592591</c:v>
              </c:pt>
              <c:pt idx="76">
                <c:v>16.007592592592591</c:v>
              </c:pt>
              <c:pt idx="77">
                <c:v>11.233333333333334</c:v>
              </c:pt>
              <c:pt idx="78">
                <c:v>11.158333333333333</c:v>
              </c:pt>
              <c:pt idx="79">
                <c:v>10.819999999999999</c:v>
              </c:pt>
              <c:pt idx="80">
                <c:v>15.1948169275505</c:v>
              </c:pt>
              <c:pt idx="81">
                <c:v>12.656666666666666</c:v>
              </c:pt>
              <c:pt idx="82">
                <c:v>19.216666666666665</c:v>
              </c:pt>
              <c:pt idx="83">
                <c:v>10.833333333333336</c:v>
              </c:pt>
              <c:pt idx="84">
                <c:v>17.716666666666669</c:v>
              </c:pt>
              <c:pt idx="85">
                <c:v>12.748324098086011</c:v>
              </c:pt>
              <c:pt idx="86">
                <c:v>12.785000000000002</c:v>
              </c:pt>
              <c:pt idx="87">
                <c:v>18.446439877799925</c:v>
              </c:pt>
              <c:pt idx="88">
                <c:v>18.98</c:v>
              </c:pt>
              <c:pt idx="89">
                <c:v>18.446439877799925</c:v>
              </c:pt>
              <c:pt idx="90">
                <c:v>12.748324098086011</c:v>
              </c:pt>
              <c:pt idx="91">
                <c:v>11.583333333333334</c:v>
              </c:pt>
              <c:pt idx="92">
                <c:v>17.668333333333333</c:v>
              </c:pt>
              <c:pt idx="93">
                <c:v>17.833333333333332</c:v>
              </c:pt>
              <c:pt idx="94">
                <c:v>18.195419580419578</c:v>
              </c:pt>
              <c:pt idx="95">
                <c:v>11.916666666666666</c:v>
              </c:pt>
              <c:pt idx="96">
                <c:v>15.916666666666666</c:v>
              </c:pt>
              <c:pt idx="97">
                <c:v>18.716666666666665</c:v>
              </c:pt>
              <c:pt idx="98">
                <c:v>18.195419580419578</c:v>
              </c:pt>
              <c:pt idx="99">
                <c:v>18.195419580419578</c:v>
              </c:pt>
              <c:pt idx="100">
                <c:v>13.683333333333332</c:v>
              </c:pt>
              <c:pt idx="101">
                <c:v>12.748324098086011</c:v>
              </c:pt>
              <c:pt idx="102">
                <c:v>18.195419580419578</c:v>
              </c:pt>
              <c:pt idx="103">
                <c:v>20.48</c:v>
              </c:pt>
              <c:pt idx="104">
                <c:v>12.748324098086011</c:v>
              </c:pt>
              <c:pt idx="105">
                <c:v>18.195419580419578</c:v>
              </c:pt>
              <c:pt idx="106">
                <c:v>18.195419580419578</c:v>
              </c:pt>
              <c:pt idx="107">
                <c:v>15.265225637963534</c:v>
              </c:pt>
              <c:pt idx="108">
                <c:v>12.748324098086011</c:v>
              </c:pt>
              <c:pt idx="109">
                <c:v>30.070000000000004</c:v>
              </c:pt>
              <c:pt idx="110">
                <c:v>18.446439877799925</c:v>
              </c:pt>
              <c:pt idx="111">
                <c:v>20.901059536947976</c:v>
              </c:pt>
              <c:pt idx="112">
                <c:v>11.299999999999999</c:v>
              </c:pt>
              <c:pt idx="113">
                <c:v>15.056000000000001</c:v>
              </c:pt>
              <c:pt idx="114">
                <c:v>15.300000000000002</c:v>
              </c:pt>
              <c:pt idx="115">
                <c:v>12.748324098086011</c:v>
              </c:pt>
              <c:pt idx="116">
                <c:v>12.512105890956155</c:v>
              </c:pt>
              <c:pt idx="117">
                <c:v>12.874231333263134</c:v>
              </c:pt>
              <c:pt idx="118">
                <c:v>15.1948169275505</c:v>
              </c:pt>
              <c:pt idx="119">
                <c:v>18.195419580419578</c:v>
              </c:pt>
              <c:pt idx="120">
                <c:v>19.915000000000003</c:v>
              </c:pt>
              <c:pt idx="121">
                <c:v>11.716666666666667</c:v>
              </c:pt>
              <c:pt idx="122">
                <c:v>16.55</c:v>
              </c:pt>
              <c:pt idx="123">
                <c:v>12.1968491949445</c:v>
              </c:pt>
              <c:pt idx="124">
                <c:v>12.748324098086011</c:v>
              </c:pt>
              <c:pt idx="125">
                <c:v>15.690400000000002</c:v>
              </c:pt>
              <c:pt idx="126">
                <c:v>12.748324098086011</c:v>
              </c:pt>
              <c:pt idx="127">
                <c:v>18.8</c:v>
              </c:pt>
              <c:pt idx="128">
                <c:v>12.626666666666667</c:v>
              </c:pt>
              <c:pt idx="129">
                <c:v>16.764999999999997</c:v>
              </c:pt>
              <c:pt idx="130">
                <c:v>13.166666666666664</c:v>
              </c:pt>
              <c:pt idx="131">
                <c:v>10.450000000000001</c:v>
              </c:pt>
              <c:pt idx="132">
                <c:v>15.1948169275505</c:v>
              </c:pt>
              <c:pt idx="133">
                <c:v>16.007592592592591</c:v>
              </c:pt>
              <c:pt idx="134">
                <c:v>16.850000000000001</c:v>
              </c:pt>
              <c:pt idx="135">
                <c:v>16.852500000000003</c:v>
              </c:pt>
              <c:pt idx="136">
                <c:v>15.783333333333333</c:v>
              </c:pt>
              <c:pt idx="137">
                <c:v>12.748324098086011</c:v>
              </c:pt>
              <c:pt idx="138">
                <c:v>18.195419580419578</c:v>
              </c:pt>
              <c:pt idx="139">
                <c:v>18.82</c:v>
              </c:pt>
              <c:pt idx="140">
                <c:v>13.25</c:v>
              </c:pt>
              <c:pt idx="141">
                <c:v>24.933333333333334</c:v>
              </c:pt>
              <c:pt idx="142">
                <c:v>18.195419580419578</c:v>
              </c:pt>
              <c:pt idx="143">
                <c:v>36.966666666666669</c:v>
              </c:pt>
              <c:pt idx="144">
                <c:v>15.35</c:v>
              </c:pt>
              <c:pt idx="145">
                <c:v>13.788333333333334</c:v>
              </c:pt>
              <c:pt idx="146">
                <c:v>11.303333333333333</c:v>
              </c:pt>
              <c:pt idx="147">
                <c:v>12.748324098086011</c:v>
              </c:pt>
              <c:pt idx="148">
                <c:v>12.966666666666667</c:v>
              </c:pt>
              <c:pt idx="149">
                <c:v>11.133333333333335</c:v>
              </c:pt>
              <c:pt idx="150">
                <c:v>12.748324098086011</c:v>
              </c:pt>
              <c:pt idx="151">
                <c:v>15.1948169275505</c:v>
              </c:pt>
              <c:pt idx="152">
                <c:v>15.1948169275505</c:v>
              </c:pt>
              <c:pt idx="153">
                <c:v>15.1948169275505</c:v>
              </c:pt>
              <c:pt idx="154">
                <c:v>18.195419580419578</c:v>
              </c:pt>
              <c:pt idx="155">
                <c:v>15.1948169275505</c:v>
              </c:pt>
              <c:pt idx="156">
                <c:v>17.516666666666666</c:v>
              </c:pt>
              <c:pt idx="157">
                <c:v>10.487906653665297</c:v>
              </c:pt>
              <c:pt idx="158">
                <c:v>13.69675223996316</c:v>
              </c:pt>
              <c:pt idx="159">
                <c:v>16.007592592592591</c:v>
              </c:pt>
              <c:pt idx="160">
                <c:v>12.748324098086011</c:v>
              </c:pt>
              <c:pt idx="161">
                <c:v>18.446439877799925</c:v>
              </c:pt>
              <c:pt idx="162">
                <c:v>18.195419580419578</c:v>
              </c:pt>
              <c:pt idx="163">
                <c:v>13.563999999999998</c:v>
              </c:pt>
              <c:pt idx="164">
                <c:v>12.748324098086011</c:v>
              </c:pt>
              <c:pt idx="165">
                <c:v>18.195419580419578</c:v>
              </c:pt>
              <c:pt idx="166">
                <c:v>12.748324098086011</c:v>
              </c:pt>
              <c:pt idx="167">
                <c:v>15.1948169275505</c:v>
              </c:pt>
              <c:pt idx="168">
                <c:v>11.819999999999999</c:v>
              </c:pt>
              <c:pt idx="169">
                <c:v>21.863333333333333</c:v>
              </c:pt>
              <c:pt idx="170">
                <c:v>19.680000000000003</c:v>
              </c:pt>
              <c:pt idx="171">
                <c:v>14.916666666666666</c:v>
              </c:pt>
              <c:pt idx="172">
                <c:v>16.150000000000002</c:v>
              </c:pt>
              <c:pt idx="173">
                <c:v>12.86</c:v>
              </c:pt>
              <c:pt idx="174">
                <c:v>13.136666666666668</c:v>
              </c:pt>
              <c:pt idx="175">
                <c:v>18.794999999999998</c:v>
              </c:pt>
              <c:pt idx="176">
                <c:v>18.446439877799925</c:v>
              </c:pt>
              <c:pt idx="177">
                <c:v>12.748324098086011</c:v>
              </c:pt>
              <c:pt idx="178">
                <c:v>15.051407790589417</c:v>
              </c:pt>
              <c:pt idx="179">
                <c:v>12.748324098086011</c:v>
              </c:pt>
              <c:pt idx="180">
                <c:v>16.007592592592591</c:v>
              </c:pt>
              <c:pt idx="181">
                <c:v>16.007592592592591</c:v>
              </c:pt>
              <c:pt idx="182">
                <c:v>18.195419580419578</c:v>
              </c:pt>
              <c:pt idx="183">
                <c:v>18.195419580419578</c:v>
              </c:pt>
            </c:numLit>
          </c:yVal>
          <c:smooth val="0"/>
        </c:ser>
        <c:dLbls>
          <c:showLegendKey val="0"/>
          <c:showVal val="0"/>
          <c:showCatName val="0"/>
          <c:showSerName val="0"/>
          <c:showPercent val="0"/>
          <c:showBubbleSize val="0"/>
        </c:dLbls>
        <c:axId val="1874750080"/>
        <c:axId val="1874752800"/>
      </c:scatterChart>
      <c:valAx>
        <c:axId val="187475008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874752800"/>
        <c:crosses val="autoZero"/>
        <c:crossBetween val="midCat"/>
      </c:valAx>
      <c:valAx>
        <c:axId val="1874752800"/>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874750080"/>
        <c:crosses val="autoZero"/>
        <c:crossBetween val="midCat"/>
      </c:valAx>
    </c:plotArea>
    <c:legend>
      <c:legendPos val="r"/>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lineChart>
        <c:grouping val="standard"/>
        <c:varyColors val="0"/>
        <c:ser>
          <c:idx val="0"/>
          <c:order val="0"/>
          <c:tx>
            <c:strRef>
              <c:f>Summary!$D$36</c:f>
              <c:strCache>
                <c:ptCount val="1"/>
                <c:pt idx="0">
                  <c:v>Total capital adequacy ratio (CAR)</c:v>
                </c:pt>
              </c:strCache>
            </c:strRef>
          </c:tx>
          <c:spPr>
            <a:ln w="22225" cap="rnd">
              <a:solidFill>
                <a:schemeClr val="accent1">
                  <a:shade val="50000"/>
                </a:schemeClr>
              </a:solidFill>
              <a:round/>
            </a:ln>
            <a:effectLst/>
          </c:spPr>
          <c:marker>
            <c:symbol val="none"/>
          </c:marker>
          <c:cat>
            <c:numRef>
              <c:f>(Summary!$K$35,Summary!$M$35,Summary!$O$35,Summary!$Q$35,Summary!$S$35,Summary!$U$35)</c:f>
              <c:numCache>
                <c:formatCode>General</c:formatCode>
                <c:ptCount val="6"/>
                <c:pt idx="0">
                  <c:v>2014</c:v>
                </c:pt>
                <c:pt idx="1">
                  <c:v>2015</c:v>
                </c:pt>
                <c:pt idx="2">
                  <c:v>2016</c:v>
                </c:pt>
                <c:pt idx="3">
                  <c:v>2017</c:v>
                </c:pt>
                <c:pt idx="4">
                  <c:v>2018</c:v>
                </c:pt>
                <c:pt idx="5">
                  <c:v>2019</c:v>
                </c:pt>
              </c:numCache>
            </c:numRef>
          </c:cat>
          <c:val>
            <c:numRef>
              <c:f>(Summary!$K$36,Summary!$M$36,Summary!$O$36,Summary!$Q$36,Summary!$S$36,Summary!$U$36)</c:f>
              <c:numCache>
                <c:formatCode>0.00%</c:formatCode>
                <c:ptCount val="6"/>
                <c:pt idx="0">
                  <c:v>0.20223738591877052</c:v>
                </c:pt>
                <c:pt idx="1">
                  <c:v>6.1755393791658376E-2</c:v>
                </c:pt>
                <c:pt idx="2">
                  <c:v>5.8518290792792242E-2</c:v>
                </c:pt>
                <c:pt idx="3">
                  <c:v>5.7332399662878439E-2</c:v>
                </c:pt>
                <c:pt idx="4">
                  <c:v>5.4924063904357105E-2</c:v>
                </c:pt>
                <c:pt idx="5">
                  <c:v>5.1308297357644674E-2</c:v>
                </c:pt>
              </c:numCache>
            </c:numRef>
          </c:val>
          <c:smooth val="0"/>
        </c:ser>
        <c:ser>
          <c:idx val="3"/>
          <c:order val="1"/>
          <c:tx>
            <c:strRef>
              <c:f>Summary!$D$61</c:f>
              <c:strCache>
                <c:ptCount val="1"/>
                <c:pt idx="0">
                  <c:v>Net Losses/Profit</c:v>
                </c:pt>
              </c:strCache>
            </c:strRef>
          </c:tx>
          <c:spPr>
            <a:ln w="22225" cap="rnd">
              <a:solidFill>
                <a:schemeClr val="accent1">
                  <a:tint val="90000"/>
                </a:schemeClr>
              </a:solidFill>
              <a:round/>
            </a:ln>
            <a:effectLst/>
          </c:spPr>
          <c:marker>
            <c:symbol val="none"/>
          </c:marker>
          <c:cat>
            <c:numRef>
              <c:f>(Summary!$K$35,Summary!$M$35,Summary!$O$35,Summary!$Q$35,Summary!$S$35,Summary!$U$35)</c:f>
              <c:numCache>
                <c:formatCode>General</c:formatCode>
                <c:ptCount val="6"/>
                <c:pt idx="0">
                  <c:v>2014</c:v>
                </c:pt>
                <c:pt idx="1">
                  <c:v>2015</c:v>
                </c:pt>
                <c:pt idx="2">
                  <c:v>2016</c:v>
                </c:pt>
                <c:pt idx="3">
                  <c:v>2017</c:v>
                </c:pt>
                <c:pt idx="4">
                  <c:v>2018</c:v>
                </c:pt>
                <c:pt idx="5">
                  <c:v>2019</c:v>
                </c:pt>
              </c:numCache>
            </c:numRef>
          </c:cat>
          <c:val>
            <c:numRef>
              <c:f>(Summary!$K$61,Summary!$M$61,Summary!$O$61,Summary!$Q$61,Summary!$S$61,Summary!$U$61)</c:f>
              <c:numCache>
                <c:formatCode>0.00%</c:formatCode>
                <c:ptCount val="6"/>
                <c:pt idx="1">
                  <c:v>2.0062706399593716E-3</c:v>
                </c:pt>
                <c:pt idx="2">
                  <c:v>-2.802088200812883E-4</c:v>
                </c:pt>
                <c:pt idx="3">
                  <c:v>-1.7606166388894752E-3</c:v>
                </c:pt>
                <c:pt idx="4">
                  <c:v>-3.2846673134529041E-3</c:v>
                </c:pt>
                <c:pt idx="5">
                  <c:v>-4.8356181771938931E-3</c:v>
                </c:pt>
              </c:numCache>
            </c:numRef>
          </c:val>
          <c:smooth val="0"/>
        </c:ser>
        <c:ser>
          <c:idx val="4"/>
          <c:order val="2"/>
          <c:tx>
            <c:strRef>
              <c:f>Summary!$D$68</c:f>
              <c:strCache>
                <c:ptCount val="1"/>
                <c:pt idx="0">
                  <c:v>Leverage (capital/total credit)</c:v>
                </c:pt>
              </c:strCache>
            </c:strRef>
          </c:tx>
          <c:spPr>
            <a:ln w="22225" cap="rnd">
              <a:solidFill>
                <a:schemeClr val="accent1">
                  <a:tint val="70000"/>
                </a:schemeClr>
              </a:solidFill>
              <a:round/>
            </a:ln>
            <a:effectLst/>
          </c:spPr>
          <c:marker>
            <c:symbol val="none"/>
          </c:marker>
          <c:val>
            <c:numRef>
              <c:f>(Summary!$K$68,Summary!$M$68,Summary!$O$68,Summary!$Q$68,Summary!$S$68,Summary!$U$68)</c:f>
              <c:numCache>
                <c:formatCode>0.00%</c:formatCode>
                <c:ptCount val="6"/>
                <c:pt idx="0">
                  <c:v>0.23874290115691915</c:v>
                </c:pt>
                <c:pt idx="1">
                  <c:v>0.24268500047256139</c:v>
                </c:pt>
                <c:pt idx="2">
                  <c:v>0.17014640812291162</c:v>
                </c:pt>
                <c:pt idx="3">
                  <c:v>9.7877883968349552E-2</c:v>
                </c:pt>
                <c:pt idx="4">
                  <c:v>9.2354721386815622E-2</c:v>
                </c:pt>
                <c:pt idx="5">
                  <c:v>8.4400303437275878E-2</c:v>
                </c:pt>
              </c:numCache>
            </c:numRef>
          </c:val>
          <c:smooth val="0"/>
        </c:ser>
        <c:ser>
          <c:idx val="1"/>
          <c:order val="4"/>
          <c:tx>
            <c:strRef>
              <c:f>Summary!$D$63</c:f>
              <c:strCache>
                <c:ptCount val="1"/>
                <c:pt idx="0">
                  <c:v>Change in Risk weighted assets</c:v>
                </c:pt>
              </c:strCache>
            </c:strRef>
          </c:tx>
          <c:spPr>
            <a:ln w="22225" cap="rnd">
              <a:solidFill>
                <a:schemeClr val="accent1">
                  <a:shade val="70000"/>
                </a:schemeClr>
              </a:solidFill>
              <a:round/>
            </a:ln>
            <a:effectLst/>
          </c:spPr>
          <c:marker>
            <c:symbol val="none"/>
          </c:marker>
          <c:val>
            <c:numRef>
              <c:f>(Summary!$K$63,Summary!$M$63,Summary!$O$63,Summary!$Q$63,Summary!$S$63,Summary!$U$63)</c:f>
              <c:numCache>
                <c:formatCode>0.00%</c:formatCode>
                <c:ptCount val="6"/>
                <c:pt idx="1">
                  <c:v>-0.14148512744709182</c:v>
                </c:pt>
                <c:pt idx="2">
                  <c:v>-2.9568941787848427E-3</c:v>
                </c:pt>
                <c:pt idx="3">
                  <c:v>5.7472550897567226E-4</c:v>
                </c:pt>
                <c:pt idx="4">
                  <c:v>8.7633155493157394E-4</c:v>
                </c:pt>
                <c:pt idx="5">
                  <c:v>1.2198516304814597E-3</c:v>
                </c:pt>
              </c:numCache>
            </c:numRef>
          </c:val>
          <c:smooth val="0"/>
        </c:ser>
        <c:dLbls>
          <c:showLegendKey val="0"/>
          <c:showVal val="0"/>
          <c:showCatName val="0"/>
          <c:showSerName val="0"/>
          <c:showPercent val="0"/>
          <c:showBubbleSize val="0"/>
        </c:dLbls>
        <c:marker val="1"/>
        <c:smooth val="0"/>
        <c:axId val="1874754976"/>
        <c:axId val="1874755520"/>
      </c:lineChart>
      <c:lineChart>
        <c:grouping val="standard"/>
        <c:varyColors val="0"/>
        <c:ser>
          <c:idx val="5"/>
          <c:order val="3"/>
          <c:tx>
            <c:strRef>
              <c:f>Summary!$D$71</c:f>
              <c:strCache>
                <c:ptCount val="1"/>
                <c:pt idx="0">
                  <c:v>Dividend yield</c:v>
                </c:pt>
              </c:strCache>
            </c:strRef>
          </c:tx>
          <c:spPr>
            <a:ln w="22225" cap="rnd">
              <a:solidFill>
                <a:schemeClr val="accent6">
                  <a:lumMod val="50000"/>
                </a:schemeClr>
              </a:solidFill>
              <a:round/>
            </a:ln>
            <a:effectLst/>
          </c:spPr>
          <c:marker>
            <c:symbol val="none"/>
          </c:marker>
          <c:val>
            <c:numRef>
              <c:f>(Summary!$K$71,Summary!$M$71,Summary!$O$71,Summary!$Q$71,Summary!$S$71,Summary!$U$71)</c:f>
              <c:numCache>
                <c:formatCode>0.00%</c:formatCode>
                <c:ptCount val="6"/>
                <c:pt idx="0">
                  <c:v>6.372607774981022E-2</c:v>
                </c:pt>
                <c:pt idx="1">
                  <c:v>1.6243687528961794E-2</c:v>
                </c:pt>
                <c:pt idx="2">
                  <c:v>-2.3941986025658312E-3</c:v>
                </c:pt>
                <c:pt idx="3">
                  <c:v>-1.5354464920726479E-2</c:v>
                </c:pt>
                <c:pt idx="4">
                  <c:v>-2.9901896181359702E-2</c:v>
                </c:pt>
                <c:pt idx="5">
                  <c:v>-4.712315966642977E-2</c:v>
                </c:pt>
              </c:numCache>
            </c:numRef>
          </c:val>
          <c:smooth val="0"/>
        </c:ser>
        <c:ser>
          <c:idx val="2"/>
          <c:order val="5"/>
          <c:tx>
            <c:strRef>
              <c:f>Summary!$D$70</c:f>
              <c:strCache>
                <c:ptCount val="1"/>
                <c:pt idx="0">
                  <c:v>Return on total regulatory capital</c:v>
                </c:pt>
              </c:strCache>
            </c:strRef>
          </c:tx>
          <c:spPr>
            <a:ln w="22225" cap="rnd">
              <a:solidFill>
                <a:schemeClr val="accent6"/>
              </a:solidFill>
              <a:round/>
            </a:ln>
            <a:effectLst/>
          </c:spPr>
          <c:marker>
            <c:symbol val="none"/>
          </c:marker>
          <c:val>
            <c:numRef>
              <c:f>(Summary!$K$70,Summary!$M$70,Summary!$O$70,Summary!$Q$70,Summary!$S$70,Summary!$U$70)</c:f>
              <c:numCache>
                <c:formatCode>0.00%</c:formatCode>
                <c:ptCount val="6"/>
                <c:pt idx="0">
                  <c:v>5.6694234687762197E-2</c:v>
                </c:pt>
                <c:pt idx="1">
                  <c:v>3.2487375057923588E-2</c:v>
                </c:pt>
                <c:pt idx="2">
                  <c:v>-4.7883972051316623E-3</c:v>
                </c:pt>
                <c:pt idx="3">
                  <c:v>-3.0708929841452959E-2</c:v>
                </c:pt>
                <c:pt idx="4">
                  <c:v>-5.9803792362719405E-2</c:v>
                </c:pt>
                <c:pt idx="5">
                  <c:v>-9.4246319332859541E-2</c:v>
                </c:pt>
              </c:numCache>
            </c:numRef>
          </c:val>
          <c:smooth val="0"/>
        </c:ser>
        <c:dLbls>
          <c:showLegendKey val="0"/>
          <c:showVal val="0"/>
          <c:showCatName val="0"/>
          <c:showSerName val="0"/>
          <c:showPercent val="0"/>
          <c:showBubbleSize val="0"/>
        </c:dLbls>
        <c:marker val="1"/>
        <c:smooth val="0"/>
        <c:axId val="1874759328"/>
        <c:axId val="1874758784"/>
      </c:lineChart>
      <c:catAx>
        <c:axId val="1874754976"/>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874755520"/>
        <c:crosses val="autoZero"/>
        <c:auto val="1"/>
        <c:lblAlgn val="ctr"/>
        <c:lblOffset val="100"/>
        <c:noMultiLvlLbl val="0"/>
      </c:catAx>
      <c:valAx>
        <c:axId val="1874755520"/>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74754976"/>
        <c:crosses val="autoZero"/>
        <c:crossBetween val="between"/>
      </c:valAx>
      <c:valAx>
        <c:axId val="187475878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74759328"/>
        <c:crosses val="max"/>
        <c:crossBetween val="between"/>
      </c:valAx>
      <c:catAx>
        <c:axId val="1874759328"/>
        <c:scaling>
          <c:orientation val="minMax"/>
        </c:scaling>
        <c:delete val="1"/>
        <c:axPos val="b"/>
        <c:majorTickMark val="out"/>
        <c:minorTickMark val="none"/>
        <c:tickLblPos val="nextTo"/>
        <c:crossAx val="1874758784"/>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span"/>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6" Type="http://schemas.openxmlformats.org/officeDocument/2006/relationships/hyperlink" Target="#'Summary of Input Data'!S30"/><Relationship Id="rId21" Type="http://schemas.openxmlformats.org/officeDocument/2006/relationships/image" Target="../media/image19.png"/><Relationship Id="rId42" Type="http://schemas.openxmlformats.org/officeDocument/2006/relationships/hyperlink" Target="#Satellite!I20"/><Relationship Id="rId47" Type="http://schemas.openxmlformats.org/officeDocument/2006/relationships/image" Target="../media/image36.png"/><Relationship Id="rId63" Type="http://schemas.openxmlformats.org/officeDocument/2006/relationships/image" Target="../media/image44.png"/><Relationship Id="rId68" Type="http://schemas.openxmlformats.org/officeDocument/2006/relationships/hyperlink" Target="#Assumptions!H60"/><Relationship Id="rId84" Type="http://schemas.openxmlformats.org/officeDocument/2006/relationships/hyperlink" Target="#Sensitivity!L28"/><Relationship Id="rId89" Type="http://schemas.openxmlformats.org/officeDocument/2006/relationships/image" Target="../media/image57.png"/><Relationship Id="rId16" Type="http://schemas.openxmlformats.org/officeDocument/2006/relationships/image" Target="../media/image14.png"/><Relationship Id="rId11" Type="http://schemas.openxmlformats.org/officeDocument/2006/relationships/hyperlink" Target="#Input!V19"/><Relationship Id="rId32" Type="http://schemas.openxmlformats.org/officeDocument/2006/relationships/hyperlink" Target="#Parameters!M91"/><Relationship Id="rId37" Type="http://schemas.openxmlformats.org/officeDocument/2006/relationships/image" Target="../media/image29.png"/><Relationship Id="rId53" Type="http://schemas.openxmlformats.org/officeDocument/2006/relationships/image" Target="../media/image39.png"/><Relationship Id="rId58" Type="http://schemas.openxmlformats.org/officeDocument/2006/relationships/hyperlink" Target="#Assumptions!H36"/><Relationship Id="rId74" Type="http://schemas.openxmlformats.org/officeDocument/2006/relationships/hyperlink" Target="#Assumptions!M109"/><Relationship Id="rId79" Type="http://schemas.openxmlformats.org/officeDocument/2006/relationships/image" Target="../media/image52.png"/><Relationship Id="rId5" Type="http://schemas.openxmlformats.org/officeDocument/2006/relationships/hyperlink" Target="#Setup!D10"/><Relationship Id="rId90" Type="http://schemas.openxmlformats.org/officeDocument/2006/relationships/image" Target="../media/image1.png"/><Relationship Id="rId14" Type="http://schemas.openxmlformats.org/officeDocument/2006/relationships/image" Target="../media/image12.png"/><Relationship Id="rId22" Type="http://schemas.openxmlformats.org/officeDocument/2006/relationships/image" Target="../media/image20.png"/><Relationship Id="rId27" Type="http://schemas.openxmlformats.org/officeDocument/2006/relationships/image" Target="../media/image24.png"/><Relationship Id="rId30" Type="http://schemas.openxmlformats.org/officeDocument/2006/relationships/hyperlink" Target="#Parameters!L70"/><Relationship Id="rId35" Type="http://schemas.openxmlformats.org/officeDocument/2006/relationships/image" Target="../media/image28.png"/><Relationship Id="rId43" Type="http://schemas.openxmlformats.org/officeDocument/2006/relationships/image" Target="../media/image32.png"/><Relationship Id="rId48" Type="http://schemas.openxmlformats.org/officeDocument/2006/relationships/hyperlink" Target="#Assumptions!H20"/><Relationship Id="rId56" Type="http://schemas.openxmlformats.org/officeDocument/2006/relationships/hyperlink" Target="#Assumptions!H33"/><Relationship Id="rId64" Type="http://schemas.openxmlformats.org/officeDocument/2006/relationships/hyperlink" Target="#Assumptions!H50"/><Relationship Id="rId69" Type="http://schemas.openxmlformats.org/officeDocument/2006/relationships/image" Target="../media/image47.png"/><Relationship Id="rId77" Type="http://schemas.openxmlformats.org/officeDocument/2006/relationships/image" Target="../media/image51.png"/><Relationship Id="rId8" Type="http://schemas.openxmlformats.org/officeDocument/2006/relationships/image" Target="../media/image8.png"/><Relationship Id="rId51" Type="http://schemas.openxmlformats.org/officeDocument/2006/relationships/image" Target="../media/image38.png"/><Relationship Id="rId72" Type="http://schemas.openxmlformats.org/officeDocument/2006/relationships/hyperlink" Target="#Assumptions!M95"/><Relationship Id="rId80" Type="http://schemas.openxmlformats.org/officeDocument/2006/relationships/hyperlink" Target="#Sensitivity!G21"/><Relationship Id="rId85" Type="http://schemas.openxmlformats.org/officeDocument/2006/relationships/image" Target="../media/image55.png"/><Relationship Id="rId3" Type="http://schemas.openxmlformats.org/officeDocument/2006/relationships/hyperlink" Target="#Setup!B7"/><Relationship Id="rId12" Type="http://schemas.openxmlformats.org/officeDocument/2006/relationships/image" Target="../media/image10.png"/><Relationship Id="rId17" Type="http://schemas.openxmlformats.org/officeDocument/2006/relationships/image" Target="../media/image15.png"/><Relationship Id="rId25" Type="http://schemas.openxmlformats.org/officeDocument/2006/relationships/image" Target="../media/image23.png"/><Relationship Id="rId33" Type="http://schemas.openxmlformats.org/officeDocument/2006/relationships/image" Target="../media/image27.png"/><Relationship Id="rId38" Type="http://schemas.openxmlformats.org/officeDocument/2006/relationships/hyperlink" Target="#Parameters!I319"/><Relationship Id="rId46" Type="http://schemas.openxmlformats.org/officeDocument/2006/relationships/image" Target="../media/image35.png"/><Relationship Id="rId59" Type="http://schemas.openxmlformats.org/officeDocument/2006/relationships/image" Target="../media/image42.png"/><Relationship Id="rId67" Type="http://schemas.openxmlformats.org/officeDocument/2006/relationships/image" Target="../media/image46.png"/><Relationship Id="rId20" Type="http://schemas.openxmlformats.org/officeDocument/2006/relationships/image" Target="../media/image18.png"/><Relationship Id="rId41" Type="http://schemas.openxmlformats.org/officeDocument/2006/relationships/image" Target="../media/image31.png"/><Relationship Id="rId54" Type="http://schemas.openxmlformats.org/officeDocument/2006/relationships/hyperlink" Target="#Assumptions!H26"/><Relationship Id="rId62" Type="http://schemas.openxmlformats.org/officeDocument/2006/relationships/hyperlink" Target="#Assumptions!K45"/><Relationship Id="rId70" Type="http://schemas.openxmlformats.org/officeDocument/2006/relationships/hyperlink" Target="#Assumptions!H77"/><Relationship Id="rId75" Type="http://schemas.openxmlformats.org/officeDocument/2006/relationships/image" Target="../media/image50.png"/><Relationship Id="rId83" Type="http://schemas.openxmlformats.org/officeDocument/2006/relationships/image" Target="../media/image54.png"/><Relationship Id="rId88" Type="http://schemas.openxmlformats.org/officeDocument/2006/relationships/hyperlink" Target="#Sensitivity!S37"/><Relationship Id="rId1" Type="http://schemas.openxmlformats.org/officeDocument/2006/relationships/image" Target="../media/image4.png"/><Relationship Id="rId6" Type="http://schemas.openxmlformats.org/officeDocument/2006/relationships/image" Target="../media/image7.png"/><Relationship Id="rId15" Type="http://schemas.openxmlformats.org/officeDocument/2006/relationships/image" Target="../media/image13.png"/><Relationship Id="rId23" Type="http://schemas.openxmlformats.org/officeDocument/2006/relationships/image" Target="../media/image21.png"/><Relationship Id="rId28" Type="http://schemas.openxmlformats.org/officeDocument/2006/relationships/hyperlink" Target="#Parameters!J19"/><Relationship Id="rId36" Type="http://schemas.openxmlformats.org/officeDocument/2006/relationships/hyperlink" Target="#Parameters!E239"/><Relationship Id="rId49" Type="http://schemas.openxmlformats.org/officeDocument/2006/relationships/image" Target="../media/image37.png"/><Relationship Id="rId57" Type="http://schemas.openxmlformats.org/officeDocument/2006/relationships/image" Target="../media/image41.png"/><Relationship Id="rId10" Type="http://schemas.openxmlformats.org/officeDocument/2006/relationships/image" Target="../media/image9.png"/><Relationship Id="rId31" Type="http://schemas.openxmlformats.org/officeDocument/2006/relationships/image" Target="../media/image26.png"/><Relationship Id="rId44" Type="http://schemas.openxmlformats.org/officeDocument/2006/relationships/image" Target="../media/image33.png"/><Relationship Id="rId52" Type="http://schemas.openxmlformats.org/officeDocument/2006/relationships/hyperlink" Target="#Assumptions!H22"/><Relationship Id="rId60" Type="http://schemas.openxmlformats.org/officeDocument/2006/relationships/hyperlink" Target="#Satellite!H39"/><Relationship Id="rId65" Type="http://schemas.openxmlformats.org/officeDocument/2006/relationships/image" Target="../media/image45.png"/><Relationship Id="rId73" Type="http://schemas.openxmlformats.org/officeDocument/2006/relationships/image" Target="../media/image49.png"/><Relationship Id="rId78" Type="http://schemas.openxmlformats.org/officeDocument/2006/relationships/hyperlink" Target="#Summary!G21"/><Relationship Id="rId81" Type="http://schemas.openxmlformats.org/officeDocument/2006/relationships/image" Target="../media/image53.png"/><Relationship Id="rId86" Type="http://schemas.openxmlformats.org/officeDocument/2006/relationships/hyperlink" Target="#Sensitivity!L33"/><Relationship Id="rId4" Type="http://schemas.openxmlformats.org/officeDocument/2006/relationships/image" Target="../media/image6.png"/><Relationship Id="rId9" Type="http://schemas.openxmlformats.org/officeDocument/2006/relationships/hyperlink" Target="#Input!M17"/><Relationship Id="rId13" Type="http://schemas.openxmlformats.org/officeDocument/2006/relationships/image" Target="../media/image11.png"/><Relationship Id="rId18" Type="http://schemas.openxmlformats.org/officeDocument/2006/relationships/image" Target="../media/image16.png"/><Relationship Id="rId39" Type="http://schemas.openxmlformats.org/officeDocument/2006/relationships/image" Target="../media/image30.png"/><Relationship Id="rId34" Type="http://schemas.openxmlformats.org/officeDocument/2006/relationships/hyperlink" Target="#Parameters!L222"/><Relationship Id="rId50" Type="http://schemas.openxmlformats.org/officeDocument/2006/relationships/hyperlink" Target="#Assumptions!H21"/><Relationship Id="rId55" Type="http://schemas.openxmlformats.org/officeDocument/2006/relationships/image" Target="../media/image40.png"/><Relationship Id="rId76" Type="http://schemas.openxmlformats.org/officeDocument/2006/relationships/hyperlink" Target="#Assumptions!H115"/><Relationship Id="rId7" Type="http://schemas.openxmlformats.org/officeDocument/2006/relationships/hyperlink" Target="#Setup!P10"/><Relationship Id="rId71" Type="http://schemas.openxmlformats.org/officeDocument/2006/relationships/image" Target="../media/image48.png"/><Relationship Id="rId2" Type="http://schemas.openxmlformats.org/officeDocument/2006/relationships/image" Target="../media/image5.png"/><Relationship Id="rId29" Type="http://schemas.openxmlformats.org/officeDocument/2006/relationships/image" Target="../media/image25.png"/><Relationship Id="rId24" Type="http://schemas.openxmlformats.org/officeDocument/2006/relationships/image" Target="../media/image22.png"/><Relationship Id="rId40" Type="http://schemas.openxmlformats.org/officeDocument/2006/relationships/hyperlink" Target="#Satellite!D21"/><Relationship Id="rId45" Type="http://schemas.openxmlformats.org/officeDocument/2006/relationships/image" Target="../media/image34.png"/><Relationship Id="rId66" Type="http://schemas.openxmlformats.org/officeDocument/2006/relationships/hyperlink" Target="#Assumptions!H59"/><Relationship Id="rId87" Type="http://schemas.openxmlformats.org/officeDocument/2006/relationships/image" Target="../media/image56.png"/><Relationship Id="rId61" Type="http://schemas.openxmlformats.org/officeDocument/2006/relationships/image" Target="../media/image43.png"/><Relationship Id="rId82" Type="http://schemas.openxmlformats.org/officeDocument/2006/relationships/hyperlink" Target="#Sensitivity!S24"/><Relationship Id="rId19"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59.png"/><Relationship Id="rId1" Type="http://schemas.openxmlformats.org/officeDocument/2006/relationships/image" Target="../media/image58.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59.png"/><Relationship Id="rId1" Type="http://schemas.openxmlformats.org/officeDocument/2006/relationships/image" Target="../media/image61.emf"/><Relationship Id="rId4" Type="http://schemas.openxmlformats.org/officeDocument/2006/relationships/image" Target="../media/image62.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59.png"/><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0.emf"/></Relationships>
</file>

<file path=xl/drawings/drawing1.xml><?xml version="1.0" encoding="utf-8"?>
<xdr:wsDr xmlns:xdr="http://schemas.openxmlformats.org/drawingml/2006/spreadsheetDrawing" xmlns:a="http://schemas.openxmlformats.org/drawingml/2006/main">
  <xdr:twoCellAnchor>
    <xdr:from>
      <xdr:col>55</xdr:col>
      <xdr:colOff>57150</xdr:colOff>
      <xdr:row>183</xdr:row>
      <xdr:rowOff>66675</xdr:rowOff>
    </xdr:from>
    <xdr:to>
      <xdr:col>62</xdr:col>
      <xdr:colOff>361950</xdr:colOff>
      <xdr:row>192</xdr:row>
      <xdr:rowOff>381000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17</xdr:col>
      <xdr:colOff>0</xdr:colOff>
      <xdr:row>9</xdr:row>
      <xdr:rowOff>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00" y="200025"/>
          <a:ext cx="9753600" cy="15240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104775</xdr:colOff>
          <xdr:row>13</xdr:row>
          <xdr:rowOff>152400</xdr:rowOff>
        </xdr:from>
        <xdr:to>
          <xdr:col>12</xdr:col>
          <xdr:colOff>828675</xdr:colOff>
          <xdr:row>16</xdr:row>
          <xdr:rowOff>0</xdr:rowOff>
        </xdr:to>
        <xdr:sp macro="" textlink="">
          <xdr:nvSpPr>
            <xdr:cNvPr id="24580" name="Button 4" hidden="1">
              <a:extLst>
                <a:ext uri="{63B3BB69-23CF-44E3-9099-C40C66FF867C}">
                  <a14:compatExt spid="_x0000_s245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Financial Data into Tool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9</xdr:row>
      <xdr:rowOff>190499</xdr:rowOff>
    </xdr:from>
    <xdr:to>
      <xdr:col>21</xdr:col>
      <xdr:colOff>0</xdr:colOff>
      <xdr:row>49</xdr:row>
      <xdr:rowOff>0</xdr:rowOff>
    </xdr:to>
    <xdr:sp macro="" textlink="">
      <xdr:nvSpPr>
        <xdr:cNvPr id="3" name="TextBox 2"/>
        <xdr:cNvSpPr txBox="1"/>
      </xdr:nvSpPr>
      <xdr:spPr>
        <a:xfrm>
          <a:off x="800100" y="1914524"/>
          <a:ext cx="11582400" cy="7429501"/>
        </a:xfrm>
        <a:prstGeom prst="rect">
          <a:avLst/>
        </a:prstGeom>
        <a:noFill/>
        <a:ln w="25400" cmpd="sng">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1</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SETUP</a:t>
          </a:r>
        </a:p>
        <a:p>
          <a:pPr>
            <a:lnSpc>
              <a:spcPct val="107000"/>
            </a:lnSpc>
            <a:spcAft>
              <a:spcPts val="0"/>
            </a:spcAft>
          </a:pPr>
          <a:r>
            <a:rPr lang="en-US" sz="1300" b="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a:t>
          </a:r>
          <a:r>
            <a:rPr lang="en-US" sz="1300" b="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Setup tab is where the first steps must be taken towards building a model that meets the user's needs. This tab defines the procedural and conceptual setting that is required to run the stress tests. The parameters help both to keep the tests flexible (the stress tester can define specific industry sectors, for example), but also to define calculation rules that allow for more sophisticated tests.</a:t>
          </a:r>
          <a:endParaRPr lang="en-US" sz="1300" b="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7000"/>
            </a:lnSpc>
            <a:spcBef>
              <a:spcPts val="0"/>
            </a:spcBef>
            <a:spcAft>
              <a:spcPts val="0"/>
            </a:spcAft>
            <a:buClrTx/>
            <a:buSzTx/>
            <a:buFontTx/>
            <a:buNone/>
            <a:tabLst/>
            <a:defRPr/>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r>
          <a:b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STEP 2</a:t>
          </a:r>
          <a:r>
            <a:rPr kumimoji="0" lang="en-US" sz="1300" b="0"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 </a:t>
          </a: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INPUT</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Entering the input data is the essential building block of the tool.  This includes adding the financial statements, regulatory, Basel approach, etc. for the bank being stressed.  </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3</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SUMMARY OF INPUT DATA</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This</a:t>
          </a:r>
          <a:r>
            <a:rPr lang="en-US" sz="130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is essentially a r</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eview of the input information.  This step supports reviewing the accuracy of the input bank information entered in the input step by displaying it in various calculated measurements.  An LGD assumption is also entered in this step.</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4</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PARAMETERS</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Here</a:t>
          </a:r>
          <a:r>
            <a:rPr lang="en-US" sz="130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the user can r</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eview and define some of the underlying assumptions for the stress tests. The tool has defaulted values, but these can be changed.  This step defines the conceptual setting for the scenario, which involves validating the scaling factors, setting the LGD intercept and slope, etc.</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5</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SATELLITE</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 tool supports performing the stress testing via Satellite (Macro) model and via Expert Judgement (Expert).  The Macro concept supports the definition of a Baseline stress and then three alternative scenarios (e.g. Moderate, Medium and Severe stresses). This step allows for definition of ‘Rule of Thumb’ values for the various Macro stress levels, which are overrides of the model calculations or allows for changes to the various parameters that feed the model calculations.</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6: ASSUMPTIONS</a:t>
          </a:r>
          <a:b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A key building block of stress tests is the definition of assumptions and scenarios. The tool has been designed in a flexible way to allow for various complementary analysis based on different assumptions, which can be composed automatically (by means of drop-down menus and specific fields), unless the stress tester seeks to define scenarios that differ across banks, for example (in which case he/she has to define them manually in the foreseen fields). </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7: SUMMARY</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This step reviews the outcomes of the specified stress scenario. Here the user can specify the stress applied – Macro (Baseline, Moderate, Medium and Severe) or Expert and view the changes to the resulting stressed measures.</a:t>
          </a:r>
        </a:p>
        <a:p>
          <a:pPr>
            <a:lnSpc>
              <a:spcPct val="107000"/>
            </a:lnSpc>
            <a:spcAft>
              <a:spcPts val="0"/>
            </a:spcAft>
          </a:pPr>
          <a:endParaRPr lang="en-US" sz="1300">
            <a:solidFill>
              <a:srgbClr val="222222"/>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0"/>
            </a:spcAft>
          </a:pP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STEP 8: SENSITIVITY</a:t>
          </a:r>
        </a:p>
        <a:p>
          <a:pPr marL="0" indent="0">
            <a:lnSpc>
              <a:spcPct val="107000"/>
            </a:lnSpc>
            <a:spcAft>
              <a:spcPts val="0"/>
            </a:spcAft>
          </a:pPr>
          <a:r>
            <a:rPr lang="en-CA" sz="130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 Sensitivity tab allows the user to compare the one-year effects of different shock scenarios</a:t>
          </a:r>
          <a:r>
            <a:rPr lang="en-CA" sz="1300" baseline="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to the model's one-year stressed values. This is a useful tool for calibrating the stress scenarios in the Assumptions tab to meet the specific needs of the user.</a:t>
          </a:r>
          <a:endParaRPr lang="en-US" sz="130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50</xdr:row>
      <xdr:rowOff>0</xdr:rowOff>
    </xdr:from>
    <xdr:to>
      <xdr:col>13</xdr:col>
      <xdr:colOff>0</xdr:colOff>
      <xdr:row>52</xdr:row>
      <xdr:rowOff>0</xdr:rowOff>
    </xdr:to>
    <xdr:pic macro="[0]!Steps_Next">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534525"/>
          <a:ext cx="1828800" cy="381000"/>
        </a:xfrm>
        <a:prstGeom prst="rect">
          <a:avLst/>
        </a:prstGeom>
      </xdr:spPr>
    </xdr:pic>
    <xdr:clientData/>
  </xdr:twoCellAnchor>
  <xdr:twoCellAnchor>
    <xdr:from>
      <xdr:col>10</xdr:col>
      <xdr:colOff>0</xdr:colOff>
      <xdr:row>54</xdr:row>
      <xdr:rowOff>0</xdr:rowOff>
    </xdr:from>
    <xdr:to>
      <xdr:col>13</xdr:col>
      <xdr:colOff>0</xdr:colOff>
      <xdr:row>56</xdr:row>
      <xdr:rowOff>0</xdr:rowOff>
    </xdr:to>
    <xdr:pic macro="[0]!Steps_Back">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0296525"/>
          <a:ext cx="1828800" cy="381000"/>
        </a:xfrm>
        <a:prstGeom prst="rect">
          <a:avLst/>
        </a:prstGeom>
      </xdr:spPr>
    </xdr:pic>
    <xdr:clientData/>
  </xdr:twoCellAnchor>
  <xdr:twoCellAnchor>
    <xdr:from>
      <xdr:col>7</xdr:col>
      <xdr:colOff>0</xdr:colOff>
      <xdr:row>57</xdr:row>
      <xdr:rowOff>171450</xdr:rowOff>
    </xdr:from>
    <xdr:to>
      <xdr:col>16</xdr:col>
      <xdr:colOff>0</xdr:colOff>
      <xdr:row>68</xdr:row>
      <xdr:rowOff>0</xdr:rowOff>
    </xdr:to>
    <xdr:sp macro="" textlink="">
      <xdr:nvSpPr>
        <xdr:cNvPr id="7" name="TextBox 6"/>
        <xdr:cNvSpPr txBox="1"/>
      </xdr:nvSpPr>
      <xdr:spPr>
        <a:xfrm>
          <a:off x="3848100" y="11058525"/>
          <a:ext cx="5486400" cy="19240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1.  SETUP</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1.1: Specify the credit loss definition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options are Losses/Provisions and PD/LGD</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choice depends on the availability and suitability of input data </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If PD/LGD is selected, expected losses are calculated in the tool as the product of the PDs and LGDs</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If Losses/Provisions is selected, the change in credit losses and/or impairments is calculated by the tool</a:t>
          </a:r>
        </a:p>
        <a:p>
          <a:endParaRPr lang="en-CA" sz="1100"/>
        </a:p>
      </xdr:txBody>
    </xdr:sp>
    <xdr:clientData/>
  </xdr:twoCellAnchor>
  <xdr:twoCellAnchor>
    <xdr:from>
      <xdr:col>9</xdr:col>
      <xdr:colOff>0</xdr:colOff>
      <xdr:row>68</xdr:row>
      <xdr:rowOff>114300</xdr:rowOff>
    </xdr:from>
    <xdr:to>
      <xdr:col>14</xdr:col>
      <xdr:colOff>0</xdr:colOff>
      <xdr:row>72</xdr:row>
      <xdr:rowOff>114300</xdr:rowOff>
    </xdr:to>
    <xdr:pic>
      <xdr:nvPicPr>
        <xdr:cNvPr id="10" name="Picture 9">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067300" y="13096875"/>
          <a:ext cx="3048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73</xdr:row>
      <xdr:rowOff>0</xdr:rowOff>
    </xdr:from>
    <xdr:to>
      <xdr:col>16</xdr:col>
      <xdr:colOff>0</xdr:colOff>
      <xdr:row>81</xdr:row>
      <xdr:rowOff>0</xdr:rowOff>
    </xdr:to>
    <xdr:sp macro="" textlink="">
      <xdr:nvSpPr>
        <xdr:cNvPr id="11" name="TextBox 10"/>
        <xdr:cNvSpPr txBox="1"/>
      </xdr:nvSpPr>
      <xdr:spPr>
        <a:xfrm>
          <a:off x="3848100" y="13935075"/>
          <a:ext cx="5486400" cy="152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1.2: Define the sectors for credit risk analysis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different:</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Broad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Fine-granular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Geographic Sectors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definitions depend on the availability and suitability of input data. Later in the tool, it can be specified which sectors will be stressed</a:t>
          </a:r>
        </a:p>
        <a:p>
          <a:endParaRPr lang="en-CA" sz="1100"/>
        </a:p>
      </xdr:txBody>
    </xdr:sp>
    <xdr:clientData/>
  </xdr:twoCellAnchor>
  <xdr:twoCellAnchor>
    <xdr:from>
      <xdr:col>8</xdr:col>
      <xdr:colOff>457200</xdr:colOff>
      <xdr:row>81</xdr:row>
      <xdr:rowOff>66675</xdr:rowOff>
    </xdr:from>
    <xdr:to>
      <xdr:col>14</xdr:col>
      <xdr:colOff>219075</xdr:colOff>
      <xdr:row>95</xdr:row>
      <xdr:rowOff>28575</xdr:rowOff>
    </xdr:to>
    <xdr:pic>
      <xdr:nvPicPr>
        <xdr:cNvPr id="12" name="Picture 11">
          <a:hlinkClick xmlns:r="http://schemas.openxmlformats.org/officeDocument/2006/relationships" r:id="rId5"/>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914900" y="15525750"/>
          <a:ext cx="3419475"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96</xdr:row>
      <xdr:rowOff>0</xdr:rowOff>
    </xdr:from>
    <xdr:to>
      <xdr:col>16</xdr:col>
      <xdr:colOff>0</xdr:colOff>
      <xdr:row>103</xdr:row>
      <xdr:rowOff>38100</xdr:rowOff>
    </xdr:to>
    <xdr:sp macro="" textlink="">
      <xdr:nvSpPr>
        <xdr:cNvPr id="13" name="TextBox 12"/>
        <xdr:cNvSpPr txBox="1"/>
      </xdr:nvSpPr>
      <xdr:spPr>
        <a:xfrm>
          <a:off x="3848100" y="18316575"/>
          <a:ext cx="5486400" cy="137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1.3: Define the asset classes for trading and investment portfolios and the currencies for FX stress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different:</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Asset classes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Major Currencies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classes are each stressed individually in the tool</a:t>
          </a:r>
        </a:p>
        <a:p>
          <a:endParaRPr lang="en-CA" sz="1100"/>
        </a:p>
      </xdr:txBody>
    </xdr:sp>
    <xdr:clientData/>
  </xdr:twoCellAnchor>
  <xdr:twoCellAnchor>
    <xdr:from>
      <xdr:col>8</xdr:col>
      <xdr:colOff>447675</xdr:colOff>
      <xdr:row>104</xdr:row>
      <xdr:rowOff>0</xdr:rowOff>
    </xdr:from>
    <xdr:to>
      <xdr:col>14</xdr:col>
      <xdr:colOff>142875</xdr:colOff>
      <xdr:row>118</xdr:row>
      <xdr:rowOff>104775</xdr:rowOff>
    </xdr:to>
    <xdr:pic>
      <xdr:nvPicPr>
        <xdr:cNvPr id="14" name="Picture 13">
          <a:hlinkClick xmlns:r="http://schemas.openxmlformats.org/officeDocument/2006/relationships" r:id="rId7"/>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905375" y="19840575"/>
          <a:ext cx="3352800" cy="277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120</xdr:row>
      <xdr:rowOff>0</xdr:rowOff>
    </xdr:from>
    <xdr:to>
      <xdr:col>13</xdr:col>
      <xdr:colOff>0</xdr:colOff>
      <xdr:row>122</xdr:row>
      <xdr:rowOff>0</xdr:rowOff>
    </xdr:to>
    <xdr:pic macro="[0]!Setup_Next">
      <xdr:nvPicPr>
        <xdr:cNvPr id="15" name="Picture 1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534525"/>
          <a:ext cx="1828800" cy="381000"/>
        </a:xfrm>
        <a:prstGeom prst="rect">
          <a:avLst/>
        </a:prstGeom>
      </xdr:spPr>
    </xdr:pic>
    <xdr:clientData/>
  </xdr:twoCellAnchor>
  <xdr:twoCellAnchor>
    <xdr:from>
      <xdr:col>10</xdr:col>
      <xdr:colOff>0</xdr:colOff>
      <xdr:row>124</xdr:row>
      <xdr:rowOff>0</xdr:rowOff>
    </xdr:from>
    <xdr:to>
      <xdr:col>13</xdr:col>
      <xdr:colOff>0</xdr:colOff>
      <xdr:row>126</xdr:row>
      <xdr:rowOff>0</xdr:rowOff>
    </xdr:to>
    <xdr:pic macro="[0]!Setup_Back">
      <xdr:nvPicPr>
        <xdr:cNvPr id="16" name="Picture 1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0296525"/>
          <a:ext cx="1828800" cy="381000"/>
        </a:xfrm>
        <a:prstGeom prst="rect">
          <a:avLst/>
        </a:prstGeom>
      </xdr:spPr>
    </xdr:pic>
    <xdr:clientData/>
  </xdr:twoCellAnchor>
  <xdr:twoCellAnchor>
    <xdr:from>
      <xdr:col>7</xdr:col>
      <xdr:colOff>0</xdr:colOff>
      <xdr:row>128</xdr:row>
      <xdr:rowOff>0</xdr:rowOff>
    </xdr:from>
    <xdr:to>
      <xdr:col>16</xdr:col>
      <xdr:colOff>0</xdr:colOff>
      <xdr:row>141</xdr:row>
      <xdr:rowOff>0</xdr:rowOff>
    </xdr:to>
    <xdr:sp macro="" textlink="">
      <xdr:nvSpPr>
        <xdr:cNvPr id="17" name="TextBox 16"/>
        <xdr:cNvSpPr txBox="1"/>
      </xdr:nvSpPr>
      <xdr:spPr>
        <a:xfrm>
          <a:off x="3848100" y="24412575"/>
          <a:ext cx="5486400" cy="2476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2. INPUT</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 Enter the basic data for the bank</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 setting the:</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Starting year of the test (i.e. the reporting year from which the data is pulled)</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Periods per year (if less than 12, the values can be adjusted to reflect a 12 period year later in the tool)</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Figures base (e.g. if the real value is 100,000 with a figures base of 1,000, the value shown in the Input tab will be 100)</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Currency that denominates the bank’s input data</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Conversion rate to USD (current exchange rate)</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Country 3-digit ISO code</a:t>
          </a:r>
        </a:p>
        <a:p>
          <a:endParaRPr lang="en-CA" sz="1100"/>
        </a:p>
      </xdr:txBody>
    </xdr:sp>
    <xdr:clientData/>
  </xdr:twoCellAnchor>
  <xdr:twoCellAnchor>
    <xdr:from>
      <xdr:col>6</xdr:col>
      <xdr:colOff>409575</xdr:colOff>
      <xdr:row>141</xdr:row>
      <xdr:rowOff>123825</xdr:rowOff>
    </xdr:from>
    <xdr:to>
      <xdr:col>16</xdr:col>
      <xdr:colOff>161925</xdr:colOff>
      <xdr:row>147</xdr:row>
      <xdr:rowOff>0</xdr:rowOff>
    </xdr:to>
    <xdr:pic>
      <xdr:nvPicPr>
        <xdr:cNvPr id="18" name="Picture 17">
          <a:hlinkClick xmlns:r="http://schemas.openxmlformats.org/officeDocument/2006/relationships" r:id="rId9"/>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648075" y="27012900"/>
          <a:ext cx="5848350" cy="1019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147</xdr:row>
      <xdr:rowOff>152400</xdr:rowOff>
    </xdr:from>
    <xdr:to>
      <xdr:col>16</xdr:col>
      <xdr:colOff>0</xdr:colOff>
      <xdr:row>153</xdr:row>
      <xdr:rowOff>0</xdr:rowOff>
    </xdr:to>
    <xdr:sp macro="" textlink="">
      <xdr:nvSpPr>
        <xdr:cNvPr id="19" name="TextBox 18"/>
        <xdr:cNvSpPr txBox="1"/>
      </xdr:nvSpPr>
      <xdr:spPr>
        <a:xfrm>
          <a:off x="3848100" y="28184475"/>
          <a:ext cx="5486400" cy="990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2.2: Select the input requirements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doesn’t change the tool. It shows the user what absolute minimum input data fields must be entered for the tool to work, as well as showing what additional values would improve the analysis</a:t>
          </a:r>
        </a:p>
        <a:p>
          <a:endParaRPr lang="en-CA" sz="1100"/>
        </a:p>
      </xdr:txBody>
    </xdr:sp>
    <xdr:clientData/>
  </xdr:twoCellAnchor>
  <xdr:twoCellAnchor>
    <xdr:from>
      <xdr:col>7</xdr:col>
      <xdr:colOff>123825</xdr:colOff>
      <xdr:row>154</xdr:row>
      <xdr:rowOff>0</xdr:rowOff>
    </xdr:from>
    <xdr:to>
      <xdr:col>15</xdr:col>
      <xdr:colOff>533400</xdr:colOff>
      <xdr:row>157</xdr:row>
      <xdr:rowOff>57150</xdr:rowOff>
    </xdr:to>
    <xdr:pic>
      <xdr:nvPicPr>
        <xdr:cNvPr id="23" name="Picture 22">
          <a:hlinkClick xmlns:r="http://schemas.openxmlformats.org/officeDocument/2006/relationships" r:id="rId11"/>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971925" y="29365575"/>
          <a:ext cx="528637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158</xdr:row>
      <xdr:rowOff>0</xdr:rowOff>
    </xdr:from>
    <xdr:to>
      <xdr:col>16</xdr:col>
      <xdr:colOff>0</xdr:colOff>
      <xdr:row>160</xdr:row>
      <xdr:rowOff>0</xdr:rowOff>
    </xdr:to>
    <xdr:sp macro="" textlink="">
      <xdr:nvSpPr>
        <xdr:cNvPr id="24" name="TextBox 23"/>
        <xdr:cNvSpPr txBox="1"/>
      </xdr:nvSpPr>
      <xdr:spPr>
        <a:xfrm>
          <a:off x="3848100" y="30127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2.3: Enter the bank’s financial statement data</a:t>
          </a:r>
          <a:endParaRPr lang="en-CA" sz="1100">
            <a:solidFill>
              <a:schemeClr val="dk1"/>
            </a:solidFill>
            <a:effectLst/>
            <a:latin typeface="+mn-lt"/>
            <a:ea typeface="+mn-ea"/>
            <a:cs typeface="+mn-cs"/>
          </a:endParaRPr>
        </a:p>
        <a:p>
          <a:endParaRPr lang="en-CA" sz="1100"/>
        </a:p>
      </xdr:txBody>
    </xdr:sp>
    <xdr:clientData/>
  </xdr:twoCellAnchor>
  <xdr:twoCellAnchor>
    <xdr:from>
      <xdr:col>8</xdr:col>
      <xdr:colOff>314325</xdr:colOff>
      <xdr:row>160</xdr:row>
      <xdr:rowOff>38100</xdr:rowOff>
    </xdr:from>
    <xdr:to>
      <xdr:col>14</xdr:col>
      <xdr:colOff>428625</xdr:colOff>
      <xdr:row>180</xdr:row>
      <xdr:rowOff>76200</xdr:rowOff>
    </xdr:to>
    <xdr:pic macro="[0]!Step_23_hyperlink">
      <xdr:nvPicPr>
        <xdr:cNvPr id="27" name="Picture 2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72025" y="30546675"/>
          <a:ext cx="3771900" cy="384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181</xdr:row>
      <xdr:rowOff>0</xdr:rowOff>
    </xdr:from>
    <xdr:to>
      <xdr:col>16</xdr:col>
      <xdr:colOff>0</xdr:colOff>
      <xdr:row>183</xdr:row>
      <xdr:rowOff>0</xdr:rowOff>
    </xdr:to>
    <xdr:sp macro="" textlink="">
      <xdr:nvSpPr>
        <xdr:cNvPr id="29" name="TextBox 28"/>
        <xdr:cNvSpPr txBox="1"/>
      </xdr:nvSpPr>
      <xdr:spPr>
        <a:xfrm>
          <a:off x="3848100" y="34509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2.4: Enter the bank’s income statement data</a:t>
          </a:r>
          <a:endParaRPr lang="en-CA" sz="1100">
            <a:solidFill>
              <a:schemeClr val="dk1"/>
            </a:solidFill>
            <a:effectLst/>
            <a:latin typeface="+mn-lt"/>
            <a:ea typeface="+mn-ea"/>
            <a:cs typeface="+mn-cs"/>
          </a:endParaRPr>
        </a:p>
        <a:p>
          <a:endParaRPr lang="en-CA" sz="1100"/>
        </a:p>
      </xdr:txBody>
    </xdr:sp>
    <xdr:clientData/>
  </xdr:twoCellAnchor>
  <xdr:twoCellAnchor>
    <xdr:from>
      <xdr:col>8</xdr:col>
      <xdr:colOff>257175</xdr:colOff>
      <xdr:row>183</xdr:row>
      <xdr:rowOff>0</xdr:rowOff>
    </xdr:from>
    <xdr:to>
      <xdr:col>14</xdr:col>
      <xdr:colOff>390525</xdr:colOff>
      <xdr:row>198</xdr:row>
      <xdr:rowOff>66675</xdr:rowOff>
    </xdr:to>
    <xdr:pic macro="[0]!Module1.Step_24_hyperlink">
      <xdr:nvPicPr>
        <xdr:cNvPr id="31" name="Picture 3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14875" y="34890075"/>
          <a:ext cx="3790950" cy="2924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199</xdr:row>
      <xdr:rowOff>0</xdr:rowOff>
    </xdr:from>
    <xdr:to>
      <xdr:col>16</xdr:col>
      <xdr:colOff>0</xdr:colOff>
      <xdr:row>205</xdr:row>
      <xdr:rowOff>0</xdr:rowOff>
    </xdr:to>
    <xdr:sp macro="" textlink="">
      <xdr:nvSpPr>
        <xdr:cNvPr id="32" name="TextBox 31"/>
        <xdr:cNvSpPr txBox="1"/>
      </xdr:nvSpPr>
      <xdr:spPr>
        <a:xfrm>
          <a:off x="3848100" y="379380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2.5: Specify the bank’s approach for risk types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defining the bank’s Basel approach for:</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Credit Risk</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Market Risk</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Operational Risk</a:t>
          </a:r>
        </a:p>
        <a:p>
          <a:endParaRPr lang="en-CA" sz="1100"/>
        </a:p>
      </xdr:txBody>
    </xdr:sp>
    <xdr:clientData/>
  </xdr:twoCellAnchor>
  <xdr:twoCellAnchor>
    <xdr:from>
      <xdr:col>8</xdr:col>
      <xdr:colOff>266700</xdr:colOff>
      <xdr:row>205</xdr:row>
      <xdr:rowOff>19050</xdr:rowOff>
    </xdr:from>
    <xdr:to>
      <xdr:col>14</xdr:col>
      <xdr:colOff>419100</xdr:colOff>
      <xdr:row>210</xdr:row>
      <xdr:rowOff>76200</xdr:rowOff>
    </xdr:to>
    <xdr:pic macro="[0]!Module1.Step_25_hyperlink">
      <xdr:nvPicPr>
        <xdr:cNvPr id="34" name="Picture 3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724400" y="39100125"/>
          <a:ext cx="3810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211</xdr:row>
      <xdr:rowOff>0</xdr:rowOff>
    </xdr:from>
    <xdr:to>
      <xdr:col>16</xdr:col>
      <xdr:colOff>0</xdr:colOff>
      <xdr:row>213</xdr:row>
      <xdr:rowOff>0</xdr:rowOff>
    </xdr:to>
    <xdr:sp macro="" textlink="">
      <xdr:nvSpPr>
        <xdr:cNvPr id="35" name="TextBox 34"/>
        <xdr:cNvSpPr txBox="1"/>
      </xdr:nvSpPr>
      <xdr:spPr>
        <a:xfrm>
          <a:off x="3848100" y="40224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2.6: Enter the bank’s regulatory data</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endParaRPr lang="en-CA" sz="1100"/>
        </a:p>
      </xdr:txBody>
    </xdr:sp>
    <xdr:clientData/>
  </xdr:twoCellAnchor>
  <xdr:twoCellAnchor>
    <xdr:from>
      <xdr:col>8</xdr:col>
      <xdr:colOff>266700</xdr:colOff>
      <xdr:row>213</xdr:row>
      <xdr:rowOff>28575</xdr:rowOff>
    </xdr:from>
    <xdr:to>
      <xdr:col>14</xdr:col>
      <xdr:colOff>361950</xdr:colOff>
      <xdr:row>226</xdr:row>
      <xdr:rowOff>85725</xdr:rowOff>
    </xdr:to>
    <xdr:pic macro="[0]!Module1.Step_26_hyperlink">
      <xdr:nvPicPr>
        <xdr:cNvPr id="37" name="Picture 3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24400" y="40633650"/>
          <a:ext cx="3752850" cy="2533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227</xdr:row>
      <xdr:rowOff>0</xdr:rowOff>
    </xdr:from>
    <xdr:to>
      <xdr:col>16</xdr:col>
      <xdr:colOff>0</xdr:colOff>
      <xdr:row>230</xdr:row>
      <xdr:rowOff>0</xdr:rowOff>
    </xdr:to>
    <xdr:sp macro="" textlink="">
      <xdr:nvSpPr>
        <xdr:cNvPr id="38" name="TextBox 37"/>
        <xdr:cNvSpPr txBox="1"/>
      </xdr:nvSpPr>
      <xdr:spPr>
        <a:xfrm>
          <a:off x="3848100" y="432720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2.7: Enter the values for the market financial soundness indicators (optional)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for information purposes only and have no impact on the tool</a:t>
          </a:r>
        </a:p>
        <a:p>
          <a:endParaRPr lang="en-CA" sz="1100"/>
        </a:p>
      </xdr:txBody>
    </xdr:sp>
    <xdr:clientData/>
  </xdr:twoCellAnchor>
  <xdr:twoCellAnchor>
    <xdr:from>
      <xdr:col>7</xdr:col>
      <xdr:colOff>190500</xdr:colOff>
      <xdr:row>230</xdr:row>
      <xdr:rowOff>38100</xdr:rowOff>
    </xdr:from>
    <xdr:to>
      <xdr:col>15</xdr:col>
      <xdr:colOff>428625</xdr:colOff>
      <xdr:row>236</xdr:row>
      <xdr:rowOff>66675</xdr:rowOff>
    </xdr:to>
    <xdr:pic macro="[0]!Module1.Step_27_hyperlink">
      <xdr:nvPicPr>
        <xdr:cNvPr id="40" name="Picture 3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038600" y="43881675"/>
          <a:ext cx="5114925"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237</xdr:row>
      <xdr:rowOff>0</xdr:rowOff>
    </xdr:from>
    <xdr:to>
      <xdr:col>16</xdr:col>
      <xdr:colOff>0</xdr:colOff>
      <xdr:row>239</xdr:row>
      <xdr:rowOff>0</xdr:rowOff>
    </xdr:to>
    <xdr:sp macro="" textlink="">
      <xdr:nvSpPr>
        <xdr:cNvPr id="41" name="TextBox 40"/>
        <xdr:cNvSpPr txBox="1"/>
      </xdr:nvSpPr>
      <xdr:spPr>
        <a:xfrm>
          <a:off x="3848100" y="45177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2.8: Enter the credit risk data for the bank</a:t>
          </a:r>
          <a:endParaRPr lang="en-CA" sz="1100">
            <a:solidFill>
              <a:schemeClr val="dk1"/>
            </a:solidFill>
            <a:effectLst/>
            <a:latin typeface="+mn-lt"/>
            <a:ea typeface="+mn-ea"/>
            <a:cs typeface="+mn-cs"/>
          </a:endParaRPr>
        </a:p>
      </xdr:txBody>
    </xdr:sp>
    <xdr:clientData/>
  </xdr:twoCellAnchor>
  <xdr:twoCellAnchor>
    <xdr:from>
      <xdr:col>9</xdr:col>
      <xdr:colOff>28575</xdr:colOff>
      <xdr:row>239</xdr:row>
      <xdr:rowOff>19050</xdr:rowOff>
    </xdr:from>
    <xdr:to>
      <xdr:col>14</xdr:col>
      <xdr:colOff>0</xdr:colOff>
      <xdr:row>249</xdr:row>
      <xdr:rowOff>19050</xdr:rowOff>
    </xdr:to>
    <xdr:pic macro="[0]!Module1.Step_28_hyperlink">
      <xdr:nvPicPr>
        <xdr:cNvPr id="44" name="Picture 4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095875" y="45577125"/>
          <a:ext cx="3019425"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250</xdr:row>
      <xdr:rowOff>0</xdr:rowOff>
    </xdr:from>
    <xdr:to>
      <xdr:col>16</xdr:col>
      <xdr:colOff>0</xdr:colOff>
      <xdr:row>252</xdr:row>
      <xdr:rowOff>0</xdr:rowOff>
    </xdr:to>
    <xdr:sp macro="" textlink="">
      <xdr:nvSpPr>
        <xdr:cNvPr id="30" name="TextBox 29"/>
        <xdr:cNvSpPr txBox="1"/>
      </xdr:nvSpPr>
      <xdr:spPr>
        <a:xfrm>
          <a:off x="3848100" y="47653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2.9: Enter the market risk data for the bank</a:t>
          </a:r>
          <a:endParaRPr lang="en-CA" sz="1100">
            <a:solidFill>
              <a:schemeClr val="dk1"/>
            </a:solidFill>
            <a:effectLst/>
            <a:latin typeface="+mn-lt"/>
            <a:ea typeface="+mn-ea"/>
            <a:cs typeface="+mn-cs"/>
          </a:endParaRPr>
        </a:p>
      </xdr:txBody>
    </xdr:sp>
    <xdr:clientData/>
  </xdr:twoCellAnchor>
  <xdr:twoCellAnchor>
    <xdr:from>
      <xdr:col>9</xdr:col>
      <xdr:colOff>19050</xdr:colOff>
      <xdr:row>252</xdr:row>
      <xdr:rowOff>9525</xdr:rowOff>
    </xdr:from>
    <xdr:to>
      <xdr:col>13</xdr:col>
      <xdr:colOff>600075</xdr:colOff>
      <xdr:row>266</xdr:row>
      <xdr:rowOff>28575</xdr:rowOff>
    </xdr:to>
    <xdr:pic macro="[0]!Module1.Step_29_hyperlink">
      <xdr:nvPicPr>
        <xdr:cNvPr id="43" name="Picture 42"/>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5086350" y="48044100"/>
          <a:ext cx="3019425" cy="2686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267</xdr:row>
      <xdr:rowOff>0</xdr:rowOff>
    </xdr:from>
    <xdr:to>
      <xdr:col>16</xdr:col>
      <xdr:colOff>0</xdr:colOff>
      <xdr:row>269</xdr:row>
      <xdr:rowOff>0</xdr:rowOff>
    </xdr:to>
    <xdr:sp macro="" textlink="">
      <xdr:nvSpPr>
        <xdr:cNvPr id="45" name="TextBox 44"/>
        <xdr:cNvSpPr txBox="1"/>
      </xdr:nvSpPr>
      <xdr:spPr>
        <a:xfrm>
          <a:off x="3848100" y="50892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2.10: Enter portfolio level information for credit risk positions (if available)</a:t>
          </a:r>
          <a:endParaRPr lang="en-CA" sz="1100">
            <a:solidFill>
              <a:schemeClr val="dk1"/>
            </a:solidFill>
            <a:effectLst/>
            <a:latin typeface="+mn-lt"/>
            <a:ea typeface="+mn-ea"/>
            <a:cs typeface="+mn-cs"/>
          </a:endParaRPr>
        </a:p>
      </xdr:txBody>
    </xdr:sp>
    <xdr:clientData/>
  </xdr:twoCellAnchor>
  <xdr:twoCellAnchor>
    <xdr:from>
      <xdr:col>8</xdr:col>
      <xdr:colOff>247650</xdr:colOff>
      <xdr:row>269</xdr:row>
      <xdr:rowOff>19050</xdr:rowOff>
    </xdr:from>
    <xdr:to>
      <xdr:col>14</xdr:col>
      <xdr:colOff>352425</xdr:colOff>
      <xdr:row>279</xdr:row>
      <xdr:rowOff>123825</xdr:rowOff>
    </xdr:to>
    <xdr:pic macro="[0]!Module1.Step_210_hyperlink">
      <xdr:nvPicPr>
        <xdr:cNvPr id="47" name="Picture 4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705350" y="51292125"/>
          <a:ext cx="3762375" cy="2009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280</xdr:row>
      <xdr:rowOff>0</xdr:rowOff>
    </xdr:from>
    <xdr:to>
      <xdr:col>16</xdr:col>
      <xdr:colOff>0</xdr:colOff>
      <xdr:row>286</xdr:row>
      <xdr:rowOff>0</xdr:rowOff>
    </xdr:to>
    <xdr:sp macro="" textlink="">
      <xdr:nvSpPr>
        <xdr:cNvPr id="48" name="TextBox 47"/>
        <xdr:cNvSpPr txBox="1"/>
      </xdr:nvSpPr>
      <xdr:spPr>
        <a:xfrm>
          <a:off x="3848100" y="533685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2.11: Enter the (loss rate)/(provision rate) or (PD)/(NPL) ratios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“Losses/Provisions”, the tool will request the loss rate/provisions rate of the broad, fine-granular and geographic sectors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“PD/LGD”, the tool will request the PD/NPL ratios of the broad, fine-granular and geographic sectors</a:t>
          </a:r>
        </a:p>
      </xdr:txBody>
    </xdr:sp>
    <xdr:clientData/>
  </xdr:twoCellAnchor>
  <xdr:twoCellAnchor>
    <xdr:from>
      <xdr:col>8</xdr:col>
      <xdr:colOff>257175</xdr:colOff>
      <xdr:row>286</xdr:row>
      <xdr:rowOff>19050</xdr:rowOff>
    </xdr:from>
    <xdr:to>
      <xdr:col>14</xdr:col>
      <xdr:colOff>371475</xdr:colOff>
      <xdr:row>309</xdr:row>
      <xdr:rowOff>47625</xdr:rowOff>
    </xdr:to>
    <xdr:pic macro="[0]!Module1.Step_211_hyperlink">
      <xdr:nvPicPr>
        <xdr:cNvPr id="50" name="Picture 49"/>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714875" y="54530625"/>
          <a:ext cx="3771900" cy="441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310</xdr:row>
      <xdr:rowOff>0</xdr:rowOff>
    </xdr:from>
    <xdr:to>
      <xdr:col>16</xdr:col>
      <xdr:colOff>0</xdr:colOff>
      <xdr:row>317</xdr:row>
      <xdr:rowOff>0</xdr:rowOff>
    </xdr:to>
    <xdr:sp macro="" textlink="">
      <xdr:nvSpPr>
        <xdr:cNvPr id="51" name="TextBox 50"/>
        <xdr:cNvSpPr txBox="1"/>
      </xdr:nvSpPr>
      <xdr:spPr>
        <a:xfrm>
          <a:off x="3848100" y="590835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2.12: Enter the LGD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“PD/LGD”, the tool will request the LGD values for the broad, fine-granular and geographic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will be used in calculating stressed LGDs</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“Losses/Provisions”, no LGD values need to be entered</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For this setting, the model assumes an LGD of 100% in stress calculations</a:t>
          </a:r>
        </a:p>
      </xdr:txBody>
    </xdr:sp>
    <xdr:clientData/>
  </xdr:twoCellAnchor>
  <xdr:twoCellAnchor>
    <xdr:from>
      <xdr:col>8</xdr:col>
      <xdr:colOff>333375</xdr:colOff>
      <xdr:row>317</xdr:row>
      <xdr:rowOff>0</xdr:rowOff>
    </xdr:from>
    <xdr:to>
      <xdr:col>14</xdr:col>
      <xdr:colOff>428625</xdr:colOff>
      <xdr:row>340</xdr:row>
      <xdr:rowOff>19050</xdr:rowOff>
    </xdr:to>
    <xdr:pic macro="[0]!Module1.Step_212_hyperlink">
      <xdr:nvPicPr>
        <xdr:cNvPr id="53" name="Picture 52"/>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791075" y="60417075"/>
          <a:ext cx="3752850" cy="440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341</xdr:row>
      <xdr:rowOff>0</xdr:rowOff>
    </xdr:from>
    <xdr:to>
      <xdr:col>16</xdr:col>
      <xdr:colOff>0</xdr:colOff>
      <xdr:row>347</xdr:row>
      <xdr:rowOff>0</xdr:rowOff>
    </xdr:to>
    <xdr:sp macro="" textlink="">
      <xdr:nvSpPr>
        <xdr:cNvPr id="54" name="TextBox 53"/>
        <xdr:cNvSpPr txBox="1"/>
      </xdr:nvSpPr>
      <xdr:spPr>
        <a:xfrm>
          <a:off x="3848100" y="649890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2.13: Enter the bank’s credit exposure by rating category</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specifying the exposure by:</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Loan book rating category</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Off-balance sheet rating category</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Counterparty credit risk exposure category</a:t>
          </a:r>
        </a:p>
      </xdr:txBody>
    </xdr:sp>
    <xdr:clientData/>
  </xdr:twoCellAnchor>
  <xdr:twoCellAnchor>
    <xdr:from>
      <xdr:col>8</xdr:col>
      <xdr:colOff>257175</xdr:colOff>
      <xdr:row>347</xdr:row>
      <xdr:rowOff>28575</xdr:rowOff>
    </xdr:from>
    <xdr:to>
      <xdr:col>14</xdr:col>
      <xdr:colOff>352425</xdr:colOff>
      <xdr:row>371</xdr:row>
      <xdr:rowOff>57150</xdr:rowOff>
    </xdr:to>
    <xdr:pic macro="[0]!Module1.Step_213_hyperlink">
      <xdr:nvPicPr>
        <xdr:cNvPr id="56" name="Picture 55"/>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714875" y="66160650"/>
          <a:ext cx="3752850" cy="460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372</xdr:row>
      <xdr:rowOff>0</xdr:rowOff>
    </xdr:from>
    <xdr:to>
      <xdr:col>16</xdr:col>
      <xdr:colOff>0</xdr:colOff>
      <xdr:row>374</xdr:row>
      <xdr:rowOff>0</xdr:rowOff>
    </xdr:to>
    <xdr:sp macro="" textlink="">
      <xdr:nvSpPr>
        <xdr:cNvPr id="57" name="TextBox 56"/>
        <xdr:cNvSpPr txBox="1"/>
      </xdr:nvSpPr>
      <xdr:spPr>
        <a:xfrm>
          <a:off x="3848100" y="70894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2.14: Enter the bank’s securitization exposure by risk-weight/rating</a:t>
          </a:r>
          <a:endParaRPr lang="en-CA" sz="1100">
            <a:solidFill>
              <a:schemeClr val="dk1"/>
            </a:solidFill>
            <a:effectLst/>
            <a:latin typeface="+mn-lt"/>
            <a:ea typeface="+mn-ea"/>
            <a:cs typeface="+mn-cs"/>
          </a:endParaRPr>
        </a:p>
      </xdr:txBody>
    </xdr:sp>
    <xdr:clientData/>
  </xdr:twoCellAnchor>
  <xdr:twoCellAnchor>
    <xdr:from>
      <xdr:col>8</xdr:col>
      <xdr:colOff>247650</xdr:colOff>
      <xdr:row>374</xdr:row>
      <xdr:rowOff>19050</xdr:rowOff>
    </xdr:from>
    <xdr:to>
      <xdr:col>14</xdr:col>
      <xdr:colOff>361950</xdr:colOff>
      <xdr:row>387</xdr:row>
      <xdr:rowOff>85725</xdr:rowOff>
    </xdr:to>
    <xdr:pic macro="[0]!Step_214_hyperlink">
      <xdr:nvPicPr>
        <xdr:cNvPr id="59" name="Picture 58"/>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05350" y="71294625"/>
          <a:ext cx="3771900"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389</xdr:row>
      <xdr:rowOff>0</xdr:rowOff>
    </xdr:from>
    <xdr:to>
      <xdr:col>13</xdr:col>
      <xdr:colOff>0</xdr:colOff>
      <xdr:row>391</xdr:row>
      <xdr:rowOff>0</xdr:rowOff>
    </xdr:to>
    <xdr:pic macro="[0]!Input_Next">
      <xdr:nvPicPr>
        <xdr:cNvPr id="60" name="Picture 5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22888575"/>
          <a:ext cx="1828800" cy="381000"/>
        </a:xfrm>
        <a:prstGeom prst="rect">
          <a:avLst/>
        </a:prstGeom>
      </xdr:spPr>
    </xdr:pic>
    <xdr:clientData/>
  </xdr:twoCellAnchor>
  <xdr:twoCellAnchor>
    <xdr:from>
      <xdr:col>10</xdr:col>
      <xdr:colOff>0</xdr:colOff>
      <xdr:row>393</xdr:row>
      <xdr:rowOff>0</xdr:rowOff>
    </xdr:from>
    <xdr:to>
      <xdr:col>13</xdr:col>
      <xdr:colOff>0</xdr:colOff>
      <xdr:row>395</xdr:row>
      <xdr:rowOff>0</xdr:rowOff>
    </xdr:to>
    <xdr:pic macro="[0]!Input_Back">
      <xdr:nvPicPr>
        <xdr:cNvPr id="61" name="Picture 6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23650575"/>
          <a:ext cx="1828800" cy="381000"/>
        </a:xfrm>
        <a:prstGeom prst="rect">
          <a:avLst/>
        </a:prstGeom>
      </xdr:spPr>
    </xdr:pic>
    <xdr:clientData/>
  </xdr:twoCellAnchor>
  <xdr:twoCellAnchor>
    <xdr:from>
      <xdr:col>7</xdr:col>
      <xdr:colOff>0</xdr:colOff>
      <xdr:row>397</xdr:row>
      <xdr:rowOff>0</xdr:rowOff>
    </xdr:from>
    <xdr:to>
      <xdr:col>16</xdr:col>
      <xdr:colOff>0</xdr:colOff>
      <xdr:row>404</xdr:row>
      <xdr:rowOff>0</xdr:rowOff>
    </xdr:to>
    <xdr:sp macro="" textlink="">
      <xdr:nvSpPr>
        <xdr:cNvPr id="62" name="TextBox 61"/>
        <xdr:cNvSpPr txBox="1"/>
      </xdr:nvSpPr>
      <xdr:spPr>
        <a:xfrm>
          <a:off x="3848100" y="7567612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3. SUMMARY OF INPUT DATA</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3.1: Review the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summary provides an alternative perspective for the input data; displaying key ratios and comparing the bank profile to that of a typical OECD bank. Analyzing these values can help find errors in the input data</a:t>
          </a:r>
        </a:p>
        <a:p>
          <a:endParaRPr lang="en-CA" sz="1100"/>
        </a:p>
      </xdr:txBody>
    </xdr:sp>
    <xdr:clientData/>
  </xdr:twoCellAnchor>
  <xdr:twoCellAnchor>
    <xdr:from>
      <xdr:col>8</xdr:col>
      <xdr:colOff>76200</xdr:colOff>
      <xdr:row>404</xdr:row>
      <xdr:rowOff>66675</xdr:rowOff>
    </xdr:from>
    <xdr:to>
      <xdr:col>14</xdr:col>
      <xdr:colOff>571500</xdr:colOff>
      <xdr:row>409</xdr:row>
      <xdr:rowOff>85725</xdr:rowOff>
    </xdr:to>
    <xdr:pic macro="[0]!SOI_hyperlink">
      <xdr:nvPicPr>
        <xdr:cNvPr id="65" name="Picture 64"/>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33900" y="77076300"/>
          <a:ext cx="415290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410</xdr:row>
      <xdr:rowOff>0</xdr:rowOff>
    </xdr:from>
    <xdr:to>
      <xdr:col>16</xdr:col>
      <xdr:colOff>0</xdr:colOff>
      <xdr:row>413</xdr:row>
      <xdr:rowOff>0</xdr:rowOff>
    </xdr:to>
    <xdr:sp macro="" textlink="">
      <xdr:nvSpPr>
        <xdr:cNvPr id="66" name="TextBox 65"/>
        <xdr:cNvSpPr txBox="1"/>
      </xdr:nvSpPr>
      <xdr:spPr>
        <a:xfrm>
          <a:off x="3848100" y="781526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3.2: Specify the LGD assumption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value is used in the tool’s calculations for the default of the largest exposures</a:t>
          </a:r>
        </a:p>
      </xdr:txBody>
    </xdr:sp>
    <xdr:clientData/>
  </xdr:twoCellAnchor>
  <xdr:twoCellAnchor>
    <xdr:from>
      <xdr:col>8</xdr:col>
      <xdr:colOff>76200</xdr:colOff>
      <xdr:row>413</xdr:row>
      <xdr:rowOff>66675</xdr:rowOff>
    </xdr:from>
    <xdr:to>
      <xdr:col>14</xdr:col>
      <xdr:colOff>561975</xdr:colOff>
      <xdr:row>415</xdr:row>
      <xdr:rowOff>76200</xdr:rowOff>
    </xdr:to>
    <xdr:pic>
      <xdr:nvPicPr>
        <xdr:cNvPr id="68" name="Picture 67">
          <a:hlinkClick xmlns:r="http://schemas.openxmlformats.org/officeDocument/2006/relationships" r:id="rId26"/>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4533900" y="78790800"/>
          <a:ext cx="41433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417</xdr:row>
      <xdr:rowOff>0</xdr:rowOff>
    </xdr:from>
    <xdr:to>
      <xdr:col>13</xdr:col>
      <xdr:colOff>0</xdr:colOff>
      <xdr:row>419</xdr:row>
      <xdr:rowOff>0</xdr:rowOff>
    </xdr:to>
    <xdr:pic macro="[0]!SOI_Next">
      <xdr:nvPicPr>
        <xdr:cNvPr id="69" name="Picture 6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74152125"/>
          <a:ext cx="1828800" cy="381000"/>
        </a:xfrm>
        <a:prstGeom prst="rect">
          <a:avLst/>
        </a:prstGeom>
      </xdr:spPr>
    </xdr:pic>
    <xdr:clientData/>
  </xdr:twoCellAnchor>
  <xdr:twoCellAnchor>
    <xdr:from>
      <xdr:col>10</xdr:col>
      <xdr:colOff>0</xdr:colOff>
      <xdr:row>421</xdr:row>
      <xdr:rowOff>0</xdr:rowOff>
    </xdr:from>
    <xdr:to>
      <xdr:col>13</xdr:col>
      <xdr:colOff>0</xdr:colOff>
      <xdr:row>423</xdr:row>
      <xdr:rowOff>0</xdr:rowOff>
    </xdr:to>
    <xdr:pic macro="[0]!SOI_Back">
      <xdr:nvPicPr>
        <xdr:cNvPr id="70" name="Picture 6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74914125"/>
          <a:ext cx="1828800" cy="381000"/>
        </a:xfrm>
        <a:prstGeom prst="rect">
          <a:avLst/>
        </a:prstGeom>
      </xdr:spPr>
    </xdr:pic>
    <xdr:clientData/>
  </xdr:twoCellAnchor>
  <xdr:twoCellAnchor>
    <xdr:from>
      <xdr:col>7</xdr:col>
      <xdr:colOff>0</xdr:colOff>
      <xdr:row>425</xdr:row>
      <xdr:rowOff>0</xdr:rowOff>
    </xdr:from>
    <xdr:to>
      <xdr:col>16</xdr:col>
      <xdr:colOff>0</xdr:colOff>
      <xdr:row>431</xdr:row>
      <xdr:rowOff>0</xdr:rowOff>
    </xdr:to>
    <xdr:sp macro="" textlink="">
      <xdr:nvSpPr>
        <xdr:cNvPr id="71" name="TextBox 70"/>
        <xdr:cNvSpPr txBox="1"/>
      </xdr:nvSpPr>
      <xdr:spPr>
        <a:xfrm>
          <a:off x="3848100" y="810291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4.</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PARAMETERS</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4.1: Define the interest rate shock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unique scenarios, assigning each scenario a descriptive title and specifying the magnitude of the shock in basis points</a:t>
          </a:r>
        </a:p>
        <a:p>
          <a:endParaRPr lang="en-CA" sz="1100"/>
        </a:p>
      </xdr:txBody>
    </xdr:sp>
    <xdr:clientData/>
  </xdr:twoCellAnchor>
  <xdr:twoCellAnchor>
    <xdr:from>
      <xdr:col>6</xdr:col>
      <xdr:colOff>571500</xdr:colOff>
      <xdr:row>431</xdr:row>
      <xdr:rowOff>47625</xdr:rowOff>
    </xdr:from>
    <xdr:to>
      <xdr:col>16</xdr:col>
      <xdr:colOff>19050</xdr:colOff>
      <xdr:row>442</xdr:row>
      <xdr:rowOff>171450</xdr:rowOff>
    </xdr:to>
    <xdr:pic>
      <xdr:nvPicPr>
        <xdr:cNvPr id="73" name="Picture 72">
          <a:hlinkClick xmlns:r="http://schemas.openxmlformats.org/officeDocument/2006/relationships" r:id="rId28"/>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3810000" y="82219800"/>
          <a:ext cx="5543550" cy="2219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444</xdr:row>
      <xdr:rowOff>0</xdr:rowOff>
    </xdr:from>
    <xdr:to>
      <xdr:col>16</xdr:col>
      <xdr:colOff>0</xdr:colOff>
      <xdr:row>451</xdr:row>
      <xdr:rowOff>0</xdr:rowOff>
    </xdr:to>
    <xdr:sp macro="" textlink="">
      <xdr:nvSpPr>
        <xdr:cNvPr id="74" name="TextBox 73"/>
        <xdr:cNvSpPr txBox="1"/>
      </xdr:nvSpPr>
      <xdr:spPr>
        <a:xfrm>
          <a:off x="3848100" y="846486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4.2: Adjust the country LGD Intercept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LGD is calculated in the model as a function of PD given by:</a:t>
          </a:r>
        </a:p>
        <a:p>
          <a:pPr algn="ctr">
            <a:lnSpc>
              <a:spcPct val="107000"/>
            </a:lnSpc>
            <a:spcAft>
              <a:spcPts val="800"/>
            </a:spcAft>
          </a:pPr>
          <a:r>
            <a:rPr lang="en-CA" sz="1100">
              <a:effectLst/>
              <a:latin typeface="Calibri" panose="020F0502020204030204" pitchFamily="34" charset="0"/>
              <a:ea typeface="Calibri" panose="020F0502020204030204" pitchFamily="34" charset="0"/>
              <a:cs typeface="Times New Roman" panose="02020603050405020304" pitchFamily="18" charset="0"/>
            </a:rPr>
            <a:t>LGD (under stress) = 0.4022 + 2.1535*PD</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slope was derived from a formula proposed by the US Federal Reserve, but the intercept can be adjusted to the real LGD level in the country of the bank</a:t>
          </a:r>
        </a:p>
      </xdr:txBody>
    </xdr:sp>
    <xdr:clientData/>
  </xdr:twoCellAnchor>
  <xdr:twoCellAnchor>
    <xdr:from>
      <xdr:col>8</xdr:col>
      <xdr:colOff>323850</xdr:colOff>
      <xdr:row>451</xdr:row>
      <xdr:rowOff>28575</xdr:rowOff>
    </xdr:from>
    <xdr:to>
      <xdr:col>14</xdr:col>
      <xdr:colOff>219075</xdr:colOff>
      <xdr:row>453</xdr:row>
      <xdr:rowOff>38100</xdr:rowOff>
    </xdr:to>
    <xdr:pic>
      <xdr:nvPicPr>
        <xdr:cNvPr id="76" name="Picture 75">
          <a:hlinkClick xmlns:r="http://schemas.openxmlformats.org/officeDocument/2006/relationships" r:id="rId30"/>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4781550" y="86010750"/>
          <a:ext cx="3552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454</xdr:row>
      <xdr:rowOff>0</xdr:rowOff>
    </xdr:from>
    <xdr:to>
      <xdr:col>16</xdr:col>
      <xdr:colOff>0</xdr:colOff>
      <xdr:row>458</xdr:row>
      <xdr:rowOff>0</xdr:rowOff>
    </xdr:to>
    <xdr:sp macro="" textlink="">
      <xdr:nvSpPr>
        <xdr:cNvPr id="77" name="TextBox 76"/>
        <xdr:cNvSpPr txBox="1"/>
      </xdr:nvSpPr>
      <xdr:spPr>
        <a:xfrm>
          <a:off x="3848100" y="865536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4.3: Adjust the bank-specific LGD intercept (if available)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this value is unavailable, the model will use the country-level LGD</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value would be calculated internally by quantitative analysts</a:t>
          </a:r>
        </a:p>
      </xdr:txBody>
    </xdr:sp>
    <xdr:clientData/>
  </xdr:twoCellAnchor>
  <xdr:twoCellAnchor>
    <xdr:from>
      <xdr:col>8</xdr:col>
      <xdr:colOff>352425</xdr:colOff>
      <xdr:row>458</xdr:row>
      <xdr:rowOff>9525</xdr:rowOff>
    </xdr:from>
    <xdr:to>
      <xdr:col>14</xdr:col>
      <xdr:colOff>247650</xdr:colOff>
      <xdr:row>462</xdr:row>
      <xdr:rowOff>19050</xdr:rowOff>
    </xdr:to>
    <xdr:pic>
      <xdr:nvPicPr>
        <xdr:cNvPr id="79" name="Picture 78">
          <a:hlinkClick xmlns:r="http://schemas.openxmlformats.org/officeDocument/2006/relationships" r:id="rId32"/>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4810125" y="87325200"/>
          <a:ext cx="35528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463</xdr:row>
      <xdr:rowOff>0</xdr:rowOff>
    </xdr:from>
    <xdr:to>
      <xdr:col>16</xdr:col>
      <xdr:colOff>0</xdr:colOff>
      <xdr:row>469</xdr:row>
      <xdr:rowOff>0</xdr:rowOff>
    </xdr:to>
    <xdr:sp macro="" textlink="">
      <xdr:nvSpPr>
        <xdr:cNvPr id="80" name="TextBox 79"/>
        <xdr:cNvSpPr txBox="1"/>
      </xdr:nvSpPr>
      <xdr:spPr>
        <a:xfrm>
          <a:off x="3848100" y="882681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4.4: Adjust the asset correlation elasticity (optional)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relationship between RWA levels and PD is measured by the asset correlation elasticity</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Empirical results have shown this correlation to be linear, but the value can be adjusted to accommodate for varying levels of severity</a:t>
          </a:r>
        </a:p>
      </xdr:txBody>
    </xdr:sp>
    <xdr:clientData/>
  </xdr:twoCellAnchor>
  <xdr:twoCellAnchor>
    <xdr:from>
      <xdr:col>8</xdr:col>
      <xdr:colOff>371475</xdr:colOff>
      <xdr:row>469</xdr:row>
      <xdr:rowOff>47625</xdr:rowOff>
    </xdr:from>
    <xdr:to>
      <xdr:col>14</xdr:col>
      <xdr:colOff>276225</xdr:colOff>
      <xdr:row>471</xdr:row>
      <xdr:rowOff>66675</xdr:rowOff>
    </xdr:to>
    <xdr:pic>
      <xdr:nvPicPr>
        <xdr:cNvPr id="82" name="Picture 81">
          <a:hlinkClick xmlns:r="http://schemas.openxmlformats.org/officeDocument/2006/relationships" r:id="rId34"/>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4829175" y="89458800"/>
          <a:ext cx="35623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472</xdr:row>
      <xdr:rowOff>0</xdr:rowOff>
    </xdr:from>
    <xdr:to>
      <xdr:col>16</xdr:col>
      <xdr:colOff>0</xdr:colOff>
      <xdr:row>478</xdr:row>
      <xdr:rowOff>0</xdr:rowOff>
    </xdr:to>
    <xdr:sp macro="" textlink="">
      <xdr:nvSpPr>
        <xdr:cNvPr id="83" name="TextBox 82"/>
        <xdr:cNvSpPr txBox="1"/>
      </xdr:nvSpPr>
      <xdr:spPr>
        <a:xfrm>
          <a:off x="3848100" y="899826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4.5: Adjust the master rating scale and rating scale for structured credit </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master rating table maps credit ratings to their respective PD values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used in the calculations for credit exposure by rating category</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structured credit table maps the risk weighting to the structured credit value</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used in the calculations for credit exposure by risk-weight</a:t>
          </a:r>
        </a:p>
      </xdr:txBody>
    </xdr:sp>
    <xdr:clientData/>
  </xdr:twoCellAnchor>
  <xdr:twoCellAnchor>
    <xdr:from>
      <xdr:col>9</xdr:col>
      <xdr:colOff>381000</xdr:colOff>
      <xdr:row>478</xdr:row>
      <xdr:rowOff>19050</xdr:rowOff>
    </xdr:from>
    <xdr:to>
      <xdr:col>13</xdr:col>
      <xdr:colOff>314325</xdr:colOff>
      <xdr:row>499</xdr:row>
      <xdr:rowOff>38100</xdr:rowOff>
    </xdr:to>
    <xdr:pic>
      <xdr:nvPicPr>
        <xdr:cNvPr id="85" name="Picture 84">
          <a:hlinkClick xmlns:r="http://schemas.openxmlformats.org/officeDocument/2006/relationships" r:id="rId36"/>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5448300" y="91144725"/>
          <a:ext cx="2371725" cy="401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500</xdr:row>
      <xdr:rowOff>0</xdr:rowOff>
    </xdr:from>
    <xdr:to>
      <xdr:col>16</xdr:col>
      <xdr:colOff>0</xdr:colOff>
      <xdr:row>506</xdr:row>
      <xdr:rowOff>0</xdr:rowOff>
    </xdr:to>
    <xdr:sp macro="" textlink="">
      <xdr:nvSpPr>
        <xdr:cNvPr id="86" name="TextBox 85"/>
        <xdr:cNvSpPr txBox="1"/>
      </xdr:nvSpPr>
      <xdr:spPr>
        <a:xfrm>
          <a:off x="3848100" y="953166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4.6: Review the Basel III parameters and hurdle rates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parameter values were taken from official Basel documents</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Additional hurdle rate buffer can be added in the Assumptions tab</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Basel III hurdle rates are optional (enabled on the Summary tab)</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user wishes to adjust one year’s value individually, the formulas can be adjusted</a:t>
          </a:r>
        </a:p>
      </xdr:txBody>
    </xdr:sp>
    <xdr:clientData/>
  </xdr:twoCellAnchor>
  <xdr:twoCellAnchor>
    <xdr:from>
      <xdr:col>8</xdr:col>
      <xdr:colOff>85725</xdr:colOff>
      <xdr:row>506</xdr:row>
      <xdr:rowOff>0</xdr:rowOff>
    </xdr:from>
    <xdr:to>
      <xdr:col>14</xdr:col>
      <xdr:colOff>571500</xdr:colOff>
      <xdr:row>510</xdr:row>
      <xdr:rowOff>9525</xdr:rowOff>
    </xdr:to>
    <xdr:pic>
      <xdr:nvPicPr>
        <xdr:cNvPr id="88" name="Picture 87">
          <a:hlinkClick xmlns:r="http://schemas.openxmlformats.org/officeDocument/2006/relationships" r:id="rId38"/>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4543425" y="96459675"/>
          <a:ext cx="41433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512</xdr:row>
      <xdr:rowOff>0</xdr:rowOff>
    </xdr:from>
    <xdr:to>
      <xdr:col>13</xdr:col>
      <xdr:colOff>0</xdr:colOff>
      <xdr:row>514</xdr:row>
      <xdr:rowOff>0</xdr:rowOff>
    </xdr:to>
    <xdr:pic macro="[0]!Parameters_Next">
      <xdr:nvPicPr>
        <xdr:cNvPr id="89" name="Picture 8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79505175"/>
          <a:ext cx="1828800" cy="381000"/>
        </a:xfrm>
        <a:prstGeom prst="rect">
          <a:avLst/>
        </a:prstGeom>
      </xdr:spPr>
    </xdr:pic>
    <xdr:clientData/>
  </xdr:twoCellAnchor>
  <xdr:twoCellAnchor>
    <xdr:from>
      <xdr:col>10</xdr:col>
      <xdr:colOff>0</xdr:colOff>
      <xdr:row>516</xdr:row>
      <xdr:rowOff>0</xdr:rowOff>
    </xdr:from>
    <xdr:to>
      <xdr:col>13</xdr:col>
      <xdr:colOff>0</xdr:colOff>
      <xdr:row>518</xdr:row>
      <xdr:rowOff>0</xdr:rowOff>
    </xdr:to>
    <xdr:pic macro="[0]!Parameters_Back">
      <xdr:nvPicPr>
        <xdr:cNvPr id="90" name="Picture 8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80267175"/>
          <a:ext cx="1828800" cy="381000"/>
        </a:xfrm>
        <a:prstGeom prst="rect">
          <a:avLst/>
        </a:prstGeom>
      </xdr:spPr>
    </xdr:pic>
    <xdr:clientData/>
  </xdr:twoCellAnchor>
  <xdr:twoCellAnchor>
    <xdr:from>
      <xdr:col>7</xdr:col>
      <xdr:colOff>0</xdr:colOff>
      <xdr:row>520</xdr:row>
      <xdr:rowOff>0</xdr:rowOff>
    </xdr:from>
    <xdr:to>
      <xdr:col>16</xdr:col>
      <xdr:colOff>0</xdr:colOff>
      <xdr:row>526</xdr:row>
      <xdr:rowOff>0</xdr:rowOff>
    </xdr:to>
    <xdr:sp macro="" textlink="">
      <xdr:nvSpPr>
        <xdr:cNvPr id="91" name="TextBox 90"/>
        <xdr:cNvSpPr txBox="1"/>
      </xdr:nvSpPr>
      <xdr:spPr>
        <a:xfrm>
          <a:off x="3848100" y="9914572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5.</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SATELLITE</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5.1: Name the stress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three standard scenarios are Moderate, Medium and Macro stress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scenarios can be changed to suit the needs of the user</a:t>
          </a:r>
        </a:p>
        <a:p>
          <a:endParaRPr lang="en-CA" sz="1100"/>
        </a:p>
      </xdr:txBody>
    </xdr:sp>
    <xdr:clientData/>
  </xdr:twoCellAnchor>
  <xdr:twoCellAnchor>
    <xdr:from>
      <xdr:col>10</xdr:col>
      <xdr:colOff>28575</xdr:colOff>
      <xdr:row>526</xdr:row>
      <xdr:rowOff>0</xdr:rowOff>
    </xdr:from>
    <xdr:to>
      <xdr:col>12</xdr:col>
      <xdr:colOff>590550</xdr:colOff>
      <xdr:row>530</xdr:row>
      <xdr:rowOff>9525</xdr:rowOff>
    </xdr:to>
    <xdr:pic>
      <xdr:nvPicPr>
        <xdr:cNvPr id="93" name="Picture 92">
          <a:hlinkClick xmlns:r="http://schemas.openxmlformats.org/officeDocument/2006/relationships" r:id="rId40"/>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5705475" y="100288725"/>
          <a:ext cx="1781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531</xdr:row>
      <xdr:rowOff>0</xdr:rowOff>
    </xdr:from>
    <xdr:to>
      <xdr:col>16</xdr:col>
      <xdr:colOff>0</xdr:colOff>
      <xdr:row>534</xdr:row>
      <xdr:rowOff>0</xdr:rowOff>
    </xdr:to>
    <xdr:sp macro="" textlink="">
      <xdr:nvSpPr>
        <xdr:cNvPr id="94" name="TextBox 93"/>
        <xdr:cNvSpPr txBox="1"/>
      </xdr:nvSpPr>
      <xdr:spPr>
        <a:xfrm>
          <a:off x="3848100" y="1012412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5.2: Set the Baseline GDP growth path for Rule of Thumb scenario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reflect the GDP growth rates in a normal, non-stressed economic scenario</a:t>
          </a:r>
        </a:p>
      </xdr:txBody>
    </xdr:sp>
    <xdr:clientData/>
  </xdr:twoCellAnchor>
  <xdr:twoCellAnchor>
    <xdr:from>
      <xdr:col>6</xdr:col>
      <xdr:colOff>400050</xdr:colOff>
      <xdr:row>540</xdr:row>
      <xdr:rowOff>47625</xdr:rowOff>
    </xdr:from>
    <xdr:to>
      <xdr:col>16</xdr:col>
      <xdr:colOff>228600</xdr:colOff>
      <xdr:row>545</xdr:row>
      <xdr:rowOff>66675</xdr:rowOff>
    </xdr:to>
    <xdr:pic>
      <xdr:nvPicPr>
        <xdr:cNvPr id="96" name="Picture 95">
          <a:hlinkClick xmlns:r="http://schemas.openxmlformats.org/officeDocument/2006/relationships" r:id="rId42"/>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3638550" y="103003350"/>
          <a:ext cx="592455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535</xdr:row>
      <xdr:rowOff>0</xdr:rowOff>
    </xdr:from>
    <xdr:to>
      <xdr:col>16</xdr:col>
      <xdr:colOff>0</xdr:colOff>
      <xdr:row>540</xdr:row>
      <xdr:rowOff>0</xdr:rowOff>
    </xdr:to>
    <xdr:sp macro="" textlink="">
      <xdr:nvSpPr>
        <xdr:cNvPr id="97" name="TextBox 96"/>
        <xdr:cNvSpPr txBox="1"/>
      </xdr:nvSpPr>
      <xdr:spPr>
        <a:xfrm>
          <a:off x="3848100" y="10200322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5.3: Set the GDP growth path for the Rule of Thumb stress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reflect the GDP growth rates in the scenarios defined by the user</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values can be hard-coded in or set as a formula dependent on the Baseline values or the Satellite model values calculated below</a:t>
          </a:r>
        </a:p>
      </xdr:txBody>
    </xdr:sp>
    <xdr:clientData/>
  </xdr:twoCellAnchor>
  <xdr:twoCellAnchor>
    <xdr:from>
      <xdr:col>7</xdr:col>
      <xdr:colOff>0</xdr:colOff>
      <xdr:row>546</xdr:row>
      <xdr:rowOff>0</xdr:rowOff>
    </xdr:from>
    <xdr:to>
      <xdr:col>16</xdr:col>
      <xdr:colOff>0</xdr:colOff>
      <xdr:row>551</xdr:row>
      <xdr:rowOff>0</xdr:rowOff>
    </xdr:to>
    <xdr:sp macro="" textlink="">
      <xdr:nvSpPr>
        <xdr:cNvPr id="98" name="TextBox 97"/>
        <xdr:cNvSpPr txBox="1"/>
      </xdr:nvSpPr>
      <xdr:spPr>
        <a:xfrm>
          <a:off x="3848100" y="10409872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5.4: Define the first variable for the satellite model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is the factor that is stressed by the model</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illustrative purposes, the first variable in the tool is country level non-performing loans-to-PDs</a:t>
          </a:r>
        </a:p>
      </xdr:txBody>
    </xdr:sp>
    <xdr:clientData/>
  </xdr:twoCellAnchor>
  <xdr:twoCellAnchor>
    <xdr:from>
      <xdr:col>8</xdr:col>
      <xdr:colOff>504825</xdr:colOff>
      <xdr:row>551</xdr:row>
      <xdr:rowOff>28575</xdr:rowOff>
    </xdr:from>
    <xdr:to>
      <xdr:col>14</xdr:col>
      <xdr:colOff>85725</xdr:colOff>
      <xdr:row>552</xdr:row>
      <xdr:rowOff>104775</xdr:rowOff>
    </xdr:to>
    <xdr:pic macro="[0]!Step_54_hyperlink">
      <xdr:nvPicPr>
        <xdr:cNvPr id="100" name="Picture 99"/>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4962525" y="105079800"/>
          <a:ext cx="32385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553</xdr:row>
      <xdr:rowOff>0</xdr:rowOff>
    </xdr:from>
    <xdr:to>
      <xdr:col>16</xdr:col>
      <xdr:colOff>0</xdr:colOff>
      <xdr:row>563</xdr:row>
      <xdr:rowOff>0</xdr:rowOff>
    </xdr:to>
    <xdr:sp macro="" textlink="">
      <xdr:nvSpPr>
        <xdr:cNvPr id="101" name="TextBox 100"/>
        <xdr:cNvSpPr txBox="1"/>
      </xdr:nvSpPr>
      <xdr:spPr>
        <a:xfrm>
          <a:off x="3848100" y="10543222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5.5: Define the macroeconomic variables and enter their baseline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first illustrative example included in the tool models country level NPLs/PDs as a function of NPLs and real GDP</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This means that the macroeconomic variables are:</a:t>
          </a:r>
        </a:p>
        <a:p>
          <a:pPr marL="1143000" lvl="2" indent="-228600">
            <a:lnSpc>
              <a:spcPct val="107000"/>
            </a:lnSpc>
            <a:spcAft>
              <a:spcPts val="0"/>
            </a:spcAft>
            <a:buFont typeface="+mj-lt"/>
            <a:buAutoNum type="arabicPeriod"/>
          </a:pPr>
          <a:r>
            <a:rPr lang="en-CA" sz="1100">
              <a:effectLst/>
              <a:latin typeface="Calibri" panose="020F0502020204030204" pitchFamily="34" charset="0"/>
              <a:ea typeface="Calibri" panose="020F0502020204030204" pitchFamily="34" charset="0"/>
              <a:cs typeface="Times New Roman" panose="02020603050405020304" pitchFamily="18" charset="0"/>
            </a:rPr>
            <a:t>NPLs</a:t>
          </a:r>
        </a:p>
        <a:p>
          <a:pPr marL="1143000" lvl="2" indent="-228600">
            <a:lnSpc>
              <a:spcPct val="107000"/>
            </a:lnSpc>
            <a:spcAft>
              <a:spcPts val="0"/>
            </a:spcAft>
            <a:buFont typeface="+mj-lt"/>
            <a:buAutoNum type="arabicPeriod"/>
          </a:pPr>
          <a:r>
            <a:rPr lang="en-CA" sz="1100">
              <a:effectLst/>
              <a:latin typeface="Calibri" panose="020F0502020204030204" pitchFamily="34" charset="0"/>
              <a:ea typeface="Calibri" panose="020F0502020204030204" pitchFamily="34" charset="0"/>
              <a:cs typeface="Times New Roman" panose="02020603050405020304" pitchFamily="18" charset="0"/>
            </a:rPr>
            <a:t>Real GDP</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Up to 5 macroeconomic variables can be defined for each model</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To enter the baseline values for each variable, simply enter their value in a previous year or an expected baseline value</a:t>
          </a:r>
        </a:p>
      </xdr:txBody>
    </xdr:sp>
    <xdr:clientData/>
  </xdr:twoCellAnchor>
  <xdr:twoCellAnchor>
    <xdr:from>
      <xdr:col>8</xdr:col>
      <xdr:colOff>542925</xdr:colOff>
      <xdr:row>586</xdr:row>
      <xdr:rowOff>38100</xdr:rowOff>
    </xdr:from>
    <xdr:to>
      <xdr:col>13</xdr:col>
      <xdr:colOff>533400</xdr:colOff>
      <xdr:row>590</xdr:row>
      <xdr:rowOff>57150</xdr:rowOff>
    </xdr:to>
    <xdr:pic macro="[0]!Step_56_hyperlink">
      <xdr:nvPicPr>
        <xdr:cNvPr id="103" name="Picture 102"/>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5000625" y="111756825"/>
          <a:ext cx="3038475"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568</xdr:row>
      <xdr:rowOff>0</xdr:rowOff>
    </xdr:from>
    <xdr:to>
      <xdr:col>16</xdr:col>
      <xdr:colOff>0</xdr:colOff>
      <xdr:row>586</xdr:row>
      <xdr:rowOff>0</xdr:rowOff>
    </xdr:to>
    <xdr:sp macro="" textlink="">
      <xdr:nvSpPr>
        <xdr:cNvPr id="104" name="TextBox 103"/>
        <xdr:cNvSpPr txBox="1"/>
      </xdr:nvSpPr>
      <xdr:spPr>
        <a:xfrm>
          <a:off x="3848100" y="108289725"/>
          <a:ext cx="5486400" cy="3429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5.6: Enter the coefficients for the macroeconomic variables and the constant value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satellite model calculates stressed values by a linear function given by:</a:t>
          </a:r>
        </a:p>
        <a:p>
          <a:pPr marL="342900" lvl="0" indent="-342900">
            <a:lnSpc>
              <a:spcPct val="107000"/>
            </a:lnSpc>
            <a:spcAft>
              <a:spcPts val="800"/>
            </a:spcAft>
            <a:buFont typeface="Symbol" panose="05050102010706020507" pitchFamily="18" charset="2"/>
            <a:buChar char=""/>
          </a:pP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the illustrative example included in the tool, this function would be:</a:t>
          </a:r>
        </a:p>
        <a:p>
          <a:pPr algn="ctr">
            <a:lnSpc>
              <a:spcPct val="107000"/>
            </a:lnSpc>
            <a:spcAft>
              <a:spcPts val="800"/>
            </a:spcAft>
          </a:pPr>
          <a:r>
            <a:rPr lang="en-CA" sz="1100">
              <a:effectLst/>
              <a:latin typeface="Calibri" panose="020F0502020204030204" pitchFamily="34" charset="0"/>
              <a:ea typeface="Calibri" panose="020F0502020204030204" pitchFamily="34" charset="0"/>
              <a:cs typeface="Times New Roman" panose="02020603050405020304" pitchFamily="18" charset="0"/>
            </a:rPr>
            <a:t> </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constant value is what the variable would be equal to if the macroeconomic variables were equal to zero. </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constant value is 2.3422. This means that if NPLs and Real GDP were equal to zero, the country level NPLs/PD would be equal to 2.322.</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coefficients represent the rate of change of the stressed variable with respect to the macroeconomic variable</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coefficient for real GDP is -0.38050. This means that the country level NPLs/PD decrease by -0.3805% per 1% increase in real GDP</a:t>
          </a:r>
        </a:p>
      </xdr:txBody>
    </xdr:sp>
    <xdr:clientData/>
  </xdr:twoCellAnchor>
  <mc:AlternateContent xmlns:mc="http://schemas.openxmlformats.org/markup-compatibility/2006">
    <mc:Choice xmlns:a14="http://schemas.microsoft.com/office/drawing/2010/main" Requires="a14">
      <xdr:twoCellAnchor>
        <xdr:from>
          <xdr:col>6</xdr:col>
          <xdr:colOff>57150</xdr:colOff>
          <xdr:row>571</xdr:row>
          <xdr:rowOff>0</xdr:rowOff>
        </xdr:from>
        <xdr:to>
          <xdr:col>16</xdr:col>
          <xdr:colOff>552450</xdr:colOff>
          <xdr:row>572</xdr:row>
          <xdr:rowOff>47625</xdr:rowOff>
        </xdr:to>
        <xdr:sp macro="" textlink="">
          <xdr:nvSpPr>
            <xdr:cNvPr id="5163" name="Object 43" hidden="1">
              <a:extLst>
                <a:ext uri="{63B3BB69-23CF-44E3-9099-C40C66FF867C}">
                  <a14:compatExt spid="_x0000_s51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228600</xdr:colOff>
          <xdr:row>574</xdr:row>
          <xdr:rowOff>19050</xdr:rowOff>
        </xdr:from>
        <xdr:to>
          <xdr:col>16</xdr:col>
          <xdr:colOff>285750</xdr:colOff>
          <xdr:row>575</xdr:row>
          <xdr:rowOff>66675</xdr:rowOff>
        </xdr:to>
        <xdr:sp macro="" textlink="">
          <xdr:nvSpPr>
            <xdr:cNvPr id="5164" name="Object 44" hidden="1">
              <a:extLst>
                <a:ext uri="{63B3BB69-23CF-44E3-9099-C40C66FF867C}">
                  <a14:compatExt spid="_x0000_s516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333375</xdr:colOff>
      <xdr:row>563</xdr:row>
      <xdr:rowOff>76200</xdr:rowOff>
    </xdr:from>
    <xdr:to>
      <xdr:col>13</xdr:col>
      <xdr:colOff>266700</xdr:colOff>
      <xdr:row>567</xdr:row>
      <xdr:rowOff>85725</xdr:rowOff>
    </xdr:to>
    <xdr:pic macro="[0]!Step_55_hyperlink">
      <xdr:nvPicPr>
        <xdr:cNvPr id="106" name="Picture 105"/>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5400675" y="107413425"/>
          <a:ext cx="23717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591</xdr:row>
      <xdr:rowOff>0</xdr:rowOff>
    </xdr:from>
    <xdr:to>
      <xdr:col>16</xdr:col>
      <xdr:colOff>0</xdr:colOff>
      <xdr:row>601</xdr:row>
      <xdr:rowOff>0</xdr:rowOff>
    </xdr:to>
    <xdr:sp macro="" textlink="">
      <xdr:nvSpPr>
        <xdr:cNvPr id="108" name="TextBox 107"/>
        <xdr:cNvSpPr txBox="1"/>
      </xdr:nvSpPr>
      <xdr:spPr>
        <a:xfrm>
          <a:off x="3848100" y="11267122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5.7: Enter the values of the macroeconomic variables for years one to five under each scenario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Since the model stresses the variable as a function of the macroeconomic variables, the user must specify the values of the macroeconomic variables for each year</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do not need to be calculated manually and hard-coded into the cells; they can be a function of other cells in the model</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real GDP values are the same as those in the Rule of Thumb growth path. The NPLs are mapped to the values calculated by the model</a:t>
          </a:r>
        </a:p>
      </xdr:txBody>
    </xdr:sp>
    <xdr:clientData/>
  </xdr:twoCellAnchor>
  <xdr:twoCellAnchor>
    <xdr:from>
      <xdr:col>7</xdr:col>
      <xdr:colOff>76200</xdr:colOff>
      <xdr:row>601</xdr:row>
      <xdr:rowOff>19050</xdr:rowOff>
    </xdr:from>
    <xdr:to>
      <xdr:col>15</xdr:col>
      <xdr:colOff>523875</xdr:colOff>
      <xdr:row>605</xdr:row>
      <xdr:rowOff>28575</xdr:rowOff>
    </xdr:to>
    <xdr:pic macro="[0]!Step_57_hyperlink">
      <xdr:nvPicPr>
        <xdr:cNvPr id="110" name="Picture 109"/>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3924300" y="114595275"/>
          <a:ext cx="53244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606</xdr:row>
      <xdr:rowOff>0</xdr:rowOff>
    </xdr:from>
    <xdr:to>
      <xdr:col>16</xdr:col>
      <xdr:colOff>0</xdr:colOff>
      <xdr:row>609</xdr:row>
      <xdr:rowOff>0</xdr:rowOff>
    </xdr:to>
    <xdr:sp macro="" textlink="">
      <xdr:nvSpPr>
        <xdr:cNvPr id="111" name="TextBox 110"/>
        <xdr:cNvSpPr txBox="1"/>
      </xdr:nvSpPr>
      <xdr:spPr>
        <a:xfrm>
          <a:off x="3848100" y="1155287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5.8-Step 5.15</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Repeat steps 5.4 to 5.7 for the second and third variables in the satellite model</a:t>
          </a:r>
        </a:p>
      </xdr:txBody>
    </xdr:sp>
    <xdr:clientData/>
  </xdr:twoCellAnchor>
  <xdr:twoCellAnchor>
    <xdr:from>
      <xdr:col>10</xdr:col>
      <xdr:colOff>0</xdr:colOff>
      <xdr:row>611</xdr:row>
      <xdr:rowOff>0</xdr:rowOff>
    </xdr:from>
    <xdr:to>
      <xdr:col>13</xdr:col>
      <xdr:colOff>0</xdr:colOff>
      <xdr:row>613</xdr:row>
      <xdr:rowOff>0</xdr:rowOff>
    </xdr:to>
    <xdr:pic macro="[0]!Satellite_Next">
      <xdr:nvPicPr>
        <xdr:cNvPr id="112" name="Picture 11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7621725"/>
          <a:ext cx="1828800" cy="381000"/>
        </a:xfrm>
        <a:prstGeom prst="rect">
          <a:avLst/>
        </a:prstGeom>
      </xdr:spPr>
    </xdr:pic>
    <xdr:clientData/>
  </xdr:twoCellAnchor>
  <xdr:twoCellAnchor>
    <xdr:from>
      <xdr:col>10</xdr:col>
      <xdr:colOff>0</xdr:colOff>
      <xdr:row>615</xdr:row>
      <xdr:rowOff>0</xdr:rowOff>
    </xdr:from>
    <xdr:to>
      <xdr:col>13</xdr:col>
      <xdr:colOff>0</xdr:colOff>
      <xdr:row>617</xdr:row>
      <xdr:rowOff>0</xdr:rowOff>
    </xdr:to>
    <xdr:pic macro="[0]!Satellite_Back">
      <xdr:nvPicPr>
        <xdr:cNvPr id="113" name="Picture 11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98383725"/>
          <a:ext cx="1828800" cy="381000"/>
        </a:xfrm>
        <a:prstGeom prst="rect">
          <a:avLst/>
        </a:prstGeom>
      </xdr:spPr>
    </xdr:pic>
    <xdr:clientData/>
  </xdr:twoCellAnchor>
  <xdr:twoCellAnchor>
    <xdr:from>
      <xdr:col>7</xdr:col>
      <xdr:colOff>0</xdr:colOff>
      <xdr:row>619</xdr:row>
      <xdr:rowOff>0</xdr:rowOff>
    </xdr:from>
    <xdr:to>
      <xdr:col>16</xdr:col>
      <xdr:colOff>0</xdr:colOff>
      <xdr:row>624</xdr:row>
      <xdr:rowOff>0</xdr:rowOff>
    </xdr:to>
    <xdr:sp macro="" textlink="">
      <xdr:nvSpPr>
        <xdr:cNvPr id="114" name="TextBox 113"/>
        <xdr:cNvSpPr txBox="1"/>
      </xdr:nvSpPr>
      <xdr:spPr>
        <a:xfrm>
          <a:off x="3848100" y="118024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6.</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ASSUMPTIONS</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 Set the number of years included in the test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model allows the stress scenario to occur over up to five years</a:t>
          </a:r>
        </a:p>
        <a:p>
          <a:endParaRPr lang="en-CA" sz="1100"/>
        </a:p>
      </xdr:txBody>
    </xdr:sp>
    <xdr:clientData/>
  </xdr:twoCellAnchor>
  <xdr:twoCellAnchor>
    <xdr:from>
      <xdr:col>9</xdr:col>
      <xdr:colOff>95250</xdr:colOff>
      <xdr:row>624</xdr:row>
      <xdr:rowOff>47625</xdr:rowOff>
    </xdr:from>
    <xdr:to>
      <xdr:col>13</xdr:col>
      <xdr:colOff>571500</xdr:colOff>
      <xdr:row>625</xdr:row>
      <xdr:rowOff>57150</xdr:rowOff>
    </xdr:to>
    <xdr:pic>
      <xdr:nvPicPr>
        <xdr:cNvPr id="116" name="Picture 115">
          <a:hlinkClick xmlns:r="http://schemas.openxmlformats.org/officeDocument/2006/relationships" r:id="rId48"/>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5162550" y="119024400"/>
          <a:ext cx="29146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626</xdr:row>
      <xdr:rowOff>0</xdr:rowOff>
    </xdr:from>
    <xdr:to>
      <xdr:col>16</xdr:col>
      <xdr:colOff>0</xdr:colOff>
      <xdr:row>631</xdr:row>
      <xdr:rowOff>0</xdr:rowOff>
    </xdr:to>
    <xdr:sp macro="" textlink="">
      <xdr:nvSpPr>
        <xdr:cNvPr id="117" name="TextBox 116"/>
        <xdr:cNvSpPr txBox="1"/>
      </xdr:nvSpPr>
      <xdr:spPr>
        <a:xfrm>
          <a:off x="3848100" y="1193577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6.2: Specify whether the model should calculate capital needs relative to GDP or total assets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requires the GDP values to be in the same units as the bank data</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Otherwise, the results will have misplaced decimal places</a:t>
          </a:r>
        </a:p>
      </xdr:txBody>
    </xdr:sp>
    <xdr:clientData/>
  </xdr:twoCellAnchor>
  <xdr:twoCellAnchor>
    <xdr:from>
      <xdr:col>8</xdr:col>
      <xdr:colOff>66675</xdr:colOff>
      <xdr:row>631</xdr:row>
      <xdr:rowOff>19050</xdr:rowOff>
    </xdr:from>
    <xdr:to>
      <xdr:col>14</xdr:col>
      <xdr:colOff>552450</xdr:colOff>
      <xdr:row>633</xdr:row>
      <xdr:rowOff>28575</xdr:rowOff>
    </xdr:to>
    <xdr:pic>
      <xdr:nvPicPr>
        <xdr:cNvPr id="119" name="Picture 118">
          <a:hlinkClick xmlns:r="http://schemas.openxmlformats.org/officeDocument/2006/relationships" r:id="rId50"/>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4524375" y="120329325"/>
          <a:ext cx="41433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634</xdr:row>
      <xdr:rowOff>0</xdr:rowOff>
    </xdr:from>
    <xdr:to>
      <xdr:col>16</xdr:col>
      <xdr:colOff>0</xdr:colOff>
      <xdr:row>637</xdr:row>
      <xdr:rowOff>0</xdr:rowOff>
    </xdr:to>
    <xdr:sp macro="" textlink="">
      <xdr:nvSpPr>
        <xdr:cNvPr id="120" name="TextBox 119"/>
        <xdr:cNvSpPr txBox="1"/>
      </xdr:nvSpPr>
      <xdr:spPr>
        <a:xfrm>
          <a:off x="3848100" y="1208817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6.3: Specify whether to include under-year adjustment for profit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enabled, this option will rescale the input data to a 12 period year</a:t>
          </a:r>
        </a:p>
      </xdr:txBody>
    </xdr:sp>
    <xdr:clientData/>
  </xdr:twoCellAnchor>
  <xdr:twoCellAnchor>
    <xdr:from>
      <xdr:col>8</xdr:col>
      <xdr:colOff>495300</xdr:colOff>
      <xdr:row>637</xdr:row>
      <xdr:rowOff>9525</xdr:rowOff>
    </xdr:from>
    <xdr:to>
      <xdr:col>14</xdr:col>
      <xdr:colOff>95250</xdr:colOff>
      <xdr:row>638</xdr:row>
      <xdr:rowOff>19050</xdr:rowOff>
    </xdr:to>
    <xdr:pic>
      <xdr:nvPicPr>
        <xdr:cNvPr id="122" name="Picture 121">
          <a:hlinkClick xmlns:r="http://schemas.openxmlformats.org/officeDocument/2006/relationships" r:id="rId52"/>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4953000" y="121462800"/>
          <a:ext cx="32575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639</xdr:row>
      <xdr:rowOff>0</xdr:rowOff>
    </xdr:from>
    <xdr:to>
      <xdr:col>16</xdr:col>
      <xdr:colOff>0</xdr:colOff>
      <xdr:row>648</xdr:row>
      <xdr:rowOff>0</xdr:rowOff>
    </xdr:to>
    <xdr:sp macro="" textlink="">
      <xdr:nvSpPr>
        <xdr:cNvPr id="123" name="TextBox 122"/>
        <xdr:cNvSpPr txBox="1"/>
      </xdr:nvSpPr>
      <xdr:spPr>
        <a:xfrm>
          <a:off x="3848100" y="121834275"/>
          <a:ext cx="5486400" cy="1714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6.4: Define the sector classification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chooses the perspective from which the input data will be stressed.</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possible sector settings are those specified in the Setup tab i.e.: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Broad sectors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Fine-granular sectors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Geographical sectors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whichever setting is chosen, the user must ensure that the appropriate sector input data has been entered on the Input tab</a:t>
          </a:r>
        </a:p>
      </xdr:txBody>
    </xdr:sp>
    <xdr:clientData/>
  </xdr:twoCellAnchor>
  <xdr:twoCellAnchor>
    <xdr:from>
      <xdr:col>7</xdr:col>
      <xdr:colOff>342900</xdr:colOff>
      <xdr:row>659</xdr:row>
      <xdr:rowOff>47625</xdr:rowOff>
    </xdr:from>
    <xdr:to>
      <xdr:col>14</xdr:col>
      <xdr:colOff>276225</xdr:colOff>
      <xdr:row>668</xdr:row>
      <xdr:rowOff>76200</xdr:rowOff>
    </xdr:to>
    <xdr:pic>
      <xdr:nvPicPr>
        <xdr:cNvPr id="125" name="Picture 124">
          <a:hlinkClick xmlns:r="http://schemas.openxmlformats.org/officeDocument/2006/relationships" r:id="rId54"/>
        </xdr:cNvPr>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4191000" y="125691900"/>
          <a:ext cx="4200525" cy="1743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649</xdr:row>
      <xdr:rowOff>0</xdr:rowOff>
    </xdr:from>
    <xdr:to>
      <xdr:col>16</xdr:col>
      <xdr:colOff>0</xdr:colOff>
      <xdr:row>654</xdr:row>
      <xdr:rowOff>0</xdr:rowOff>
    </xdr:to>
    <xdr:sp macro="" textlink="">
      <xdr:nvSpPr>
        <xdr:cNvPr id="126" name="TextBox 125"/>
        <xdr:cNvSpPr txBox="1"/>
      </xdr:nvSpPr>
      <xdr:spPr>
        <a:xfrm>
          <a:off x="3848100" y="123739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6.5: Specify which input data to use in Credit Risk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will determine which section of the input data will be used in Credit Risk RWA calculations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user must ensure that the appropriate data has been entered on the Input tab</a:t>
          </a:r>
        </a:p>
      </xdr:txBody>
    </xdr:sp>
    <xdr:clientData/>
  </xdr:twoCellAnchor>
  <xdr:twoCellAnchor>
    <xdr:from>
      <xdr:col>7</xdr:col>
      <xdr:colOff>0</xdr:colOff>
      <xdr:row>655</xdr:row>
      <xdr:rowOff>0</xdr:rowOff>
    </xdr:from>
    <xdr:to>
      <xdr:col>16</xdr:col>
      <xdr:colOff>0</xdr:colOff>
      <xdr:row>659</xdr:row>
      <xdr:rowOff>0</xdr:rowOff>
    </xdr:to>
    <xdr:sp macro="" textlink="">
      <xdr:nvSpPr>
        <xdr:cNvPr id="127" name="TextBox 126"/>
        <xdr:cNvSpPr txBox="1"/>
      </xdr:nvSpPr>
      <xdr:spPr>
        <a:xfrm>
          <a:off x="3848100" y="1248822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6.6: Specify whether to include RWAs for name concentration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applies only for the IRB method</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risk relates to the fact that no real credit portfolio is infinitely granular</a:t>
          </a:r>
        </a:p>
      </xdr:txBody>
    </xdr:sp>
    <xdr:clientData/>
  </xdr:twoCellAnchor>
  <xdr:twoCellAnchor>
    <xdr:from>
      <xdr:col>7</xdr:col>
      <xdr:colOff>0</xdr:colOff>
      <xdr:row>669</xdr:row>
      <xdr:rowOff>0</xdr:rowOff>
    </xdr:from>
    <xdr:to>
      <xdr:col>16</xdr:col>
      <xdr:colOff>0</xdr:colOff>
      <xdr:row>674</xdr:row>
      <xdr:rowOff>0</xdr:rowOff>
    </xdr:to>
    <xdr:sp macro="" textlink="">
      <xdr:nvSpPr>
        <xdr:cNvPr id="128" name="TextBox 127"/>
        <xdr:cNvSpPr txBox="1"/>
      </xdr:nvSpPr>
      <xdr:spPr>
        <a:xfrm>
          <a:off x="3848100" y="127549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6.7: Specify which input data to use in Market Risk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will determine which section of the input data will be used in Market Risk RWA calculations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user must ensure that the appropriate data has been entered on the Input tab</a:t>
          </a:r>
        </a:p>
      </xdr:txBody>
    </xdr:sp>
    <xdr:clientData/>
  </xdr:twoCellAnchor>
  <xdr:twoCellAnchor>
    <xdr:from>
      <xdr:col>9</xdr:col>
      <xdr:colOff>190500</xdr:colOff>
      <xdr:row>674</xdr:row>
      <xdr:rowOff>47625</xdr:rowOff>
    </xdr:from>
    <xdr:to>
      <xdr:col>13</xdr:col>
      <xdr:colOff>381000</xdr:colOff>
      <xdr:row>676</xdr:row>
      <xdr:rowOff>104775</xdr:rowOff>
    </xdr:to>
    <xdr:pic>
      <xdr:nvPicPr>
        <xdr:cNvPr id="130" name="Picture 129">
          <a:hlinkClick xmlns:r="http://schemas.openxmlformats.org/officeDocument/2006/relationships" r:id="rId56"/>
        </xdr:cNvPr>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5257800" y="128549400"/>
          <a:ext cx="26289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677</xdr:row>
      <xdr:rowOff>0</xdr:rowOff>
    </xdr:from>
    <xdr:to>
      <xdr:col>16</xdr:col>
      <xdr:colOff>0</xdr:colOff>
      <xdr:row>680</xdr:row>
      <xdr:rowOff>0</xdr:rowOff>
    </xdr:to>
    <xdr:sp macro="" textlink="">
      <xdr:nvSpPr>
        <xdr:cNvPr id="131" name="TextBox 130"/>
        <xdr:cNvSpPr txBox="1"/>
      </xdr:nvSpPr>
      <xdr:spPr>
        <a:xfrm>
          <a:off x="3848100" y="129073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6.8: Specify whether to include Pillar II risks in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this setting is enabled, the user must avoid double-counting concentration risk</a:t>
          </a:r>
        </a:p>
      </xdr:txBody>
    </xdr:sp>
    <xdr:clientData/>
  </xdr:twoCellAnchor>
  <xdr:twoCellAnchor>
    <xdr:from>
      <xdr:col>8</xdr:col>
      <xdr:colOff>514350</xdr:colOff>
      <xdr:row>680</xdr:row>
      <xdr:rowOff>47625</xdr:rowOff>
    </xdr:from>
    <xdr:to>
      <xdr:col>14</xdr:col>
      <xdr:colOff>190500</xdr:colOff>
      <xdr:row>682</xdr:row>
      <xdr:rowOff>38100</xdr:rowOff>
    </xdr:to>
    <xdr:pic>
      <xdr:nvPicPr>
        <xdr:cNvPr id="133" name="Picture 132">
          <a:hlinkClick xmlns:r="http://schemas.openxmlformats.org/officeDocument/2006/relationships" r:id="rId58"/>
        </xdr:cNvPr>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4972050" y="129692400"/>
          <a:ext cx="3333750"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683</xdr:row>
      <xdr:rowOff>0</xdr:rowOff>
    </xdr:from>
    <xdr:to>
      <xdr:col>16</xdr:col>
      <xdr:colOff>0</xdr:colOff>
      <xdr:row>687</xdr:row>
      <xdr:rowOff>0</xdr:rowOff>
    </xdr:to>
    <xdr:sp macro="" textlink="">
      <xdr:nvSpPr>
        <xdr:cNvPr id="134" name="TextBox 133"/>
        <xdr:cNvSpPr txBox="1"/>
      </xdr:nvSpPr>
      <xdr:spPr>
        <a:xfrm>
          <a:off x="3848100" y="1302162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6.9: Specify tax settings for the model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requires the user to specify whether the model will simulate the effects of taxes. </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enabled, the user must also specify the uniform tax rate</a:t>
          </a:r>
        </a:p>
      </xdr:txBody>
    </xdr:sp>
    <xdr:clientData/>
  </xdr:twoCellAnchor>
  <xdr:twoCellAnchor>
    <xdr:from>
      <xdr:col>7</xdr:col>
      <xdr:colOff>0</xdr:colOff>
      <xdr:row>688</xdr:row>
      <xdr:rowOff>0</xdr:rowOff>
    </xdr:from>
    <xdr:to>
      <xdr:col>16</xdr:col>
      <xdr:colOff>0</xdr:colOff>
      <xdr:row>690</xdr:row>
      <xdr:rowOff>0</xdr:rowOff>
    </xdr:to>
    <xdr:sp macro="" textlink="">
      <xdr:nvSpPr>
        <xdr:cNvPr id="135" name="TextBox 134"/>
        <xdr:cNvSpPr txBox="1"/>
      </xdr:nvSpPr>
      <xdr:spPr>
        <a:xfrm>
          <a:off x="3848100" y="1311687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6.10: Specify the level of profit retained in each year</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7</xdr:col>
      <xdr:colOff>38100</xdr:colOff>
      <xdr:row>690</xdr:row>
      <xdr:rowOff>19050</xdr:rowOff>
    </xdr:from>
    <xdr:to>
      <xdr:col>15</xdr:col>
      <xdr:colOff>581025</xdr:colOff>
      <xdr:row>693</xdr:row>
      <xdr:rowOff>85725</xdr:rowOff>
    </xdr:to>
    <xdr:pic>
      <xdr:nvPicPr>
        <xdr:cNvPr id="137" name="Picture 136">
          <a:hlinkClick xmlns:r="http://schemas.openxmlformats.org/officeDocument/2006/relationships" r:id="rId60"/>
        </xdr:cNvPr>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3886200" y="131568825"/>
          <a:ext cx="5419725"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694</xdr:row>
      <xdr:rowOff>0</xdr:rowOff>
    </xdr:from>
    <xdr:to>
      <xdr:col>16</xdr:col>
      <xdr:colOff>0</xdr:colOff>
      <xdr:row>702</xdr:row>
      <xdr:rowOff>0</xdr:rowOff>
    </xdr:to>
    <xdr:sp macro="" textlink="">
      <xdr:nvSpPr>
        <xdr:cNvPr id="138" name="TextBox 137"/>
        <xdr:cNvSpPr txBox="1"/>
      </xdr:nvSpPr>
      <xdr:spPr>
        <a:xfrm>
          <a:off x="3848100" y="132311775"/>
          <a:ext cx="5486400" cy="152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6.11: Define the capital ratio hurdle rates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hurdle rates for: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Total capital</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Tier 1 capital</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Common/Core tier 1 capital</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user enabled Basel III (on the Summary tab), these hurdle rates will be ignored and the Basel III tables from the Parameters tab will be used</a:t>
          </a:r>
        </a:p>
      </xdr:txBody>
    </xdr:sp>
    <xdr:clientData/>
  </xdr:twoCellAnchor>
  <xdr:twoCellAnchor>
    <xdr:from>
      <xdr:col>6</xdr:col>
      <xdr:colOff>85725</xdr:colOff>
      <xdr:row>702</xdr:row>
      <xdr:rowOff>28575</xdr:rowOff>
    </xdr:from>
    <xdr:to>
      <xdr:col>16</xdr:col>
      <xdr:colOff>476250</xdr:colOff>
      <xdr:row>708</xdr:row>
      <xdr:rowOff>38100</xdr:rowOff>
    </xdr:to>
    <xdr:pic>
      <xdr:nvPicPr>
        <xdr:cNvPr id="142" name="Picture 141">
          <a:hlinkClick xmlns:r="http://schemas.openxmlformats.org/officeDocument/2006/relationships" r:id="rId62"/>
        </xdr:cNvPr>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3324225" y="133864350"/>
          <a:ext cx="6486525" cy="115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709</xdr:row>
      <xdr:rowOff>0</xdr:rowOff>
    </xdr:from>
    <xdr:to>
      <xdr:col>16</xdr:col>
      <xdr:colOff>0</xdr:colOff>
      <xdr:row>712</xdr:row>
      <xdr:rowOff>0</xdr:rowOff>
    </xdr:to>
    <xdr:sp macro="" textlink="">
      <xdr:nvSpPr>
        <xdr:cNvPr id="143" name="TextBox 142"/>
        <xdr:cNvSpPr txBox="1"/>
      </xdr:nvSpPr>
      <xdr:spPr>
        <a:xfrm>
          <a:off x="3848100" y="135169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6.12: Add any additional buffer ratio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will be added on top of the other hurdle rates</a:t>
          </a:r>
        </a:p>
      </xdr:txBody>
    </xdr:sp>
    <xdr:clientData/>
  </xdr:twoCellAnchor>
  <xdr:twoCellAnchor>
    <xdr:from>
      <xdr:col>8</xdr:col>
      <xdr:colOff>66675</xdr:colOff>
      <xdr:row>712</xdr:row>
      <xdr:rowOff>28575</xdr:rowOff>
    </xdr:from>
    <xdr:to>
      <xdr:col>14</xdr:col>
      <xdr:colOff>561975</xdr:colOff>
      <xdr:row>716</xdr:row>
      <xdr:rowOff>28575</xdr:rowOff>
    </xdr:to>
    <xdr:pic>
      <xdr:nvPicPr>
        <xdr:cNvPr id="145" name="Picture 144">
          <a:hlinkClick xmlns:r="http://schemas.openxmlformats.org/officeDocument/2006/relationships" r:id="rId64"/>
        </xdr:cNvPr>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4524375" y="135769350"/>
          <a:ext cx="41529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717</xdr:row>
      <xdr:rowOff>0</xdr:rowOff>
    </xdr:from>
    <xdr:to>
      <xdr:col>16</xdr:col>
      <xdr:colOff>0</xdr:colOff>
      <xdr:row>720</xdr:row>
      <xdr:rowOff>0</xdr:rowOff>
    </xdr:to>
    <xdr:sp macro="" textlink="">
      <xdr:nvSpPr>
        <xdr:cNvPr id="147" name="TextBox 146"/>
        <xdr:cNvSpPr txBox="1"/>
      </xdr:nvSpPr>
      <xdr:spPr>
        <a:xfrm>
          <a:off x="3848100" y="136693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6.13: Specify the country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possibilities are advanced and emerging</a:t>
          </a:r>
        </a:p>
      </xdr:txBody>
    </xdr:sp>
    <xdr:clientData/>
  </xdr:twoCellAnchor>
  <xdr:twoCellAnchor>
    <xdr:from>
      <xdr:col>9</xdr:col>
      <xdr:colOff>161925</xdr:colOff>
      <xdr:row>720</xdr:row>
      <xdr:rowOff>28575</xdr:rowOff>
    </xdr:from>
    <xdr:to>
      <xdr:col>13</xdr:col>
      <xdr:colOff>276225</xdr:colOff>
      <xdr:row>722</xdr:row>
      <xdr:rowOff>133350</xdr:rowOff>
    </xdr:to>
    <xdr:pic>
      <xdr:nvPicPr>
        <xdr:cNvPr id="151" name="Picture 150">
          <a:hlinkClick xmlns:r="http://schemas.openxmlformats.org/officeDocument/2006/relationships" r:id="rId66"/>
        </xdr:cNvPr>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5229225" y="137293350"/>
          <a:ext cx="2552700" cy="48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723</xdr:row>
      <xdr:rowOff>0</xdr:rowOff>
    </xdr:from>
    <xdr:to>
      <xdr:col>16</xdr:col>
      <xdr:colOff>0</xdr:colOff>
      <xdr:row>747</xdr:row>
      <xdr:rowOff>0</xdr:rowOff>
    </xdr:to>
    <xdr:sp macro="" textlink="">
      <xdr:nvSpPr>
        <xdr:cNvPr id="152" name="TextBox 151"/>
        <xdr:cNvSpPr txBox="1"/>
      </xdr:nvSpPr>
      <xdr:spPr>
        <a:xfrm>
          <a:off x="3848100" y="137836275"/>
          <a:ext cx="5486400" cy="457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6.14: Define the macro settings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There are two possible settings for the tool: macro and expert. The user defines which setting to use on the Summary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reason this is not included on the Assumptions tab is so the user can easily switch back and forth between settings to see the impact</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macro setting has two types: satellite model and rule of thumb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satellite model setting uses the values calculated by the model defined on the Satellite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rule of thumb model uses the GDP growth path values defined on the Satellite tab</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macro settings requires: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which macro model to use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Deciding whether the macro model should include a(n):</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Credit loss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LGD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Correlation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Credit growth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Profit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net interest income</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net fee and commission income</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trading income</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Some of these models will be mutually exclusive (e.g. the correlation model is not applicable when the satellite model is used). The tool dynamically indicates which models are applicable under the current settings.</a:t>
          </a:r>
        </a:p>
      </xdr:txBody>
    </xdr:sp>
    <xdr:clientData/>
  </xdr:twoCellAnchor>
  <xdr:twoCellAnchor>
    <xdr:from>
      <xdr:col>8</xdr:col>
      <xdr:colOff>66675</xdr:colOff>
      <xdr:row>747</xdr:row>
      <xdr:rowOff>28575</xdr:rowOff>
    </xdr:from>
    <xdr:to>
      <xdr:col>14</xdr:col>
      <xdr:colOff>542925</xdr:colOff>
      <xdr:row>764</xdr:row>
      <xdr:rowOff>47625</xdr:rowOff>
    </xdr:to>
    <xdr:pic>
      <xdr:nvPicPr>
        <xdr:cNvPr id="155" name="Picture 154">
          <a:hlinkClick xmlns:r="http://schemas.openxmlformats.org/officeDocument/2006/relationships" r:id="rId68"/>
        </xdr:cNvPr>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4524375" y="142436850"/>
          <a:ext cx="4133850" cy="3257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765</xdr:row>
      <xdr:rowOff>0</xdr:rowOff>
    </xdr:from>
    <xdr:to>
      <xdr:col>16</xdr:col>
      <xdr:colOff>0</xdr:colOff>
      <xdr:row>776</xdr:row>
      <xdr:rowOff>0</xdr:rowOff>
    </xdr:to>
    <xdr:sp macro="" textlink="">
      <xdr:nvSpPr>
        <xdr:cNvPr id="156" name="TextBox 155"/>
        <xdr:cNvSpPr txBox="1"/>
      </xdr:nvSpPr>
      <xdr:spPr>
        <a:xfrm>
          <a:off x="3848100" y="145837275"/>
          <a:ext cx="5486400" cy="2095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6.15: Define the credit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credit risk loss assumption</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type of PD increase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downgrade values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type of LGD increase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asset correlation assumption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which of the largest exposures default</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credit growth percentage for each year</a:t>
          </a:r>
        </a:p>
      </xdr:txBody>
    </xdr:sp>
    <xdr:clientData/>
  </xdr:twoCellAnchor>
  <xdr:twoCellAnchor>
    <xdr:from>
      <xdr:col>6</xdr:col>
      <xdr:colOff>314325</xdr:colOff>
      <xdr:row>776</xdr:row>
      <xdr:rowOff>28575</xdr:rowOff>
    </xdr:from>
    <xdr:to>
      <xdr:col>16</xdr:col>
      <xdr:colOff>314325</xdr:colOff>
      <xdr:row>783</xdr:row>
      <xdr:rowOff>152400</xdr:rowOff>
    </xdr:to>
    <xdr:pic>
      <xdr:nvPicPr>
        <xdr:cNvPr id="161" name="Picture 160">
          <a:hlinkClick xmlns:r="http://schemas.openxmlformats.org/officeDocument/2006/relationships" r:id="rId70"/>
        </xdr:cNvPr>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3552825" y="147961350"/>
          <a:ext cx="6096000" cy="1457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784</xdr:row>
      <xdr:rowOff>0</xdr:rowOff>
    </xdr:from>
    <xdr:to>
      <xdr:col>16</xdr:col>
      <xdr:colOff>0</xdr:colOff>
      <xdr:row>793</xdr:row>
      <xdr:rowOff>0</xdr:rowOff>
    </xdr:to>
    <xdr:sp macro="" textlink="">
      <xdr:nvSpPr>
        <xdr:cNvPr id="162" name="TextBox 161"/>
        <xdr:cNvSpPr txBox="1"/>
      </xdr:nvSpPr>
      <xdr:spPr>
        <a:xfrm>
          <a:off x="3848100" y="149456775"/>
          <a:ext cx="5486400" cy="1714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6.16: Define the market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in RWAs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FX rates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interest rate scenario</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are the scenarios that were defined earlier on the Parameters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asset values for each year</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hold-to-maturity (HTM) portfolios</a:t>
          </a:r>
        </a:p>
      </xdr:txBody>
    </xdr:sp>
    <xdr:clientData/>
  </xdr:twoCellAnchor>
  <xdr:twoCellAnchor>
    <xdr:from>
      <xdr:col>6</xdr:col>
      <xdr:colOff>285750</xdr:colOff>
      <xdr:row>793</xdr:row>
      <xdr:rowOff>54513</xdr:rowOff>
    </xdr:from>
    <xdr:to>
      <xdr:col>16</xdr:col>
      <xdr:colOff>390525</xdr:colOff>
      <xdr:row>803</xdr:row>
      <xdr:rowOff>104774</xdr:rowOff>
    </xdr:to>
    <xdr:pic>
      <xdr:nvPicPr>
        <xdr:cNvPr id="164" name="Picture 163">
          <a:hlinkClick xmlns:r="http://schemas.openxmlformats.org/officeDocument/2006/relationships" r:id="rId72"/>
        </xdr:cNvPr>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3524250" y="151225788"/>
          <a:ext cx="6200775" cy="1955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804</xdr:row>
      <xdr:rowOff>0</xdr:rowOff>
    </xdr:from>
    <xdr:to>
      <xdr:col>16</xdr:col>
      <xdr:colOff>0</xdr:colOff>
      <xdr:row>809</xdr:row>
      <xdr:rowOff>0</xdr:rowOff>
    </xdr:to>
    <xdr:sp macro="" textlink="">
      <xdr:nvSpPr>
        <xdr:cNvPr id="165" name="TextBox 164"/>
        <xdr:cNvSpPr txBox="1"/>
      </xdr:nvSpPr>
      <xdr:spPr>
        <a:xfrm>
          <a:off x="3848100" y="1532667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6.16: Define the other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for operational risk RWAs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for pillar I and II risk RWAs</a:t>
          </a:r>
        </a:p>
      </xdr:txBody>
    </xdr:sp>
    <xdr:clientData/>
  </xdr:twoCellAnchor>
  <xdr:twoCellAnchor>
    <xdr:from>
      <xdr:col>7</xdr:col>
      <xdr:colOff>200025</xdr:colOff>
      <xdr:row>809</xdr:row>
      <xdr:rowOff>28575</xdr:rowOff>
    </xdr:from>
    <xdr:to>
      <xdr:col>15</xdr:col>
      <xdr:colOff>466725</xdr:colOff>
      <xdr:row>812</xdr:row>
      <xdr:rowOff>161925</xdr:rowOff>
    </xdr:to>
    <xdr:pic>
      <xdr:nvPicPr>
        <xdr:cNvPr id="167" name="Picture 166">
          <a:hlinkClick xmlns:r="http://schemas.openxmlformats.org/officeDocument/2006/relationships" r:id="rId74"/>
        </xdr:cNvPr>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4048125" y="154247850"/>
          <a:ext cx="5143500" cy="70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814</xdr:row>
      <xdr:rowOff>0</xdr:rowOff>
    </xdr:from>
    <xdr:to>
      <xdr:col>16</xdr:col>
      <xdr:colOff>0</xdr:colOff>
      <xdr:row>824</xdr:row>
      <xdr:rowOff>0</xdr:rowOff>
    </xdr:to>
    <xdr:sp macro="" textlink="">
      <xdr:nvSpPr>
        <xdr:cNvPr id="115" name="TextBox 114"/>
        <xdr:cNvSpPr txBox="1"/>
      </xdr:nvSpPr>
      <xdr:spPr>
        <a:xfrm>
          <a:off x="3848100" y="15517177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6.17: Define the evolution of profit </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net interest income in the model and if so,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fee and commission income in the model and if so,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trading income in the model and if so, the percentage change for each year</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other income for each year</a:t>
          </a:r>
        </a:p>
      </xdr:txBody>
    </xdr:sp>
    <xdr:clientData/>
  </xdr:twoCellAnchor>
  <xdr:twoCellAnchor>
    <xdr:from>
      <xdr:col>6</xdr:col>
      <xdr:colOff>533400</xdr:colOff>
      <xdr:row>824</xdr:row>
      <xdr:rowOff>47625</xdr:rowOff>
    </xdr:from>
    <xdr:to>
      <xdr:col>16</xdr:col>
      <xdr:colOff>114300</xdr:colOff>
      <xdr:row>832</xdr:row>
      <xdr:rowOff>133350</xdr:rowOff>
    </xdr:to>
    <xdr:pic>
      <xdr:nvPicPr>
        <xdr:cNvPr id="124" name="Picture 123">
          <a:hlinkClick xmlns:r="http://schemas.openxmlformats.org/officeDocument/2006/relationships" r:id="rId76"/>
        </xdr:cNvPr>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3771900" y="157124400"/>
          <a:ext cx="5676900"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835</xdr:row>
      <xdr:rowOff>0</xdr:rowOff>
    </xdr:from>
    <xdr:to>
      <xdr:col>13</xdr:col>
      <xdr:colOff>0</xdr:colOff>
      <xdr:row>837</xdr:row>
      <xdr:rowOff>0</xdr:rowOff>
    </xdr:to>
    <xdr:pic macro="[0]!Assumptions_Next">
      <xdr:nvPicPr>
        <xdr:cNvPr id="129" name="Picture 12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116500275"/>
          <a:ext cx="1828800" cy="381000"/>
        </a:xfrm>
        <a:prstGeom prst="rect">
          <a:avLst/>
        </a:prstGeom>
      </xdr:spPr>
    </xdr:pic>
    <xdr:clientData/>
  </xdr:twoCellAnchor>
  <xdr:twoCellAnchor>
    <xdr:from>
      <xdr:col>10</xdr:col>
      <xdr:colOff>0</xdr:colOff>
      <xdr:row>839</xdr:row>
      <xdr:rowOff>0</xdr:rowOff>
    </xdr:from>
    <xdr:to>
      <xdr:col>13</xdr:col>
      <xdr:colOff>0</xdr:colOff>
      <xdr:row>841</xdr:row>
      <xdr:rowOff>0</xdr:rowOff>
    </xdr:to>
    <xdr:pic macro="[0]!Assumptions_Back">
      <xdr:nvPicPr>
        <xdr:cNvPr id="132" name="Picture 13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17262275"/>
          <a:ext cx="1828800" cy="381000"/>
        </a:xfrm>
        <a:prstGeom prst="rect">
          <a:avLst/>
        </a:prstGeom>
      </xdr:spPr>
    </xdr:pic>
    <xdr:clientData/>
  </xdr:twoCellAnchor>
  <xdr:twoCellAnchor>
    <xdr:from>
      <xdr:col>7</xdr:col>
      <xdr:colOff>0</xdr:colOff>
      <xdr:row>843</xdr:row>
      <xdr:rowOff>0</xdr:rowOff>
    </xdr:from>
    <xdr:to>
      <xdr:col>16</xdr:col>
      <xdr:colOff>0</xdr:colOff>
      <xdr:row>866</xdr:row>
      <xdr:rowOff>0</xdr:rowOff>
    </xdr:to>
    <xdr:sp macro="" textlink="">
      <xdr:nvSpPr>
        <xdr:cNvPr id="136" name="TextBox 135"/>
        <xdr:cNvSpPr txBox="1"/>
      </xdr:nvSpPr>
      <xdr:spPr>
        <a:xfrm>
          <a:off x="3848100" y="160715325"/>
          <a:ext cx="5486400" cy="438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7. SUMMARY</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7.1: Specify the scenario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a Macro scenario is selected, specify which type of Macro scenario</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options are the stress scenarios defined on the Satellite tab</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7.2: Specify whether to include Basel III</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affects: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increase in minimum capital ratios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increases in RWA</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phase-out of total capital</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7.3: Specify the RWA stress test method</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options are the Standardized approach and the IRB approach</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Standard approach adjusts Credit RWAs for the credit growth net of losses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IRB approach adjusts RWAs for changes in Credit Risk</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IRB approach is selected, specify the type. The options are Regular IRB and Economic IRB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Regular IRB approach will proxy RWAs based on the IRB formula with some adjustments for decreasing asset correlations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Economic IRB approach assumes that asset correlations remain constant under stress</a:t>
          </a:r>
        </a:p>
      </xdr:txBody>
    </xdr:sp>
    <xdr:clientData/>
  </xdr:twoCellAnchor>
  <xdr:twoCellAnchor>
    <xdr:from>
      <xdr:col>7</xdr:col>
      <xdr:colOff>371475</xdr:colOff>
      <xdr:row>866</xdr:row>
      <xdr:rowOff>38100</xdr:rowOff>
    </xdr:from>
    <xdr:to>
      <xdr:col>15</xdr:col>
      <xdr:colOff>247650</xdr:colOff>
      <xdr:row>873</xdr:row>
      <xdr:rowOff>47625</xdr:rowOff>
    </xdr:to>
    <xdr:pic>
      <xdr:nvPicPr>
        <xdr:cNvPr id="140" name="Picture 139">
          <a:hlinkClick xmlns:r="http://schemas.openxmlformats.org/officeDocument/2006/relationships" r:id="rId78"/>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4219575" y="165134925"/>
          <a:ext cx="4752975"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875</xdr:row>
      <xdr:rowOff>0</xdr:rowOff>
    </xdr:from>
    <xdr:to>
      <xdr:col>13</xdr:col>
      <xdr:colOff>0</xdr:colOff>
      <xdr:row>877</xdr:row>
      <xdr:rowOff>0</xdr:rowOff>
    </xdr:to>
    <xdr:pic macro="[0]!Summary_Next">
      <xdr:nvPicPr>
        <xdr:cNvPr id="141" name="Picture 14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159191325"/>
          <a:ext cx="1828800" cy="381000"/>
        </a:xfrm>
        <a:prstGeom prst="rect">
          <a:avLst/>
        </a:prstGeom>
      </xdr:spPr>
    </xdr:pic>
    <xdr:clientData/>
  </xdr:twoCellAnchor>
  <xdr:twoCellAnchor>
    <xdr:from>
      <xdr:col>10</xdr:col>
      <xdr:colOff>0</xdr:colOff>
      <xdr:row>879</xdr:row>
      <xdr:rowOff>0</xdr:rowOff>
    </xdr:from>
    <xdr:to>
      <xdr:col>13</xdr:col>
      <xdr:colOff>0</xdr:colOff>
      <xdr:row>881</xdr:row>
      <xdr:rowOff>0</xdr:rowOff>
    </xdr:to>
    <xdr:pic macro="[0]!Summary_Back">
      <xdr:nvPicPr>
        <xdr:cNvPr id="144" name="Picture 14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59953325"/>
          <a:ext cx="1828800" cy="381000"/>
        </a:xfrm>
        <a:prstGeom prst="rect">
          <a:avLst/>
        </a:prstGeom>
      </xdr:spPr>
    </xdr:pic>
    <xdr:clientData/>
  </xdr:twoCellAnchor>
  <xdr:twoCellAnchor>
    <xdr:from>
      <xdr:col>7</xdr:col>
      <xdr:colOff>0</xdr:colOff>
      <xdr:row>883</xdr:row>
      <xdr:rowOff>0</xdr:rowOff>
    </xdr:from>
    <xdr:to>
      <xdr:col>16</xdr:col>
      <xdr:colOff>0</xdr:colOff>
      <xdr:row>893</xdr:row>
      <xdr:rowOff>0</xdr:rowOff>
    </xdr:to>
    <xdr:sp macro="" textlink="">
      <xdr:nvSpPr>
        <xdr:cNvPr id="146" name="TextBox 145"/>
        <xdr:cNvSpPr txBox="1"/>
      </xdr:nvSpPr>
      <xdr:spPr>
        <a:xfrm>
          <a:off x="3848100" y="16835437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8. SENSITIVITY</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8.1: Define the shock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shock type choice determines the perspective of the sensitivity analysis. </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shock types are: interest rate shock, foreign exchange rate shock, asset price shock, change in RWAs for market risk, increase of PDs/impairment losses, default of x largest counterparts, and change in RWAs for operational risk</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In the following steps, the user defines all of the shock scenarios, but the type selected in this step is the one that is actually applied in the sensitivity model</a:t>
          </a:r>
        </a:p>
      </xdr:txBody>
    </xdr:sp>
    <xdr:clientData/>
  </xdr:twoCellAnchor>
  <xdr:twoCellAnchor>
    <xdr:from>
      <xdr:col>7</xdr:col>
      <xdr:colOff>95250</xdr:colOff>
      <xdr:row>893</xdr:row>
      <xdr:rowOff>104775</xdr:rowOff>
    </xdr:from>
    <xdr:to>
      <xdr:col>15</xdr:col>
      <xdr:colOff>542925</xdr:colOff>
      <xdr:row>894</xdr:row>
      <xdr:rowOff>114300</xdr:rowOff>
    </xdr:to>
    <xdr:pic>
      <xdr:nvPicPr>
        <xdr:cNvPr id="149" name="Picture 148">
          <a:hlinkClick xmlns:r="http://schemas.openxmlformats.org/officeDocument/2006/relationships" r:id="rId80"/>
        </xdr:cNvPr>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3943350" y="170364150"/>
          <a:ext cx="53244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895</xdr:row>
      <xdr:rowOff>0</xdr:rowOff>
    </xdr:from>
    <xdr:to>
      <xdr:col>16</xdr:col>
      <xdr:colOff>0</xdr:colOff>
      <xdr:row>897</xdr:row>
      <xdr:rowOff>0</xdr:rowOff>
    </xdr:to>
    <xdr:sp macro="" textlink="">
      <xdr:nvSpPr>
        <xdr:cNvPr id="150" name="TextBox 149"/>
        <xdr:cNvSpPr txBox="1"/>
      </xdr:nvSpPr>
      <xdr:spPr>
        <a:xfrm>
          <a:off x="3848100" y="1706403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8.2: Enter the hurdle rates</a:t>
          </a:r>
          <a:endParaRPr lang="en-CA" sz="1100">
            <a:solidFill>
              <a:schemeClr val="dk1"/>
            </a:solidFill>
            <a:effectLst/>
            <a:latin typeface="+mn-lt"/>
            <a:ea typeface="+mn-ea"/>
            <a:cs typeface="+mn-cs"/>
          </a:endParaRPr>
        </a:p>
      </xdr:txBody>
    </xdr:sp>
    <xdr:clientData/>
  </xdr:twoCellAnchor>
  <xdr:twoCellAnchor>
    <xdr:from>
      <xdr:col>7</xdr:col>
      <xdr:colOff>323850</xdr:colOff>
      <xdr:row>897</xdr:row>
      <xdr:rowOff>28575</xdr:rowOff>
    </xdr:from>
    <xdr:to>
      <xdr:col>15</xdr:col>
      <xdr:colOff>333375</xdr:colOff>
      <xdr:row>900</xdr:row>
      <xdr:rowOff>76200</xdr:rowOff>
    </xdr:to>
    <xdr:pic>
      <xdr:nvPicPr>
        <xdr:cNvPr id="154" name="Picture 153">
          <a:hlinkClick xmlns:r="http://schemas.openxmlformats.org/officeDocument/2006/relationships" r:id="rId82"/>
        </xdr:cNvPr>
        <xdr:cNvPicPr>
          <a:picLocks noChangeAspect="1" noChangeArrowheads="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4171950" y="171049950"/>
          <a:ext cx="4886325"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901</xdr:row>
      <xdr:rowOff>0</xdr:rowOff>
    </xdr:from>
    <xdr:to>
      <xdr:col>16</xdr:col>
      <xdr:colOff>0</xdr:colOff>
      <xdr:row>908</xdr:row>
      <xdr:rowOff>0</xdr:rowOff>
    </xdr:to>
    <xdr:sp macro="" textlink="">
      <xdr:nvSpPr>
        <xdr:cNvPr id="157" name="TextBox 156"/>
        <xdr:cNvSpPr txBox="1"/>
      </xdr:nvSpPr>
      <xdr:spPr>
        <a:xfrm>
          <a:off x="3848100" y="1717833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8.3: Define the market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interest rate shock scenario and specifying the basis point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FX stress currency and specifying the percentage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asset class and percentage change for the asset price shock</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for the market risk RWA shock</a:t>
          </a:r>
        </a:p>
      </xdr:txBody>
    </xdr:sp>
    <xdr:clientData/>
  </xdr:twoCellAnchor>
  <xdr:twoCellAnchor>
    <xdr:from>
      <xdr:col>6</xdr:col>
      <xdr:colOff>200025</xdr:colOff>
      <xdr:row>908</xdr:row>
      <xdr:rowOff>9525</xdr:rowOff>
    </xdr:from>
    <xdr:to>
      <xdr:col>16</xdr:col>
      <xdr:colOff>390525</xdr:colOff>
      <xdr:row>912</xdr:row>
      <xdr:rowOff>76200</xdr:rowOff>
    </xdr:to>
    <xdr:pic>
      <xdr:nvPicPr>
        <xdr:cNvPr id="159" name="Picture 158">
          <a:hlinkClick xmlns:r="http://schemas.openxmlformats.org/officeDocument/2006/relationships" r:id="rId84"/>
        </xdr:cNvPr>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3438525" y="173126400"/>
          <a:ext cx="628650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913</xdr:row>
      <xdr:rowOff>0</xdr:rowOff>
    </xdr:from>
    <xdr:to>
      <xdr:col>16</xdr:col>
      <xdr:colOff>0</xdr:colOff>
      <xdr:row>919</xdr:row>
      <xdr:rowOff>0</xdr:rowOff>
    </xdr:to>
    <xdr:sp macro="" textlink="">
      <xdr:nvSpPr>
        <xdr:cNvPr id="160" name="TextBox 159"/>
        <xdr:cNvSpPr txBox="1"/>
      </xdr:nvSpPr>
      <xdr:spPr>
        <a:xfrm>
          <a:off x="3848100" y="1740693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8.4: Define the credit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credit loss sector and specifying the percentage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for the LGD shock</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counterparties to default in the credit default shock</a:t>
          </a:r>
        </a:p>
      </xdr:txBody>
    </xdr:sp>
    <xdr:clientData/>
  </xdr:twoCellAnchor>
  <xdr:twoCellAnchor>
    <xdr:from>
      <xdr:col>6</xdr:col>
      <xdr:colOff>523875</xdr:colOff>
      <xdr:row>919</xdr:row>
      <xdr:rowOff>38100</xdr:rowOff>
    </xdr:from>
    <xdr:to>
      <xdr:col>16</xdr:col>
      <xdr:colOff>66675</xdr:colOff>
      <xdr:row>923</xdr:row>
      <xdr:rowOff>104775</xdr:rowOff>
    </xdr:to>
    <xdr:pic>
      <xdr:nvPicPr>
        <xdr:cNvPr id="166" name="Picture 165">
          <a:hlinkClick xmlns:r="http://schemas.openxmlformats.org/officeDocument/2006/relationships" r:id="rId86"/>
        </xdr:cNvPr>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3762375" y="175250475"/>
          <a:ext cx="563880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924</xdr:row>
      <xdr:rowOff>0</xdr:rowOff>
    </xdr:from>
    <xdr:to>
      <xdr:col>16</xdr:col>
      <xdr:colOff>0</xdr:colOff>
      <xdr:row>928</xdr:row>
      <xdr:rowOff>0</xdr:rowOff>
    </xdr:to>
    <xdr:sp macro="" textlink="">
      <xdr:nvSpPr>
        <xdr:cNvPr id="168" name="TextBox 167"/>
        <xdr:cNvSpPr txBox="1"/>
      </xdr:nvSpPr>
      <xdr:spPr>
        <a:xfrm>
          <a:off x="3848100" y="1761648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8.5: Define the operational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counterparties to default in the operational default shock</a:t>
          </a:r>
        </a:p>
      </xdr:txBody>
    </xdr:sp>
    <xdr:clientData/>
  </xdr:twoCellAnchor>
  <xdr:twoCellAnchor>
    <xdr:from>
      <xdr:col>8</xdr:col>
      <xdr:colOff>323850</xdr:colOff>
      <xdr:row>928</xdr:row>
      <xdr:rowOff>57150</xdr:rowOff>
    </xdr:from>
    <xdr:to>
      <xdr:col>14</xdr:col>
      <xdr:colOff>304800</xdr:colOff>
      <xdr:row>929</xdr:row>
      <xdr:rowOff>95250</xdr:rowOff>
    </xdr:to>
    <xdr:pic>
      <xdr:nvPicPr>
        <xdr:cNvPr id="170" name="Picture 169">
          <a:hlinkClick xmlns:r="http://schemas.openxmlformats.org/officeDocument/2006/relationships" r:id="rId88"/>
        </xdr:cNvPr>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4781550" y="176984025"/>
          <a:ext cx="363855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xdr:row>
      <xdr:rowOff>0</xdr:rowOff>
    </xdr:from>
    <xdr:to>
      <xdr:col>22</xdr:col>
      <xdr:colOff>0</xdr:colOff>
      <xdr:row>9</xdr:row>
      <xdr:rowOff>0</xdr:rowOff>
    </xdr:to>
    <xdr:pic>
      <xdr:nvPicPr>
        <xdr:cNvPr id="8" name="Picture 7"/>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3238500" y="200025"/>
          <a:ext cx="9753600" cy="152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50799</xdr:colOff>
      <xdr:row>32</xdr:row>
      <xdr:rowOff>108322</xdr:rowOff>
    </xdr:from>
    <xdr:to>
      <xdr:col>3</xdr:col>
      <xdr:colOff>584200</xdr:colOff>
      <xdr:row>35</xdr:row>
      <xdr:rowOff>63499</xdr:rowOff>
    </xdr:to>
    <xdr:pic>
      <xdr:nvPicPr>
        <xdr:cNvPr id="2" name="Picture 1" descr="BlackIce ERA Logo.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2724" y="5680447"/>
          <a:ext cx="3181351" cy="574302"/>
        </a:xfrm>
        <a:prstGeom prst="rect">
          <a:avLst/>
        </a:prstGeom>
      </xdr:spPr>
    </xdr:pic>
    <xdr:clientData/>
  </xdr:twoCellAnchor>
  <xdr:twoCellAnchor editAs="oneCell">
    <xdr:from>
      <xdr:col>1</xdr:col>
      <xdr:colOff>0</xdr:colOff>
      <xdr:row>1</xdr:row>
      <xdr:rowOff>0</xdr:rowOff>
    </xdr:from>
    <xdr:to>
      <xdr:col>2</xdr:col>
      <xdr:colOff>1047750</xdr:colOff>
      <xdr:row>4</xdr:row>
      <xdr:rowOff>38100</xdr:rowOff>
    </xdr:to>
    <xdr:pic macro="[0]!Setup_back_to_roadmap">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925" y="171450"/>
          <a:ext cx="1771650" cy="571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Input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27</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90875" y="962025"/>
          <a:ext cx="10363200" cy="1524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SOI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0" y="962025"/>
          <a:ext cx="9448800" cy="1524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10</xdr:col>
      <xdr:colOff>419100</xdr:colOff>
      <xdr:row>108</xdr:row>
      <xdr:rowOff>138112</xdr:rowOff>
    </xdr:from>
    <xdr:ext cx="65" cy="172227"/>
    <xdr:sp macro="" textlink="">
      <xdr:nvSpPr>
        <xdr:cNvPr id="4" name="TextBox 3"/>
        <xdr:cNvSpPr txBox="1"/>
      </xdr:nvSpPr>
      <xdr:spPr>
        <a:xfrm>
          <a:off x="5943600" y="232076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CA" sz="1100"/>
        </a:p>
      </xdr:txBody>
    </xdr:sp>
    <xdr:clientData/>
  </xdr:oneCellAnchor>
  <mc:AlternateContent xmlns:mc="http://schemas.openxmlformats.org/markup-compatibility/2006">
    <mc:Choice xmlns:a14="http://schemas.microsoft.com/office/drawing/2010/main" Requires="a14">
      <xdr:twoCellAnchor editAs="oneCell">
        <xdr:from>
          <xdr:col>8</xdr:col>
          <xdr:colOff>0</xdr:colOff>
          <xdr:row>111</xdr:row>
          <xdr:rowOff>0</xdr:rowOff>
        </xdr:from>
        <xdr:to>
          <xdr:col>18</xdr:col>
          <xdr:colOff>0</xdr:colOff>
          <xdr:row>115</xdr:row>
          <xdr:rowOff>0</xdr:rowOff>
        </xdr:to>
        <xdr:sp macro="" textlink="">
          <xdr:nvSpPr>
            <xdr:cNvPr id="16387" name="Object 3" hidden="1">
              <a:extLst>
                <a:ext uri="{63B3BB69-23CF-44E3-9099-C40C66FF867C}">
                  <a14:compatExt spid="_x0000_s1638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8</xdr:col>
      <xdr:colOff>0</xdr:colOff>
      <xdr:row>222</xdr:row>
      <xdr:rowOff>57150</xdr:rowOff>
    </xdr:from>
    <xdr:to>
      <xdr:col>13</xdr:col>
      <xdr:colOff>114300</xdr:colOff>
      <xdr:row>231</xdr:row>
      <xdr:rowOff>0</xdr:rowOff>
    </xdr:to>
    <xdr:pic>
      <xdr:nvPicPr>
        <xdr:cNvPr id="6" name="Picture 17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41976675"/>
          <a:ext cx="3067050" cy="165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3</xdr:col>
      <xdr:colOff>571500</xdr:colOff>
      <xdr:row>4</xdr:row>
      <xdr:rowOff>0</xdr:rowOff>
    </xdr:to>
    <xdr:pic macro="[0]!Parameters_back_to_roadmap">
      <xdr:nvPicPr>
        <xdr:cNvPr id="8"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twoCellAnchor editAs="oneCell">
    <xdr:from>
      <xdr:col>9</xdr:col>
      <xdr:colOff>228600</xdr:colOff>
      <xdr:row>107</xdr:row>
      <xdr:rowOff>38100</xdr:rowOff>
    </xdr:from>
    <xdr:to>
      <xdr:col>16</xdr:col>
      <xdr:colOff>361950</xdr:colOff>
      <xdr:row>107</xdr:row>
      <xdr:rowOff>2643536</xdr:rowOff>
    </xdr:to>
    <xdr:pic>
      <xdr:nvPicPr>
        <xdr:cNvPr id="9"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162550" y="20021550"/>
          <a:ext cx="4267200" cy="26054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Satellite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0" y="962025"/>
          <a:ext cx="9448800" cy="15335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1</xdr:colOff>
      <xdr:row>5</xdr:row>
      <xdr:rowOff>0</xdr:rowOff>
    </xdr:from>
    <xdr:to>
      <xdr:col>22</xdr:col>
      <xdr:colOff>1</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1" y="962025"/>
          <a:ext cx="9448800" cy="1524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1</xdr:colOff>
      <xdr:row>5</xdr:row>
      <xdr:rowOff>0</xdr:rowOff>
    </xdr:from>
    <xdr:to>
      <xdr:col>22</xdr:col>
      <xdr:colOff>1</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1" y="962025"/>
          <a:ext cx="9448800" cy="1524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0</xdr:colOff>
      <xdr:row>14</xdr:row>
      <xdr:rowOff>76199</xdr:rowOff>
    </xdr:from>
    <xdr:to>
      <xdr:col>22</xdr:col>
      <xdr:colOff>0</xdr:colOff>
      <xdr:row>30</xdr:row>
      <xdr:rowOff>190499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xdr:row>
      <xdr:rowOff>0</xdr:rowOff>
    </xdr:from>
    <xdr:to>
      <xdr:col>3</xdr:col>
      <xdr:colOff>571500</xdr:colOff>
      <xdr:row>4</xdr:row>
      <xdr:rowOff>0</xdr:rowOff>
    </xdr:to>
    <xdr:pic macro="[0]!Summary_back_to_roadmap">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Sensitivity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lackice3\Downloads\Next%20Generation%20Balance%20Sheet%20Stress%20Testing_v7_publish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Overview"/>
      <sheetName val="Info_RoadMap"/>
      <sheetName val="Info_Solvency"/>
      <sheetName val="Input_Country"/>
      <sheetName val="Input_Satellite"/>
      <sheetName val="Input_Banks"/>
      <sheetName val="Stats"/>
      <sheetName val="Assumptions"/>
      <sheetName val="Calculation"/>
      <sheetName val="Summary"/>
      <sheetName val="Summary_BxB"/>
      <sheetName val="Sensitivity"/>
      <sheetName val="Y1_BxB"/>
      <sheetName val="Y2_BxB"/>
      <sheetName val="Y3_BxB"/>
      <sheetName val="Y4_BxB"/>
      <sheetName val="Y5_BxB"/>
      <sheetName val="Setup"/>
      <sheetName val="Parameter"/>
      <sheetName val="Variables"/>
      <sheetName val="Inpu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imf.org/external/pubs/ft/GFSR/index.htm" TargetMode="External"/><Relationship Id="rId7" Type="http://schemas.openxmlformats.org/officeDocument/2006/relationships/vmlDrawing" Target="../drawings/vmlDrawing1.vml"/><Relationship Id="rId2" Type="http://schemas.openxmlformats.org/officeDocument/2006/relationships/hyperlink" Target="http://www.imf.org/external/pubs/ft/GFSR/index.htm" TargetMode="External"/><Relationship Id="rId1" Type="http://schemas.openxmlformats.org/officeDocument/2006/relationships/hyperlink" Target="http://www.imf.org/external/pubs/ft/GFSR/index.htm" TargetMode="External"/><Relationship Id="rId6" Type="http://schemas.openxmlformats.org/officeDocument/2006/relationships/drawing" Target="../drawings/drawing1.xml"/><Relationship Id="rId5" Type="http://schemas.openxmlformats.org/officeDocument/2006/relationships/hyperlink" Target="http://www.doingbusiness.org/data/exploretopics/closing-a-business" TargetMode="External"/><Relationship Id="rId4" Type="http://schemas.openxmlformats.org/officeDocument/2006/relationships/hyperlink" Target="http://www.imf.org/external/pubs/ft/GFSR/index.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3.bin"/><Relationship Id="rId2" Type="http://schemas.openxmlformats.org/officeDocument/2006/relationships/vmlDrawing" Target="../drawings/vmlDrawing4.vml"/><Relationship Id="rId1" Type="http://schemas.openxmlformats.org/officeDocument/2006/relationships/drawing" Target="../drawings/drawing7.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F280"/>
  <sheetViews>
    <sheetView topLeftCell="R37" workbookViewId="0">
      <selection activeCell="AA70" sqref="AA70:AA72"/>
    </sheetView>
  </sheetViews>
  <sheetFormatPr defaultColWidth="10.7109375" defaultRowHeight="15" x14ac:dyDescent="0.25"/>
  <cols>
    <col min="1" max="1" width="2.85546875" style="21" customWidth="1"/>
    <col min="2" max="8" width="10.7109375" customWidth="1"/>
    <col min="9" max="9" width="10.7109375" style="17" customWidth="1"/>
    <col min="10" max="27" width="10.7109375" customWidth="1"/>
    <col min="28" max="28" width="10.7109375" style="8" customWidth="1"/>
    <col min="29" max="46" width="10.7109375" customWidth="1"/>
    <col min="47" max="47" width="10.7109375" style="8" customWidth="1"/>
    <col min="48" max="65" width="10.7109375" customWidth="1"/>
    <col min="66" max="66" width="10.7109375" style="8" customWidth="1"/>
    <col min="67" max="85" width="10.7109375" customWidth="1"/>
  </cols>
  <sheetData>
    <row r="1" spans="2:84" ht="15.75" x14ac:dyDescent="0.25">
      <c r="B1" s="602" t="s">
        <v>331</v>
      </c>
      <c r="C1" s="603"/>
      <c r="D1" s="603"/>
      <c r="E1" s="603"/>
      <c r="F1" s="603"/>
      <c r="G1" s="603"/>
      <c r="H1" s="604"/>
      <c r="I1"/>
    </row>
    <row r="2" spans="2:84" ht="12.75" customHeight="1" x14ac:dyDescent="0.25"/>
    <row r="3" spans="2:84" ht="12.75" customHeight="1" x14ac:dyDescent="0.25">
      <c r="C3" s="595" t="s">
        <v>332</v>
      </c>
      <c r="D3" s="597"/>
      <c r="J3" s="595" t="s">
        <v>333</v>
      </c>
      <c r="K3" s="596"/>
      <c r="L3" s="596"/>
      <c r="M3" s="596"/>
      <c r="N3" s="597"/>
      <c r="AC3" s="605" t="s">
        <v>334</v>
      </c>
      <c r="AD3" s="605"/>
      <c r="AE3" s="605"/>
      <c r="AF3" s="605"/>
      <c r="AG3" s="605"/>
      <c r="AH3" s="605"/>
      <c r="AW3" s="29" t="s">
        <v>335</v>
      </c>
      <c r="AX3" s="30"/>
      <c r="AY3" s="30"/>
      <c r="AZ3" s="30"/>
      <c r="BA3" s="30"/>
      <c r="BB3" s="31"/>
      <c r="BP3" s="595" t="s">
        <v>336</v>
      </c>
      <c r="BQ3" s="596"/>
      <c r="BR3" s="596"/>
      <c r="BS3" s="597"/>
    </row>
    <row r="4" spans="2:84" ht="12.75" customHeight="1" x14ac:dyDescent="0.25">
      <c r="C4" s="598" t="s">
        <v>337</v>
      </c>
      <c r="D4" s="598"/>
      <c r="E4" s="598"/>
      <c r="F4" s="598"/>
      <c r="G4" s="598"/>
      <c r="H4" s="598"/>
      <c r="J4" s="32" t="s">
        <v>338</v>
      </c>
      <c r="AC4" s="32" t="s">
        <v>339</v>
      </c>
      <c r="AD4" s="33"/>
      <c r="AW4" s="32" t="s">
        <v>340</v>
      </c>
      <c r="BP4" s="32" t="s">
        <v>341</v>
      </c>
    </row>
    <row r="5" spans="2:84" ht="12.75" customHeight="1" x14ac:dyDescent="0.25">
      <c r="O5" s="34"/>
      <c r="V5" s="35"/>
      <c r="W5" s="36"/>
      <c r="X5" s="36"/>
      <c r="AH5" s="34"/>
      <c r="AO5" s="35"/>
      <c r="BA5" s="34"/>
      <c r="BH5" s="35"/>
      <c r="BT5" s="34"/>
      <c r="CA5" s="35"/>
    </row>
    <row r="6" spans="2:84" ht="12.75" customHeight="1" x14ac:dyDescent="0.25">
      <c r="J6" s="37" t="s">
        <v>342</v>
      </c>
      <c r="K6" s="18"/>
      <c r="L6" s="18"/>
      <c r="M6" s="18"/>
      <c r="N6" s="18"/>
      <c r="O6" s="37"/>
      <c r="P6" s="38">
        <f t="shared" ref="P6:U6" si="0">AVERAGE(P13:P196)</f>
        <v>8.5801725677679244</v>
      </c>
      <c r="Q6" s="38">
        <f t="shared" si="0"/>
        <v>7.3466472131463707</v>
      </c>
      <c r="R6" s="38">
        <f t="shared" si="0"/>
        <v>6.1494351383551198</v>
      </c>
      <c r="S6" s="38">
        <f t="shared" si="0"/>
        <v>5.4757149603217448</v>
      </c>
      <c r="T6" s="38">
        <f t="shared" si="0"/>
        <v>5.1433609609001927</v>
      </c>
      <c r="U6" s="38">
        <f t="shared" si="0"/>
        <v>7.0196170978733647</v>
      </c>
      <c r="V6" s="38"/>
      <c r="AC6" s="37" t="s">
        <v>342</v>
      </c>
      <c r="AD6" s="18"/>
      <c r="AE6" s="18"/>
      <c r="AF6" s="18"/>
      <c r="AG6" s="18"/>
      <c r="AH6" s="37"/>
      <c r="AI6" s="38">
        <f t="shared" ref="AI6:AN6" si="1">AVERAGE(AI13:AI196)</f>
        <v>86.894440778252573</v>
      </c>
      <c r="AJ6" s="38">
        <f t="shared" si="1"/>
        <v>91.717557030841562</v>
      </c>
      <c r="AK6" s="38">
        <f t="shared" si="1"/>
        <v>96.415580435237828</v>
      </c>
      <c r="AL6" s="38">
        <f t="shared" si="1"/>
        <v>97.270763311271409</v>
      </c>
      <c r="AM6" s="38">
        <f t="shared" si="1"/>
        <v>97.944913243251023</v>
      </c>
      <c r="AN6" s="38">
        <f t="shared" si="1"/>
        <v>92.73445719741089</v>
      </c>
      <c r="AO6" s="38"/>
      <c r="AV6" s="37" t="s">
        <v>342</v>
      </c>
      <c r="AW6" s="18"/>
      <c r="AX6" s="18"/>
      <c r="AY6" s="18"/>
      <c r="AZ6" s="18"/>
      <c r="BA6" s="37"/>
      <c r="BB6" s="38">
        <f t="shared" ref="BB6:BG6" si="2">AVERAGE(BB13:BB196)</f>
        <v>16.133377799776891</v>
      </c>
      <c r="BC6" s="38">
        <f t="shared" si="2"/>
        <v>15.922638552643326</v>
      </c>
      <c r="BD6" s="38">
        <f t="shared" si="2"/>
        <v>15.809229995137741</v>
      </c>
      <c r="BE6" s="38">
        <f t="shared" si="2"/>
        <v>15.270177310135276</v>
      </c>
      <c r="BF6" s="38">
        <f t="shared" si="2"/>
        <v>15.462533566277497</v>
      </c>
      <c r="BG6" s="38">
        <f t="shared" si="2"/>
        <v>16.271894174135507</v>
      </c>
      <c r="BH6" s="38"/>
      <c r="BO6" s="34" t="s">
        <v>342</v>
      </c>
      <c r="BT6" s="34"/>
      <c r="BU6" s="35">
        <f t="shared" ref="BU6:BZ6" si="3">AVERAGE(BU13:BU196)</f>
        <v>1.8073458728071403</v>
      </c>
      <c r="BV6" s="35">
        <f t="shared" si="3"/>
        <v>1.8363799656229884</v>
      </c>
      <c r="BW6" s="35">
        <f t="shared" si="3"/>
        <v>1.8851793273336075</v>
      </c>
      <c r="BX6" s="35">
        <f t="shared" si="3"/>
        <v>1.816273774145865</v>
      </c>
      <c r="BY6" s="35">
        <f t="shared" si="3"/>
        <v>1.6708859409364529</v>
      </c>
      <c r="BZ6" s="35">
        <f t="shared" si="3"/>
        <v>1.1031364389251623</v>
      </c>
      <c r="CA6" s="35"/>
    </row>
    <row r="7" spans="2:84" ht="12.75" customHeight="1" x14ac:dyDescent="0.25">
      <c r="J7" s="37" t="s">
        <v>343</v>
      </c>
      <c r="K7" s="18"/>
      <c r="L7" s="18"/>
      <c r="M7" s="18"/>
      <c r="N7" s="18"/>
      <c r="O7" s="37"/>
      <c r="P7" s="38">
        <f t="shared" ref="P7:U7" si="4">MEDIAN(P13:P196)</f>
        <v>7.2</v>
      </c>
      <c r="Q7" s="38">
        <f t="shared" si="4"/>
        <v>5.6308060438697316</v>
      </c>
      <c r="R7" s="38">
        <f t="shared" si="4"/>
        <v>4.3449999999999998</v>
      </c>
      <c r="S7" s="38">
        <f t="shared" si="4"/>
        <v>4.0184305154487179</v>
      </c>
      <c r="T7" s="38">
        <f t="shared" si="4"/>
        <v>5.3</v>
      </c>
      <c r="U7" s="38">
        <f t="shared" si="4"/>
        <v>5.3933078992297316</v>
      </c>
      <c r="V7" s="38"/>
      <c r="AC7" s="37" t="s">
        <v>343</v>
      </c>
      <c r="AD7" s="18"/>
      <c r="AE7" s="18"/>
      <c r="AF7" s="18"/>
      <c r="AG7" s="18"/>
      <c r="AH7" s="37"/>
      <c r="AI7" s="38">
        <f t="shared" ref="AI7:AN7" si="5">MEDIAN(AI13:AI196)</f>
        <v>75.888644067796605</v>
      </c>
      <c r="AJ7" s="38">
        <f t="shared" si="5"/>
        <v>80.455696202531627</v>
      </c>
      <c r="AK7" s="38">
        <f t="shared" si="5"/>
        <v>79.335945945945952</v>
      </c>
      <c r="AL7" s="38">
        <f t="shared" si="5"/>
        <v>74.349999999999994</v>
      </c>
      <c r="AM7" s="38">
        <f t="shared" si="5"/>
        <v>84.643872929029527</v>
      </c>
      <c r="AN7" s="38">
        <f t="shared" si="5"/>
        <v>74.875500940663585</v>
      </c>
      <c r="AO7" s="38"/>
      <c r="AV7" s="37" t="s">
        <v>343</v>
      </c>
      <c r="AW7" s="18"/>
      <c r="AX7" s="18"/>
      <c r="AY7" s="18"/>
      <c r="AZ7" s="18"/>
      <c r="BA7" s="37"/>
      <c r="BB7" s="38">
        <f t="shared" ref="BB7:BG7" si="6">MEDIAN(BB13:BB196)</f>
        <v>15.896096812126734</v>
      </c>
      <c r="BC7" s="38">
        <f t="shared" si="6"/>
        <v>15.574506119519162</v>
      </c>
      <c r="BD7" s="38">
        <f t="shared" si="6"/>
        <v>15.053685490252553</v>
      </c>
      <c r="BE7" s="38">
        <f t="shared" si="6"/>
        <v>14.526883451785674</v>
      </c>
      <c r="BF7" s="38">
        <f t="shared" si="6"/>
        <v>14.663359386876838</v>
      </c>
      <c r="BG7" s="38">
        <f t="shared" si="6"/>
        <v>15.466666666666669</v>
      </c>
      <c r="BH7" s="38"/>
      <c r="BO7" s="34" t="s">
        <v>343</v>
      </c>
      <c r="BT7" s="34"/>
      <c r="BU7" s="35">
        <f t="shared" ref="BU7:BZ7" si="7">MEDIAN(BU13:BU196)</f>
        <v>1.5534520775941867</v>
      </c>
      <c r="BV7" s="35">
        <f t="shared" si="7"/>
        <v>1.75926849671949</v>
      </c>
      <c r="BW7" s="35">
        <f t="shared" si="7"/>
        <v>1.8948899098974377</v>
      </c>
      <c r="BX7" s="35">
        <f t="shared" si="7"/>
        <v>1.8696427124394299</v>
      </c>
      <c r="BY7" s="35">
        <f t="shared" si="7"/>
        <v>1.6577777777777776</v>
      </c>
      <c r="BZ7" s="35">
        <f t="shared" si="7"/>
        <v>1.3356906302289122</v>
      </c>
      <c r="CA7" s="35"/>
    </row>
    <row r="8" spans="2:84" ht="12.75" customHeight="1" x14ac:dyDescent="0.25">
      <c r="E8" s="39" t="s">
        <v>342</v>
      </c>
      <c r="F8" s="40">
        <f>AVERAGE(F13:F196)</f>
        <v>63.623436460882132</v>
      </c>
      <c r="J8" s="37" t="s">
        <v>344</v>
      </c>
      <c r="K8" s="18"/>
      <c r="L8" s="18"/>
      <c r="M8" s="18"/>
      <c r="N8" s="18"/>
      <c r="O8" s="37"/>
      <c r="P8" s="38">
        <f t="shared" ref="P8:U8" si="8">MIN(P13:P196)</f>
        <v>0.2</v>
      </c>
      <c r="Q8" s="38">
        <f t="shared" si="8"/>
        <v>0.2</v>
      </c>
      <c r="R8" s="38">
        <f t="shared" si="8"/>
        <v>0.1</v>
      </c>
      <c r="S8" s="38">
        <f t="shared" si="8"/>
        <v>0.18859142893289574</v>
      </c>
      <c r="T8" s="38">
        <f t="shared" si="8"/>
        <v>0.46500000000000002</v>
      </c>
      <c r="U8" s="38">
        <f t="shared" si="8"/>
        <v>0.4</v>
      </c>
      <c r="V8" s="38"/>
      <c r="AC8" s="37" t="s">
        <v>344</v>
      </c>
      <c r="AD8" s="18"/>
      <c r="AE8" s="18"/>
      <c r="AF8" s="18"/>
      <c r="AG8" s="18"/>
      <c r="AH8" s="37"/>
      <c r="AI8" s="38">
        <f t="shared" ref="AI8:AN8" si="9">MIN(AI13:AI196)</f>
        <v>14.2</v>
      </c>
      <c r="AJ8" s="38">
        <f t="shared" si="9"/>
        <v>10.3</v>
      </c>
      <c r="AK8" s="38">
        <f t="shared" si="9"/>
        <v>23.1</v>
      </c>
      <c r="AL8" s="38">
        <f t="shared" si="9"/>
        <v>26.3</v>
      </c>
      <c r="AM8" s="38">
        <f t="shared" si="9"/>
        <v>20.325203252032519</v>
      </c>
      <c r="AN8" s="38">
        <f t="shared" si="9"/>
        <v>22.5</v>
      </c>
      <c r="AO8" s="38"/>
      <c r="AV8" s="37" t="s">
        <v>344</v>
      </c>
      <c r="AW8" s="18"/>
      <c r="AX8" s="18"/>
      <c r="AY8" s="18"/>
      <c r="AZ8" s="18"/>
      <c r="BA8" s="37"/>
      <c r="BB8" s="38">
        <f t="shared" ref="BB8:BG8" si="10">MIN(BB13:BB196)</f>
        <v>-4.7179487179487198</v>
      </c>
      <c r="BC8" s="38">
        <f t="shared" si="10"/>
        <v>2.5307692307692289</v>
      </c>
      <c r="BD8" s="38">
        <f t="shared" si="10"/>
        <v>4.9423076923076907</v>
      </c>
      <c r="BE8" s="38">
        <f t="shared" si="10"/>
        <v>7.4</v>
      </c>
      <c r="BF8" s="38">
        <f t="shared" si="10"/>
        <v>9.4</v>
      </c>
      <c r="BG8" s="38">
        <f t="shared" si="10"/>
        <v>-9.1</v>
      </c>
      <c r="BH8" s="38"/>
      <c r="BO8" s="34" t="s">
        <v>344</v>
      </c>
      <c r="BT8" s="34"/>
      <c r="BU8" s="35">
        <f t="shared" ref="BU8:BZ8" si="11">MIN(BU13:BU196)</f>
        <v>-1.2</v>
      </c>
      <c r="BV8" s="35">
        <f t="shared" si="11"/>
        <v>0.36624826212928896</v>
      </c>
      <c r="BW8" s="35">
        <f t="shared" si="11"/>
        <v>-1.2</v>
      </c>
      <c r="BX8" s="35">
        <f t="shared" si="11"/>
        <v>0.1</v>
      </c>
      <c r="BY8" s="35">
        <f t="shared" si="11"/>
        <v>-2.6</v>
      </c>
      <c r="BZ8" s="35">
        <f t="shared" si="11"/>
        <v>-23.5</v>
      </c>
      <c r="CA8" s="35"/>
    </row>
    <row r="9" spans="2:84" ht="12.75" customHeight="1" x14ac:dyDescent="0.25">
      <c r="E9" s="41" t="s">
        <v>343</v>
      </c>
      <c r="F9" s="42">
        <f>MEDIAN(F13:F196)</f>
        <v>68.849999999999994</v>
      </c>
      <c r="J9" s="37" t="s">
        <v>345</v>
      </c>
      <c r="K9" s="18"/>
      <c r="L9" s="18"/>
      <c r="M9" s="18"/>
      <c r="N9" s="18"/>
      <c r="O9" s="18"/>
      <c r="P9" s="38">
        <f t="shared" ref="P9:U9" si="12">MAX(P13:P196)</f>
        <v>31</v>
      </c>
      <c r="Q9" s="38">
        <f t="shared" si="12"/>
        <v>29</v>
      </c>
      <c r="R9" s="38">
        <f t="shared" si="12"/>
        <v>26.846932351169535</v>
      </c>
      <c r="S9" s="38">
        <f t="shared" si="12"/>
        <v>31.7</v>
      </c>
      <c r="T9" s="38">
        <f t="shared" si="12"/>
        <v>19.100000000000001</v>
      </c>
      <c r="U9" s="38">
        <f t="shared" si="12"/>
        <v>61.2</v>
      </c>
      <c r="V9" s="43"/>
      <c r="AC9" s="37" t="s">
        <v>345</v>
      </c>
      <c r="AD9" s="18"/>
      <c r="AE9" s="18"/>
      <c r="AF9" s="18"/>
      <c r="AG9" s="18"/>
      <c r="AH9" s="18"/>
      <c r="AI9" s="38">
        <f t="shared" ref="AI9:AN9" si="13">MAX(AI13:AI196)</f>
        <v>322.14080115920785</v>
      </c>
      <c r="AJ9" s="38">
        <f t="shared" si="13"/>
        <v>255.51497373614373</v>
      </c>
      <c r="AK9" s="38">
        <f t="shared" si="13"/>
        <v>410.6</v>
      </c>
      <c r="AL9" s="38">
        <f t="shared" si="13"/>
        <v>666</v>
      </c>
      <c r="AM9" s="38">
        <f t="shared" si="13"/>
        <v>806.8</v>
      </c>
      <c r="AN9" s="38">
        <f t="shared" si="13"/>
        <v>685.4</v>
      </c>
      <c r="AO9" s="18"/>
      <c r="AV9" s="37" t="s">
        <v>345</v>
      </c>
      <c r="AW9" s="18"/>
      <c r="AX9" s="18"/>
      <c r="AY9" s="18"/>
      <c r="AZ9" s="18"/>
      <c r="BA9" s="18"/>
      <c r="BB9" s="38">
        <f t="shared" ref="BB9:BG9" si="14">MAX(BB13:BB196)</f>
        <v>38.1</v>
      </c>
      <c r="BC9" s="38">
        <f t="shared" si="14"/>
        <v>35.700000000000003</v>
      </c>
      <c r="BD9" s="38">
        <f t="shared" si="14"/>
        <v>36</v>
      </c>
      <c r="BE9" s="38">
        <f t="shared" si="14"/>
        <v>35</v>
      </c>
      <c r="BF9" s="38">
        <f t="shared" si="14"/>
        <v>43.5</v>
      </c>
      <c r="BG9" s="38">
        <f t="shared" si="14"/>
        <v>36.200000000000003</v>
      </c>
      <c r="BH9" s="18"/>
      <c r="BO9" s="34" t="s">
        <v>345</v>
      </c>
      <c r="BU9" s="35">
        <f t="shared" ref="BU9:BZ9" si="15">MAX(BU13:BU196)</f>
        <v>9.9</v>
      </c>
      <c r="BV9" s="35">
        <f t="shared" si="15"/>
        <v>8.1</v>
      </c>
      <c r="BW9" s="35">
        <f t="shared" si="15"/>
        <v>5.84</v>
      </c>
      <c r="BX9" s="35">
        <f t="shared" si="15"/>
        <v>3.91</v>
      </c>
      <c r="BY9" s="35">
        <f t="shared" si="15"/>
        <v>4.2</v>
      </c>
      <c r="BZ9" s="35">
        <f t="shared" si="15"/>
        <v>4</v>
      </c>
    </row>
    <row r="10" spans="2:84" ht="12.75" customHeight="1" x14ac:dyDescent="0.25">
      <c r="E10" s="41" t="s">
        <v>344</v>
      </c>
      <c r="F10" s="42">
        <f>MIN(F13:F196)</f>
        <v>7.2999999999999972</v>
      </c>
    </row>
    <row r="11" spans="2:84" ht="12.75" customHeight="1" x14ac:dyDescent="0.25">
      <c r="B11" s="606" t="s">
        <v>346</v>
      </c>
      <c r="C11" s="607"/>
      <c r="D11" s="608"/>
      <c r="E11" s="44" t="s">
        <v>345</v>
      </c>
      <c r="F11" s="45">
        <f>MAX(F13:F196)</f>
        <v>100</v>
      </c>
      <c r="I11" s="46"/>
      <c r="P11" s="606" t="s">
        <v>346</v>
      </c>
      <c r="Q11" s="607"/>
      <c r="R11" s="608"/>
      <c r="AJ11" s="592" t="s">
        <v>346</v>
      </c>
      <c r="AK11" s="593"/>
      <c r="AL11" s="594"/>
      <c r="BD11" s="592" t="s">
        <v>346</v>
      </c>
      <c r="BE11" s="593"/>
      <c r="BF11" s="594"/>
      <c r="BU11" s="592" t="s">
        <v>346</v>
      </c>
      <c r="BV11" s="593"/>
      <c r="BW11" s="594"/>
    </row>
    <row r="12" spans="2:84" ht="51" x14ac:dyDescent="0.25">
      <c r="B12" s="47" t="s">
        <v>347</v>
      </c>
      <c r="C12" s="48" t="s">
        <v>348</v>
      </c>
      <c r="D12" s="49" t="s">
        <v>349</v>
      </c>
      <c r="E12" s="49" t="s">
        <v>0</v>
      </c>
      <c r="F12" s="50" t="s">
        <v>350</v>
      </c>
      <c r="G12" s="51" t="s">
        <v>351</v>
      </c>
      <c r="H12" s="52" t="s">
        <v>352</v>
      </c>
      <c r="I12" s="53"/>
      <c r="J12" s="54" t="s">
        <v>348</v>
      </c>
      <c r="K12" s="51">
        <v>1999</v>
      </c>
      <c r="L12" s="51">
        <v>2000</v>
      </c>
      <c r="M12" s="51">
        <v>2001</v>
      </c>
      <c r="N12" s="51">
        <v>2002</v>
      </c>
      <c r="O12" s="51">
        <v>2003</v>
      </c>
      <c r="P12" s="51">
        <v>2004</v>
      </c>
      <c r="Q12" s="51">
        <v>2005</v>
      </c>
      <c r="R12" s="51">
        <v>2006</v>
      </c>
      <c r="S12" s="51">
        <v>2007</v>
      </c>
      <c r="T12" s="51">
        <v>2008</v>
      </c>
      <c r="U12" s="51">
        <v>2009</v>
      </c>
      <c r="V12" s="51">
        <v>2010</v>
      </c>
      <c r="W12" s="51">
        <v>2011</v>
      </c>
      <c r="X12" s="51">
        <v>2012</v>
      </c>
      <c r="Y12" s="51">
        <v>2013</v>
      </c>
      <c r="Z12" s="51">
        <v>2014</v>
      </c>
      <c r="AA12" s="51" t="s">
        <v>342</v>
      </c>
      <c r="AB12" s="53"/>
      <c r="AC12" s="54" t="s">
        <v>348</v>
      </c>
      <c r="AD12" s="55">
        <v>1999</v>
      </c>
      <c r="AE12" s="55">
        <v>2000</v>
      </c>
      <c r="AF12" s="55">
        <v>2001</v>
      </c>
      <c r="AG12" s="55">
        <v>2002</v>
      </c>
      <c r="AH12" s="55">
        <v>2003</v>
      </c>
      <c r="AI12" s="55">
        <v>2004</v>
      </c>
      <c r="AJ12" s="55">
        <v>2005</v>
      </c>
      <c r="AK12" s="55">
        <v>2006</v>
      </c>
      <c r="AL12" s="55">
        <v>2007</v>
      </c>
      <c r="AM12" s="55">
        <v>2008</v>
      </c>
      <c r="AN12" s="55">
        <v>2009</v>
      </c>
      <c r="AO12" s="55">
        <v>2010</v>
      </c>
      <c r="AP12" s="55">
        <v>2011</v>
      </c>
      <c r="AQ12" s="55">
        <v>2012</v>
      </c>
      <c r="AR12" s="55">
        <v>2013</v>
      </c>
      <c r="AS12" s="55">
        <v>2014</v>
      </c>
      <c r="AT12" s="56" t="s">
        <v>342</v>
      </c>
      <c r="AU12" s="53"/>
      <c r="AV12" s="54" t="s">
        <v>348</v>
      </c>
      <c r="AW12" s="55">
        <v>1999</v>
      </c>
      <c r="AX12" s="55">
        <v>2000</v>
      </c>
      <c r="AY12" s="55">
        <v>2001</v>
      </c>
      <c r="AZ12" s="55">
        <v>2002</v>
      </c>
      <c r="BA12" s="55">
        <v>2003</v>
      </c>
      <c r="BB12" s="55">
        <v>2004</v>
      </c>
      <c r="BC12" s="55">
        <v>2005</v>
      </c>
      <c r="BD12" s="55">
        <v>2006</v>
      </c>
      <c r="BE12" s="55">
        <v>2007</v>
      </c>
      <c r="BF12" s="55">
        <v>2008</v>
      </c>
      <c r="BG12" s="55">
        <v>2009</v>
      </c>
      <c r="BH12" s="55">
        <v>2010</v>
      </c>
      <c r="BI12" s="55">
        <v>2011</v>
      </c>
      <c r="BJ12" s="55">
        <v>2012</v>
      </c>
      <c r="BK12" s="55">
        <v>2013</v>
      </c>
      <c r="BL12" s="55">
        <v>2014</v>
      </c>
      <c r="BM12" s="56" t="s">
        <v>342</v>
      </c>
      <c r="BN12" s="53"/>
      <c r="BO12" s="54" t="s">
        <v>348</v>
      </c>
      <c r="BP12" s="55">
        <v>1999</v>
      </c>
      <c r="BQ12" s="55">
        <v>2000</v>
      </c>
      <c r="BR12" s="55">
        <v>2001</v>
      </c>
      <c r="BS12" s="57">
        <v>2002</v>
      </c>
      <c r="BT12" s="51">
        <v>2003</v>
      </c>
      <c r="BU12" s="55">
        <v>2004</v>
      </c>
      <c r="BV12" s="55">
        <v>2005</v>
      </c>
      <c r="BW12" s="55">
        <v>2006</v>
      </c>
      <c r="BX12" s="55">
        <v>2007</v>
      </c>
      <c r="BY12" s="55">
        <v>2008</v>
      </c>
      <c r="BZ12" s="55">
        <v>2009</v>
      </c>
      <c r="CA12" s="55">
        <v>2010</v>
      </c>
      <c r="CB12" s="55">
        <v>2011</v>
      </c>
      <c r="CC12" s="55">
        <v>2012</v>
      </c>
      <c r="CD12" s="55">
        <v>2013</v>
      </c>
      <c r="CE12" s="55">
        <v>2014</v>
      </c>
      <c r="CF12" s="56" t="s">
        <v>342</v>
      </c>
    </row>
    <row r="13" spans="2:84" ht="12.75" customHeight="1" x14ac:dyDescent="0.25">
      <c r="B13" s="58">
        <v>2</v>
      </c>
      <c r="C13" s="59" t="s">
        <v>353</v>
      </c>
      <c r="D13" s="60" t="s">
        <v>354</v>
      </c>
      <c r="E13" s="60">
        <v>2010</v>
      </c>
      <c r="F13" s="61">
        <v>67.74444444444444</v>
      </c>
      <c r="G13" s="62" t="s">
        <v>355</v>
      </c>
      <c r="H13" s="63" t="s">
        <v>355</v>
      </c>
      <c r="I13" s="64"/>
      <c r="J13" s="65" t="s">
        <v>353</v>
      </c>
      <c r="P13" s="66">
        <v>6.5470230297727472</v>
      </c>
      <c r="Q13" s="66">
        <v>4.866104606691894</v>
      </c>
      <c r="R13" s="66">
        <v>4.0793587535733469</v>
      </c>
      <c r="S13" s="66">
        <v>3.4682894030301306</v>
      </c>
      <c r="T13" s="66">
        <v>5.324434274292706</v>
      </c>
      <c r="U13" s="66">
        <v>11.791266704541009</v>
      </c>
      <c r="V13" s="66">
        <v>13.204792520432788</v>
      </c>
      <c r="Z13" s="66">
        <v>13.204792520432788</v>
      </c>
      <c r="AA13" s="66">
        <f>AVERAGE(K13:Z13)</f>
        <v>7.8107577265959263</v>
      </c>
      <c r="AC13" s="67" t="s">
        <v>354</v>
      </c>
      <c r="AI13" s="66">
        <f>VLOOKUP($B13,$AB$198:$AN$204,8,FALSE)</f>
        <v>81.617815617406805</v>
      </c>
      <c r="AJ13" s="66">
        <f>VLOOKUP($B13,$AB$198:$AN$204,9,FALSE)</f>
        <v>90.087240267752392</v>
      </c>
      <c r="AK13" s="66">
        <f>VLOOKUP($B13,$AB$198:$AN$204,10,FALSE)</f>
        <v>88.985721813757607</v>
      </c>
      <c r="AL13" s="66">
        <f>VLOOKUP($B13,$AB$198:$AN$204,11,FALSE)</f>
        <v>85.305718000035199</v>
      </c>
      <c r="AM13" s="66">
        <f>VLOOKUP($B13,$AB$198:$AN$204,12,FALSE)</f>
        <v>84.643872929029527</v>
      </c>
      <c r="AN13" s="66">
        <f>VLOOKUP($B13,$AB$198:$AN$204,13,FALSE)</f>
        <v>74.875500940663585</v>
      </c>
      <c r="AT13" s="66">
        <f>AVERAGE(AD13:AS13)</f>
        <v>84.252644928107514</v>
      </c>
      <c r="AV13" s="59" t="s">
        <v>353</v>
      </c>
      <c r="BB13" s="68">
        <f>VLOOKUP($B13,$AU$198:$BH$204,8,FALSE)</f>
        <v>21.020522134936851</v>
      </c>
      <c r="BC13" s="68">
        <f>VLOOKUP($B13,$AU$198:$BH$204,9,FALSE)</f>
        <v>19.450013274888473</v>
      </c>
      <c r="BD13" s="68">
        <f>VLOOKUP($B13,$AU$198:$BH$204,10,FALSE)</f>
        <v>18.667698962580744</v>
      </c>
      <c r="BE13" s="68">
        <f>VLOOKUP($B13,$AU$198:$BH$204,11,FALSE)</f>
        <v>17.474378499557432</v>
      </c>
      <c r="BF13" s="68">
        <f>VLOOKUP($B13,$AU$198:$BH$204,12,FALSE)</f>
        <v>17.117970453391717</v>
      </c>
      <c r="BG13" s="68">
        <f>VLOOKUP($B13,$AU$198:$BH$204,13,FALSE)</f>
        <v>16.94805594144432</v>
      </c>
      <c r="BM13" s="68">
        <f>AVERAGE(AW13:BL13)</f>
        <v>18.446439877799925</v>
      </c>
      <c r="BO13" s="59" t="s">
        <v>353</v>
      </c>
      <c r="BT13" s="10"/>
      <c r="BU13" s="69">
        <f>VLOOKUP($B13,$BN$198:$BZ$204,8,FALSE)</f>
        <v>1.5534520775941867</v>
      </c>
      <c r="BV13" s="69">
        <f>VLOOKUP($B13,$BN$198:$BZ$204,9,FALSE)</f>
        <v>1.7594268869112808</v>
      </c>
      <c r="BW13" s="69">
        <f>VLOOKUP($B13,$BN$198:$BZ$204,10,FALSE)</f>
        <v>1.9264064345990539</v>
      </c>
      <c r="BX13" s="69">
        <f>VLOOKUP($B13,$BN$198:$BZ$204,11,FALSE)</f>
        <v>1.9610645486104465</v>
      </c>
      <c r="BY13" s="69">
        <f>VLOOKUP($B13,$BN$198:$BZ$204,12,FALSE)</f>
        <v>1.1293177319334557</v>
      </c>
      <c r="BZ13" s="69">
        <f>VLOOKUP($B13,$BN$198:$BZ$204,13,FALSE)</f>
        <v>-1.4158844507992445</v>
      </c>
      <c r="CF13" s="69">
        <f>AVERAGE(BP13:CE13)</f>
        <v>1.1522972048081965</v>
      </c>
    </row>
    <row r="14" spans="2:84" ht="12.75" customHeight="1" x14ac:dyDescent="0.25">
      <c r="B14" s="58">
        <v>2</v>
      </c>
      <c r="C14" s="59" t="s">
        <v>356</v>
      </c>
      <c r="D14" s="60" t="s">
        <v>357</v>
      </c>
      <c r="E14" s="60">
        <v>2010</v>
      </c>
      <c r="F14" s="61">
        <v>67.74444444444444</v>
      </c>
      <c r="G14" s="62" t="s">
        <v>355</v>
      </c>
      <c r="H14" s="63" t="s">
        <v>355</v>
      </c>
      <c r="I14" s="64"/>
      <c r="J14" s="65" t="s">
        <v>356</v>
      </c>
      <c r="P14" s="70">
        <v>4.2155970782801981</v>
      </c>
      <c r="Q14" s="71">
        <v>2.3336038869578091</v>
      </c>
      <c r="R14" s="71">
        <v>3.0547540022362667</v>
      </c>
      <c r="S14" s="71">
        <v>3.4</v>
      </c>
      <c r="T14" s="71">
        <v>6.6</v>
      </c>
      <c r="U14" s="71">
        <v>10.475330377472522</v>
      </c>
      <c r="V14" s="71">
        <v>11.995862036280112</v>
      </c>
      <c r="W14" s="70"/>
      <c r="X14" s="70"/>
      <c r="Y14" s="70"/>
      <c r="Z14" s="71">
        <v>11.995862036280112</v>
      </c>
      <c r="AA14" s="70">
        <f t="shared" ref="AA14:AA77" si="16">AVERAGE(K14:Z14)</f>
        <v>6.7588761771883785</v>
      </c>
      <c r="AC14" s="67" t="s">
        <v>357</v>
      </c>
      <c r="AI14" s="72">
        <v>66.98630428682219</v>
      </c>
      <c r="AJ14" s="72">
        <v>59.747006745462443</v>
      </c>
      <c r="AK14" s="72">
        <v>56.296225912411337</v>
      </c>
      <c r="AL14" s="72">
        <v>47.228511622976512</v>
      </c>
      <c r="AM14" s="72">
        <v>42.80689561087452</v>
      </c>
      <c r="AN14" s="72">
        <v>51.242309011577134</v>
      </c>
      <c r="AT14" s="72">
        <f t="shared" ref="AT14:AT77" si="17">AVERAGE(AD14:AS14)</f>
        <v>54.051208865020691</v>
      </c>
      <c r="AV14" s="59" t="s">
        <v>356</v>
      </c>
      <c r="BB14" s="73">
        <v>21.629556711911999</v>
      </c>
      <c r="BC14" s="73">
        <v>18.571678370503282</v>
      </c>
      <c r="BD14" s="73">
        <v>18.072314199138916</v>
      </c>
      <c r="BE14" s="73">
        <v>17.082283252126491</v>
      </c>
      <c r="BF14" s="73">
        <v>17.22936010212954</v>
      </c>
      <c r="BG14" s="73">
        <v>16.670369455786318</v>
      </c>
      <c r="BM14" s="73">
        <f t="shared" ref="BM14:BM77" si="18">AVERAGE(AW14:BL14)</f>
        <v>18.209260348599422</v>
      </c>
      <c r="BO14" s="59" t="s">
        <v>356</v>
      </c>
      <c r="BT14" s="74"/>
      <c r="BU14" s="75">
        <v>1.2763</v>
      </c>
      <c r="BV14" s="75">
        <v>1.4000999999999999</v>
      </c>
      <c r="BW14" s="75">
        <v>1.3608</v>
      </c>
      <c r="BX14" s="75">
        <v>1.6</v>
      </c>
      <c r="BY14" s="75">
        <v>0.91399702941228167</v>
      </c>
      <c r="BZ14" s="75">
        <v>0.16002064804164795</v>
      </c>
      <c r="CF14" s="75">
        <f t="shared" ref="CF14:CF77" si="19">AVERAGE(BP14:CE14)</f>
        <v>1.118536279575655</v>
      </c>
    </row>
    <row r="15" spans="2:84" ht="12.75" customHeight="1" x14ac:dyDescent="0.25">
      <c r="B15" s="76">
        <v>4</v>
      </c>
      <c r="C15" s="59" t="s">
        <v>358</v>
      </c>
      <c r="D15" s="60" t="s">
        <v>359</v>
      </c>
      <c r="E15" s="60">
        <v>2010</v>
      </c>
      <c r="F15" s="77">
        <v>58.3</v>
      </c>
      <c r="G15" s="62">
        <v>41.7</v>
      </c>
      <c r="H15" s="63">
        <v>2.5</v>
      </c>
      <c r="I15" s="64"/>
      <c r="J15" s="65" t="s">
        <v>358</v>
      </c>
      <c r="P15" s="66">
        <v>14.02222222222222</v>
      </c>
      <c r="Q15" s="66">
        <v>11.930374904361134</v>
      </c>
      <c r="R15" s="66">
        <v>9.2577029027354598</v>
      </c>
      <c r="S15" s="66">
        <v>7.8242517155789182</v>
      </c>
      <c r="T15" s="66">
        <v>6.5840245506868422</v>
      </c>
      <c r="U15" s="66">
        <v>7.3444444444444441</v>
      </c>
      <c r="V15" s="66">
        <v>6.58</v>
      </c>
      <c r="Z15" s="66">
        <v>6.58</v>
      </c>
      <c r="AA15" s="66">
        <f t="shared" si="16"/>
        <v>8.7653775925036275</v>
      </c>
      <c r="AC15" s="67" t="s">
        <v>359</v>
      </c>
      <c r="AI15" s="66">
        <f>VLOOKUP($B15,$AB$198:$AN$204,8,FALSE)</f>
        <v>79.341861538879385</v>
      </c>
      <c r="AJ15" s="66">
        <f>VLOOKUP($B15,$AB$198:$AN$204,9,FALSE)</f>
        <v>88.50619591554171</v>
      </c>
      <c r="AK15" s="66">
        <f>VLOOKUP($B15,$AB$198:$AN$204,10,FALSE)</f>
        <v>90.69473658368932</v>
      </c>
      <c r="AL15" s="66">
        <f>VLOOKUP($B15,$AB$198:$AN$204,11,FALSE)</f>
        <v>86.039752929996837</v>
      </c>
      <c r="AM15" s="66">
        <f>VLOOKUP($B15,$AB$198:$AN$204,12,FALSE)</f>
        <v>90.63333333333334</v>
      </c>
      <c r="AN15" s="66">
        <f>VLOOKUP($B15,$AB$198:$AN$204,13,FALSE)</f>
        <v>79.016666666666666</v>
      </c>
      <c r="AT15" s="66">
        <f t="shared" si="17"/>
        <v>85.70542449468455</v>
      </c>
      <c r="AV15" s="59" t="s">
        <v>358</v>
      </c>
      <c r="BB15" s="68">
        <f>VLOOKUP($B15,$AU$198:$BH$204,8,FALSE)</f>
        <v>15.783333333333331</v>
      </c>
      <c r="BC15" s="68">
        <f>VLOOKUP($B15,$AU$198:$BH$204,9,FALSE)</f>
        <v>16.96777777777778</v>
      </c>
      <c r="BD15" s="68">
        <f>VLOOKUP($B15,$AU$198:$BH$204,10,FALSE)</f>
        <v>18.087777777777777</v>
      </c>
      <c r="BE15" s="68">
        <f>VLOOKUP($B15,$AU$198:$BH$204,11,FALSE)</f>
        <v>15.511111111111111</v>
      </c>
      <c r="BF15" s="68">
        <f>VLOOKUP($B15,$AU$198:$BH$204,12,FALSE)</f>
        <v>14.228888888888889</v>
      </c>
      <c r="BG15" s="68">
        <f>VLOOKUP($B15,$AU$198:$BH$204,13,FALSE)</f>
        <v>15.466666666666669</v>
      </c>
      <c r="BM15" s="68">
        <f t="shared" si="18"/>
        <v>16.007592592592591</v>
      </c>
      <c r="BO15" s="59" t="s">
        <v>358</v>
      </c>
      <c r="BT15" s="74"/>
      <c r="BU15" s="69">
        <f>VLOOKUP($B15,$BN$198:$BZ$204,8,FALSE)</f>
        <v>1.3611111111111112</v>
      </c>
      <c r="BV15" s="69">
        <f>VLOOKUP($B15,$BN$198:$BZ$204,9,FALSE)</f>
        <v>1.7591101065276993</v>
      </c>
      <c r="BW15" s="69">
        <f>VLOOKUP($B15,$BN$198:$BZ$204,10,FALSE)</f>
        <v>1.8948899098974377</v>
      </c>
      <c r="BX15" s="69">
        <f>VLOOKUP($B15,$BN$198:$BZ$204,11,FALSE)</f>
        <v>1.8022222222222222</v>
      </c>
      <c r="BY15" s="69">
        <f>VLOOKUP($B15,$BN$198:$BZ$204,12,FALSE)</f>
        <v>1.6577777777777776</v>
      </c>
      <c r="BZ15" s="69">
        <f>VLOOKUP($B15,$BN$198:$BZ$204,13,FALSE)</f>
        <v>1.53</v>
      </c>
      <c r="CF15" s="69">
        <f t="shared" si="19"/>
        <v>1.6675185212560413</v>
      </c>
    </row>
    <row r="16" spans="2:84" ht="12.75" customHeight="1" x14ac:dyDescent="0.25">
      <c r="B16" s="76">
        <v>6</v>
      </c>
      <c r="C16" s="59" t="s">
        <v>360</v>
      </c>
      <c r="D16" s="60" t="s">
        <v>361</v>
      </c>
      <c r="E16" s="60">
        <v>2010</v>
      </c>
      <c r="F16" s="77">
        <v>91.6</v>
      </c>
      <c r="G16" s="62">
        <v>8.4</v>
      </c>
      <c r="H16" s="63">
        <v>6.2</v>
      </c>
      <c r="I16" s="64"/>
      <c r="J16" s="65" t="s">
        <v>360</v>
      </c>
      <c r="P16" s="66">
        <v>12.639230769230769</v>
      </c>
      <c r="Q16" s="66">
        <v>12.165410295921369</v>
      </c>
      <c r="R16" s="66">
        <v>10.59847453234358</v>
      </c>
      <c r="S16" s="66">
        <v>9.472707780057064</v>
      </c>
      <c r="T16" s="66">
        <v>7.9803674992915017</v>
      </c>
      <c r="U16" s="66">
        <v>8.8942099137723467</v>
      </c>
      <c r="V16" s="66">
        <v>9.5068542417657511</v>
      </c>
      <c r="Z16" s="66">
        <v>9.5068542417657511</v>
      </c>
      <c r="AA16" s="66">
        <f t="shared" si="16"/>
        <v>10.095513659268518</v>
      </c>
      <c r="AC16" s="67" t="s">
        <v>361</v>
      </c>
      <c r="AI16" s="66">
        <f>VLOOKUP($B16,$AB$198:$AN$204,8,FALSE)</f>
        <v>75.888644067796605</v>
      </c>
      <c r="AJ16" s="66">
        <f>VLOOKUP($B16,$AB$198:$AN$204,9,FALSE)</f>
        <v>80.455696202531627</v>
      </c>
      <c r="AK16" s="66">
        <f>VLOOKUP($B16,$AB$198:$AN$204,10,FALSE)</f>
        <v>79.335945945945952</v>
      </c>
      <c r="AL16" s="66">
        <f>VLOOKUP($B16,$AB$198:$AN$204,11,FALSE)</f>
        <v>70.762500000000003</v>
      </c>
      <c r="AM16" s="66">
        <f>VLOOKUP($B16,$AB$198:$AN$204,12,FALSE)</f>
        <v>76.45</v>
      </c>
      <c r="AN16" s="66">
        <f>VLOOKUP($B16,$AB$198:$AN$204,13,FALSE)</f>
        <v>67.424999999999997</v>
      </c>
      <c r="AT16" s="66">
        <f t="shared" si="17"/>
        <v>75.05296436937904</v>
      </c>
      <c r="AV16" s="59" t="s">
        <v>360</v>
      </c>
      <c r="BB16" s="68">
        <f>VLOOKUP($B16,$AU$198:$BH$204,8,FALSE)</f>
        <v>18.156923076923078</v>
      </c>
      <c r="BC16" s="68">
        <f>VLOOKUP($B16,$AU$198:$BH$204,9,FALSE)</f>
        <v>17.862307692307695</v>
      </c>
      <c r="BD16" s="68">
        <f>VLOOKUP($B16,$AU$198:$BH$204,10,FALSE)</f>
        <v>17.588461538461537</v>
      </c>
      <c r="BE16" s="68">
        <f>VLOOKUP($B16,$AU$198:$BH$204,11,FALSE)</f>
        <v>17.724615384615387</v>
      </c>
      <c r="BF16" s="68">
        <f>VLOOKUP($B16,$AU$198:$BH$204,12,FALSE)</f>
        <v>18.493846153846153</v>
      </c>
      <c r="BG16" s="68">
        <f>VLOOKUP($B16,$AU$198:$BH$204,13,FALSE)</f>
        <v>19.346363636363638</v>
      </c>
      <c r="BM16" s="68">
        <f t="shared" si="18"/>
        <v>18.195419580419578</v>
      </c>
      <c r="BO16" s="59" t="s">
        <v>360</v>
      </c>
      <c r="BT16" s="74"/>
      <c r="BU16" s="69">
        <f>VLOOKUP($B16,$BN$198:$BZ$204,8,FALSE)</f>
        <v>3.2984615384615386</v>
      </c>
      <c r="BV16" s="69">
        <f>VLOOKUP($B16,$BN$198:$BZ$204,9,FALSE)</f>
        <v>2.7469230769230766</v>
      </c>
      <c r="BW16" s="69">
        <f>VLOOKUP($B16,$BN$198:$BZ$204,10,FALSE)</f>
        <v>2.7653846153846158</v>
      </c>
      <c r="BX16" s="69">
        <f>VLOOKUP($B16,$BN$198:$BZ$204,11,FALSE)</f>
        <v>2.525384615384616</v>
      </c>
      <c r="BY16" s="69">
        <f>VLOOKUP($B16,$BN$198:$BZ$204,12,FALSE)</f>
        <v>2.9269230769230767</v>
      </c>
      <c r="BZ16" s="69">
        <f>VLOOKUP($B16,$BN$198:$BZ$204,13,FALSE)</f>
        <v>2.36</v>
      </c>
      <c r="CF16" s="69">
        <f t="shared" si="19"/>
        <v>2.7705128205128204</v>
      </c>
    </row>
    <row r="17" spans="2:84" ht="12.75" customHeight="1" x14ac:dyDescent="0.25">
      <c r="B17" s="58">
        <v>3</v>
      </c>
      <c r="C17" s="59" t="s">
        <v>362</v>
      </c>
      <c r="D17" s="60" t="s">
        <v>363</v>
      </c>
      <c r="E17" s="60">
        <v>2010</v>
      </c>
      <c r="F17" s="77">
        <v>63.3</v>
      </c>
      <c r="G17" s="62">
        <v>36.700000000000003</v>
      </c>
      <c r="H17" s="63">
        <v>3</v>
      </c>
      <c r="I17" s="64"/>
      <c r="J17" s="65" t="s">
        <v>362</v>
      </c>
      <c r="P17" s="66">
        <v>5.584644672858265</v>
      </c>
      <c r="Q17" s="66">
        <v>3.9624899241932421</v>
      </c>
      <c r="R17" s="66">
        <v>3.0340039193664454</v>
      </c>
      <c r="S17" s="66">
        <v>2.604471088787407</v>
      </c>
      <c r="T17" s="66">
        <v>2.4269734911821845</v>
      </c>
      <c r="U17" s="66">
        <v>2.9280358899553502</v>
      </c>
      <c r="V17" s="66">
        <v>3.5429234268459737</v>
      </c>
      <c r="Z17" s="66">
        <v>3.5429234268459737</v>
      </c>
      <c r="AA17" s="66">
        <f t="shared" si="16"/>
        <v>3.4533082300043549</v>
      </c>
      <c r="AC17" s="67" t="s">
        <v>363</v>
      </c>
      <c r="AI17" s="66">
        <f>VLOOKUP($B17,$AB$198:$AN$204,8,FALSE)</f>
        <v>128.9834964234991</v>
      </c>
      <c r="AJ17" s="66">
        <f>VLOOKUP($B17,$AB$198:$AN$204,9,FALSE)</f>
        <v>140.08513617162512</v>
      </c>
      <c r="AK17" s="66">
        <f>VLOOKUP($B17,$AB$198:$AN$204,10,FALSE)</f>
        <v>159.45976537422837</v>
      </c>
      <c r="AL17" s="66">
        <f>VLOOKUP($B17,$AB$198:$AN$204,11,FALSE)</f>
        <v>176.08231767394884</v>
      </c>
      <c r="AM17" s="66">
        <f>VLOOKUP($B17,$AB$198:$AN$204,12,FALSE)</f>
        <v>179.91973269843069</v>
      </c>
      <c r="AN17" s="66">
        <f>VLOOKUP($B17,$AB$198:$AN$204,13,FALSE)</f>
        <v>163.73758550252111</v>
      </c>
      <c r="AT17" s="66">
        <f t="shared" si="17"/>
        <v>158.04467230737555</v>
      </c>
      <c r="AV17" s="59" t="s">
        <v>362</v>
      </c>
      <c r="BB17" s="68">
        <f>VLOOKUP($B17,$AU$198:$BH$204,8,FALSE)</f>
        <v>15.896096812126734</v>
      </c>
      <c r="BC17" s="68">
        <f>VLOOKUP($B17,$AU$198:$BH$204,9,FALSE)</f>
        <v>15.574506119519162</v>
      </c>
      <c r="BD17" s="68">
        <f>VLOOKUP($B17,$AU$198:$BH$204,10,FALSE)</f>
        <v>15.053685490252553</v>
      </c>
      <c r="BE17" s="68">
        <f>VLOOKUP($B17,$AU$198:$BH$204,11,FALSE)</f>
        <v>14.526883451785674</v>
      </c>
      <c r="BF17" s="68">
        <f>VLOOKUP($B17,$AU$198:$BH$204,12,FALSE)</f>
        <v>14.663359386876838</v>
      </c>
      <c r="BG17" s="68">
        <f>VLOOKUP($B17,$AU$198:$BH$204,13,FALSE)</f>
        <v>15.454370304742046</v>
      </c>
      <c r="BM17" s="68">
        <f t="shared" si="18"/>
        <v>15.1948169275505</v>
      </c>
      <c r="BO17" s="59" t="s">
        <v>362</v>
      </c>
      <c r="BT17" s="74"/>
      <c r="BU17" s="69">
        <f>VLOOKUP($B17,$BN$198:$BZ$204,8,FALSE)</f>
        <v>1.5948707163335805</v>
      </c>
      <c r="BV17" s="69">
        <f>VLOOKUP($B17,$BN$198:$BZ$204,9,FALSE)</f>
        <v>1.9470251257359674</v>
      </c>
      <c r="BW17" s="69">
        <f>VLOOKUP($B17,$BN$198:$BZ$204,10,FALSE)</f>
        <v>2.1255980960882401</v>
      </c>
      <c r="BX17" s="69">
        <f>VLOOKUP($B17,$BN$198:$BZ$204,11,FALSE)</f>
        <v>2.0468362458386125</v>
      </c>
      <c r="BY17" s="69">
        <f>VLOOKUP($B17,$BN$198:$BZ$204,12,FALSE)</f>
        <v>1.9140404691321369</v>
      </c>
      <c r="BZ17" s="69">
        <f>VLOOKUP($B17,$BN$198:$BZ$204,13,FALSE)</f>
        <v>1.7004174496949338</v>
      </c>
      <c r="CF17" s="69">
        <f t="shared" si="19"/>
        <v>1.8881313504705786</v>
      </c>
    </row>
    <row r="18" spans="2:84" ht="12.75" customHeight="1" x14ac:dyDescent="0.25">
      <c r="B18" s="58">
        <v>3</v>
      </c>
      <c r="C18" s="59" t="s">
        <v>364</v>
      </c>
      <c r="D18" s="60" t="s">
        <v>365</v>
      </c>
      <c r="E18" s="60">
        <v>2010</v>
      </c>
      <c r="F18" s="77">
        <v>67.2</v>
      </c>
      <c r="G18" s="62">
        <v>32.799999999999997</v>
      </c>
      <c r="H18" s="63">
        <v>2.8</v>
      </c>
      <c r="I18" s="64"/>
      <c r="J18" s="65" t="s">
        <v>364</v>
      </c>
      <c r="P18" s="70">
        <v>10.7</v>
      </c>
      <c r="Q18" s="71">
        <v>5.2</v>
      </c>
      <c r="R18" s="71">
        <v>3.4</v>
      </c>
      <c r="S18" s="71">
        <v>2.7</v>
      </c>
      <c r="T18" s="71">
        <v>2.7</v>
      </c>
      <c r="U18" s="71">
        <v>3.1</v>
      </c>
      <c r="V18" s="71" t="s">
        <v>355</v>
      </c>
      <c r="Z18" s="71" t="s">
        <v>355</v>
      </c>
      <c r="AA18" s="70">
        <f t="shared" si="16"/>
        <v>4.6333333333333329</v>
      </c>
      <c r="AC18" s="67" t="s">
        <v>365</v>
      </c>
      <c r="AI18" s="72">
        <v>102.9</v>
      </c>
      <c r="AJ18" s="72">
        <v>124.5</v>
      </c>
      <c r="AK18" s="72">
        <v>129.9</v>
      </c>
      <c r="AL18" s="72">
        <v>129.6</v>
      </c>
      <c r="AM18" s="72">
        <v>131.4</v>
      </c>
      <c r="AN18" s="72">
        <v>123</v>
      </c>
      <c r="AT18" s="72">
        <f t="shared" si="17"/>
        <v>123.55</v>
      </c>
      <c r="AV18" s="59" t="s">
        <v>364</v>
      </c>
      <c r="BB18" s="73">
        <v>14</v>
      </c>
      <c r="BC18" s="73">
        <v>15.3</v>
      </c>
      <c r="BD18" s="73">
        <v>16.8</v>
      </c>
      <c r="BE18" s="73">
        <v>16.899999999999999</v>
      </c>
      <c r="BF18" s="73">
        <v>16.8</v>
      </c>
      <c r="BG18" s="73">
        <v>18.600000000000001</v>
      </c>
      <c r="BM18" s="73">
        <f t="shared" si="18"/>
        <v>16.400000000000002</v>
      </c>
      <c r="BO18" s="59" t="s">
        <v>364</v>
      </c>
      <c r="BT18" s="74"/>
      <c r="BU18" s="75">
        <v>-0.45</v>
      </c>
      <c r="BV18" s="75">
        <v>0.87</v>
      </c>
      <c r="BW18" s="75">
        <v>1.9</v>
      </c>
      <c r="BX18" s="75">
        <v>1.5</v>
      </c>
      <c r="BY18" s="75">
        <v>1.6</v>
      </c>
      <c r="BZ18" s="75">
        <v>2.4</v>
      </c>
      <c r="CF18" s="75">
        <f t="shared" si="19"/>
        <v>1.3033333333333335</v>
      </c>
    </row>
    <row r="19" spans="2:84" ht="12.75" customHeight="1" x14ac:dyDescent="0.25">
      <c r="B19" s="58">
        <v>2</v>
      </c>
      <c r="C19" s="59" t="s">
        <v>366</v>
      </c>
      <c r="D19" s="60" t="s">
        <v>367</v>
      </c>
      <c r="E19" s="60">
        <v>2010</v>
      </c>
      <c r="F19" s="77">
        <v>59.4</v>
      </c>
      <c r="G19" s="62">
        <v>40.6</v>
      </c>
      <c r="H19" s="63">
        <v>1.9</v>
      </c>
      <c r="I19" s="64"/>
      <c r="J19" s="65" t="s">
        <v>366</v>
      </c>
      <c r="P19" s="70">
        <v>2.0787908080410733</v>
      </c>
      <c r="Q19" s="71">
        <v>1.9308998988920956</v>
      </c>
      <c r="R19" s="71">
        <v>2.4541936789980916</v>
      </c>
      <c r="S19" s="71">
        <v>2.4394146575075193</v>
      </c>
      <c r="T19" s="71">
        <v>4.4000000000000004</v>
      </c>
      <c r="U19" s="71">
        <v>4.8</v>
      </c>
      <c r="V19" s="71">
        <v>5</v>
      </c>
      <c r="Z19" s="71">
        <v>5</v>
      </c>
      <c r="AA19" s="70">
        <f t="shared" si="16"/>
        <v>3.5129123804298477</v>
      </c>
      <c r="AC19" s="67" t="s">
        <v>367</v>
      </c>
      <c r="AI19" s="72">
        <v>77.011175600974042</v>
      </c>
      <c r="AJ19" s="72">
        <v>70.705512884435763</v>
      </c>
      <c r="AK19" s="72">
        <v>64.263000310480706</v>
      </c>
      <c r="AL19" s="72">
        <v>66.554226763334086</v>
      </c>
      <c r="AM19" s="72">
        <v>38.200000000000003</v>
      </c>
      <c r="AN19" s="72">
        <v>46.7</v>
      </c>
      <c r="AT19" s="72">
        <f t="shared" si="17"/>
        <v>60.572319259870767</v>
      </c>
      <c r="AV19" s="59" t="s">
        <v>366</v>
      </c>
      <c r="BB19" s="73">
        <v>32.346851201675221</v>
      </c>
      <c r="BC19" s="73">
        <v>33.655199458041686</v>
      </c>
      <c r="BD19" s="73">
        <v>34.901453089854748</v>
      </c>
      <c r="BE19" s="73">
        <v>30.052348567477789</v>
      </c>
      <c r="BF19" s="73">
        <v>27.1</v>
      </c>
      <c r="BG19" s="73">
        <v>28.3</v>
      </c>
      <c r="BM19" s="73">
        <f t="shared" si="18"/>
        <v>31.059308719508241</v>
      </c>
      <c r="BO19" s="59" t="s">
        <v>366</v>
      </c>
      <c r="BT19" s="74"/>
      <c r="BU19" s="75">
        <v>3.2295486844912338</v>
      </c>
      <c r="BV19" s="75">
        <v>3.0833104009250314</v>
      </c>
      <c r="BW19" s="75">
        <v>3.5666477459651214</v>
      </c>
      <c r="BX19" s="75">
        <v>2.9</v>
      </c>
      <c r="BY19" s="75">
        <v>3.1</v>
      </c>
      <c r="BZ19" s="75">
        <v>0.7</v>
      </c>
      <c r="CF19" s="75">
        <f t="shared" si="19"/>
        <v>2.7632511385635645</v>
      </c>
    </row>
    <row r="20" spans="2:84" ht="12.75" customHeight="1" x14ac:dyDescent="0.25">
      <c r="B20" s="76">
        <v>5</v>
      </c>
      <c r="C20" s="59" t="s">
        <v>368</v>
      </c>
      <c r="D20" s="60" t="s">
        <v>369</v>
      </c>
      <c r="E20" s="60">
        <v>2010</v>
      </c>
      <c r="F20" s="77">
        <v>18.200000000000003</v>
      </c>
      <c r="G20" s="62">
        <v>81.8</v>
      </c>
      <c r="H20" s="63">
        <v>1</v>
      </c>
      <c r="I20" s="64"/>
      <c r="J20" s="65" t="s">
        <v>368</v>
      </c>
      <c r="P20" s="70">
        <v>0.2</v>
      </c>
      <c r="Q20" s="71">
        <v>0.2</v>
      </c>
      <c r="R20" s="71">
        <v>0.20220676013147434</v>
      </c>
      <c r="S20" s="71">
        <v>0.18859142893289574</v>
      </c>
      <c r="T20" s="71">
        <v>0.77818837782113959</v>
      </c>
      <c r="U20" s="71">
        <v>1.2</v>
      </c>
      <c r="V20" s="71">
        <v>1.2</v>
      </c>
      <c r="Z20" s="71">
        <v>1.2</v>
      </c>
      <c r="AA20" s="70">
        <f t="shared" si="16"/>
        <v>0.64612332086068869</v>
      </c>
      <c r="AC20" s="67" t="s">
        <v>369</v>
      </c>
      <c r="AI20" s="72">
        <v>182.85438146715859</v>
      </c>
      <c r="AJ20" s="72">
        <v>202.97651510542283</v>
      </c>
      <c r="AK20" s="72">
        <v>202.5</v>
      </c>
      <c r="AL20" s="72">
        <v>181.84802869865507</v>
      </c>
      <c r="AM20" s="72">
        <v>74.785818899746815</v>
      </c>
      <c r="AN20" s="72">
        <v>68</v>
      </c>
      <c r="AT20" s="72">
        <f t="shared" si="17"/>
        <v>152.16079069516388</v>
      </c>
      <c r="AV20" s="59" t="s">
        <v>368</v>
      </c>
      <c r="BB20" s="73">
        <v>10.5</v>
      </c>
      <c r="BC20" s="73">
        <v>10.4</v>
      </c>
      <c r="BD20" s="73">
        <v>10.395</v>
      </c>
      <c r="BE20" s="73">
        <v>10.199999999999999</v>
      </c>
      <c r="BF20" s="73">
        <v>11.4</v>
      </c>
      <c r="BG20" s="73">
        <v>11.7</v>
      </c>
      <c r="BM20" s="73">
        <f t="shared" si="18"/>
        <v>10.765833333333333</v>
      </c>
      <c r="BO20" s="59" t="s">
        <v>368</v>
      </c>
      <c r="BT20" s="74"/>
      <c r="BU20" s="75">
        <v>1.1000000000000001</v>
      </c>
      <c r="BV20" s="75">
        <v>1</v>
      </c>
      <c r="BW20" s="75">
        <v>1</v>
      </c>
      <c r="BX20" s="75">
        <v>1</v>
      </c>
      <c r="BY20" s="75">
        <v>0.7</v>
      </c>
      <c r="BZ20" s="75">
        <v>0.6</v>
      </c>
      <c r="CF20" s="75">
        <f t="shared" si="19"/>
        <v>0.89999999999999991</v>
      </c>
    </row>
    <row r="21" spans="2:84" ht="12.75" customHeight="1" x14ac:dyDescent="0.25">
      <c r="B21" s="76">
        <v>5</v>
      </c>
      <c r="C21" s="59" t="s">
        <v>370</v>
      </c>
      <c r="D21" s="60" t="s">
        <v>371</v>
      </c>
      <c r="E21" s="60">
        <v>2010</v>
      </c>
      <c r="F21" s="77">
        <v>26.900000000000006</v>
      </c>
      <c r="G21" s="62">
        <v>73.099999999999994</v>
      </c>
      <c r="H21" s="63">
        <v>1.1000000000000001</v>
      </c>
      <c r="I21" s="64"/>
      <c r="J21" s="65" t="s">
        <v>370</v>
      </c>
      <c r="P21" s="70">
        <v>2.7</v>
      </c>
      <c r="Q21" s="71">
        <v>2.6</v>
      </c>
      <c r="R21" s="71">
        <v>2.7</v>
      </c>
      <c r="S21" s="71">
        <v>2.2000000000000002</v>
      </c>
      <c r="T21" s="71">
        <v>2</v>
      </c>
      <c r="U21" s="71">
        <v>2.2999999999999998</v>
      </c>
      <c r="V21" s="71" t="s">
        <v>355</v>
      </c>
      <c r="Z21" s="71" t="s">
        <v>355</v>
      </c>
      <c r="AA21" s="70">
        <f t="shared" si="16"/>
        <v>2.4166666666666665</v>
      </c>
      <c r="AC21" s="67" t="s">
        <v>371</v>
      </c>
      <c r="AI21" s="72">
        <v>70.8</v>
      </c>
      <c r="AJ21" s="72">
        <v>71.5</v>
      </c>
      <c r="AK21" s="72">
        <v>75.599999999999994</v>
      </c>
      <c r="AL21" s="72">
        <v>76.400000000000006</v>
      </c>
      <c r="AM21" s="72">
        <v>62.4</v>
      </c>
      <c r="AN21" s="72">
        <v>64.400000000000006</v>
      </c>
      <c r="AT21" s="72">
        <f t="shared" si="17"/>
        <v>70.183333333333337</v>
      </c>
      <c r="AV21" s="59" t="s">
        <v>370</v>
      </c>
      <c r="BB21" s="73">
        <v>12.37</v>
      </c>
      <c r="BC21" s="73">
        <v>11.82</v>
      </c>
      <c r="BD21" s="73">
        <v>13.2</v>
      </c>
      <c r="BE21" s="73">
        <v>12.7</v>
      </c>
      <c r="BF21" s="73">
        <v>12.9</v>
      </c>
      <c r="BG21" s="73">
        <v>14.3</v>
      </c>
      <c r="BM21" s="73">
        <f t="shared" si="18"/>
        <v>12.881666666666668</v>
      </c>
      <c r="BO21" s="59" t="s">
        <v>370</v>
      </c>
      <c r="BT21" s="74"/>
      <c r="BU21" s="75">
        <v>0.6</v>
      </c>
      <c r="BV21" s="75">
        <v>0.6</v>
      </c>
      <c r="BW21" s="75">
        <v>0.7</v>
      </c>
      <c r="BX21" s="75">
        <v>0.8</v>
      </c>
      <c r="BY21" s="75">
        <v>0.1</v>
      </c>
      <c r="BZ21" s="75">
        <v>0.4</v>
      </c>
      <c r="CF21" s="75">
        <f t="shared" si="19"/>
        <v>0.53333333333333333</v>
      </c>
    </row>
    <row r="22" spans="2:84" ht="12.75" customHeight="1" x14ac:dyDescent="0.25">
      <c r="B22" s="58">
        <v>2</v>
      </c>
      <c r="C22" s="59" t="s">
        <v>372</v>
      </c>
      <c r="D22" s="60" t="s">
        <v>373</v>
      </c>
      <c r="E22" s="60">
        <v>2010</v>
      </c>
      <c r="F22" s="77">
        <v>71.2</v>
      </c>
      <c r="G22" s="62">
        <v>28.8</v>
      </c>
      <c r="H22" s="63">
        <v>2.7</v>
      </c>
      <c r="I22" s="64"/>
      <c r="J22" s="65" t="s">
        <v>372</v>
      </c>
      <c r="P22" s="66">
        <v>6.5470230297727472</v>
      </c>
      <c r="Q22" s="66">
        <v>4.866104606691894</v>
      </c>
      <c r="R22" s="66">
        <v>4.0793587535733469</v>
      </c>
      <c r="S22" s="66">
        <v>3.4682894030301306</v>
      </c>
      <c r="T22" s="66">
        <v>5.324434274292706</v>
      </c>
      <c r="U22" s="66">
        <v>11.791266704541009</v>
      </c>
      <c r="V22" s="66">
        <v>13.204792520432788</v>
      </c>
      <c r="Z22" s="66">
        <v>13.204792520432788</v>
      </c>
      <c r="AA22" s="66">
        <f t="shared" si="16"/>
        <v>7.8107577265959263</v>
      </c>
      <c r="AC22" s="67" t="s">
        <v>373</v>
      </c>
      <c r="AI22" s="66">
        <f>VLOOKUP($B22,$AB$198:$AN$204,8,FALSE)</f>
        <v>81.617815617406805</v>
      </c>
      <c r="AJ22" s="66">
        <f>VLOOKUP($B22,$AB$198:$AN$204,9,FALSE)</f>
        <v>90.087240267752392</v>
      </c>
      <c r="AK22" s="66">
        <f>VLOOKUP($B22,$AB$198:$AN$204,10,FALSE)</f>
        <v>88.985721813757607</v>
      </c>
      <c r="AL22" s="66">
        <f>VLOOKUP($B22,$AB$198:$AN$204,11,FALSE)</f>
        <v>85.305718000035199</v>
      </c>
      <c r="AM22" s="66">
        <f>VLOOKUP($B22,$AB$198:$AN$204,12,FALSE)</f>
        <v>84.643872929029527</v>
      </c>
      <c r="AN22" s="66">
        <f>VLOOKUP($B22,$AB$198:$AN$204,13,FALSE)</f>
        <v>74.875500940663585</v>
      </c>
      <c r="AT22" s="66">
        <f t="shared" si="17"/>
        <v>84.252644928107514</v>
      </c>
      <c r="AV22" s="59" t="s">
        <v>372</v>
      </c>
      <c r="BB22" s="68">
        <f>VLOOKUP($B22,$AU$198:$BH$204,8,FALSE)</f>
        <v>21.020522134936851</v>
      </c>
      <c r="BC22" s="68">
        <f>VLOOKUP($B22,$AU$198:$BH$204,9,FALSE)</f>
        <v>19.450013274888473</v>
      </c>
      <c r="BD22" s="68">
        <f>VLOOKUP($B22,$AU$198:$BH$204,10,FALSE)</f>
        <v>18.667698962580744</v>
      </c>
      <c r="BE22" s="68">
        <f>VLOOKUP($B22,$AU$198:$BH$204,11,FALSE)</f>
        <v>17.474378499557432</v>
      </c>
      <c r="BF22" s="68">
        <f>VLOOKUP($B22,$AU$198:$BH$204,12,FALSE)</f>
        <v>17.117970453391717</v>
      </c>
      <c r="BG22" s="68">
        <f>VLOOKUP($B22,$AU$198:$BH$204,13,FALSE)</f>
        <v>16.94805594144432</v>
      </c>
      <c r="BM22" s="68">
        <f t="shared" si="18"/>
        <v>18.446439877799925</v>
      </c>
      <c r="BO22" s="59" t="s">
        <v>372</v>
      </c>
      <c r="BT22" s="74"/>
      <c r="BU22" s="69">
        <f>VLOOKUP($B22,$BN$198:$BZ$204,8,FALSE)</f>
        <v>1.5534520775941867</v>
      </c>
      <c r="BV22" s="69">
        <f>VLOOKUP($B22,$BN$198:$BZ$204,9,FALSE)</f>
        <v>1.7594268869112808</v>
      </c>
      <c r="BW22" s="69">
        <f>VLOOKUP($B22,$BN$198:$BZ$204,10,FALSE)</f>
        <v>1.9264064345990539</v>
      </c>
      <c r="BX22" s="69">
        <f>VLOOKUP($B22,$BN$198:$BZ$204,11,FALSE)</f>
        <v>1.9610645486104465</v>
      </c>
      <c r="BY22" s="69">
        <f>VLOOKUP($B22,$BN$198:$BZ$204,12,FALSE)</f>
        <v>1.1293177319334557</v>
      </c>
      <c r="BZ22" s="69">
        <f>VLOOKUP($B22,$BN$198:$BZ$204,13,FALSE)</f>
        <v>-1.4158844507992445</v>
      </c>
      <c r="CF22" s="69">
        <f t="shared" si="19"/>
        <v>1.1522972048081965</v>
      </c>
    </row>
    <row r="23" spans="2:84" ht="12.75" customHeight="1" x14ac:dyDescent="0.25">
      <c r="B23" s="58">
        <v>3</v>
      </c>
      <c r="C23" s="59" t="s">
        <v>374</v>
      </c>
      <c r="D23" s="60" t="s">
        <v>375</v>
      </c>
      <c r="E23" s="60">
        <v>2010</v>
      </c>
      <c r="F23" s="77">
        <v>45.3</v>
      </c>
      <c r="G23" s="62">
        <v>54.7</v>
      </c>
      <c r="H23" s="63">
        <v>5</v>
      </c>
      <c r="I23" s="64"/>
      <c r="J23" s="65" t="s">
        <v>374</v>
      </c>
      <c r="P23" s="66">
        <v>5.584644672858265</v>
      </c>
      <c r="Q23" s="66">
        <v>3.9624899241932421</v>
      </c>
      <c r="R23" s="66">
        <v>3.0340039193664454</v>
      </c>
      <c r="S23" s="66">
        <v>2.604471088787407</v>
      </c>
      <c r="T23" s="66">
        <v>2.4269734911821845</v>
      </c>
      <c r="U23" s="66">
        <v>2.9280358899553502</v>
      </c>
      <c r="V23" s="66">
        <v>3.5429234268459737</v>
      </c>
      <c r="Z23" s="66">
        <v>3.5429234268459737</v>
      </c>
      <c r="AA23" s="66">
        <f t="shared" si="16"/>
        <v>3.4533082300043549</v>
      </c>
      <c r="AC23" s="67" t="s">
        <v>375</v>
      </c>
      <c r="AI23" s="66">
        <f>VLOOKUP($B23,$AB$198:$AN$204,8,FALSE)</f>
        <v>128.9834964234991</v>
      </c>
      <c r="AJ23" s="66">
        <f>VLOOKUP($B23,$AB$198:$AN$204,9,FALSE)</f>
        <v>140.08513617162512</v>
      </c>
      <c r="AK23" s="66">
        <f>VLOOKUP($B23,$AB$198:$AN$204,10,FALSE)</f>
        <v>159.45976537422837</v>
      </c>
      <c r="AL23" s="66">
        <f>VLOOKUP($B23,$AB$198:$AN$204,11,FALSE)</f>
        <v>176.08231767394884</v>
      </c>
      <c r="AM23" s="66">
        <f>VLOOKUP($B23,$AB$198:$AN$204,12,FALSE)</f>
        <v>179.91973269843069</v>
      </c>
      <c r="AN23" s="66">
        <f>VLOOKUP($B23,$AB$198:$AN$204,13,FALSE)</f>
        <v>163.73758550252111</v>
      </c>
      <c r="AT23" s="66">
        <f t="shared" si="17"/>
        <v>158.04467230737555</v>
      </c>
      <c r="AV23" s="59" t="s">
        <v>374</v>
      </c>
      <c r="BB23" s="68">
        <f>VLOOKUP($B23,$AU$198:$BH$204,8,FALSE)</f>
        <v>15.896096812126734</v>
      </c>
      <c r="BC23" s="68">
        <f>VLOOKUP($B23,$AU$198:$BH$204,9,FALSE)</f>
        <v>15.574506119519162</v>
      </c>
      <c r="BD23" s="68">
        <f>VLOOKUP($B23,$AU$198:$BH$204,10,FALSE)</f>
        <v>15.053685490252553</v>
      </c>
      <c r="BE23" s="68">
        <f>VLOOKUP($B23,$AU$198:$BH$204,11,FALSE)</f>
        <v>14.526883451785674</v>
      </c>
      <c r="BF23" s="68">
        <f>VLOOKUP($B23,$AU$198:$BH$204,12,FALSE)</f>
        <v>14.663359386876838</v>
      </c>
      <c r="BG23" s="68">
        <f>VLOOKUP($B23,$AU$198:$BH$204,13,FALSE)</f>
        <v>15.454370304742046</v>
      </c>
      <c r="BM23" s="68">
        <f t="shared" si="18"/>
        <v>15.1948169275505</v>
      </c>
      <c r="BO23" s="59" t="s">
        <v>374</v>
      </c>
      <c r="BT23" s="74"/>
      <c r="BU23" s="69">
        <f>VLOOKUP($B23,$BN$198:$BZ$204,8,FALSE)</f>
        <v>1.5948707163335805</v>
      </c>
      <c r="BV23" s="69">
        <f>VLOOKUP($B23,$BN$198:$BZ$204,9,FALSE)</f>
        <v>1.9470251257359674</v>
      </c>
      <c r="BW23" s="69">
        <f>VLOOKUP($B23,$BN$198:$BZ$204,10,FALSE)</f>
        <v>2.1255980960882401</v>
      </c>
      <c r="BX23" s="69">
        <f>VLOOKUP($B23,$BN$198:$BZ$204,11,FALSE)</f>
        <v>2.0468362458386125</v>
      </c>
      <c r="BY23" s="69">
        <f>VLOOKUP($B23,$BN$198:$BZ$204,12,FALSE)</f>
        <v>1.9140404691321369</v>
      </c>
      <c r="BZ23" s="69">
        <f>VLOOKUP($B23,$BN$198:$BZ$204,13,FALSE)</f>
        <v>1.7004174496949338</v>
      </c>
      <c r="CF23" s="69">
        <f t="shared" si="19"/>
        <v>1.8881313504705786</v>
      </c>
    </row>
    <row r="24" spans="2:84" ht="12.75" customHeight="1" x14ac:dyDescent="0.25">
      <c r="B24" s="76">
        <v>4</v>
      </c>
      <c r="C24" s="59" t="s">
        <v>376</v>
      </c>
      <c r="D24" s="60" t="s">
        <v>377</v>
      </c>
      <c r="E24" s="60">
        <v>2010</v>
      </c>
      <c r="F24" s="77">
        <v>35.799999999999997</v>
      </c>
      <c r="G24" s="62">
        <v>64.2</v>
      </c>
      <c r="H24" s="63">
        <v>2.5</v>
      </c>
      <c r="I24" s="64"/>
      <c r="J24" s="65" t="s">
        <v>376</v>
      </c>
      <c r="P24" s="66">
        <v>14.02222222222222</v>
      </c>
      <c r="Q24" s="66">
        <v>11.930374904361134</v>
      </c>
      <c r="R24" s="66">
        <v>9.2577029027354598</v>
      </c>
      <c r="S24" s="66">
        <v>7.8242517155789182</v>
      </c>
      <c r="T24" s="66">
        <v>6.5840245506868422</v>
      </c>
      <c r="U24" s="66">
        <v>7.3444444444444441</v>
      </c>
      <c r="V24" s="66">
        <v>6.58</v>
      </c>
      <c r="Z24" s="66">
        <v>6.58</v>
      </c>
      <c r="AA24" s="66">
        <f t="shared" si="16"/>
        <v>8.7653775925036275</v>
      </c>
      <c r="AC24" s="67" t="s">
        <v>377</v>
      </c>
      <c r="AI24" s="66">
        <f>VLOOKUP($B24,$AB$198:$AN$204,8,FALSE)</f>
        <v>79.341861538879385</v>
      </c>
      <c r="AJ24" s="66">
        <f>VLOOKUP($B24,$AB$198:$AN$204,9,FALSE)</f>
        <v>88.50619591554171</v>
      </c>
      <c r="AK24" s="66">
        <f>VLOOKUP($B24,$AB$198:$AN$204,10,FALSE)</f>
        <v>90.69473658368932</v>
      </c>
      <c r="AL24" s="66">
        <f>VLOOKUP($B24,$AB$198:$AN$204,11,FALSE)</f>
        <v>86.039752929996837</v>
      </c>
      <c r="AM24" s="66">
        <f>VLOOKUP($B24,$AB$198:$AN$204,12,FALSE)</f>
        <v>90.63333333333334</v>
      </c>
      <c r="AN24" s="66">
        <f>VLOOKUP($B24,$AB$198:$AN$204,13,FALSE)</f>
        <v>79.016666666666666</v>
      </c>
      <c r="AT24" s="66">
        <f t="shared" si="17"/>
        <v>85.70542449468455</v>
      </c>
      <c r="AV24" s="59" t="s">
        <v>376</v>
      </c>
      <c r="BB24" s="68">
        <f>VLOOKUP($B24,$AU$198:$BH$204,8,FALSE)</f>
        <v>15.783333333333331</v>
      </c>
      <c r="BC24" s="68">
        <f>VLOOKUP($B24,$AU$198:$BH$204,9,FALSE)</f>
        <v>16.96777777777778</v>
      </c>
      <c r="BD24" s="68">
        <f>VLOOKUP($B24,$AU$198:$BH$204,10,FALSE)</f>
        <v>18.087777777777777</v>
      </c>
      <c r="BE24" s="68">
        <f>VLOOKUP($B24,$AU$198:$BH$204,11,FALSE)</f>
        <v>15.511111111111111</v>
      </c>
      <c r="BF24" s="68">
        <f>VLOOKUP($B24,$AU$198:$BH$204,12,FALSE)</f>
        <v>14.228888888888889</v>
      </c>
      <c r="BG24" s="68">
        <f>VLOOKUP($B24,$AU$198:$BH$204,13,FALSE)</f>
        <v>15.466666666666669</v>
      </c>
      <c r="BM24" s="68">
        <f t="shared" si="18"/>
        <v>16.007592592592591</v>
      </c>
      <c r="BO24" s="59" t="s">
        <v>376</v>
      </c>
      <c r="BT24" s="74"/>
      <c r="BU24" s="69">
        <f>VLOOKUP($B24,$BN$198:$BZ$204,8,FALSE)</f>
        <v>1.3611111111111112</v>
      </c>
      <c r="BV24" s="69">
        <f>VLOOKUP($B24,$BN$198:$BZ$204,9,FALSE)</f>
        <v>1.7591101065276993</v>
      </c>
      <c r="BW24" s="69">
        <f>VLOOKUP($B24,$BN$198:$BZ$204,10,FALSE)</f>
        <v>1.8948899098974377</v>
      </c>
      <c r="BX24" s="69">
        <f>VLOOKUP($B24,$BN$198:$BZ$204,11,FALSE)</f>
        <v>1.8022222222222222</v>
      </c>
      <c r="BY24" s="69">
        <f>VLOOKUP($B24,$BN$198:$BZ$204,12,FALSE)</f>
        <v>1.6577777777777776</v>
      </c>
      <c r="BZ24" s="69">
        <f>VLOOKUP($B24,$BN$198:$BZ$204,13,FALSE)</f>
        <v>1.53</v>
      </c>
      <c r="CF24" s="69">
        <f t="shared" si="19"/>
        <v>1.6675185212560413</v>
      </c>
    </row>
    <row r="25" spans="2:84" ht="12.75" customHeight="1" x14ac:dyDescent="0.25">
      <c r="B25" s="76">
        <v>1</v>
      </c>
      <c r="C25" s="59" t="s">
        <v>378</v>
      </c>
      <c r="D25" s="60" t="s">
        <v>379</v>
      </c>
      <c r="E25" s="60">
        <v>2010</v>
      </c>
      <c r="F25" s="77">
        <v>74.2</v>
      </c>
      <c r="G25" s="62">
        <v>25.8</v>
      </c>
      <c r="H25" s="63">
        <v>4</v>
      </c>
      <c r="I25" s="64"/>
      <c r="J25" s="65" t="s">
        <v>378</v>
      </c>
      <c r="P25" s="70">
        <v>17.5</v>
      </c>
      <c r="Q25" s="71">
        <v>13.2</v>
      </c>
      <c r="R25" s="71">
        <v>12.8</v>
      </c>
      <c r="S25" s="71">
        <v>14.5</v>
      </c>
      <c r="T25" s="71">
        <v>11.2</v>
      </c>
      <c r="U25" s="71" t="s">
        <v>355</v>
      </c>
      <c r="V25" s="71" t="s">
        <v>355</v>
      </c>
      <c r="Z25" s="71" t="s">
        <v>355</v>
      </c>
      <c r="AA25" s="70">
        <f t="shared" si="16"/>
        <v>13.84</v>
      </c>
      <c r="AC25" s="67" t="s">
        <v>379</v>
      </c>
      <c r="AI25" s="72">
        <v>26.8</v>
      </c>
      <c r="AJ25" s="72">
        <v>28.3</v>
      </c>
      <c r="AK25" s="72">
        <v>45.2</v>
      </c>
      <c r="AL25" s="72">
        <v>43</v>
      </c>
      <c r="AM25" s="72">
        <v>50.1</v>
      </c>
      <c r="AN25" s="72" t="s">
        <v>380</v>
      </c>
      <c r="AT25" s="72">
        <f t="shared" si="17"/>
        <v>38.68</v>
      </c>
      <c r="AV25" s="59" t="s">
        <v>378</v>
      </c>
      <c r="BB25" s="73">
        <v>6.9</v>
      </c>
      <c r="BC25" s="73">
        <v>7.3</v>
      </c>
      <c r="BD25" s="73">
        <v>5.0999999999999996</v>
      </c>
      <c r="BE25" s="73">
        <v>7.4</v>
      </c>
      <c r="BF25" s="73">
        <v>10.1</v>
      </c>
      <c r="BG25" s="73" t="s">
        <v>380</v>
      </c>
      <c r="BM25" s="73">
        <f t="shared" si="18"/>
        <v>7.3599999999999994</v>
      </c>
      <c r="BO25" s="59" t="s">
        <v>378</v>
      </c>
      <c r="BT25" s="74"/>
      <c r="BU25" s="75">
        <v>-0.5</v>
      </c>
      <c r="BV25" s="75">
        <v>0.6</v>
      </c>
      <c r="BW25" s="75">
        <v>-1.2</v>
      </c>
      <c r="BX25" s="75">
        <v>0.9</v>
      </c>
      <c r="BY25" s="75">
        <v>1.3</v>
      </c>
      <c r="BZ25" s="75" t="s">
        <v>380</v>
      </c>
      <c r="CF25" s="75">
        <f t="shared" si="19"/>
        <v>0.22000000000000003</v>
      </c>
    </row>
    <row r="26" spans="2:84" ht="12.75" customHeight="1" x14ac:dyDescent="0.25">
      <c r="B26" s="58">
        <v>2</v>
      </c>
      <c r="C26" s="59" t="s">
        <v>381</v>
      </c>
      <c r="D26" s="60" t="s">
        <v>382</v>
      </c>
      <c r="E26" s="60">
        <v>2010</v>
      </c>
      <c r="F26" s="77">
        <v>72</v>
      </c>
      <c r="G26" s="62">
        <v>28</v>
      </c>
      <c r="H26" s="63">
        <v>5.8</v>
      </c>
      <c r="I26" s="64"/>
      <c r="J26" s="65" t="s">
        <v>381</v>
      </c>
      <c r="P26" s="70">
        <v>2.8</v>
      </c>
      <c r="Q26" s="71">
        <v>3.1</v>
      </c>
      <c r="R26" s="71">
        <v>2.8</v>
      </c>
      <c r="S26" s="71">
        <v>1.9</v>
      </c>
      <c r="T26" s="71">
        <v>1.7</v>
      </c>
      <c r="U26" s="71">
        <v>4.2</v>
      </c>
      <c r="V26" s="71">
        <v>4.9000000000000004</v>
      </c>
      <c r="Z26" s="71">
        <v>4.9000000000000004</v>
      </c>
      <c r="AA26" s="70">
        <f t="shared" si="16"/>
        <v>3.2874999999999996</v>
      </c>
      <c r="AC26" s="67" t="s">
        <v>382</v>
      </c>
      <c r="AI26" s="72">
        <v>32.4</v>
      </c>
      <c r="AJ26" s="72">
        <v>48.4</v>
      </c>
      <c r="AK26" s="72">
        <v>51.34</v>
      </c>
      <c r="AL26" s="72">
        <v>61.5</v>
      </c>
      <c r="AM26" s="72">
        <v>70</v>
      </c>
      <c r="AN26" s="72">
        <v>58.6</v>
      </c>
      <c r="AT26" s="72">
        <f t="shared" si="17"/>
        <v>53.706666666666671</v>
      </c>
      <c r="AV26" s="59" t="s">
        <v>381</v>
      </c>
      <c r="BB26" s="73">
        <v>25.2</v>
      </c>
      <c r="BC26" s="73">
        <v>26.7</v>
      </c>
      <c r="BD26" s="73">
        <v>24.39</v>
      </c>
      <c r="BE26" s="73">
        <v>19.3</v>
      </c>
      <c r="BF26" s="73">
        <v>21.8</v>
      </c>
      <c r="BG26" s="73">
        <v>19</v>
      </c>
      <c r="BM26" s="73">
        <f t="shared" si="18"/>
        <v>22.731666666666666</v>
      </c>
      <c r="BO26" s="59" t="s">
        <v>381</v>
      </c>
      <c r="BT26" s="74"/>
      <c r="BU26" s="75">
        <v>1.45</v>
      </c>
      <c r="BV26" s="75">
        <v>1.25</v>
      </c>
      <c r="BW26" s="75">
        <v>1.7</v>
      </c>
      <c r="BX26" s="75">
        <v>1.7</v>
      </c>
      <c r="BY26" s="75">
        <v>1.4</v>
      </c>
      <c r="BZ26" s="75">
        <v>1.2</v>
      </c>
      <c r="CF26" s="75">
        <f t="shared" si="19"/>
        <v>1.45</v>
      </c>
    </row>
    <row r="27" spans="2:84" ht="12.75" customHeight="1" x14ac:dyDescent="0.25">
      <c r="B27" s="76">
        <v>5</v>
      </c>
      <c r="C27" s="59" t="s">
        <v>383</v>
      </c>
      <c r="D27" s="60" t="s">
        <v>384</v>
      </c>
      <c r="E27" s="60">
        <v>2010</v>
      </c>
      <c r="F27" s="77">
        <v>12.400000000000006</v>
      </c>
      <c r="G27" s="62">
        <v>87.6</v>
      </c>
      <c r="H27" s="63">
        <v>0.9</v>
      </c>
      <c r="I27" s="64"/>
      <c r="J27" s="65" t="s">
        <v>383</v>
      </c>
      <c r="P27" s="70">
        <v>2.2999999999999998</v>
      </c>
      <c r="Q27" s="71">
        <v>2</v>
      </c>
      <c r="R27" s="71">
        <v>1.7</v>
      </c>
      <c r="S27" s="71">
        <v>1.1000000000000001</v>
      </c>
      <c r="T27" s="71">
        <v>1.7</v>
      </c>
      <c r="U27" s="71">
        <v>2.7</v>
      </c>
      <c r="V27" s="71" t="s">
        <v>355</v>
      </c>
      <c r="Z27" s="71" t="s">
        <v>355</v>
      </c>
      <c r="AA27" s="70">
        <f t="shared" si="16"/>
        <v>1.9166666666666667</v>
      </c>
      <c r="AC27" s="67" t="s">
        <v>384</v>
      </c>
      <c r="AI27" s="72">
        <v>54.2</v>
      </c>
      <c r="AJ27" s="72">
        <v>51.6</v>
      </c>
      <c r="AK27" s="72">
        <v>50.8</v>
      </c>
      <c r="AL27" s="72">
        <v>48</v>
      </c>
      <c r="AM27" s="72">
        <v>67</v>
      </c>
      <c r="AN27" s="72">
        <v>57</v>
      </c>
      <c r="AT27" s="72">
        <f t="shared" si="17"/>
        <v>54.766666666666673</v>
      </c>
      <c r="AV27" s="59" t="s">
        <v>383</v>
      </c>
      <c r="BB27" s="73">
        <v>13</v>
      </c>
      <c r="BC27" s="73">
        <v>11.5</v>
      </c>
      <c r="BD27" s="73">
        <v>11.9</v>
      </c>
      <c r="BE27" s="73">
        <v>11.2</v>
      </c>
      <c r="BF27" s="73">
        <v>16.2</v>
      </c>
      <c r="BG27" s="73">
        <v>16.3</v>
      </c>
      <c r="BM27" s="73">
        <f t="shared" si="18"/>
        <v>13.35</v>
      </c>
      <c r="BO27" s="59" t="s">
        <v>383</v>
      </c>
      <c r="BT27" s="74"/>
      <c r="BU27" s="75">
        <v>0.5</v>
      </c>
      <c r="BV27" s="75">
        <v>0.5</v>
      </c>
      <c r="BW27" s="75">
        <v>0.7</v>
      </c>
      <c r="BX27" s="75">
        <v>0.4</v>
      </c>
      <c r="BY27" s="75">
        <v>-1.3</v>
      </c>
      <c r="BZ27" s="75">
        <v>-0.3</v>
      </c>
      <c r="CF27" s="75">
        <f t="shared" si="19"/>
        <v>8.3333333333333329E-2</v>
      </c>
    </row>
    <row r="28" spans="2:84" ht="12.75" customHeight="1" x14ac:dyDescent="0.25">
      <c r="B28" s="58">
        <v>3</v>
      </c>
      <c r="C28" s="59" t="s">
        <v>385</v>
      </c>
      <c r="D28" s="60" t="s">
        <v>386</v>
      </c>
      <c r="E28" s="60">
        <v>2010</v>
      </c>
      <c r="F28" s="77">
        <v>36.4</v>
      </c>
      <c r="G28" s="62">
        <v>63.6</v>
      </c>
      <c r="H28" s="63">
        <v>1</v>
      </c>
      <c r="I28" s="64"/>
      <c r="J28" s="65" t="s">
        <v>385</v>
      </c>
      <c r="P28" s="66">
        <v>5.584644672858265</v>
      </c>
      <c r="Q28" s="66">
        <v>3.9624899241932421</v>
      </c>
      <c r="R28" s="66">
        <v>3.0340039193664454</v>
      </c>
      <c r="S28" s="66">
        <v>2.604471088787407</v>
      </c>
      <c r="T28" s="66">
        <v>2.4269734911821845</v>
      </c>
      <c r="U28" s="66">
        <v>2.9280358899553502</v>
      </c>
      <c r="V28" s="66">
        <v>3.5429234268459737</v>
      </c>
      <c r="Z28" s="66">
        <v>3.5429234268459737</v>
      </c>
      <c r="AA28" s="66">
        <f t="shared" si="16"/>
        <v>3.4533082300043549</v>
      </c>
      <c r="AC28" s="67" t="s">
        <v>386</v>
      </c>
      <c r="AI28" s="66">
        <f>VLOOKUP($B28,$AB$198:$AN$204,8,FALSE)</f>
        <v>128.9834964234991</v>
      </c>
      <c r="AJ28" s="66">
        <f>VLOOKUP($B28,$AB$198:$AN$204,9,FALSE)</f>
        <v>140.08513617162512</v>
      </c>
      <c r="AK28" s="66">
        <f>VLOOKUP($B28,$AB$198:$AN$204,10,FALSE)</f>
        <v>159.45976537422837</v>
      </c>
      <c r="AL28" s="66">
        <f>VLOOKUP($B28,$AB$198:$AN$204,11,FALSE)</f>
        <v>176.08231767394884</v>
      </c>
      <c r="AM28" s="66">
        <f>VLOOKUP($B28,$AB$198:$AN$204,12,FALSE)</f>
        <v>179.91973269843069</v>
      </c>
      <c r="AN28" s="66">
        <f>VLOOKUP($B28,$AB$198:$AN$204,13,FALSE)</f>
        <v>163.73758550252111</v>
      </c>
      <c r="AT28" s="66">
        <f t="shared" si="17"/>
        <v>158.04467230737555</v>
      </c>
      <c r="AV28" s="59" t="s">
        <v>385</v>
      </c>
      <c r="BB28" s="68">
        <f>VLOOKUP($B28,$AU$198:$BH$204,8,FALSE)</f>
        <v>15.896096812126734</v>
      </c>
      <c r="BC28" s="68">
        <f>VLOOKUP($B28,$AU$198:$BH$204,9,FALSE)</f>
        <v>15.574506119519162</v>
      </c>
      <c r="BD28" s="68">
        <f>VLOOKUP($B28,$AU$198:$BH$204,10,FALSE)</f>
        <v>15.053685490252553</v>
      </c>
      <c r="BE28" s="68">
        <f>VLOOKUP($B28,$AU$198:$BH$204,11,FALSE)</f>
        <v>14.526883451785674</v>
      </c>
      <c r="BF28" s="68">
        <f>VLOOKUP($B28,$AU$198:$BH$204,12,FALSE)</f>
        <v>14.663359386876838</v>
      </c>
      <c r="BG28" s="68">
        <f>VLOOKUP($B28,$AU$198:$BH$204,13,FALSE)</f>
        <v>15.454370304742046</v>
      </c>
      <c r="BM28" s="68">
        <f t="shared" si="18"/>
        <v>15.1948169275505</v>
      </c>
      <c r="BO28" s="59" t="s">
        <v>385</v>
      </c>
      <c r="BT28" s="74"/>
      <c r="BU28" s="69">
        <f>VLOOKUP($B28,$BN$198:$BZ$204,8,FALSE)</f>
        <v>1.5948707163335805</v>
      </c>
      <c r="BV28" s="69">
        <f>VLOOKUP($B28,$BN$198:$BZ$204,9,FALSE)</f>
        <v>1.9470251257359674</v>
      </c>
      <c r="BW28" s="69">
        <f>VLOOKUP($B28,$BN$198:$BZ$204,10,FALSE)</f>
        <v>2.1255980960882401</v>
      </c>
      <c r="BX28" s="69">
        <f>VLOOKUP($B28,$BN$198:$BZ$204,11,FALSE)</f>
        <v>2.0468362458386125</v>
      </c>
      <c r="BY28" s="69">
        <f>VLOOKUP($B28,$BN$198:$BZ$204,12,FALSE)</f>
        <v>1.9140404691321369</v>
      </c>
      <c r="BZ28" s="69">
        <f>VLOOKUP($B28,$BN$198:$BZ$204,13,FALSE)</f>
        <v>1.7004174496949338</v>
      </c>
      <c r="CF28" s="69">
        <f t="shared" si="19"/>
        <v>1.8881313504705786</v>
      </c>
    </row>
    <row r="29" spans="2:84" ht="12.75" customHeight="1" x14ac:dyDescent="0.25">
      <c r="B29" s="76">
        <v>6</v>
      </c>
      <c r="C29" s="59" t="s">
        <v>387</v>
      </c>
      <c r="D29" s="60" t="s">
        <v>388</v>
      </c>
      <c r="E29" s="60">
        <v>2010</v>
      </c>
      <c r="F29" s="77">
        <v>79.8</v>
      </c>
      <c r="G29" s="62">
        <v>20.2</v>
      </c>
      <c r="H29" s="63">
        <v>4</v>
      </c>
      <c r="I29" s="64"/>
      <c r="J29" s="65" t="s">
        <v>387</v>
      </c>
      <c r="P29" s="66">
        <v>12.639230769230769</v>
      </c>
      <c r="Q29" s="66">
        <v>12.165410295921369</v>
      </c>
      <c r="R29" s="66">
        <v>10.59847453234358</v>
      </c>
      <c r="S29" s="66">
        <v>9.472707780057064</v>
      </c>
      <c r="T29" s="66">
        <v>7.9803674992915017</v>
      </c>
      <c r="U29" s="66">
        <v>8.8942099137723467</v>
      </c>
      <c r="V29" s="66">
        <v>9.5068542417657511</v>
      </c>
      <c r="Z29" s="66">
        <v>9.5068542417657511</v>
      </c>
      <c r="AA29" s="66">
        <f t="shared" si="16"/>
        <v>10.095513659268518</v>
      </c>
      <c r="AC29" s="67" t="s">
        <v>388</v>
      </c>
      <c r="AI29" s="66">
        <f>VLOOKUP($B29,$AB$198:$AN$204,8,FALSE)</f>
        <v>75.888644067796605</v>
      </c>
      <c r="AJ29" s="66">
        <f>VLOOKUP($B29,$AB$198:$AN$204,9,FALSE)</f>
        <v>80.455696202531627</v>
      </c>
      <c r="AK29" s="66">
        <f>VLOOKUP($B29,$AB$198:$AN$204,10,FALSE)</f>
        <v>79.335945945945952</v>
      </c>
      <c r="AL29" s="66">
        <f>VLOOKUP($B29,$AB$198:$AN$204,11,FALSE)</f>
        <v>70.762500000000003</v>
      </c>
      <c r="AM29" s="66">
        <f>VLOOKUP($B29,$AB$198:$AN$204,12,FALSE)</f>
        <v>76.45</v>
      </c>
      <c r="AN29" s="66">
        <f>VLOOKUP($B29,$AB$198:$AN$204,13,FALSE)</f>
        <v>67.424999999999997</v>
      </c>
      <c r="AT29" s="66">
        <f t="shared" si="17"/>
        <v>75.05296436937904</v>
      </c>
      <c r="AV29" s="59" t="s">
        <v>387</v>
      </c>
      <c r="BB29" s="68">
        <f>VLOOKUP($B29,$AU$198:$BH$204,8,FALSE)</f>
        <v>18.156923076923078</v>
      </c>
      <c r="BC29" s="68">
        <f>VLOOKUP($B29,$AU$198:$BH$204,9,FALSE)</f>
        <v>17.862307692307695</v>
      </c>
      <c r="BD29" s="68">
        <f>VLOOKUP($B29,$AU$198:$BH$204,10,FALSE)</f>
        <v>17.588461538461537</v>
      </c>
      <c r="BE29" s="68">
        <f>VLOOKUP($B29,$AU$198:$BH$204,11,FALSE)</f>
        <v>17.724615384615387</v>
      </c>
      <c r="BF29" s="68">
        <f>VLOOKUP($B29,$AU$198:$BH$204,12,FALSE)</f>
        <v>18.493846153846153</v>
      </c>
      <c r="BG29" s="68">
        <f>VLOOKUP($B29,$AU$198:$BH$204,13,FALSE)</f>
        <v>19.346363636363638</v>
      </c>
      <c r="BM29" s="68">
        <f t="shared" si="18"/>
        <v>18.195419580419578</v>
      </c>
      <c r="BO29" s="59" t="s">
        <v>387</v>
      </c>
      <c r="BT29" s="74"/>
      <c r="BU29" s="69">
        <f>VLOOKUP($B29,$BN$198:$BZ$204,8,FALSE)</f>
        <v>3.2984615384615386</v>
      </c>
      <c r="BV29" s="69">
        <f>VLOOKUP($B29,$BN$198:$BZ$204,9,FALSE)</f>
        <v>2.7469230769230766</v>
      </c>
      <c r="BW29" s="69">
        <f>VLOOKUP($B29,$BN$198:$BZ$204,10,FALSE)</f>
        <v>2.7653846153846158</v>
      </c>
      <c r="BX29" s="69">
        <f>VLOOKUP($B29,$BN$198:$BZ$204,11,FALSE)</f>
        <v>2.525384615384616</v>
      </c>
      <c r="BY29" s="69">
        <f>VLOOKUP($B29,$BN$198:$BZ$204,12,FALSE)</f>
        <v>2.9269230769230767</v>
      </c>
      <c r="BZ29" s="69">
        <f>VLOOKUP($B29,$BN$198:$BZ$204,13,FALSE)</f>
        <v>2.36</v>
      </c>
      <c r="CF29" s="69">
        <f t="shared" si="19"/>
        <v>2.7705128205128204</v>
      </c>
    </row>
    <row r="30" spans="2:84" ht="12.75" customHeight="1" x14ac:dyDescent="0.25">
      <c r="B30" s="76">
        <v>1</v>
      </c>
      <c r="C30" s="59" t="s">
        <v>389</v>
      </c>
      <c r="D30" s="60" t="s">
        <v>390</v>
      </c>
      <c r="E30" s="60">
        <v>2010</v>
      </c>
      <c r="F30" s="61">
        <v>71.713636363636368</v>
      </c>
      <c r="G30" s="62" t="s">
        <v>355</v>
      </c>
      <c r="H30" s="63" t="s">
        <v>355</v>
      </c>
      <c r="I30" s="64"/>
      <c r="J30" s="65" t="s">
        <v>389</v>
      </c>
      <c r="P30" s="66">
        <v>10.951448940605555</v>
      </c>
      <c r="Q30" s="66">
        <v>8.9659352564169783</v>
      </c>
      <c r="R30" s="66">
        <v>7.5764805003373485</v>
      </c>
      <c r="S30" s="66">
        <v>6.9766808385753336</v>
      </c>
      <c r="T30" s="66">
        <v>6.028398498646701</v>
      </c>
      <c r="U30" s="66">
        <v>5.1511144935422388</v>
      </c>
      <c r="V30" s="66">
        <v>7.19</v>
      </c>
      <c r="Z30" s="66">
        <v>7.19</v>
      </c>
      <c r="AA30" s="66">
        <f t="shared" si="16"/>
        <v>7.5037573160155189</v>
      </c>
      <c r="AC30" s="67" t="s">
        <v>390</v>
      </c>
      <c r="AI30" s="66">
        <f>VLOOKUP($B30,$AB$198:$AN$204,8,FALSE)</f>
        <v>62.267766724334649</v>
      </c>
      <c r="AJ30" s="66">
        <f>VLOOKUP($B30,$AB$198:$AN$204,9,FALSE)</f>
        <v>58.416201756290228</v>
      </c>
      <c r="AK30" s="66">
        <f>VLOOKUP($B30,$AB$198:$AN$204,10,FALSE)</f>
        <v>65.401431372790213</v>
      </c>
      <c r="AL30" s="66">
        <f>VLOOKUP($B30,$AB$198:$AN$204,11,FALSE)</f>
        <v>71.775804261946988</v>
      </c>
      <c r="AM30" s="66">
        <f>VLOOKUP($B30,$AB$198:$AN$204,12,FALSE)</f>
        <v>85.024999999999991</v>
      </c>
      <c r="AN30" s="66">
        <f>VLOOKUP($B30,$AB$198:$AN$204,13,FALSE)</f>
        <v>106.17999999999999</v>
      </c>
      <c r="AT30" s="66">
        <f t="shared" si="17"/>
        <v>74.84436735256034</v>
      </c>
      <c r="AV30" s="59" t="s">
        <v>389</v>
      </c>
      <c r="BB30" s="68">
        <f>VLOOKUP($B30,$AU$198:$BH$204,8,FALSE)</f>
        <v>11.270393306464786</v>
      </c>
      <c r="BC30" s="68">
        <f>VLOOKUP($B30,$AU$198:$BH$204,9,FALSE)</f>
        <v>12.218846153846155</v>
      </c>
      <c r="BD30" s="68">
        <f>VLOOKUP($B30,$AU$198:$BH$204,10,FALSE)</f>
        <v>12.689038461538463</v>
      </c>
      <c r="BE30" s="68">
        <f>VLOOKUP($B30,$AU$198:$BH$204,11,FALSE)</f>
        <v>12.925000000000001</v>
      </c>
      <c r="BF30" s="68">
        <f>VLOOKUP($B30,$AU$198:$BH$204,12,FALSE)</f>
        <v>13.27</v>
      </c>
      <c r="BG30" s="68">
        <f>VLOOKUP($B30,$AU$198:$BH$204,13,FALSE)</f>
        <v>14.116666666666667</v>
      </c>
      <c r="BM30" s="68">
        <f t="shared" si="18"/>
        <v>12.748324098086011</v>
      </c>
      <c r="BO30" s="59" t="s">
        <v>389</v>
      </c>
      <c r="BT30" s="74"/>
      <c r="BU30" s="69">
        <f>VLOOKUP($B30,$BN$198:$BZ$204,8,FALSE)</f>
        <v>1.1095149831589846</v>
      </c>
      <c r="BV30" s="69">
        <f>VLOOKUP($B30,$BN$198:$BZ$204,9,FALSE)</f>
        <v>1.2860560376080794</v>
      </c>
      <c r="BW30" s="69">
        <f>VLOOKUP($B30,$BN$198:$BZ$204,10,FALSE)</f>
        <v>1.0562499999999999</v>
      </c>
      <c r="BX30" s="69">
        <f>VLOOKUP($B30,$BN$198:$BZ$204,11,FALSE)</f>
        <v>1.2375</v>
      </c>
      <c r="BY30" s="69">
        <f>VLOOKUP($B30,$BN$198:$BZ$204,12,FALSE)</f>
        <v>1.2124999999999999</v>
      </c>
      <c r="BZ30" s="69">
        <f>VLOOKUP($B30,$BN$198:$BZ$204,13,FALSE)</f>
        <v>1.3316666666666668</v>
      </c>
      <c r="CF30" s="69">
        <f t="shared" si="19"/>
        <v>1.2055812812389552</v>
      </c>
    </row>
    <row r="31" spans="2:84" ht="12.75" customHeight="1" x14ac:dyDescent="0.25">
      <c r="B31" s="58">
        <v>3</v>
      </c>
      <c r="C31" s="59" t="s">
        <v>391</v>
      </c>
      <c r="D31" s="60" t="s">
        <v>392</v>
      </c>
      <c r="E31" s="60">
        <v>2010</v>
      </c>
      <c r="F31" s="77">
        <v>60.7</v>
      </c>
      <c r="G31" s="62">
        <v>39.299999999999997</v>
      </c>
      <c r="H31" s="63">
        <v>1.8</v>
      </c>
      <c r="I31" s="64"/>
      <c r="J31" s="65" t="s">
        <v>391</v>
      </c>
      <c r="P31" s="70">
        <v>14</v>
      </c>
      <c r="Q31" s="71">
        <v>11.3</v>
      </c>
      <c r="R31" s="71">
        <v>8.6999999999999993</v>
      </c>
      <c r="S31" s="71">
        <v>5.6</v>
      </c>
      <c r="T31" s="71">
        <v>4.28</v>
      </c>
      <c r="U31" s="71">
        <v>3.87</v>
      </c>
      <c r="V31" s="71" t="s">
        <v>355</v>
      </c>
      <c r="Z31" s="71" t="s">
        <v>355</v>
      </c>
      <c r="AA31" s="70">
        <f t="shared" si="16"/>
        <v>7.958333333333333</v>
      </c>
      <c r="AC31" s="67" t="s">
        <v>392</v>
      </c>
      <c r="AI31" s="72">
        <v>84.236804564907274</v>
      </c>
      <c r="AJ31" s="72">
        <v>85.890652557319228</v>
      </c>
      <c r="AK31" s="72">
        <v>106.45905420991926</v>
      </c>
      <c r="AL31" s="72">
        <v>132.44206773618541</v>
      </c>
      <c r="AM31" s="72">
        <v>153.73831775700936</v>
      </c>
      <c r="AN31" s="72">
        <v>161.5</v>
      </c>
      <c r="AT31" s="72">
        <f t="shared" si="17"/>
        <v>120.71114947089008</v>
      </c>
      <c r="AV31" s="59" t="s">
        <v>391</v>
      </c>
      <c r="BB31" s="73">
        <v>14.9</v>
      </c>
      <c r="BC31" s="73">
        <v>14.7</v>
      </c>
      <c r="BD31" s="73">
        <v>13.3</v>
      </c>
      <c r="BE31" s="73">
        <v>12.61</v>
      </c>
      <c r="BF31" s="73">
        <v>13.69</v>
      </c>
      <c r="BG31" s="73">
        <v>13.28</v>
      </c>
      <c r="BM31" s="73">
        <f t="shared" si="18"/>
        <v>13.746666666666668</v>
      </c>
      <c r="BO31" s="59" t="s">
        <v>391</v>
      </c>
      <c r="BT31" s="74"/>
      <c r="BU31" s="75">
        <v>-0.1</v>
      </c>
      <c r="BV31" s="75">
        <v>0.7</v>
      </c>
      <c r="BW31" s="75">
        <v>1.3</v>
      </c>
      <c r="BX31" s="75">
        <v>1.86</v>
      </c>
      <c r="BY31" s="75">
        <v>1.73</v>
      </c>
      <c r="BZ31" s="75">
        <v>1.61</v>
      </c>
      <c r="CF31" s="75">
        <f t="shared" si="19"/>
        <v>1.1833333333333333</v>
      </c>
    </row>
    <row r="32" spans="2:84" ht="12.75" customHeight="1" x14ac:dyDescent="0.25">
      <c r="B32" s="58">
        <v>2</v>
      </c>
      <c r="C32" s="59" t="s">
        <v>393</v>
      </c>
      <c r="D32" s="60" t="s">
        <v>394</v>
      </c>
      <c r="E32" s="60">
        <v>2010</v>
      </c>
      <c r="F32" s="77">
        <v>65.3</v>
      </c>
      <c r="G32" s="62">
        <v>34.700000000000003</v>
      </c>
      <c r="H32" s="63">
        <v>3.3</v>
      </c>
      <c r="I32" s="64"/>
      <c r="J32" s="65" t="s">
        <v>393</v>
      </c>
      <c r="P32" s="70">
        <v>6.0735442731919917</v>
      </c>
      <c r="Q32" s="71">
        <v>5.2760536675759271</v>
      </c>
      <c r="R32" s="71">
        <v>4</v>
      </c>
      <c r="S32" s="71">
        <v>3.0130071375311052</v>
      </c>
      <c r="T32" s="71">
        <v>3.1</v>
      </c>
      <c r="U32" s="71">
        <v>5.8712072518762994</v>
      </c>
      <c r="V32" s="71">
        <v>9.2203769467742305</v>
      </c>
      <c r="Z32" s="71">
        <v>9.2203769467742305</v>
      </c>
      <c r="AA32" s="70">
        <f t="shared" si="16"/>
        <v>5.7218207779654735</v>
      </c>
      <c r="AC32" s="67" t="s">
        <v>394</v>
      </c>
      <c r="AI32" s="72">
        <v>44.554616803190804</v>
      </c>
      <c r="AJ32" s="72">
        <v>40.125646483029499</v>
      </c>
      <c r="AK32" s="72">
        <v>39.641969997640885</v>
      </c>
      <c r="AL32" s="72">
        <v>37.200000000000003</v>
      </c>
      <c r="AM32" s="72">
        <v>37.9</v>
      </c>
      <c r="AN32" s="72">
        <v>36.263659860038388</v>
      </c>
      <c r="AT32" s="72">
        <f t="shared" si="17"/>
        <v>39.280982190649929</v>
      </c>
      <c r="AV32" s="59" t="s">
        <v>393</v>
      </c>
      <c r="BB32" s="73">
        <v>18.730865755679716</v>
      </c>
      <c r="BC32" s="73">
        <v>17.829189375215243</v>
      </c>
      <c r="BD32" s="73">
        <v>17.7</v>
      </c>
      <c r="BE32" s="73">
        <v>17.138030073140509</v>
      </c>
      <c r="BF32" s="73">
        <v>16.3</v>
      </c>
      <c r="BG32" s="73">
        <v>16.409485026290415</v>
      </c>
      <c r="BM32" s="73">
        <f t="shared" si="18"/>
        <v>17.351261705054313</v>
      </c>
      <c r="BO32" s="59" t="s">
        <v>393</v>
      </c>
      <c r="BT32" s="74"/>
      <c r="BU32" s="75">
        <v>0.68857947196226132</v>
      </c>
      <c r="BV32" s="75">
        <v>0.69402420098517659</v>
      </c>
      <c r="BW32" s="75">
        <v>0.9</v>
      </c>
      <c r="BX32" s="75">
        <v>0.86603115634658423</v>
      </c>
      <c r="BY32" s="75">
        <v>0.4</v>
      </c>
      <c r="BZ32" s="75">
        <v>0.21491815363529157</v>
      </c>
      <c r="CF32" s="75">
        <f t="shared" si="19"/>
        <v>0.62725883048821884</v>
      </c>
    </row>
    <row r="33" spans="2:84" ht="12.75" customHeight="1" x14ac:dyDescent="0.25">
      <c r="B33" s="76">
        <v>6</v>
      </c>
      <c r="C33" s="59" t="s">
        <v>395</v>
      </c>
      <c r="D33" s="60" t="s">
        <v>396</v>
      </c>
      <c r="E33" s="60">
        <v>2010</v>
      </c>
      <c r="F33" s="77">
        <v>36.299999999999997</v>
      </c>
      <c r="G33" s="62">
        <v>63.7</v>
      </c>
      <c r="H33" s="63">
        <v>1.7</v>
      </c>
      <c r="I33" s="64"/>
      <c r="J33" s="65" t="s">
        <v>395</v>
      </c>
      <c r="P33" s="66">
        <v>12.639230769230769</v>
      </c>
      <c r="Q33" s="71" t="s">
        <v>355</v>
      </c>
      <c r="R33" s="71" t="s">
        <v>355</v>
      </c>
      <c r="S33" s="71" t="s">
        <v>355</v>
      </c>
      <c r="T33" s="71" t="s">
        <v>355</v>
      </c>
      <c r="U33" s="71" t="s">
        <v>355</v>
      </c>
      <c r="V33" s="71" t="s">
        <v>355</v>
      </c>
      <c r="Z33" s="71" t="s">
        <v>355</v>
      </c>
      <c r="AA33" s="70">
        <f t="shared" si="16"/>
        <v>12.639230769230769</v>
      </c>
      <c r="AC33" s="67" t="s">
        <v>396</v>
      </c>
      <c r="AI33" s="66">
        <f>VLOOKUP($B33,$AB$198:$AN$204,8,FALSE)</f>
        <v>75.888644067796605</v>
      </c>
      <c r="AJ33" s="66">
        <f>VLOOKUP($B33,$AB$198:$AN$204,9,FALSE)</f>
        <v>80.455696202531627</v>
      </c>
      <c r="AK33" s="66">
        <f>VLOOKUP($B33,$AB$198:$AN$204,10,FALSE)</f>
        <v>79.335945945945952</v>
      </c>
      <c r="AL33" s="66">
        <f>VLOOKUP($B33,$AB$198:$AN$204,11,FALSE)</f>
        <v>70.762500000000003</v>
      </c>
      <c r="AM33" s="66">
        <f>VLOOKUP($B33,$AB$198:$AN$204,12,FALSE)</f>
        <v>76.45</v>
      </c>
      <c r="AN33" s="66">
        <f>VLOOKUP($B33,$AB$198:$AN$204,13,FALSE)</f>
        <v>67.424999999999997</v>
      </c>
      <c r="AT33" s="66">
        <f t="shared" si="17"/>
        <v>75.05296436937904</v>
      </c>
      <c r="AV33" s="59" t="s">
        <v>395</v>
      </c>
      <c r="BB33" s="68">
        <f>VLOOKUP($B33,$AU$198:$BH$204,8,FALSE)</f>
        <v>18.156923076923078</v>
      </c>
      <c r="BC33" s="68">
        <f>VLOOKUP($B33,$AU$198:$BH$204,9,FALSE)</f>
        <v>17.862307692307695</v>
      </c>
      <c r="BD33" s="68">
        <f>VLOOKUP($B33,$AU$198:$BH$204,10,FALSE)</f>
        <v>17.588461538461537</v>
      </c>
      <c r="BE33" s="68">
        <f>VLOOKUP($B33,$AU$198:$BH$204,11,FALSE)</f>
        <v>17.724615384615387</v>
      </c>
      <c r="BF33" s="68">
        <f>VLOOKUP($B33,$AU$198:$BH$204,12,FALSE)</f>
        <v>18.493846153846153</v>
      </c>
      <c r="BG33" s="68">
        <f>VLOOKUP($B33,$AU$198:$BH$204,13,FALSE)</f>
        <v>19.346363636363638</v>
      </c>
      <c r="BM33" s="68">
        <f t="shared" si="18"/>
        <v>18.195419580419578</v>
      </c>
      <c r="BO33" s="59" t="s">
        <v>395</v>
      </c>
      <c r="BT33" s="74"/>
      <c r="BU33" s="69">
        <f>VLOOKUP($B33,$BN$198:$BZ$204,8,FALSE)</f>
        <v>3.2984615384615386</v>
      </c>
      <c r="BV33" s="69">
        <f>VLOOKUP($B33,$BN$198:$BZ$204,9,FALSE)</f>
        <v>2.7469230769230766</v>
      </c>
      <c r="BW33" s="69">
        <f>VLOOKUP($B33,$BN$198:$BZ$204,10,FALSE)</f>
        <v>2.7653846153846158</v>
      </c>
      <c r="BX33" s="69">
        <f>VLOOKUP($B33,$BN$198:$BZ$204,11,FALSE)</f>
        <v>2.525384615384616</v>
      </c>
      <c r="BY33" s="69">
        <f>VLOOKUP($B33,$BN$198:$BZ$204,12,FALSE)</f>
        <v>2.9269230769230767</v>
      </c>
      <c r="BZ33" s="69">
        <f>VLOOKUP($B33,$BN$198:$BZ$204,13,FALSE)</f>
        <v>2.36</v>
      </c>
      <c r="CF33" s="69">
        <f t="shared" si="19"/>
        <v>2.7705128205128204</v>
      </c>
    </row>
    <row r="34" spans="2:84" ht="12.75" customHeight="1" x14ac:dyDescent="0.25">
      <c r="B34" s="58">
        <v>3</v>
      </c>
      <c r="C34" s="59" t="s">
        <v>397</v>
      </c>
      <c r="D34" s="60" t="s">
        <v>398</v>
      </c>
      <c r="E34" s="60">
        <v>2010</v>
      </c>
      <c r="F34" s="77">
        <v>82.9</v>
      </c>
      <c r="G34" s="62">
        <v>17.100000000000001</v>
      </c>
      <c r="H34" s="63">
        <v>4</v>
      </c>
      <c r="I34" s="64"/>
      <c r="J34" s="65" t="s">
        <v>397</v>
      </c>
      <c r="P34" s="70">
        <v>2.8574850001124301</v>
      </c>
      <c r="Q34" s="71">
        <v>3.5252444614587404</v>
      </c>
      <c r="R34" s="71">
        <v>3.4618777185593004</v>
      </c>
      <c r="S34" s="71">
        <v>2.98371858645723</v>
      </c>
      <c r="T34" s="71">
        <v>3.1</v>
      </c>
      <c r="U34" s="71">
        <v>4.47</v>
      </c>
      <c r="V34" s="71" t="s">
        <v>355</v>
      </c>
      <c r="Z34" s="71" t="s">
        <v>355</v>
      </c>
      <c r="AA34" s="70">
        <f t="shared" si="16"/>
        <v>3.39972096109795</v>
      </c>
      <c r="AC34" s="67" t="s">
        <v>398</v>
      </c>
      <c r="AI34" s="72">
        <v>214.48979309582202</v>
      </c>
      <c r="AJ34" s="72">
        <v>179.75504295036998</v>
      </c>
      <c r="AK34" s="72">
        <v>179.87703972656101</v>
      </c>
      <c r="AL34" s="72">
        <v>181.9</v>
      </c>
      <c r="AM34" s="72">
        <v>189.04</v>
      </c>
      <c r="AN34" s="72">
        <v>155.99</v>
      </c>
      <c r="AT34" s="72">
        <f t="shared" si="17"/>
        <v>183.50864596212548</v>
      </c>
      <c r="AV34" s="59" t="s">
        <v>397</v>
      </c>
      <c r="BB34" s="73">
        <v>18.643580109999998</v>
      </c>
      <c r="BC34" s="73">
        <v>17.874445640000001</v>
      </c>
      <c r="BD34" s="73">
        <v>18.899279570000001</v>
      </c>
      <c r="BE34" s="73">
        <v>18.7</v>
      </c>
      <c r="BF34" s="73">
        <v>18.34</v>
      </c>
      <c r="BG34" s="73">
        <v>18.239924875872699</v>
      </c>
      <c r="BM34" s="73">
        <f t="shared" si="18"/>
        <v>18.449538365978785</v>
      </c>
      <c r="BO34" s="59" t="s">
        <v>397</v>
      </c>
      <c r="BT34" s="74"/>
      <c r="BU34" s="75">
        <v>2.18253985978594</v>
      </c>
      <c r="BV34" s="75">
        <v>2.93347561384167</v>
      </c>
      <c r="BW34" s="75">
        <v>2.6998167108803002</v>
      </c>
      <c r="BX34" s="75">
        <v>2.8548141786780201</v>
      </c>
      <c r="BY34" s="75">
        <v>1.5</v>
      </c>
      <c r="BZ34" s="75">
        <v>1.2169780917439423</v>
      </c>
      <c r="CF34" s="75">
        <f t="shared" si="19"/>
        <v>2.2312707424883125</v>
      </c>
    </row>
    <row r="35" spans="2:84" ht="12.75" customHeight="1" x14ac:dyDescent="0.25">
      <c r="B35" s="76">
        <v>5</v>
      </c>
      <c r="C35" s="59" t="s">
        <v>399</v>
      </c>
      <c r="D35" s="60" t="s">
        <v>400</v>
      </c>
      <c r="E35" s="60">
        <v>2010</v>
      </c>
      <c r="F35" s="77">
        <v>52.8</v>
      </c>
      <c r="G35" s="62">
        <v>47.2</v>
      </c>
      <c r="H35" s="63">
        <v>2.5</v>
      </c>
      <c r="I35" s="64"/>
      <c r="J35" s="65" t="s">
        <v>399</v>
      </c>
      <c r="P35" s="66">
        <v>2.4143507854253707</v>
      </c>
      <c r="Q35" s="66">
        <v>2.0582686500460241</v>
      </c>
      <c r="R35" s="66">
        <v>1.7318994690665552</v>
      </c>
      <c r="S35" s="66">
        <v>1.519708481407064</v>
      </c>
      <c r="T35" s="66">
        <v>2.0276465089870674</v>
      </c>
      <c r="U35" s="66">
        <v>5.3933078992297316</v>
      </c>
      <c r="V35" s="66">
        <v>4.5894958180573342</v>
      </c>
      <c r="Z35" s="66">
        <v>4.5894958180573342</v>
      </c>
      <c r="AA35" s="66">
        <f t="shared" si="16"/>
        <v>3.0405216787845601</v>
      </c>
      <c r="AC35" s="67" t="s">
        <v>400</v>
      </c>
      <c r="AI35" s="66">
        <f>VLOOKUP($B35,$AB$198:$AN$204,8,FALSE)</f>
        <v>92.897933193103839</v>
      </c>
      <c r="AJ35" s="66">
        <f>VLOOKUP($B35,$AB$198:$AN$204,9,FALSE)</f>
        <v>91.027330710904693</v>
      </c>
      <c r="AK35" s="66">
        <f>VLOOKUP($B35,$AB$198:$AN$204,10,FALSE)</f>
        <v>93.198641148641926</v>
      </c>
      <c r="AL35" s="66">
        <f>VLOOKUP($B35,$AB$198:$AN$204,11,FALSE)</f>
        <v>91.369909561122711</v>
      </c>
      <c r="AM35" s="66">
        <f>VLOOKUP($B35,$AB$198:$AN$204,12,FALSE)</f>
        <v>69.403859855449028</v>
      </c>
      <c r="AN35" s="66">
        <f>VLOOKUP($B35,$AB$198:$AN$204,13,FALSE)</f>
        <v>62.07823623621681</v>
      </c>
      <c r="AT35" s="66">
        <f t="shared" si="17"/>
        <v>83.329318450906499</v>
      </c>
      <c r="AV35" s="59" t="s">
        <v>399</v>
      </c>
      <c r="BB35" s="68">
        <f>VLOOKUP($B35,$AU$198:$BH$204,8,FALSE)</f>
        <v>13.258706396910066</v>
      </c>
      <c r="BC35" s="68">
        <f>VLOOKUP($B35,$AU$198:$BH$204,9,FALSE)</f>
        <v>12.795043217983102</v>
      </c>
      <c r="BD35" s="68">
        <f>VLOOKUP($B35,$AU$198:$BH$204,10,FALSE)</f>
        <v>12.783223765967742</v>
      </c>
      <c r="BE35" s="68">
        <f>VLOOKUP($B35,$AU$198:$BH$204,11,FALSE)</f>
        <v>12.26170519233661</v>
      </c>
      <c r="BF35" s="68">
        <f>VLOOKUP($B35,$AU$198:$BH$204,12,FALSE)</f>
        <v>12.540622469859557</v>
      </c>
      <c r="BG35" s="68">
        <f>VLOOKUP($B35,$AU$198:$BH$204,13,FALSE)</f>
        <v>13.606086956521736</v>
      </c>
      <c r="BM35" s="68">
        <f t="shared" si="18"/>
        <v>12.874231333263134</v>
      </c>
      <c r="BO35" s="59" t="s">
        <v>399</v>
      </c>
      <c r="BT35" s="74"/>
      <c r="BU35" s="69">
        <f>VLOOKUP($B35,$BN$198:$BZ$204,8,FALSE)</f>
        <v>0.88569317755419663</v>
      </c>
      <c r="BV35" s="69">
        <f>VLOOKUP($B35,$BN$198:$BZ$204,9,FALSE)</f>
        <v>0.96349876527743306</v>
      </c>
      <c r="BW35" s="69">
        <f>VLOOKUP($B35,$BN$198:$BZ$204,10,FALSE)</f>
        <v>1.0088473487454415</v>
      </c>
      <c r="BX35" s="69">
        <f>VLOOKUP($B35,$BN$198:$BZ$204,11,FALSE)</f>
        <v>0.90879337392017734</v>
      </c>
      <c r="BY35" s="69">
        <f>VLOOKUP($B35,$BN$198:$BZ$204,12,FALSE)</f>
        <v>0.34295652529629622</v>
      </c>
      <c r="BZ35" s="69">
        <f>VLOOKUP($B35,$BN$198:$BZ$204,13,FALSE)</f>
        <v>0.48000000000000004</v>
      </c>
      <c r="CF35" s="69">
        <f t="shared" si="19"/>
        <v>0.76496486513225748</v>
      </c>
    </row>
    <row r="36" spans="2:84" ht="12.75" customHeight="1" x14ac:dyDescent="0.25">
      <c r="B36" s="58">
        <v>2</v>
      </c>
      <c r="C36" s="59" t="s">
        <v>401</v>
      </c>
      <c r="D36" s="60" t="s">
        <v>402</v>
      </c>
      <c r="E36" s="60">
        <v>2010</v>
      </c>
      <c r="F36" s="77">
        <v>69</v>
      </c>
      <c r="G36" s="62">
        <v>31</v>
      </c>
      <c r="H36" s="63">
        <v>3.3</v>
      </c>
      <c r="I36" s="64"/>
      <c r="J36" s="65" t="s">
        <v>401</v>
      </c>
      <c r="P36" s="70">
        <v>2</v>
      </c>
      <c r="Q36" s="71">
        <v>2.2000000000000002</v>
      </c>
      <c r="R36" s="71">
        <v>2.17</v>
      </c>
      <c r="S36" s="71">
        <v>2.1</v>
      </c>
      <c r="T36" s="71">
        <v>2.5</v>
      </c>
      <c r="U36" s="71">
        <v>6.4</v>
      </c>
      <c r="V36" s="71">
        <v>10.6</v>
      </c>
      <c r="Z36" s="71">
        <v>10.6</v>
      </c>
      <c r="AA36" s="70">
        <f t="shared" si="16"/>
        <v>4.82125</v>
      </c>
      <c r="AC36" s="67" t="s">
        <v>402</v>
      </c>
      <c r="AI36" s="72">
        <v>138</v>
      </c>
      <c r="AJ36" s="72">
        <v>131.4</v>
      </c>
      <c r="AK36" s="72">
        <v>109.9</v>
      </c>
      <c r="AL36" s="72">
        <v>100.4</v>
      </c>
      <c r="AM36" s="72">
        <v>109</v>
      </c>
      <c r="AN36" s="72">
        <v>78.3</v>
      </c>
      <c r="AT36" s="72">
        <f t="shared" si="17"/>
        <v>111.16666666666664</v>
      </c>
      <c r="AV36" s="59" t="s">
        <v>401</v>
      </c>
      <c r="BB36" s="73">
        <v>16.600000000000001</v>
      </c>
      <c r="BC36" s="73">
        <v>15.3</v>
      </c>
      <c r="BD36" s="73">
        <v>14.5</v>
      </c>
      <c r="BE36" s="73">
        <v>13.8</v>
      </c>
      <c r="BF36" s="73">
        <v>14.9</v>
      </c>
      <c r="BG36" s="73">
        <v>17.3</v>
      </c>
      <c r="BM36" s="73">
        <f t="shared" si="18"/>
        <v>15.4</v>
      </c>
      <c r="BO36" s="59" t="s">
        <v>401</v>
      </c>
      <c r="BT36" s="74"/>
      <c r="BU36" s="75">
        <v>2.1</v>
      </c>
      <c r="BV36" s="75">
        <v>2</v>
      </c>
      <c r="BW36" s="75">
        <v>2.21</v>
      </c>
      <c r="BX36" s="75">
        <v>2.4</v>
      </c>
      <c r="BY36" s="75">
        <v>2.1</v>
      </c>
      <c r="BZ36" s="75">
        <v>1.2</v>
      </c>
      <c r="CF36" s="75">
        <f t="shared" si="19"/>
        <v>2.0016666666666665</v>
      </c>
    </row>
    <row r="37" spans="2:84" ht="12.75" customHeight="1" x14ac:dyDescent="0.25">
      <c r="B37" s="76">
        <v>6</v>
      </c>
      <c r="C37" s="59" t="s">
        <v>403</v>
      </c>
      <c r="D37" s="60" t="s">
        <v>404</v>
      </c>
      <c r="E37" s="60">
        <v>2010</v>
      </c>
      <c r="F37" s="77">
        <v>73.2</v>
      </c>
      <c r="G37" s="62">
        <v>26.8</v>
      </c>
      <c r="H37" s="63">
        <v>4</v>
      </c>
      <c r="I37" s="64"/>
      <c r="J37" s="65" t="s">
        <v>403</v>
      </c>
      <c r="P37" s="66">
        <v>12.639230769230769</v>
      </c>
      <c r="Q37" s="66">
        <v>12.165410295921369</v>
      </c>
      <c r="R37" s="66">
        <v>10.59847453234358</v>
      </c>
      <c r="S37" s="66">
        <v>9.472707780057064</v>
      </c>
      <c r="T37" s="66">
        <v>7.9803674992915017</v>
      </c>
      <c r="U37" s="66">
        <v>8.8942099137723467</v>
      </c>
      <c r="V37" s="66">
        <v>9.5068542417657511</v>
      </c>
      <c r="Z37" s="66">
        <v>9.5068542417657511</v>
      </c>
      <c r="AA37" s="66">
        <f t="shared" si="16"/>
        <v>10.095513659268518</v>
      </c>
      <c r="AC37" s="67" t="s">
        <v>404</v>
      </c>
      <c r="AI37" s="66">
        <f>VLOOKUP($B37,$AB$198:$AN$204,8,FALSE)</f>
        <v>75.888644067796605</v>
      </c>
      <c r="AJ37" s="66">
        <f>VLOOKUP($B37,$AB$198:$AN$204,9,FALSE)</f>
        <v>80.455696202531627</v>
      </c>
      <c r="AK37" s="66">
        <f>VLOOKUP($B37,$AB$198:$AN$204,10,FALSE)</f>
        <v>79.335945945945952</v>
      </c>
      <c r="AL37" s="66">
        <f>VLOOKUP($B37,$AB$198:$AN$204,11,FALSE)</f>
        <v>70.762500000000003</v>
      </c>
      <c r="AM37" s="66">
        <f>VLOOKUP($B37,$AB$198:$AN$204,12,FALSE)</f>
        <v>76.45</v>
      </c>
      <c r="AN37" s="66">
        <f>VLOOKUP($B37,$AB$198:$AN$204,13,FALSE)</f>
        <v>67.424999999999997</v>
      </c>
      <c r="AT37" s="66">
        <f t="shared" si="17"/>
        <v>75.05296436937904</v>
      </c>
      <c r="AV37" s="59" t="s">
        <v>403</v>
      </c>
      <c r="BB37" s="68">
        <f>VLOOKUP($B37,$AU$198:$BH$204,8,FALSE)</f>
        <v>18.156923076923078</v>
      </c>
      <c r="BC37" s="68">
        <f>VLOOKUP($B37,$AU$198:$BH$204,9,FALSE)</f>
        <v>17.862307692307695</v>
      </c>
      <c r="BD37" s="68">
        <f>VLOOKUP($B37,$AU$198:$BH$204,10,FALSE)</f>
        <v>17.588461538461537</v>
      </c>
      <c r="BE37" s="68">
        <f>VLOOKUP($B37,$AU$198:$BH$204,11,FALSE)</f>
        <v>17.724615384615387</v>
      </c>
      <c r="BF37" s="68">
        <f>VLOOKUP($B37,$AU$198:$BH$204,12,FALSE)</f>
        <v>18.493846153846153</v>
      </c>
      <c r="BG37" s="68">
        <f>VLOOKUP($B37,$AU$198:$BH$204,13,FALSE)</f>
        <v>19.346363636363638</v>
      </c>
      <c r="BM37" s="68">
        <f t="shared" si="18"/>
        <v>18.195419580419578</v>
      </c>
      <c r="BO37" s="59" t="s">
        <v>403</v>
      </c>
      <c r="BT37" s="74"/>
      <c r="BU37" s="69">
        <f>VLOOKUP($B37,$BN$198:$BZ$204,8,FALSE)</f>
        <v>3.2984615384615386</v>
      </c>
      <c r="BV37" s="69">
        <f>VLOOKUP($B37,$BN$198:$BZ$204,9,FALSE)</f>
        <v>2.7469230769230766</v>
      </c>
      <c r="BW37" s="69">
        <f>VLOOKUP($B37,$BN$198:$BZ$204,10,FALSE)</f>
        <v>2.7653846153846158</v>
      </c>
      <c r="BX37" s="69">
        <f>VLOOKUP($B37,$BN$198:$BZ$204,11,FALSE)</f>
        <v>2.525384615384616</v>
      </c>
      <c r="BY37" s="69">
        <f>VLOOKUP($B37,$BN$198:$BZ$204,12,FALSE)</f>
        <v>2.9269230769230767</v>
      </c>
      <c r="BZ37" s="69">
        <f>VLOOKUP($B37,$BN$198:$BZ$204,13,FALSE)</f>
        <v>2.36</v>
      </c>
      <c r="CF37" s="69">
        <f t="shared" si="19"/>
        <v>2.7705128205128204</v>
      </c>
    </row>
    <row r="38" spans="2:84" ht="12.75" customHeight="1" x14ac:dyDescent="0.25">
      <c r="B38" s="76">
        <v>6</v>
      </c>
      <c r="C38" s="59" t="s">
        <v>405</v>
      </c>
      <c r="D38" s="60" t="s">
        <v>406</v>
      </c>
      <c r="E38" s="60">
        <v>2010</v>
      </c>
      <c r="F38" s="61">
        <v>77.165714285714287</v>
      </c>
      <c r="G38" s="62" t="s">
        <v>355</v>
      </c>
      <c r="H38" s="63" t="s">
        <v>355</v>
      </c>
      <c r="I38" s="64"/>
      <c r="J38" s="65" t="s">
        <v>405</v>
      </c>
      <c r="P38" s="66">
        <v>12.639230769230769</v>
      </c>
      <c r="Q38" s="66">
        <v>12.165410295921369</v>
      </c>
      <c r="R38" s="66">
        <v>10.59847453234358</v>
      </c>
      <c r="S38" s="66">
        <v>9.472707780057064</v>
      </c>
      <c r="T38" s="66">
        <v>7.9803674992915017</v>
      </c>
      <c r="U38" s="66">
        <v>8.8942099137723467</v>
      </c>
      <c r="V38" s="66">
        <v>9.5068542417657511</v>
      </c>
      <c r="Z38" s="66">
        <v>9.5068542417657511</v>
      </c>
      <c r="AA38" s="66">
        <f t="shared" si="16"/>
        <v>10.095513659268518</v>
      </c>
      <c r="AC38" s="67" t="s">
        <v>406</v>
      </c>
      <c r="AI38" s="66">
        <f>VLOOKUP($B38,$AB$198:$AN$204,8,FALSE)</f>
        <v>75.888644067796605</v>
      </c>
      <c r="AJ38" s="66">
        <f>VLOOKUP($B38,$AB$198:$AN$204,9,FALSE)</f>
        <v>80.455696202531627</v>
      </c>
      <c r="AK38" s="66">
        <f>VLOOKUP($B38,$AB$198:$AN$204,10,FALSE)</f>
        <v>79.335945945945952</v>
      </c>
      <c r="AL38" s="66">
        <f>VLOOKUP($B38,$AB$198:$AN$204,11,FALSE)</f>
        <v>70.762500000000003</v>
      </c>
      <c r="AM38" s="66">
        <f>VLOOKUP($B38,$AB$198:$AN$204,12,FALSE)</f>
        <v>76.45</v>
      </c>
      <c r="AN38" s="66">
        <f>VLOOKUP($B38,$AB$198:$AN$204,13,FALSE)</f>
        <v>67.424999999999997</v>
      </c>
      <c r="AT38" s="66">
        <f t="shared" si="17"/>
        <v>75.05296436937904</v>
      </c>
      <c r="AV38" s="59" t="s">
        <v>405</v>
      </c>
      <c r="BB38" s="68">
        <f>VLOOKUP($B38,$AU$198:$BH$204,8,FALSE)</f>
        <v>18.156923076923078</v>
      </c>
      <c r="BC38" s="68">
        <f>VLOOKUP($B38,$AU$198:$BH$204,9,FALSE)</f>
        <v>17.862307692307695</v>
      </c>
      <c r="BD38" s="68">
        <f>VLOOKUP($B38,$AU$198:$BH$204,10,FALSE)</f>
        <v>17.588461538461537</v>
      </c>
      <c r="BE38" s="68">
        <f>VLOOKUP($B38,$AU$198:$BH$204,11,FALSE)</f>
        <v>17.724615384615387</v>
      </c>
      <c r="BF38" s="68">
        <f>VLOOKUP($B38,$AU$198:$BH$204,12,FALSE)</f>
        <v>18.493846153846153</v>
      </c>
      <c r="BG38" s="68">
        <f>VLOOKUP($B38,$AU$198:$BH$204,13,FALSE)</f>
        <v>19.346363636363638</v>
      </c>
      <c r="BM38" s="68">
        <f t="shared" si="18"/>
        <v>18.195419580419578</v>
      </c>
      <c r="BO38" s="59" t="s">
        <v>405</v>
      </c>
      <c r="BT38" s="74"/>
      <c r="BU38" s="69">
        <f>VLOOKUP($B38,$BN$198:$BZ$204,8,FALSE)</f>
        <v>3.2984615384615386</v>
      </c>
      <c r="BV38" s="69">
        <f>VLOOKUP($B38,$BN$198:$BZ$204,9,FALSE)</f>
        <v>2.7469230769230766</v>
      </c>
      <c r="BW38" s="69">
        <f>VLOOKUP($B38,$BN$198:$BZ$204,10,FALSE)</f>
        <v>2.7653846153846158</v>
      </c>
      <c r="BX38" s="69">
        <f>VLOOKUP($B38,$BN$198:$BZ$204,11,FALSE)</f>
        <v>2.525384615384616</v>
      </c>
      <c r="BY38" s="69">
        <f>VLOOKUP($B38,$BN$198:$BZ$204,12,FALSE)</f>
        <v>2.9269230769230767</v>
      </c>
      <c r="BZ38" s="69">
        <f>VLOOKUP($B38,$BN$198:$BZ$204,13,FALSE)</f>
        <v>2.36</v>
      </c>
      <c r="CF38" s="69">
        <f t="shared" si="19"/>
        <v>2.7705128205128204</v>
      </c>
    </row>
    <row r="39" spans="2:84" ht="12.75" customHeight="1" x14ac:dyDescent="0.25">
      <c r="B39" s="76">
        <v>1</v>
      </c>
      <c r="C39" s="59" t="s">
        <v>407</v>
      </c>
      <c r="D39" s="60" t="s">
        <v>408</v>
      </c>
      <c r="E39" s="60">
        <v>2010</v>
      </c>
      <c r="F39" s="61">
        <v>71.713636363636368</v>
      </c>
      <c r="G39" s="62" t="s">
        <v>355</v>
      </c>
      <c r="H39" s="63" t="s">
        <v>355</v>
      </c>
      <c r="I39" s="64"/>
      <c r="J39" s="65" t="s">
        <v>407</v>
      </c>
      <c r="P39" s="66">
        <v>10.951448940605555</v>
      </c>
      <c r="Q39" s="66">
        <v>8.9659352564169783</v>
      </c>
      <c r="R39" s="66">
        <v>7.5764805003373485</v>
      </c>
      <c r="S39" s="66">
        <v>6.9766808385753336</v>
      </c>
      <c r="T39" s="66">
        <v>6.028398498646701</v>
      </c>
      <c r="U39" s="66">
        <v>5.1511144935422388</v>
      </c>
      <c r="V39" s="66">
        <v>7.19</v>
      </c>
      <c r="Z39" s="66">
        <v>7.19</v>
      </c>
      <c r="AA39" s="66">
        <f t="shared" si="16"/>
        <v>7.5037573160155189</v>
      </c>
      <c r="AC39" s="67" t="s">
        <v>408</v>
      </c>
      <c r="AI39" s="66">
        <f>VLOOKUP($B39,$AB$198:$AN$204,8,FALSE)</f>
        <v>62.267766724334649</v>
      </c>
      <c r="AJ39" s="66">
        <f>VLOOKUP($B39,$AB$198:$AN$204,9,FALSE)</f>
        <v>58.416201756290228</v>
      </c>
      <c r="AK39" s="66">
        <f>VLOOKUP($B39,$AB$198:$AN$204,10,FALSE)</f>
        <v>65.401431372790213</v>
      </c>
      <c r="AL39" s="66">
        <f>VLOOKUP($B39,$AB$198:$AN$204,11,FALSE)</f>
        <v>71.775804261946988</v>
      </c>
      <c r="AM39" s="66">
        <f>VLOOKUP($B39,$AB$198:$AN$204,12,FALSE)</f>
        <v>85.024999999999991</v>
      </c>
      <c r="AN39" s="66">
        <f>VLOOKUP($B39,$AB$198:$AN$204,13,FALSE)</f>
        <v>106.17999999999999</v>
      </c>
      <c r="AT39" s="66">
        <f t="shared" si="17"/>
        <v>74.84436735256034</v>
      </c>
      <c r="AV39" s="59" t="s">
        <v>407</v>
      </c>
      <c r="BB39" s="68">
        <f>VLOOKUP($B39,$AU$198:$BH$204,8,FALSE)</f>
        <v>11.270393306464786</v>
      </c>
      <c r="BC39" s="68">
        <f>VLOOKUP($B39,$AU$198:$BH$204,9,FALSE)</f>
        <v>12.218846153846155</v>
      </c>
      <c r="BD39" s="68">
        <f>VLOOKUP($B39,$AU$198:$BH$204,10,FALSE)</f>
        <v>12.689038461538463</v>
      </c>
      <c r="BE39" s="68">
        <f>VLOOKUP($B39,$AU$198:$BH$204,11,FALSE)</f>
        <v>12.925000000000001</v>
      </c>
      <c r="BF39" s="68">
        <f>VLOOKUP($B39,$AU$198:$BH$204,12,FALSE)</f>
        <v>13.27</v>
      </c>
      <c r="BG39" s="68">
        <f>VLOOKUP($B39,$AU$198:$BH$204,13,FALSE)</f>
        <v>14.116666666666667</v>
      </c>
      <c r="BM39" s="68">
        <f t="shared" si="18"/>
        <v>12.748324098086011</v>
      </c>
      <c r="BO39" s="59" t="s">
        <v>407</v>
      </c>
      <c r="BT39" s="74"/>
      <c r="BU39" s="69">
        <f>VLOOKUP($B39,$BN$198:$BZ$204,8,FALSE)</f>
        <v>1.1095149831589846</v>
      </c>
      <c r="BV39" s="69">
        <f>VLOOKUP($B39,$BN$198:$BZ$204,9,FALSE)</f>
        <v>1.2860560376080794</v>
      </c>
      <c r="BW39" s="69">
        <f>VLOOKUP($B39,$BN$198:$BZ$204,10,FALSE)</f>
        <v>1.0562499999999999</v>
      </c>
      <c r="BX39" s="69">
        <f>VLOOKUP($B39,$BN$198:$BZ$204,11,FALSE)</f>
        <v>1.2375</v>
      </c>
      <c r="BY39" s="69">
        <f>VLOOKUP($B39,$BN$198:$BZ$204,12,FALSE)</f>
        <v>1.2124999999999999</v>
      </c>
      <c r="BZ39" s="69">
        <f>VLOOKUP($B39,$BN$198:$BZ$204,13,FALSE)</f>
        <v>1.3316666666666668</v>
      </c>
      <c r="CF39" s="69">
        <f t="shared" si="19"/>
        <v>1.2055812812389552</v>
      </c>
    </row>
    <row r="40" spans="2:84" ht="12.75" customHeight="1" x14ac:dyDescent="0.25">
      <c r="B40" s="76">
        <v>6</v>
      </c>
      <c r="C40" s="59" t="s">
        <v>409</v>
      </c>
      <c r="D40" s="60" t="s">
        <v>410</v>
      </c>
      <c r="E40" s="60">
        <v>2010</v>
      </c>
      <c r="F40" s="77">
        <v>86.4</v>
      </c>
      <c r="G40" s="62">
        <v>13.6</v>
      </c>
      <c r="H40" s="63">
        <v>3.2</v>
      </c>
      <c r="I40" s="64"/>
      <c r="J40" s="65" t="s">
        <v>409</v>
      </c>
      <c r="P40" s="66">
        <v>12.639230769230769</v>
      </c>
      <c r="Q40" s="66">
        <v>12.165410295921369</v>
      </c>
      <c r="R40" s="66">
        <v>10.59847453234358</v>
      </c>
      <c r="S40" s="66">
        <v>9.472707780057064</v>
      </c>
      <c r="T40" s="66">
        <v>7.9803674992915017</v>
      </c>
      <c r="U40" s="66">
        <v>8.8942099137723467</v>
      </c>
      <c r="V40" s="66">
        <v>9.5068542417657511</v>
      </c>
      <c r="Z40" s="66">
        <v>9.5068542417657511</v>
      </c>
      <c r="AA40" s="66">
        <f t="shared" si="16"/>
        <v>10.095513659268518</v>
      </c>
      <c r="AC40" s="67" t="s">
        <v>410</v>
      </c>
      <c r="AI40" s="66">
        <f>VLOOKUP($B40,$AB$198:$AN$204,8,FALSE)</f>
        <v>75.888644067796605</v>
      </c>
      <c r="AJ40" s="66">
        <f>VLOOKUP($B40,$AB$198:$AN$204,9,FALSE)</f>
        <v>80.455696202531627</v>
      </c>
      <c r="AK40" s="66">
        <f>VLOOKUP($B40,$AB$198:$AN$204,10,FALSE)</f>
        <v>79.335945945945952</v>
      </c>
      <c r="AL40" s="66">
        <f>VLOOKUP($B40,$AB$198:$AN$204,11,FALSE)</f>
        <v>70.762500000000003</v>
      </c>
      <c r="AM40" s="66">
        <f>VLOOKUP($B40,$AB$198:$AN$204,12,FALSE)</f>
        <v>76.45</v>
      </c>
      <c r="AN40" s="66">
        <f>VLOOKUP($B40,$AB$198:$AN$204,13,FALSE)</f>
        <v>67.424999999999997</v>
      </c>
      <c r="AT40" s="66">
        <f t="shared" si="17"/>
        <v>75.05296436937904</v>
      </c>
      <c r="AV40" s="59" t="s">
        <v>409</v>
      </c>
      <c r="BB40" s="68">
        <f>VLOOKUP($B40,$AU$198:$BH$204,8,FALSE)</f>
        <v>18.156923076923078</v>
      </c>
      <c r="BC40" s="68">
        <f>VLOOKUP($B40,$AU$198:$BH$204,9,FALSE)</f>
        <v>17.862307692307695</v>
      </c>
      <c r="BD40" s="68">
        <f>VLOOKUP($B40,$AU$198:$BH$204,10,FALSE)</f>
        <v>17.588461538461537</v>
      </c>
      <c r="BE40" s="68">
        <f>VLOOKUP($B40,$AU$198:$BH$204,11,FALSE)</f>
        <v>17.724615384615387</v>
      </c>
      <c r="BF40" s="68">
        <f>VLOOKUP($B40,$AU$198:$BH$204,12,FALSE)</f>
        <v>18.493846153846153</v>
      </c>
      <c r="BG40" s="68">
        <f>VLOOKUP($B40,$AU$198:$BH$204,13,FALSE)</f>
        <v>19.346363636363638</v>
      </c>
      <c r="BM40" s="68">
        <f t="shared" si="18"/>
        <v>18.195419580419578</v>
      </c>
      <c r="BO40" s="59" t="s">
        <v>409</v>
      </c>
      <c r="BT40" s="74"/>
      <c r="BU40" s="69">
        <f>VLOOKUP($B40,$BN$198:$BZ$204,8,FALSE)</f>
        <v>3.2984615384615386</v>
      </c>
      <c r="BV40" s="69">
        <f>VLOOKUP($B40,$BN$198:$BZ$204,9,FALSE)</f>
        <v>2.7469230769230766</v>
      </c>
      <c r="BW40" s="69">
        <f>VLOOKUP($B40,$BN$198:$BZ$204,10,FALSE)</f>
        <v>2.7653846153846158</v>
      </c>
      <c r="BX40" s="69">
        <f>VLOOKUP($B40,$BN$198:$BZ$204,11,FALSE)</f>
        <v>2.525384615384616</v>
      </c>
      <c r="BY40" s="69">
        <f>VLOOKUP($B40,$BN$198:$BZ$204,12,FALSE)</f>
        <v>2.9269230769230767</v>
      </c>
      <c r="BZ40" s="69">
        <f>VLOOKUP($B40,$BN$198:$BZ$204,13,FALSE)</f>
        <v>2.36</v>
      </c>
      <c r="CF40" s="69">
        <f t="shared" si="19"/>
        <v>2.7705128205128204</v>
      </c>
    </row>
    <row r="41" spans="2:84" ht="12.75" customHeight="1" x14ac:dyDescent="0.25">
      <c r="B41" s="76">
        <v>5</v>
      </c>
      <c r="C41" s="59" t="s">
        <v>411</v>
      </c>
      <c r="D41" s="60" t="s">
        <v>412</v>
      </c>
      <c r="E41" s="60">
        <v>2010</v>
      </c>
      <c r="F41" s="77">
        <v>8.7999999999999972</v>
      </c>
      <c r="G41" s="62">
        <v>91.2</v>
      </c>
      <c r="H41" s="63">
        <v>0.8</v>
      </c>
      <c r="I41" s="64"/>
      <c r="J41" s="65" t="s">
        <v>411</v>
      </c>
      <c r="P41" s="70">
        <v>0.7</v>
      </c>
      <c r="Q41" s="71">
        <v>0.48477759148584498</v>
      </c>
      <c r="R41" s="71">
        <v>0.41164567103256849</v>
      </c>
      <c r="S41" s="71">
        <v>0.7</v>
      </c>
      <c r="T41" s="71">
        <v>1.1000000000000001</v>
      </c>
      <c r="U41" s="71">
        <v>1.3</v>
      </c>
      <c r="V41" s="71">
        <v>1.3</v>
      </c>
      <c r="Z41" s="71">
        <v>1.3</v>
      </c>
      <c r="AA41" s="70">
        <f t="shared" si="16"/>
        <v>0.91205290781480164</v>
      </c>
      <c r="AC41" s="67" t="s">
        <v>412</v>
      </c>
      <c r="AI41" s="72">
        <v>47.714590824441302</v>
      </c>
      <c r="AJ41" s="72">
        <v>49.308051799932429</v>
      </c>
      <c r="AK41" s="72">
        <v>55.277126484075495</v>
      </c>
      <c r="AL41" s="72">
        <v>42.1</v>
      </c>
      <c r="AM41" s="72">
        <v>34.700000000000003</v>
      </c>
      <c r="AN41" s="72">
        <v>59.05</v>
      </c>
      <c r="AT41" s="72">
        <f t="shared" si="17"/>
        <v>48.024961518074868</v>
      </c>
      <c r="AV41" s="59" t="s">
        <v>411</v>
      </c>
      <c r="BB41" s="73">
        <v>13.3</v>
      </c>
      <c r="BC41" s="73">
        <v>12.92</v>
      </c>
      <c r="BD41" s="73">
        <v>12.54</v>
      </c>
      <c r="BE41" s="73">
        <v>12.07</v>
      </c>
      <c r="BF41" s="73">
        <v>12.22</v>
      </c>
      <c r="BG41" s="73">
        <v>14.51</v>
      </c>
      <c r="BM41" s="73">
        <f t="shared" si="18"/>
        <v>12.926666666666668</v>
      </c>
      <c r="BO41" s="59" t="s">
        <v>411</v>
      </c>
      <c r="BT41" s="74"/>
      <c r="BU41" s="75">
        <v>0.79</v>
      </c>
      <c r="BV41" s="75">
        <v>0.67</v>
      </c>
      <c r="BW41" s="75">
        <v>0.87</v>
      </c>
      <c r="BX41" s="75">
        <v>0.8</v>
      </c>
      <c r="BY41" s="75">
        <v>0.43</v>
      </c>
      <c r="BZ41" s="75">
        <v>0.38</v>
      </c>
      <c r="CF41" s="75">
        <f t="shared" si="19"/>
        <v>0.65666666666666662</v>
      </c>
    </row>
    <row r="42" spans="2:84" ht="12.75" customHeight="1" x14ac:dyDescent="0.25">
      <c r="B42" s="76">
        <v>6</v>
      </c>
      <c r="C42" s="59" t="s">
        <v>413</v>
      </c>
      <c r="D42" s="60" t="s">
        <v>414</v>
      </c>
      <c r="E42" s="60">
        <v>2010</v>
      </c>
      <c r="F42" s="61">
        <v>77.165714285714287</v>
      </c>
      <c r="G42" s="62" t="s">
        <v>355</v>
      </c>
      <c r="H42" s="63" t="s">
        <v>355</v>
      </c>
      <c r="I42" s="64"/>
      <c r="J42" s="65" t="s">
        <v>413</v>
      </c>
      <c r="P42" s="66">
        <v>12.639230769230769</v>
      </c>
      <c r="Q42" s="66">
        <v>12.165410295921369</v>
      </c>
      <c r="R42" s="66">
        <v>10.59847453234358</v>
      </c>
      <c r="S42" s="66">
        <v>9.472707780057064</v>
      </c>
      <c r="T42" s="66">
        <v>7.9803674992915017</v>
      </c>
      <c r="U42" s="66">
        <v>8.8942099137723467</v>
      </c>
      <c r="V42" s="66">
        <v>9.5068542417657511</v>
      </c>
      <c r="Z42" s="66">
        <v>9.5068542417657511</v>
      </c>
      <c r="AA42" s="66">
        <f t="shared" si="16"/>
        <v>10.095513659268518</v>
      </c>
      <c r="AC42" s="67" t="s">
        <v>414</v>
      </c>
      <c r="AI42" s="66">
        <f>VLOOKUP($B42,$AB$198:$AN$204,8,FALSE)</f>
        <v>75.888644067796605</v>
      </c>
      <c r="AJ42" s="66">
        <f>VLOOKUP($B42,$AB$198:$AN$204,9,FALSE)</f>
        <v>80.455696202531627</v>
      </c>
      <c r="AK42" s="66">
        <f>VLOOKUP($B42,$AB$198:$AN$204,10,FALSE)</f>
        <v>79.335945945945952</v>
      </c>
      <c r="AL42" s="66">
        <f>VLOOKUP($B42,$AB$198:$AN$204,11,FALSE)</f>
        <v>70.762500000000003</v>
      </c>
      <c r="AM42" s="66">
        <f>VLOOKUP($B42,$AB$198:$AN$204,12,FALSE)</f>
        <v>76.45</v>
      </c>
      <c r="AN42" s="66">
        <f>VLOOKUP($B42,$AB$198:$AN$204,13,FALSE)</f>
        <v>67.424999999999997</v>
      </c>
      <c r="AT42" s="66">
        <f t="shared" si="17"/>
        <v>75.05296436937904</v>
      </c>
      <c r="AV42" s="59" t="s">
        <v>413</v>
      </c>
      <c r="BB42" s="68">
        <f>VLOOKUP($B42,$AU$198:$BH$204,8,FALSE)</f>
        <v>18.156923076923078</v>
      </c>
      <c r="BC42" s="68">
        <f>VLOOKUP($B42,$AU$198:$BH$204,9,FALSE)</f>
        <v>17.862307692307695</v>
      </c>
      <c r="BD42" s="68">
        <f>VLOOKUP($B42,$AU$198:$BH$204,10,FALSE)</f>
        <v>17.588461538461537</v>
      </c>
      <c r="BE42" s="68">
        <f>VLOOKUP($B42,$AU$198:$BH$204,11,FALSE)</f>
        <v>17.724615384615387</v>
      </c>
      <c r="BF42" s="68">
        <f>VLOOKUP($B42,$AU$198:$BH$204,12,FALSE)</f>
        <v>18.493846153846153</v>
      </c>
      <c r="BG42" s="68">
        <f>VLOOKUP($B42,$AU$198:$BH$204,13,FALSE)</f>
        <v>19.346363636363638</v>
      </c>
      <c r="BM42" s="68">
        <f t="shared" si="18"/>
        <v>18.195419580419578</v>
      </c>
      <c r="BO42" s="59" t="s">
        <v>413</v>
      </c>
      <c r="BT42" s="74"/>
      <c r="BU42" s="69">
        <f>VLOOKUP($B42,$BN$198:$BZ$204,8,FALSE)</f>
        <v>3.2984615384615386</v>
      </c>
      <c r="BV42" s="69">
        <f>VLOOKUP($B42,$BN$198:$BZ$204,9,FALSE)</f>
        <v>2.7469230769230766</v>
      </c>
      <c r="BW42" s="69">
        <f>VLOOKUP($B42,$BN$198:$BZ$204,10,FALSE)</f>
        <v>2.7653846153846158</v>
      </c>
      <c r="BX42" s="69">
        <f>VLOOKUP($B42,$BN$198:$BZ$204,11,FALSE)</f>
        <v>2.525384615384616</v>
      </c>
      <c r="BY42" s="69">
        <f>VLOOKUP($B42,$BN$198:$BZ$204,12,FALSE)</f>
        <v>2.9269230769230767</v>
      </c>
      <c r="BZ42" s="69">
        <f>VLOOKUP($B42,$BN$198:$BZ$204,13,FALSE)</f>
        <v>2.36</v>
      </c>
      <c r="CF42" s="69">
        <f t="shared" si="19"/>
        <v>2.7705128205128204</v>
      </c>
    </row>
    <row r="43" spans="2:84" ht="12.75" customHeight="1" x14ac:dyDescent="0.25">
      <c r="B43" s="76">
        <v>6</v>
      </c>
      <c r="C43" s="59" t="s">
        <v>415</v>
      </c>
      <c r="D43" s="60" t="s">
        <v>416</v>
      </c>
      <c r="E43" s="60">
        <v>2010</v>
      </c>
      <c r="F43" s="77">
        <v>100</v>
      </c>
      <c r="G43" s="62">
        <v>0</v>
      </c>
      <c r="H43" s="63">
        <v>4.8</v>
      </c>
      <c r="I43" s="64"/>
      <c r="J43" s="65" t="s">
        <v>415</v>
      </c>
      <c r="P43" s="66">
        <v>12.639230769230769</v>
      </c>
      <c r="Q43" s="66">
        <v>12.165410295921369</v>
      </c>
      <c r="R43" s="66">
        <v>10.59847453234358</v>
      </c>
      <c r="S43" s="66">
        <v>9.472707780057064</v>
      </c>
      <c r="T43" s="66">
        <v>7.9803674992915017</v>
      </c>
      <c r="U43" s="66">
        <v>8.8942099137723467</v>
      </c>
      <c r="V43" s="66">
        <v>9.5068542417657511</v>
      </c>
      <c r="Z43" s="66">
        <v>9.5068542417657511</v>
      </c>
      <c r="AA43" s="66">
        <f t="shared" si="16"/>
        <v>10.095513659268518</v>
      </c>
      <c r="AC43" s="67" t="s">
        <v>416</v>
      </c>
      <c r="AI43" s="66">
        <f>VLOOKUP($B43,$AB$198:$AN$204,8,FALSE)</f>
        <v>75.888644067796605</v>
      </c>
      <c r="AJ43" s="66">
        <f>VLOOKUP($B43,$AB$198:$AN$204,9,FALSE)</f>
        <v>80.455696202531627</v>
      </c>
      <c r="AK43" s="66">
        <f>VLOOKUP($B43,$AB$198:$AN$204,10,FALSE)</f>
        <v>79.335945945945952</v>
      </c>
      <c r="AL43" s="66">
        <f>VLOOKUP($B43,$AB$198:$AN$204,11,FALSE)</f>
        <v>70.762500000000003</v>
      </c>
      <c r="AM43" s="66">
        <f>VLOOKUP($B43,$AB$198:$AN$204,12,FALSE)</f>
        <v>76.45</v>
      </c>
      <c r="AN43" s="66">
        <f>VLOOKUP($B43,$AB$198:$AN$204,13,FALSE)</f>
        <v>67.424999999999997</v>
      </c>
      <c r="AT43" s="66">
        <f t="shared" si="17"/>
        <v>75.05296436937904</v>
      </c>
      <c r="AV43" s="59" t="s">
        <v>415</v>
      </c>
      <c r="BB43" s="68">
        <f>VLOOKUP($B43,$AU$198:$BH$204,8,FALSE)</f>
        <v>18.156923076923078</v>
      </c>
      <c r="BC43" s="68">
        <f>VLOOKUP($B43,$AU$198:$BH$204,9,FALSE)</f>
        <v>17.862307692307695</v>
      </c>
      <c r="BD43" s="68">
        <f>VLOOKUP($B43,$AU$198:$BH$204,10,FALSE)</f>
        <v>17.588461538461537</v>
      </c>
      <c r="BE43" s="68">
        <f>VLOOKUP($B43,$AU$198:$BH$204,11,FALSE)</f>
        <v>17.724615384615387</v>
      </c>
      <c r="BF43" s="68">
        <f>VLOOKUP($B43,$AU$198:$BH$204,12,FALSE)</f>
        <v>18.493846153846153</v>
      </c>
      <c r="BG43" s="68">
        <f>VLOOKUP($B43,$AU$198:$BH$204,13,FALSE)</f>
        <v>19.346363636363638</v>
      </c>
      <c r="BM43" s="68">
        <f t="shared" si="18"/>
        <v>18.195419580419578</v>
      </c>
      <c r="BO43" s="59" t="s">
        <v>415</v>
      </c>
      <c r="BT43" s="74"/>
      <c r="BU43" s="69">
        <f>VLOOKUP($B43,$BN$198:$BZ$204,8,FALSE)</f>
        <v>3.2984615384615386</v>
      </c>
      <c r="BV43" s="69">
        <f>VLOOKUP($B43,$BN$198:$BZ$204,9,FALSE)</f>
        <v>2.7469230769230766</v>
      </c>
      <c r="BW43" s="69">
        <f>VLOOKUP($B43,$BN$198:$BZ$204,10,FALSE)</f>
        <v>2.7653846153846158</v>
      </c>
      <c r="BX43" s="69">
        <f>VLOOKUP($B43,$BN$198:$BZ$204,11,FALSE)</f>
        <v>2.525384615384616</v>
      </c>
      <c r="BY43" s="69">
        <f>VLOOKUP($B43,$BN$198:$BZ$204,12,FALSE)</f>
        <v>2.9269230769230767</v>
      </c>
      <c r="BZ43" s="69">
        <f>VLOOKUP($B43,$BN$198:$BZ$204,13,FALSE)</f>
        <v>2.36</v>
      </c>
      <c r="CF43" s="69">
        <f t="shared" si="19"/>
        <v>2.7705128205128204</v>
      </c>
    </row>
    <row r="44" spans="2:84" ht="12.75" customHeight="1" x14ac:dyDescent="0.25">
      <c r="B44" s="76">
        <v>6</v>
      </c>
      <c r="C44" s="59" t="s">
        <v>417</v>
      </c>
      <c r="D44" s="60" t="s">
        <v>418</v>
      </c>
      <c r="E44" s="60">
        <v>2010</v>
      </c>
      <c r="F44" s="61">
        <v>77.165714285714287</v>
      </c>
      <c r="G44" s="62" t="s">
        <v>355</v>
      </c>
      <c r="H44" s="63" t="s">
        <v>355</v>
      </c>
      <c r="I44" s="64"/>
      <c r="J44" s="65" t="s">
        <v>417</v>
      </c>
      <c r="P44" s="66">
        <v>12.639230769230769</v>
      </c>
      <c r="Q44" s="66">
        <v>12.165410295921369</v>
      </c>
      <c r="R44" s="66">
        <v>10.59847453234358</v>
      </c>
      <c r="S44" s="66">
        <v>9.472707780057064</v>
      </c>
      <c r="T44" s="66">
        <v>7.9803674992915017</v>
      </c>
      <c r="U44" s="66">
        <v>8.8942099137723467</v>
      </c>
      <c r="V44" s="66">
        <v>9.5068542417657511</v>
      </c>
      <c r="Z44" s="66">
        <v>9.5068542417657511</v>
      </c>
      <c r="AA44" s="66">
        <f t="shared" si="16"/>
        <v>10.095513659268518</v>
      </c>
      <c r="AC44" s="67" t="s">
        <v>418</v>
      </c>
      <c r="AI44" s="66">
        <f>VLOOKUP($B44,$AB$198:$AN$204,8,FALSE)</f>
        <v>75.888644067796605</v>
      </c>
      <c r="AJ44" s="66">
        <f>VLOOKUP($B44,$AB$198:$AN$204,9,FALSE)</f>
        <v>80.455696202531627</v>
      </c>
      <c r="AK44" s="66">
        <f>VLOOKUP($B44,$AB$198:$AN$204,10,FALSE)</f>
        <v>79.335945945945952</v>
      </c>
      <c r="AL44" s="66">
        <f>VLOOKUP($B44,$AB$198:$AN$204,11,FALSE)</f>
        <v>70.762500000000003</v>
      </c>
      <c r="AM44" s="66">
        <f>VLOOKUP($B44,$AB$198:$AN$204,12,FALSE)</f>
        <v>76.45</v>
      </c>
      <c r="AN44" s="66">
        <f>VLOOKUP($B44,$AB$198:$AN$204,13,FALSE)</f>
        <v>67.424999999999997</v>
      </c>
      <c r="AT44" s="66">
        <f t="shared" si="17"/>
        <v>75.05296436937904</v>
      </c>
      <c r="AV44" s="59" t="s">
        <v>417</v>
      </c>
      <c r="BB44" s="68">
        <f>VLOOKUP($B44,$AU$198:$BH$204,8,FALSE)</f>
        <v>18.156923076923078</v>
      </c>
      <c r="BC44" s="68">
        <f>VLOOKUP($B44,$AU$198:$BH$204,9,FALSE)</f>
        <v>17.862307692307695</v>
      </c>
      <c r="BD44" s="68">
        <f>VLOOKUP($B44,$AU$198:$BH$204,10,FALSE)</f>
        <v>17.588461538461537</v>
      </c>
      <c r="BE44" s="68">
        <f>VLOOKUP($B44,$AU$198:$BH$204,11,FALSE)</f>
        <v>17.724615384615387</v>
      </c>
      <c r="BF44" s="68">
        <f>VLOOKUP($B44,$AU$198:$BH$204,12,FALSE)</f>
        <v>18.493846153846153</v>
      </c>
      <c r="BG44" s="68">
        <f>VLOOKUP($B44,$AU$198:$BH$204,13,FALSE)</f>
        <v>19.346363636363638</v>
      </c>
      <c r="BM44" s="68">
        <f t="shared" si="18"/>
        <v>18.195419580419578</v>
      </c>
      <c r="BO44" s="59" t="s">
        <v>417</v>
      </c>
      <c r="BT44" s="74"/>
      <c r="BU44" s="69">
        <f>VLOOKUP($B44,$BN$198:$BZ$204,8,FALSE)</f>
        <v>3.2984615384615386</v>
      </c>
      <c r="BV44" s="69">
        <f>VLOOKUP($B44,$BN$198:$BZ$204,9,FALSE)</f>
        <v>2.7469230769230766</v>
      </c>
      <c r="BW44" s="69">
        <f>VLOOKUP($B44,$BN$198:$BZ$204,10,FALSE)</f>
        <v>2.7653846153846158</v>
      </c>
      <c r="BX44" s="69">
        <f>VLOOKUP($B44,$BN$198:$BZ$204,11,FALSE)</f>
        <v>2.525384615384616</v>
      </c>
      <c r="BY44" s="69">
        <f>VLOOKUP($B44,$BN$198:$BZ$204,12,FALSE)</f>
        <v>2.9269230769230767</v>
      </c>
      <c r="BZ44" s="69">
        <f>VLOOKUP($B44,$BN$198:$BZ$204,13,FALSE)</f>
        <v>2.36</v>
      </c>
      <c r="CF44" s="69">
        <f t="shared" si="19"/>
        <v>2.7705128205128204</v>
      </c>
    </row>
    <row r="45" spans="2:84" ht="12.75" customHeight="1" x14ac:dyDescent="0.25">
      <c r="B45" s="58">
        <v>3</v>
      </c>
      <c r="C45" s="59" t="s">
        <v>419</v>
      </c>
      <c r="D45" s="60" t="s">
        <v>420</v>
      </c>
      <c r="E45" s="60">
        <v>2010</v>
      </c>
      <c r="F45" s="77">
        <v>71.8</v>
      </c>
      <c r="G45" s="62">
        <v>28.2</v>
      </c>
      <c r="H45" s="63">
        <v>4.5</v>
      </c>
      <c r="I45" s="64"/>
      <c r="J45" s="65" t="s">
        <v>419</v>
      </c>
      <c r="P45" s="70">
        <v>1.2</v>
      </c>
      <c r="Q45" s="71">
        <v>0.91</v>
      </c>
      <c r="R45" s="71">
        <v>0.74809999999999999</v>
      </c>
      <c r="S45" s="71">
        <v>0.75</v>
      </c>
      <c r="T45" s="71">
        <v>0.98</v>
      </c>
      <c r="U45" s="71">
        <v>1.4</v>
      </c>
      <c r="V45" s="71" t="s">
        <v>355</v>
      </c>
      <c r="Z45" s="71" t="s">
        <v>355</v>
      </c>
      <c r="AA45" s="70">
        <f t="shared" si="16"/>
        <v>0.99801666666666655</v>
      </c>
      <c r="AC45" s="67" t="s">
        <v>420</v>
      </c>
      <c r="AI45" s="72">
        <v>165.46</v>
      </c>
      <c r="AJ45" s="72">
        <v>177.62</v>
      </c>
      <c r="AK45" s="72">
        <v>198.46</v>
      </c>
      <c r="AL45" s="72">
        <v>210.2</v>
      </c>
      <c r="AM45" s="72">
        <v>179.9</v>
      </c>
      <c r="AN45" s="72">
        <v>185.49</v>
      </c>
      <c r="AT45" s="72">
        <f t="shared" si="17"/>
        <v>186.18833333333336</v>
      </c>
      <c r="AV45" s="59" t="s">
        <v>419</v>
      </c>
      <c r="BB45" s="73">
        <v>13.55</v>
      </c>
      <c r="BC45" s="73">
        <v>12.95</v>
      </c>
      <c r="BD45" s="73">
        <v>12.54</v>
      </c>
      <c r="BE45" s="73">
        <v>12.18</v>
      </c>
      <c r="BF45" s="73">
        <v>12.53</v>
      </c>
      <c r="BG45" s="73">
        <v>14.32</v>
      </c>
      <c r="BM45" s="73">
        <f t="shared" si="18"/>
        <v>13.011666666666665</v>
      </c>
      <c r="BO45" s="59" t="s">
        <v>419</v>
      </c>
      <c r="BT45" s="74"/>
      <c r="BU45" s="75">
        <v>1.24</v>
      </c>
      <c r="BV45" s="75">
        <v>1.2</v>
      </c>
      <c r="BW45" s="75">
        <v>1.2</v>
      </c>
      <c r="BX45" s="75">
        <v>1.08</v>
      </c>
      <c r="BY45" s="75">
        <v>1.1955</v>
      </c>
      <c r="BZ45" s="75">
        <v>1.21</v>
      </c>
      <c r="CF45" s="75">
        <f t="shared" si="19"/>
        <v>1.1875833333333332</v>
      </c>
    </row>
    <row r="46" spans="2:84" ht="12.75" customHeight="1" x14ac:dyDescent="0.25">
      <c r="B46" s="76">
        <v>1</v>
      </c>
      <c r="C46" s="59" t="s">
        <v>421</v>
      </c>
      <c r="D46" s="60" t="s">
        <v>422</v>
      </c>
      <c r="E46" s="60">
        <v>2010</v>
      </c>
      <c r="F46" s="77">
        <v>63.6</v>
      </c>
      <c r="G46" s="62">
        <v>36.4</v>
      </c>
      <c r="H46" s="63">
        <v>1.7</v>
      </c>
      <c r="I46" s="64"/>
      <c r="J46" s="65" t="s">
        <v>421</v>
      </c>
      <c r="P46" s="70">
        <v>13.21</v>
      </c>
      <c r="Q46" s="71" t="s">
        <v>355</v>
      </c>
      <c r="R46" s="71" t="s">
        <v>355</v>
      </c>
      <c r="S46" s="71" t="s">
        <v>355</v>
      </c>
      <c r="T46" s="71" t="s">
        <v>355</v>
      </c>
      <c r="U46" s="71" t="s">
        <v>355</v>
      </c>
      <c r="V46" s="71" t="s">
        <v>355</v>
      </c>
      <c r="Z46" s="71" t="s">
        <v>355</v>
      </c>
      <c r="AA46" s="70">
        <f t="shared" si="16"/>
        <v>13.21</v>
      </c>
      <c r="AC46" s="67" t="s">
        <v>422</v>
      </c>
      <c r="AI46" s="72">
        <v>14.2</v>
      </c>
      <c r="AJ46" s="72">
        <v>24.8</v>
      </c>
      <c r="AK46" s="72">
        <v>34.299999999999997</v>
      </c>
      <c r="AL46" s="72">
        <v>39.190168111308168</v>
      </c>
      <c r="AM46" s="72">
        <v>116.4</v>
      </c>
      <c r="AN46" s="72">
        <v>155</v>
      </c>
      <c r="AT46" s="72">
        <f t="shared" si="17"/>
        <v>63.981694685218031</v>
      </c>
      <c r="AV46" s="59" t="s">
        <v>421</v>
      </c>
      <c r="BB46" s="73">
        <v>-4.7179487179487198</v>
      </c>
      <c r="BC46" s="73">
        <v>2.5307692307692289</v>
      </c>
      <c r="BD46" s="73">
        <v>4.9423076923076907</v>
      </c>
      <c r="BE46" s="73">
        <v>8.4</v>
      </c>
      <c r="BF46" s="73">
        <v>12</v>
      </c>
      <c r="BG46" s="73">
        <v>10</v>
      </c>
      <c r="BM46" s="73">
        <f t="shared" si="18"/>
        <v>5.5258547008547003</v>
      </c>
      <c r="BO46" s="59" t="s">
        <v>421</v>
      </c>
      <c r="BT46" s="74"/>
      <c r="BU46" s="78">
        <v>0.46025641025641023</v>
      </c>
      <c r="BV46" s="78">
        <v>0.57564102564102559</v>
      </c>
      <c r="BW46" s="78">
        <v>0.9</v>
      </c>
      <c r="BX46" s="78">
        <v>0.9</v>
      </c>
      <c r="BY46" s="78">
        <v>1</v>
      </c>
      <c r="BZ46" s="75" t="s">
        <v>355</v>
      </c>
      <c r="CF46" s="75">
        <f t="shared" si="19"/>
        <v>0.76717948717948714</v>
      </c>
    </row>
    <row r="47" spans="2:84" ht="12.75" customHeight="1" x14ac:dyDescent="0.25">
      <c r="B47" s="58">
        <v>3</v>
      </c>
      <c r="C47" s="59" t="s">
        <v>423</v>
      </c>
      <c r="D47" s="60" t="s">
        <v>424</v>
      </c>
      <c r="E47" s="60">
        <v>2010</v>
      </c>
      <c r="F47" s="77">
        <v>37.6</v>
      </c>
      <c r="G47" s="62">
        <v>62.4</v>
      </c>
      <c r="H47" s="63">
        <v>3</v>
      </c>
      <c r="I47" s="64"/>
      <c r="J47" s="65" t="s">
        <v>423</v>
      </c>
      <c r="P47" s="70">
        <v>3.3123295658750802</v>
      </c>
      <c r="Q47" s="71">
        <v>2.6611982462332597</v>
      </c>
      <c r="R47" s="71">
        <v>2.6196351964295164</v>
      </c>
      <c r="S47" s="71">
        <v>3.2612771652165078</v>
      </c>
      <c r="T47" s="71">
        <v>4.0437435670899404</v>
      </c>
      <c r="U47" s="71">
        <v>4.5999999999999996</v>
      </c>
      <c r="V47" s="71" t="s">
        <v>355</v>
      </c>
      <c r="Z47" s="71" t="s">
        <v>355</v>
      </c>
      <c r="AA47" s="70">
        <f t="shared" si="16"/>
        <v>3.416363956807384</v>
      </c>
      <c r="AC47" s="67" t="s">
        <v>424</v>
      </c>
      <c r="AI47" s="72">
        <v>149.66721567956699</v>
      </c>
      <c r="AJ47" s="72">
        <v>166.87981614000401</v>
      </c>
      <c r="AK47" s="72">
        <v>153.57790618776377</v>
      </c>
      <c r="AL47" s="72">
        <v>132.622055351386</v>
      </c>
      <c r="AM47" s="72">
        <v>120.538401435982</v>
      </c>
      <c r="AN47" s="72">
        <v>122.5</v>
      </c>
      <c r="AT47" s="72">
        <f t="shared" si="17"/>
        <v>140.96423246578379</v>
      </c>
      <c r="AV47" s="59" t="s">
        <v>423</v>
      </c>
      <c r="BB47" s="73">
        <v>14.239896591336986</v>
      </c>
      <c r="BC47" s="73">
        <v>14.688448222553296</v>
      </c>
      <c r="BD47" s="73">
        <v>13.078145784544528</v>
      </c>
      <c r="BE47" s="73">
        <v>13.552824395258439</v>
      </c>
      <c r="BF47" s="73">
        <v>13.392800937235901</v>
      </c>
      <c r="BG47" s="73">
        <v>15.1</v>
      </c>
      <c r="BM47" s="73">
        <f t="shared" si="18"/>
        <v>14.008685988488191</v>
      </c>
      <c r="BO47" s="59" t="s">
        <v>423</v>
      </c>
      <c r="BT47" s="74"/>
      <c r="BU47" s="75">
        <v>2.7314902470223847</v>
      </c>
      <c r="BV47" s="75">
        <v>2.7040970821891053</v>
      </c>
      <c r="BW47" s="75">
        <v>2.4519517313662411</v>
      </c>
      <c r="BX47" s="75">
        <v>2.35168241076031</v>
      </c>
      <c r="BY47" s="75">
        <v>2.4322054519460399</v>
      </c>
      <c r="BZ47" s="75">
        <v>2.5</v>
      </c>
      <c r="CF47" s="75">
        <f t="shared" si="19"/>
        <v>2.5285711538806801</v>
      </c>
    </row>
    <row r="48" spans="2:84" ht="12.75" customHeight="1" x14ac:dyDescent="0.25">
      <c r="B48" s="76">
        <v>6</v>
      </c>
      <c r="C48" s="59" t="s">
        <v>425</v>
      </c>
      <c r="D48" s="60" t="s">
        <v>426</v>
      </c>
      <c r="E48" s="60">
        <v>2010</v>
      </c>
      <c r="F48" s="61">
        <v>77.165714285714287</v>
      </c>
      <c r="G48" s="62" t="s">
        <v>355</v>
      </c>
      <c r="H48" s="63" t="s">
        <v>355</v>
      </c>
      <c r="I48" s="64"/>
      <c r="J48" s="65" t="s">
        <v>425</v>
      </c>
      <c r="P48" s="66">
        <v>12.639230769230769</v>
      </c>
      <c r="Q48" s="66">
        <v>12.165410295921369</v>
      </c>
      <c r="R48" s="66">
        <v>10.59847453234358</v>
      </c>
      <c r="S48" s="66">
        <v>9.472707780057064</v>
      </c>
      <c r="T48" s="66">
        <v>7.9803674992915017</v>
      </c>
      <c r="U48" s="66">
        <v>8.8942099137723467</v>
      </c>
      <c r="V48" s="66">
        <v>9.5068542417657511</v>
      </c>
      <c r="Z48" s="66">
        <v>9.5068542417657511</v>
      </c>
      <c r="AA48" s="66">
        <f t="shared" si="16"/>
        <v>10.095513659268518</v>
      </c>
      <c r="AC48" s="67" t="s">
        <v>426</v>
      </c>
      <c r="AI48" s="66">
        <f>VLOOKUP($B48,$AB$198:$AN$204,8,FALSE)</f>
        <v>75.888644067796605</v>
      </c>
      <c r="AJ48" s="66">
        <f>VLOOKUP($B48,$AB$198:$AN$204,9,FALSE)</f>
        <v>80.455696202531627</v>
      </c>
      <c r="AK48" s="66">
        <f>VLOOKUP($B48,$AB$198:$AN$204,10,FALSE)</f>
        <v>79.335945945945952</v>
      </c>
      <c r="AL48" s="66">
        <f>VLOOKUP($B48,$AB$198:$AN$204,11,FALSE)</f>
        <v>70.762500000000003</v>
      </c>
      <c r="AM48" s="66">
        <f>VLOOKUP($B48,$AB$198:$AN$204,12,FALSE)</f>
        <v>76.45</v>
      </c>
      <c r="AN48" s="66">
        <f>VLOOKUP($B48,$AB$198:$AN$204,13,FALSE)</f>
        <v>67.424999999999997</v>
      </c>
      <c r="AT48" s="66">
        <f t="shared" si="17"/>
        <v>75.05296436937904</v>
      </c>
      <c r="AV48" s="59" t="s">
        <v>425</v>
      </c>
      <c r="BB48" s="68">
        <f>VLOOKUP($B48,$AU$198:$BH$204,8,FALSE)</f>
        <v>18.156923076923078</v>
      </c>
      <c r="BC48" s="68">
        <f>VLOOKUP($B48,$AU$198:$BH$204,9,FALSE)</f>
        <v>17.862307692307695</v>
      </c>
      <c r="BD48" s="68">
        <f>VLOOKUP($B48,$AU$198:$BH$204,10,FALSE)</f>
        <v>17.588461538461537</v>
      </c>
      <c r="BE48" s="68">
        <f>VLOOKUP($B48,$AU$198:$BH$204,11,FALSE)</f>
        <v>17.724615384615387</v>
      </c>
      <c r="BF48" s="68">
        <f>VLOOKUP($B48,$AU$198:$BH$204,12,FALSE)</f>
        <v>18.493846153846153</v>
      </c>
      <c r="BG48" s="68">
        <f>VLOOKUP($B48,$AU$198:$BH$204,13,FALSE)</f>
        <v>19.346363636363638</v>
      </c>
      <c r="BM48" s="68">
        <f t="shared" si="18"/>
        <v>18.195419580419578</v>
      </c>
      <c r="BO48" s="59" t="s">
        <v>425</v>
      </c>
      <c r="BT48" s="74"/>
      <c r="BU48" s="69">
        <f>VLOOKUP($B48,$BN$198:$BZ$204,8,FALSE)</f>
        <v>3.2984615384615386</v>
      </c>
      <c r="BV48" s="69">
        <f>VLOOKUP($B48,$BN$198:$BZ$204,9,FALSE)</f>
        <v>2.7469230769230766</v>
      </c>
      <c r="BW48" s="69">
        <f>VLOOKUP($B48,$BN$198:$BZ$204,10,FALSE)</f>
        <v>2.7653846153846158</v>
      </c>
      <c r="BX48" s="69">
        <f>VLOOKUP($B48,$BN$198:$BZ$204,11,FALSE)</f>
        <v>2.525384615384616</v>
      </c>
      <c r="BY48" s="69">
        <f>VLOOKUP($B48,$BN$198:$BZ$204,12,FALSE)</f>
        <v>2.9269230769230767</v>
      </c>
      <c r="BZ48" s="69">
        <f>VLOOKUP($B48,$BN$198:$BZ$204,13,FALSE)</f>
        <v>2.36</v>
      </c>
      <c r="CF48" s="69">
        <f t="shared" si="19"/>
        <v>2.7705128205128204</v>
      </c>
    </row>
    <row r="49" spans="2:84" ht="12.75" customHeight="1" x14ac:dyDescent="0.25">
      <c r="B49" s="76">
        <v>6</v>
      </c>
      <c r="C49" s="59" t="s">
        <v>427</v>
      </c>
      <c r="D49" s="60" t="s">
        <v>428</v>
      </c>
      <c r="E49" s="60">
        <v>2010</v>
      </c>
      <c r="F49" s="77">
        <v>98.9</v>
      </c>
      <c r="G49" s="62">
        <v>1.1000000000000001</v>
      </c>
      <c r="H49" s="63">
        <v>5.2</v>
      </c>
      <c r="I49" s="64"/>
      <c r="J49" s="65" t="s">
        <v>427</v>
      </c>
      <c r="P49" s="66">
        <v>12.639230769230769</v>
      </c>
      <c r="Q49" s="66">
        <v>12.165410295921369</v>
      </c>
      <c r="R49" s="66">
        <v>10.59847453234358</v>
      </c>
      <c r="S49" s="66">
        <v>9.472707780057064</v>
      </c>
      <c r="T49" s="66">
        <v>7.9803674992915017</v>
      </c>
      <c r="U49" s="66">
        <v>8.8942099137723467</v>
      </c>
      <c r="V49" s="66">
        <v>9.5068542417657511</v>
      </c>
      <c r="Z49" s="66">
        <v>9.5068542417657511</v>
      </c>
      <c r="AA49" s="66">
        <f t="shared" si="16"/>
        <v>10.095513659268518</v>
      </c>
      <c r="AC49" s="67" t="s">
        <v>428</v>
      </c>
      <c r="AI49" s="66">
        <f>VLOOKUP($B49,$AB$198:$AN$204,8,FALSE)</f>
        <v>75.888644067796605</v>
      </c>
      <c r="AJ49" s="66">
        <f>VLOOKUP($B49,$AB$198:$AN$204,9,FALSE)</f>
        <v>80.455696202531627</v>
      </c>
      <c r="AK49" s="66">
        <f>VLOOKUP($B49,$AB$198:$AN$204,10,FALSE)</f>
        <v>79.335945945945952</v>
      </c>
      <c r="AL49" s="66">
        <f>VLOOKUP($B49,$AB$198:$AN$204,11,FALSE)</f>
        <v>70.762500000000003</v>
      </c>
      <c r="AM49" s="66">
        <f>VLOOKUP($B49,$AB$198:$AN$204,12,FALSE)</f>
        <v>76.45</v>
      </c>
      <c r="AN49" s="66">
        <f>VLOOKUP($B49,$AB$198:$AN$204,13,FALSE)</f>
        <v>67.424999999999997</v>
      </c>
      <c r="AT49" s="66">
        <f t="shared" si="17"/>
        <v>75.05296436937904</v>
      </c>
      <c r="AV49" s="59" t="s">
        <v>427</v>
      </c>
      <c r="BB49" s="68">
        <f>VLOOKUP($B49,$AU$198:$BH$204,8,FALSE)</f>
        <v>18.156923076923078</v>
      </c>
      <c r="BC49" s="68">
        <f>VLOOKUP($B49,$AU$198:$BH$204,9,FALSE)</f>
        <v>17.862307692307695</v>
      </c>
      <c r="BD49" s="68">
        <f>VLOOKUP($B49,$AU$198:$BH$204,10,FALSE)</f>
        <v>17.588461538461537</v>
      </c>
      <c r="BE49" s="68">
        <f>VLOOKUP($B49,$AU$198:$BH$204,11,FALSE)</f>
        <v>17.724615384615387</v>
      </c>
      <c r="BF49" s="68">
        <f>VLOOKUP($B49,$AU$198:$BH$204,12,FALSE)</f>
        <v>18.493846153846153</v>
      </c>
      <c r="BG49" s="68">
        <f>VLOOKUP($B49,$AU$198:$BH$204,13,FALSE)</f>
        <v>19.346363636363638</v>
      </c>
      <c r="BM49" s="68">
        <f t="shared" si="18"/>
        <v>18.195419580419578</v>
      </c>
      <c r="BO49" s="59" t="s">
        <v>427</v>
      </c>
      <c r="BT49" s="74"/>
      <c r="BU49" s="69">
        <f>VLOOKUP($B49,$BN$198:$BZ$204,8,FALSE)</f>
        <v>3.2984615384615386</v>
      </c>
      <c r="BV49" s="69">
        <f>VLOOKUP($B49,$BN$198:$BZ$204,9,FALSE)</f>
        <v>2.7469230769230766</v>
      </c>
      <c r="BW49" s="69">
        <f>VLOOKUP($B49,$BN$198:$BZ$204,10,FALSE)</f>
        <v>2.7653846153846158</v>
      </c>
      <c r="BX49" s="69">
        <f>VLOOKUP($B49,$BN$198:$BZ$204,11,FALSE)</f>
        <v>2.525384615384616</v>
      </c>
      <c r="BY49" s="69">
        <f>VLOOKUP($B49,$BN$198:$BZ$204,12,FALSE)</f>
        <v>2.9269230769230767</v>
      </c>
      <c r="BZ49" s="69">
        <f>VLOOKUP($B49,$BN$198:$BZ$204,13,FALSE)</f>
        <v>2.36</v>
      </c>
      <c r="CF49" s="69">
        <f t="shared" si="19"/>
        <v>2.7705128205128204</v>
      </c>
    </row>
    <row r="50" spans="2:84" ht="12.75" customHeight="1" x14ac:dyDescent="0.25">
      <c r="B50" s="76">
        <v>6</v>
      </c>
      <c r="C50" s="59" t="s">
        <v>429</v>
      </c>
      <c r="D50" s="60" t="s">
        <v>430</v>
      </c>
      <c r="E50" s="60">
        <v>2010</v>
      </c>
      <c r="F50" s="77">
        <v>82.2</v>
      </c>
      <c r="G50" s="62">
        <v>17.8</v>
      </c>
      <c r="H50" s="63">
        <v>3</v>
      </c>
      <c r="I50" s="64"/>
      <c r="J50" s="65" t="s">
        <v>429</v>
      </c>
      <c r="P50" s="66">
        <v>12.639230769230769</v>
      </c>
      <c r="Q50" s="66">
        <v>12.165410295921369</v>
      </c>
      <c r="R50" s="66">
        <v>10.59847453234358</v>
      </c>
      <c r="S50" s="66">
        <v>9.472707780057064</v>
      </c>
      <c r="T50" s="66">
        <v>7.9803674992915017</v>
      </c>
      <c r="U50" s="66">
        <v>8.8942099137723467</v>
      </c>
      <c r="V50" s="66">
        <v>9.5068542417657511</v>
      </c>
      <c r="Z50" s="66">
        <v>9.5068542417657511</v>
      </c>
      <c r="AA50" s="66">
        <f t="shared" si="16"/>
        <v>10.095513659268518</v>
      </c>
      <c r="AC50" s="67" t="s">
        <v>430</v>
      </c>
      <c r="AI50" s="66">
        <f>VLOOKUP($B50,$AB$198:$AN$204,8,FALSE)</f>
        <v>75.888644067796605</v>
      </c>
      <c r="AJ50" s="66">
        <f>VLOOKUP($B50,$AB$198:$AN$204,9,FALSE)</f>
        <v>80.455696202531627</v>
      </c>
      <c r="AK50" s="66">
        <f>VLOOKUP($B50,$AB$198:$AN$204,10,FALSE)</f>
        <v>79.335945945945952</v>
      </c>
      <c r="AL50" s="66">
        <f>VLOOKUP($B50,$AB$198:$AN$204,11,FALSE)</f>
        <v>70.762500000000003</v>
      </c>
      <c r="AM50" s="66">
        <f>VLOOKUP($B50,$AB$198:$AN$204,12,FALSE)</f>
        <v>76.45</v>
      </c>
      <c r="AN50" s="66">
        <f>VLOOKUP($B50,$AB$198:$AN$204,13,FALSE)</f>
        <v>67.424999999999997</v>
      </c>
      <c r="AT50" s="66">
        <f t="shared" si="17"/>
        <v>75.05296436937904</v>
      </c>
      <c r="AV50" s="59" t="s">
        <v>429</v>
      </c>
      <c r="BB50" s="68">
        <f>VLOOKUP($B50,$AU$198:$BH$204,8,FALSE)</f>
        <v>18.156923076923078</v>
      </c>
      <c r="BC50" s="68">
        <f>VLOOKUP($B50,$AU$198:$BH$204,9,FALSE)</f>
        <v>17.862307692307695</v>
      </c>
      <c r="BD50" s="68">
        <f>VLOOKUP($B50,$AU$198:$BH$204,10,FALSE)</f>
        <v>17.588461538461537</v>
      </c>
      <c r="BE50" s="68">
        <f>VLOOKUP($B50,$AU$198:$BH$204,11,FALSE)</f>
        <v>17.724615384615387</v>
      </c>
      <c r="BF50" s="68">
        <f>VLOOKUP($B50,$AU$198:$BH$204,12,FALSE)</f>
        <v>18.493846153846153</v>
      </c>
      <c r="BG50" s="68">
        <f>VLOOKUP($B50,$AU$198:$BH$204,13,FALSE)</f>
        <v>19.346363636363638</v>
      </c>
      <c r="BM50" s="68">
        <f t="shared" si="18"/>
        <v>18.195419580419578</v>
      </c>
      <c r="BO50" s="59" t="s">
        <v>429</v>
      </c>
      <c r="BT50" s="74"/>
      <c r="BU50" s="69">
        <f>VLOOKUP($B50,$BN$198:$BZ$204,8,FALSE)</f>
        <v>3.2984615384615386</v>
      </c>
      <c r="BV50" s="69">
        <f>VLOOKUP($B50,$BN$198:$BZ$204,9,FALSE)</f>
        <v>2.7469230769230766</v>
      </c>
      <c r="BW50" s="69">
        <f>VLOOKUP($B50,$BN$198:$BZ$204,10,FALSE)</f>
        <v>2.7653846153846158</v>
      </c>
      <c r="BX50" s="69">
        <f>VLOOKUP($B50,$BN$198:$BZ$204,11,FALSE)</f>
        <v>2.525384615384616</v>
      </c>
      <c r="BY50" s="69">
        <f>VLOOKUP($B50,$BN$198:$BZ$204,12,FALSE)</f>
        <v>2.9269230769230767</v>
      </c>
      <c r="BZ50" s="69">
        <f>VLOOKUP($B50,$BN$198:$BZ$204,13,FALSE)</f>
        <v>2.36</v>
      </c>
      <c r="CF50" s="69">
        <f t="shared" si="19"/>
        <v>2.7705128205128204</v>
      </c>
    </row>
    <row r="51" spans="2:84" ht="12.75" customHeight="1" x14ac:dyDescent="0.25">
      <c r="B51" s="58">
        <v>3</v>
      </c>
      <c r="C51" s="59" t="s">
        <v>431</v>
      </c>
      <c r="D51" s="60" t="s">
        <v>432</v>
      </c>
      <c r="E51" s="60">
        <v>2010</v>
      </c>
      <c r="F51" s="77">
        <v>78.8</v>
      </c>
      <c r="G51" s="62">
        <v>21.2</v>
      </c>
      <c r="H51" s="63">
        <v>3.5</v>
      </c>
      <c r="I51" s="64"/>
      <c r="J51" s="65" t="s">
        <v>431</v>
      </c>
      <c r="P51" s="70">
        <v>2</v>
      </c>
      <c r="Q51" s="71">
        <v>1.5</v>
      </c>
      <c r="R51" s="71">
        <v>1.5</v>
      </c>
      <c r="S51" s="71">
        <v>1.2221768665493637</v>
      </c>
      <c r="T51" s="71">
        <v>1.5</v>
      </c>
      <c r="U51" s="71">
        <v>2</v>
      </c>
      <c r="V51" s="71" t="s">
        <v>355</v>
      </c>
      <c r="Z51" s="71" t="s">
        <v>355</v>
      </c>
      <c r="AA51" s="70">
        <f t="shared" si="16"/>
        <v>1.6203628110915609</v>
      </c>
      <c r="AC51" s="67" t="s">
        <v>432</v>
      </c>
      <c r="AI51" s="72">
        <v>122.6</v>
      </c>
      <c r="AJ51" s="72">
        <v>153</v>
      </c>
      <c r="AK51" s="72">
        <v>162.24565433313575</v>
      </c>
      <c r="AL51" s="72">
        <v>180.5</v>
      </c>
      <c r="AM51" s="72">
        <v>121.6</v>
      </c>
      <c r="AN51" s="72">
        <v>93.5</v>
      </c>
      <c r="AT51" s="72">
        <f t="shared" si="17"/>
        <v>138.90760905552264</v>
      </c>
      <c r="AV51" s="59" t="s">
        <v>431</v>
      </c>
      <c r="BB51" s="73">
        <v>19.100000000000001</v>
      </c>
      <c r="BC51" s="73">
        <v>20.6</v>
      </c>
      <c r="BD51" s="73">
        <v>18.8</v>
      </c>
      <c r="BE51" s="73">
        <v>16.100000000000001</v>
      </c>
      <c r="BF51" s="73">
        <v>15.1</v>
      </c>
      <c r="BG51" s="73">
        <v>14.1</v>
      </c>
      <c r="BM51" s="73">
        <f t="shared" si="18"/>
        <v>17.299999999999997</v>
      </c>
      <c r="BO51" s="59" t="s">
        <v>431</v>
      </c>
      <c r="BT51" s="74"/>
      <c r="BU51" s="75">
        <v>2</v>
      </c>
      <c r="BV51" s="75">
        <v>2.5</v>
      </c>
      <c r="BW51" s="75">
        <v>2.5</v>
      </c>
      <c r="BX51" s="75">
        <v>1.51</v>
      </c>
      <c r="BY51" s="75">
        <v>1.8</v>
      </c>
      <c r="BZ51" s="75">
        <v>1.4</v>
      </c>
      <c r="CF51" s="75">
        <f t="shared" si="19"/>
        <v>1.9516666666666669</v>
      </c>
    </row>
    <row r="52" spans="2:84" ht="12.75" customHeight="1" x14ac:dyDescent="0.25">
      <c r="B52" s="76">
        <v>6</v>
      </c>
      <c r="C52" s="59" t="s">
        <v>433</v>
      </c>
      <c r="D52" s="60" t="s">
        <v>434</v>
      </c>
      <c r="E52" s="60">
        <v>2010</v>
      </c>
      <c r="F52" s="77">
        <v>67.2</v>
      </c>
      <c r="G52" s="62">
        <v>32.799999999999997</v>
      </c>
      <c r="H52" s="63">
        <v>2.2000000000000002</v>
      </c>
      <c r="I52" s="64"/>
      <c r="J52" s="65" t="s">
        <v>433</v>
      </c>
      <c r="P52" s="66">
        <v>12.639230769230769</v>
      </c>
      <c r="Q52" s="66">
        <v>12.165410295921369</v>
      </c>
      <c r="R52" s="66">
        <v>10.59847453234358</v>
      </c>
      <c r="S52" s="66">
        <v>9.472707780057064</v>
      </c>
      <c r="T52" s="66">
        <v>7.9803674992915017</v>
      </c>
      <c r="U52" s="66">
        <v>8.8942099137723467</v>
      </c>
      <c r="V52" s="66">
        <v>9.5068542417657511</v>
      </c>
      <c r="Z52" s="66">
        <v>9.5068542417657511</v>
      </c>
      <c r="AA52" s="66">
        <f t="shared" si="16"/>
        <v>10.095513659268518</v>
      </c>
      <c r="AC52" s="67" t="s">
        <v>434</v>
      </c>
      <c r="AI52" s="66">
        <f>VLOOKUP($B52,$AB$198:$AN$204,8,FALSE)</f>
        <v>75.888644067796605</v>
      </c>
      <c r="AJ52" s="66">
        <f>VLOOKUP($B52,$AB$198:$AN$204,9,FALSE)</f>
        <v>80.455696202531627</v>
      </c>
      <c r="AK52" s="66">
        <f>VLOOKUP($B52,$AB$198:$AN$204,10,FALSE)</f>
        <v>79.335945945945952</v>
      </c>
      <c r="AL52" s="66">
        <f>VLOOKUP($B52,$AB$198:$AN$204,11,FALSE)</f>
        <v>70.762500000000003</v>
      </c>
      <c r="AM52" s="66">
        <f>VLOOKUP($B52,$AB$198:$AN$204,12,FALSE)</f>
        <v>76.45</v>
      </c>
      <c r="AN52" s="66">
        <f>VLOOKUP($B52,$AB$198:$AN$204,13,FALSE)</f>
        <v>67.424999999999997</v>
      </c>
      <c r="AT52" s="66">
        <f t="shared" si="17"/>
        <v>75.05296436937904</v>
      </c>
      <c r="AV52" s="59" t="s">
        <v>433</v>
      </c>
      <c r="BB52" s="68">
        <f>VLOOKUP($B52,$AU$198:$BH$204,8,FALSE)</f>
        <v>18.156923076923078</v>
      </c>
      <c r="BC52" s="68">
        <f>VLOOKUP($B52,$AU$198:$BH$204,9,FALSE)</f>
        <v>17.862307692307695</v>
      </c>
      <c r="BD52" s="68">
        <f>VLOOKUP($B52,$AU$198:$BH$204,10,FALSE)</f>
        <v>17.588461538461537</v>
      </c>
      <c r="BE52" s="68">
        <f>VLOOKUP($B52,$AU$198:$BH$204,11,FALSE)</f>
        <v>17.724615384615387</v>
      </c>
      <c r="BF52" s="68">
        <f>VLOOKUP($B52,$AU$198:$BH$204,12,FALSE)</f>
        <v>18.493846153846153</v>
      </c>
      <c r="BG52" s="68">
        <f>VLOOKUP($B52,$AU$198:$BH$204,13,FALSE)</f>
        <v>19.346363636363638</v>
      </c>
      <c r="BM52" s="68">
        <f t="shared" si="18"/>
        <v>18.195419580419578</v>
      </c>
      <c r="BO52" s="59" t="s">
        <v>433</v>
      </c>
      <c r="BT52" s="74"/>
      <c r="BU52" s="69">
        <f>VLOOKUP($B52,$BN$198:$BZ$204,8,FALSE)</f>
        <v>3.2984615384615386</v>
      </c>
      <c r="BV52" s="69">
        <f>VLOOKUP($B52,$BN$198:$BZ$204,9,FALSE)</f>
        <v>2.7469230769230766</v>
      </c>
      <c r="BW52" s="69">
        <f>VLOOKUP($B52,$BN$198:$BZ$204,10,FALSE)</f>
        <v>2.7653846153846158</v>
      </c>
      <c r="BX52" s="69">
        <f>VLOOKUP($B52,$BN$198:$BZ$204,11,FALSE)</f>
        <v>2.525384615384616</v>
      </c>
      <c r="BY52" s="69">
        <f>VLOOKUP($B52,$BN$198:$BZ$204,12,FALSE)</f>
        <v>2.9269230769230767</v>
      </c>
      <c r="BZ52" s="69">
        <f>VLOOKUP($B52,$BN$198:$BZ$204,13,FALSE)</f>
        <v>2.36</v>
      </c>
      <c r="CF52" s="69">
        <f t="shared" si="19"/>
        <v>2.7705128205128204</v>
      </c>
    </row>
    <row r="53" spans="2:84" ht="12.75" customHeight="1" x14ac:dyDescent="0.25">
      <c r="B53" s="58">
        <v>2</v>
      </c>
      <c r="C53" s="59" t="s">
        <v>435</v>
      </c>
      <c r="D53" s="60" t="s">
        <v>436</v>
      </c>
      <c r="E53" s="60">
        <v>2010</v>
      </c>
      <c r="F53" s="77">
        <v>71.3</v>
      </c>
      <c r="G53" s="62">
        <v>28.7</v>
      </c>
      <c r="H53" s="63">
        <v>3.1</v>
      </c>
      <c r="I53" s="64"/>
      <c r="J53" s="65" t="s">
        <v>435</v>
      </c>
      <c r="P53" s="70">
        <v>7.5326004706600242</v>
      </c>
      <c r="Q53" s="71">
        <v>6.1938596291974015</v>
      </c>
      <c r="R53" s="71">
        <v>5.2012313434568007</v>
      </c>
      <c r="S53" s="71">
        <v>4.8</v>
      </c>
      <c r="T53" s="71">
        <v>4.9398650756827704</v>
      </c>
      <c r="U53" s="71">
        <v>7.8</v>
      </c>
      <c r="V53" s="71">
        <v>8.8000000000000007</v>
      </c>
      <c r="Z53" s="71">
        <v>8.8000000000000007</v>
      </c>
      <c r="AA53" s="70">
        <f t="shared" si="16"/>
        <v>6.7584445648746243</v>
      </c>
      <c r="AC53" s="67" t="s">
        <v>436</v>
      </c>
      <c r="AI53" s="72">
        <v>62.296873673615409</v>
      </c>
      <c r="AJ53" s="72">
        <v>60.024649406285455</v>
      </c>
      <c r="AK53" s="72">
        <v>56.8</v>
      </c>
      <c r="AL53" s="72">
        <v>54.4</v>
      </c>
      <c r="AM53" s="72">
        <v>48.698319723151243</v>
      </c>
      <c r="AN53" s="72">
        <v>47.619656384056178</v>
      </c>
      <c r="AT53" s="72">
        <f t="shared" si="17"/>
        <v>54.973249864518039</v>
      </c>
      <c r="AV53" s="59" t="s">
        <v>435</v>
      </c>
      <c r="BB53" s="73">
        <v>16.011031526652541</v>
      </c>
      <c r="BC53" s="73">
        <v>15.150389034113948</v>
      </c>
      <c r="BD53" s="73">
        <v>14.4</v>
      </c>
      <c r="BE53" s="73">
        <v>16.899999999999999</v>
      </c>
      <c r="BF53" s="73">
        <v>15.4</v>
      </c>
      <c r="BG53" s="73">
        <v>16.2</v>
      </c>
      <c r="BM53" s="73">
        <f t="shared" si="18"/>
        <v>15.676903426794416</v>
      </c>
      <c r="BO53" s="59" t="s">
        <v>435</v>
      </c>
      <c r="BT53" s="74"/>
      <c r="BU53" s="75">
        <v>1.6770267815464777</v>
      </c>
      <c r="BV53" s="75">
        <v>1.6463820092853303</v>
      </c>
      <c r="BW53" s="75">
        <v>1.5047947484795634</v>
      </c>
      <c r="BX53" s="75">
        <v>1.5931352001303511</v>
      </c>
      <c r="BY53" s="75">
        <v>1.6061753411902864</v>
      </c>
      <c r="BZ53" s="75">
        <v>1.3</v>
      </c>
      <c r="CF53" s="75">
        <f t="shared" si="19"/>
        <v>1.554585680105335</v>
      </c>
    </row>
    <row r="54" spans="2:84" ht="12.75" customHeight="1" x14ac:dyDescent="0.25">
      <c r="B54" s="76">
        <v>2</v>
      </c>
      <c r="C54" s="59" t="s">
        <v>437</v>
      </c>
      <c r="D54" s="60" t="s">
        <v>438</v>
      </c>
      <c r="E54" s="60">
        <v>2010</v>
      </c>
      <c r="F54" s="77">
        <v>29.599999999999994</v>
      </c>
      <c r="G54" s="62">
        <v>70.400000000000006</v>
      </c>
      <c r="H54" s="63">
        <v>1.5</v>
      </c>
      <c r="I54" s="64"/>
      <c r="J54" s="65" t="s">
        <v>437</v>
      </c>
      <c r="P54" s="66">
        <v>6.5470230297727472</v>
      </c>
      <c r="Q54" s="66">
        <v>4.866104606691894</v>
      </c>
      <c r="R54" s="66">
        <v>4.0793587535733469</v>
      </c>
      <c r="S54" s="66">
        <v>3.4682894030301306</v>
      </c>
      <c r="T54" s="66">
        <v>5.324434274292706</v>
      </c>
      <c r="U54" s="66">
        <v>11.791266704541009</v>
      </c>
      <c r="V54" s="66">
        <v>13.204792520432788</v>
      </c>
      <c r="Z54" s="66">
        <v>13.204792520432788</v>
      </c>
      <c r="AA54" s="66">
        <f t="shared" si="16"/>
        <v>7.8107577265959263</v>
      </c>
      <c r="AC54" s="67" t="s">
        <v>438</v>
      </c>
      <c r="AI54" s="66">
        <f>VLOOKUP($B54,$AB$198:$AN$204,8,FALSE)</f>
        <v>81.617815617406805</v>
      </c>
      <c r="AJ54" s="66">
        <f>VLOOKUP($B54,$AB$198:$AN$204,9,FALSE)</f>
        <v>90.087240267752392</v>
      </c>
      <c r="AK54" s="66">
        <f>VLOOKUP($B54,$AB$198:$AN$204,10,FALSE)</f>
        <v>88.985721813757607</v>
      </c>
      <c r="AL54" s="66">
        <f>VLOOKUP($B54,$AB$198:$AN$204,11,FALSE)</f>
        <v>85.305718000035199</v>
      </c>
      <c r="AM54" s="66">
        <f>VLOOKUP($B54,$AB$198:$AN$204,12,FALSE)</f>
        <v>84.643872929029527</v>
      </c>
      <c r="AN54" s="66">
        <f>VLOOKUP($B54,$AB$198:$AN$204,13,FALSE)</f>
        <v>74.875500940663585</v>
      </c>
      <c r="AT54" s="66">
        <f t="shared" si="17"/>
        <v>84.252644928107514</v>
      </c>
      <c r="AV54" s="59" t="s">
        <v>437</v>
      </c>
      <c r="BB54" s="68">
        <f>VLOOKUP($B54,$AU$198:$BH$204,8,FALSE)</f>
        <v>21.020522134936851</v>
      </c>
      <c r="BC54" s="68">
        <f>VLOOKUP($B54,$AU$198:$BH$204,9,FALSE)</f>
        <v>19.450013274888473</v>
      </c>
      <c r="BD54" s="68">
        <f>VLOOKUP($B54,$AU$198:$BH$204,10,FALSE)</f>
        <v>18.667698962580744</v>
      </c>
      <c r="BE54" s="68">
        <f>VLOOKUP($B54,$AU$198:$BH$204,11,FALSE)</f>
        <v>17.474378499557432</v>
      </c>
      <c r="BF54" s="68">
        <f>VLOOKUP($B54,$AU$198:$BH$204,12,FALSE)</f>
        <v>17.117970453391717</v>
      </c>
      <c r="BG54" s="68">
        <f>VLOOKUP($B54,$AU$198:$BH$204,13,FALSE)</f>
        <v>16.94805594144432</v>
      </c>
      <c r="BM54" s="68">
        <f t="shared" si="18"/>
        <v>18.446439877799925</v>
      </c>
      <c r="BO54" s="59" t="s">
        <v>437</v>
      </c>
      <c r="BT54" s="74"/>
      <c r="BU54" s="69">
        <f>VLOOKUP($B54,$BN$198:$BZ$204,8,FALSE)</f>
        <v>1.5534520775941867</v>
      </c>
      <c r="BV54" s="69">
        <f>VLOOKUP($B54,$BN$198:$BZ$204,9,FALSE)</f>
        <v>1.7594268869112808</v>
      </c>
      <c r="BW54" s="69">
        <f>VLOOKUP($B54,$BN$198:$BZ$204,10,FALSE)</f>
        <v>1.9264064345990539</v>
      </c>
      <c r="BX54" s="69">
        <f>VLOOKUP($B54,$BN$198:$BZ$204,11,FALSE)</f>
        <v>1.9610645486104465</v>
      </c>
      <c r="BY54" s="69">
        <f>VLOOKUP($B54,$BN$198:$BZ$204,12,FALSE)</f>
        <v>1.1293177319334557</v>
      </c>
      <c r="BZ54" s="69">
        <f>VLOOKUP($B54,$BN$198:$BZ$204,13,FALSE)</f>
        <v>-1.4158844507992445</v>
      </c>
      <c r="CF54" s="69">
        <f t="shared" si="19"/>
        <v>1.1522972048081965</v>
      </c>
    </row>
    <row r="55" spans="2:84" ht="12.75" customHeight="1" x14ac:dyDescent="0.25">
      <c r="B55" s="76">
        <v>5</v>
      </c>
      <c r="C55" s="59" t="s">
        <v>439</v>
      </c>
      <c r="D55" s="60" t="s">
        <v>440</v>
      </c>
      <c r="E55" s="60">
        <v>2010</v>
      </c>
      <c r="F55" s="77">
        <v>44.1</v>
      </c>
      <c r="G55" s="62">
        <v>55.9</v>
      </c>
      <c r="H55" s="63">
        <v>6.5</v>
      </c>
      <c r="I55" s="64"/>
      <c r="J55" s="65" t="s">
        <v>439</v>
      </c>
      <c r="P55" s="70">
        <v>4</v>
      </c>
      <c r="Q55" s="71">
        <v>3.9</v>
      </c>
      <c r="R55" s="71">
        <v>3.67</v>
      </c>
      <c r="S55" s="71">
        <v>2.78</v>
      </c>
      <c r="T55" s="71">
        <v>2.81</v>
      </c>
      <c r="U55" s="71">
        <v>4.58</v>
      </c>
      <c r="V55" s="71">
        <v>5.65</v>
      </c>
      <c r="Z55" s="71">
        <v>5.65</v>
      </c>
      <c r="AA55" s="70">
        <f t="shared" si="16"/>
        <v>4.13</v>
      </c>
      <c r="AC55" s="67" t="s">
        <v>440</v>
      </c>
      <c r="AI55" s="72">
        <v>71.159246305599794</v>
      </c>
      <c r="AJ55" s="72">
        <v>64.543550859494246</v>
      </c>
      <c r="AK55" s="72">
        <v>61.530129778636422</v>
      </c>
      <c r="AL55" s="72">
        <v>70.423671368141143</v>
      </c>
      <c r="AM55" s="72">
        <v>67.540000000000006</v>
      </c>
      <c r="AN55" s="72">
        <v>59.2</v>
      </c>
      <c r="AT55" s="72">
        <f t="shared" si="17"/>
        <v>65.732766385311933</v>
      </c>
      <c r="AV55" s="59" t="s">
        <v>439</v>
      </c>
      <c r="BB55" s="73">
        <v>12.5</v>
      </c>
      <c r="BC55" s="73">
        <v>11.86</v>
      </c>
      <c r="BD55" s="73">
        <v>11.49</v>
      </c>
      <c r="BE55" s="73">
        <v>11.6</v>
      </c>
      <c r="BF55" s="73">
        <v>12.32</v>
      </c>
      <c r="BG55" s="73">
        <v>13.73</v>
      </c>
      <c r="BM55" s="73">
        <f t="shared" si="18"/>
        <v>12.25</v>
      </c>
      <c r="BO55" s="59" t="s">
        <v>439</v>
      </c>
      <c r="BT55" s="74"/>
      <c r="BU55" s="75">
        <v>1.26</v>
      </c>
      <c r="BV55" s="75">
        <v>1.39</v>
      </c>
      <c r="BW55" s="75">
        <v>1.23</v>
      </c>
      <c r="BX55" s="75">
        <v>1.33</v>
      </c>
      <c r="BY55" s="75">
        <v>1.1599999999999999</v>
      </c>
      <c r="BZ55" s="75">
        <v>1.31</v>
      </c>
      <c r="CF55" s="75">
        <f t="shared" si="19"/>
        <v>1.28</v>
      </c>
    </row>
    <row r="56" spans="2:84" ht="12.75" customHeight="1" x14ac:dyDescent="0.25">
      <c r="B56" s="76">
        <v>5</v>
      </c>
      <c r="C56" s="59" t="s">
        <v>441</v>
      </c>
      <c r="D56" s="60" t="s">
        <v>442</v>
      </c>
      <c r="E56" s="60">
        <v>2010</v>
      </c>
      <c r="F56" s="77">
        <v>10.599999999999994</v>
      </c>
      <c r="G56" s="62">
        <v>89.4</v>
      </c>
      <c r="H56" s="63">
        <v>1.1000000000000001</v>
      </c>
      <c r="I56" s="64"/>
      <c r="J56" s="65" t="s">
        <v>441</v>
      </c>
      <c r="P56" s="70">
        <v>0.7</v>
      </c>
      <c r="Q56" s="71">
        <v>0.41</v>
      </c>
      <c r="R56" s="71">
        <v>0.3</v>
      </c>
      <c r="S56" s="71">
        <v>0.33</v>
      </c>
      <c r="T56" s="71" t="s">
        <v>355</v>
      </c>
      <c r="U56" s="71" t="s">
        <v>355</v>
      </c>
      <c r="V56" s="71" t="s">
        <v>355</v>
      </c>
      <c r="Z56" s="71" t="s">
        <v>355</v>
      </c>
      <c r="AA56" s="70">
        <f t="shared" si="16"/>
        <v>0.435</v>
      </c>
      <c r="AC56" s="67" t="s">
        <v>442</v>
      </c>
      <c r="AI56" s="72">
        <v>65.965681847503546</v>
      </c>
      <c r="AJ56" s="72">
        <v>75.7</v>
      </c>
      <c r="AK56" s="72" t="s">
        <v>380</v>
      </c>
      <c r="AL56" s="72" t="s">
        <v>380</v>
      </c>
      <c r="AM56" s="72" t="s">
        <v>380</v>
      </c>
      <c r="AN56" s="72" t="s">
        <v>380</v>
      </c>
      <c r="AT56" s="72">
        <f t="shared" si="17"/>
        <v>70.832840923751775</v>
      </c>
      <c r="AV56" s="59" t="s">
        <v>441</v>
      </c>
      <c r="BB56" s="73">
        <v>13.436999999999999</v>
      </c>
      <c r="BC56" s="73">
        <v>13.22</v>
      </c>
      <c r="BD56" s="73">
        <v>13.8</v>
      </c>
      <c r="BE56" s="73">
        <v>12.3</v>
      </c>
      <c r="BF56" s="73" t="s">
        <v>380</v>
      </c>
      <c r="BG56" s="73" t="s">
        <v>380</v>
      </c>
      <c r="BM56" s="73">
        <f t="shared" si="18"/>
        <v>13.189250000000001</v>
      </c>
      <c r="BO56" s="59" t="s">
        <v>441</v>
      </c>
      <c r="BT56" s="74"/>
      <c r="BU56" s="75">
        <v>1.23</v>
      </c>
      <c r="BV56" s="75">
        <v>1.27</v>
      </c>
      <c r="BW56" s="75">
        <v>1.31</v>
      </c>
      <c r="BX56" s="75">
        <v>1.02</v>
      </c>
      <c r="BY56" s="75" t="s">
        <v>380</v>
      </c>
      <c r="BZ56" s="75" t="s">
        <v>380</v>
      </c>
      <c r="CF56" s="75">
        <f t="shared" si="19"/>
        <v>1.2075</v>
      </c>
    </row>
    <row r="57" spans="2:84" ht="12.75" customHeight="1" x14ac:dyDescent="0.25">
      <c r="B57" s="76">
        <v>6</v>
      </c>
      <c r="C57" s="59" t="s">
        <v>443</v>
      </c>
      <c r="D57" s="60" t="s">
        <v>444</v>
      </c>
      <c r="E57" s="60">
        <v>2010</v>
      </c>
      <c r="F57" s="77">
        <v>84.4</v>
      </c>
      <c r="G57" s="62">
        <v>15.6</v>
      </c>
      <c r="H57" s="63">
        <v>5</v>
      </c>
      <c r="I57" s="64"/>
      <c r="J57" s="65" t="s">
        <v>443</v>
      </c>
      <c r="P57" s="66">
        <v>12.639230769230769</v>
      </c>
      <c r="Q57" s="66">
        <v>12.165410295921369</v>
      </c>
      <c r="R57" s="66">
        <v>10.59847453234358</v>
      </c>
      <c r="S57" s="66">
        <v>9.472707780057064</v>
      </c>
      <c r="T57" s="66">
        <v>7.9803674992915017</v>
      </c>
      <c r="U57" s="66">
        <v>8.8942099137723467</v>
      </c>
      <c r="V57" s="66">
        <v>9.5068542417657511</v>
      </c>
      <c r="Z57" s="66">
        <v>9.5068542417657511</v>
      </c>
      <c r="AA57" s="66">
        <f t="shared" si="16"/>
        <v>10.095513659268518</v>
      </c>
      <c r="AC57" s="67" t="s">
        <v>444</v>
      </c>
      <c r="AI57" s="66">
        <f>VLOOKUP($B57,$AB$198:$AN$204,8,FALSE)</f>
        <v>75.888644067796605</v>
      </c>
      <c r="AJ57" s="66">
        <f>VLOOKUP($B57,$AB$198:$AN$204,9,FALSE)</f>
        <v>80.455696202531627</v>
      </c>
      <c r="AK57" s="66">
        <f>VLOOKUP($B57,$AB$198:$AN$204,10,FALSE)</f>
        <v>79.335945945945952</v>
      </c>
      <c r="AL57" s="66">
        <f>VLOOKUP($B57,$AB$198:$AN$204,11,FALSE)</f>
        <v>70.762500000000003</v>
      </c>
      <c r="AM57" s="66">
        <f>VLOOKUP($B57,$AB$198:$AN$204,12,FALSE)</f>
        <v>76.45</v>
      </c>
      <c r="AN57" s="66">
        <f>VLOOKUP($B57,$AB$198:$AN$204,13,FALSE)</f>
        <v>67.424999999999997</v>
      </c>
      <c r="AT57" s="66">
        <f t="shared" si="17"/>
        <v>75.05296436937904</v>
      </c>
      <c r="AV57" s="59" t="s">
        <v>443</v>
      </c>
      <c r="BB57" s="68">
        <f>VLOOKUP($B57,$AU$198:$BH$204,8,FALSE)</f>
        <v>18.156923076923078</v>
      </c>
      <c r="BC57" s="68">
        <f>VLOOKUP($B57,$AU$198:$BH$204,9,FALSE)</f>
        <v>17.862307692307695</v>
      </c>
      <c r="BD57" s="68">
        <f>VLOOKUP($B57,$AU$198:$BH$204,10,FALSE)</f>
        <v>17.588461538461537</v>
      </c>
      <c r="BE57" s="68">
        <f>VLOOKUP($B57,$AU$198:$BH$204,11,FALSE)</f>
        <v>17.724615384615387</v>
      </c>
      <c r="BF57" s="68">
        <f>VLOOKUP($B57,$AU$198:$BH$204,12,FALSE)</f>
        <v>18.493846153846153</v>
      </c>
      <c r="BG57" s="68">
        <f>VLOOKUP($B57,$AU$198:$BH$204,13,FALSE)</f>
        <v>19.346363636363638</v>
      </c>
      <c r="BM57" s="68">
        <f t="shared" si="18"/>
        <v>18.195419580419578</v>
      </c>
      <c r="BO57" s="59" t="s">
        <v>443</v>
      </c>
      <c r="BT57" s="74"/>
      <c r="BU57" s="69">
        <f>VLOOKUP($B57,$BN$198:$BZ$204,8,FALSE)</f>
        <v>3.2984615384615386</v>
      </c>
      <c r="BV57" s="69">
        <f>VLOOKUP($B57,$BN$198:$BZ$204,9,FALSE)</f>
        <v>2.7469230769230766</v>
      </c>
      <c r="BW57" s="69">
        <f>VLOOKUP($B57,$BN$198:$BZ$204,10,FALSE)</f>
        <v>2.7653846153846158</v>
      </c>
      <c r="BX57" s="69">
        <f>VLOOKUP($B57,$BN$198:$BZ$204,11,FALSE)</f>
        <v>2.525384615384616</v>
      </c>
      <c r="BY57" s="69">
        <f>VLOOKUP($B57,$BN$198:$BZ$204,12,FALSE)</f>
        <v>2.9269230769230767</v>
      </c>
      <c r="BZ57" s="69">
        <f>VLOOKUP($B57,$BN$198:$BZ$204,13,FALSE)</f>
        <v>2.36</v>
      </c>
      <c r="CF57" s="69">
        <f t="shared" si="19"/>
        <v>2.7705128205128204</v>
      </c>
    </row>
    <row r="58" spans="2:84" ht="12.75" customHeight="1" x14ac:dyDescent="0.25">
      <c r="B58" s="76">
        <v>3</v>
      </c>
      <c r="C58" s="59" t="s">
        <v>445</v>
      </c>
      <c r="D58" s="60" t="s">
        <v>446</v>
      </c>
      <c r="E58" s="60">
        <v>2010</v>
      </c>
      <c r="F58" s="61">
        <v>67.23333333333332</v>
      </c>
      <c r="G58" s="62" t="s">
        <v>355</v>
      </c>
      <c r="H58" s="63" t="s">
        <v>355</v>
      </c>
      <c r="I58" s="64"/>
      <c r="J58" s="65" t="s">
        <v>445</v>
      </c>
      <c r="P58" s="66">
        <v>5.584644672858265</v>
      </c>
      <c r="Q58" s="66">
        <v>3.9624899241932421</v>
      </c>
      <c r="R58" s="66">
        <v>3.0340039193664454</v>
      </c>
      <c r="S58" s="66">
        <v>2.604471088787407</v>
      </c>
      <c r="T58" s="66">
        <v>2.4269734911821845</v>
      </c>
      <c r="U58" s="66">
        <v>2.9280358899553502</v>
      </c>
      <c r="V58" s="66">
        <v>3.5429234268459737</v>
      </c>
      <c r="Z58" s="66">
        <v>3.5429234268459737</v>
      </c>
      <c r="AA58" s="66">
        <f t="shared" si="16"/>
        <v>3.4533082300043549</v>
      </c>
      <c r="AC58" s="67" t="s">
        <v>446</v>
      </c>
      <c r="AI58" s="66">
        <f>VLOOKUP($B58,$AB$198:$AN$204,8,FALSE)</f>
        <v>128.9834964234991</v>
      </c>
      <c r="AJ58" s="66">
        <f>VLOOKUP($B58,$AB$198:$AN$204,9,FALSE)</f>
        <v>140.08513617162512</v>
      </c>
      <c r="AK58" s="66">
        <f>VLOOKUP($B58,$AB$198:$AN$204,10,FALSE)</f>
        <v>159.45976537422837</v>
      </c>
      <c r="AL58" s="66">
        <f>VLOOKUP($B58,$AB$198:$AN$204,11,FALSE)</f>
        <v>176.08231767394884</v>
      </c>
      <c r="AM58" s="66">
        <f>VLOOKUP($B58,$AB$198:$AN$204,12,FALSE)</f>
        <v>179.91973269843069</v>
      </c>
      <c r="AN58" s="66">
        <f>VLOOKUP($B58,$AB$198:$AN$204,13,FALSE)</f>
        <v>163.73758550252111</v>
      </c>
      <c r="AT58" s="66">
        <f t="shared" si="17"/>
        <v>158.04467230737555</v>
      </c>
      <c r="AV58" s="59" t="s">
        <v>445</v>
      </c>
      <c r="BB58" s="68">
        <f>VLOOKUP($B58,$AU$198:$BH$204,8,FALSE)</f>
        <v>15.896096812126734</v>
      </c>
      <c r="BC58" s="68">
        <f>VLOOKUP($B58,$AU$198:$BH$204,9,FALSE)</f>
        <v>15.574506119519162</v>
      </c>
      <c r="BD58" s="68">
        <f>VLOOKUP($B58,$AU$198:$BH$204,10,FALSE)</f>
        <v>15.053685490252553</v>
      </c>
      <c r="BE58" s="68">
        <f>VLOOKUP($B58,$AU$198:$BH$204,11,FALSE)</f>
        <v>14.526883451785674</v>
      </c>
      <c r="BF58" s="68">
        <f>VLOOKUP($B58,$AU$198:$BH$204,12,FALSE)</f>
        <v>14.663359386876838</v>
      </c>
      <c r="BG58" s="68">
        <f>VLOOKUP($B58,$AU$198:$BH$204,13,FALSE)</f>
        <v>15.454370304742046</v>
      </c>
      <c r="BM58" s="68">
        <f t="shared" si="18"/>
        <v>15.1948169275505</v>
      </c>
      <c r="BO58" s="59" t="s">
        <v>445</v>
      </c>
      <c r="BT58" s="74"/>
      <c r="BU58" s="69">
        <f>VLOOKUP($B58,$BN$198:$BZ$204,8,FALSE)</f>
        <v>1.5948707163335805</v>
      </c>
      <c r="BV58" s="69">
        <f>VLOOKUP($B58,$BN$198:$BZ$204,9,FALSE)</f>
        <v>1.9470251257359674</v>
      </c>
      <c r="BW58" s="69">
        <f>VLOOKUP($B58,$BN$198:$BZ$204,10,FALSE)</f>
        <v>2.1255980960882401</v>
      </c>
      <c r="BX58" s="69">
        <f>VLOOKUP($B58,$BN$198:$BZ$204,11,FALSE)</f>
        <v>2.0468362458386125</v>
      </c>
      <c r="BY58" s="69">
        <f>VLOOKUP($B58,$BN$198:$BZ$204,12,FALSE)</f>
        <v>1.9140404691321369</v>
      </c>
      <c r="BZ58" s="69">
        <f>VLOOKUP($B58,$BN$198:$BZ$204,13,FALSE)</f>
        <v>1.7004174496949338</v>
      </c>
      <c r="CF58" s="69">
        <f t="shared" si="19"/>
        <v>1.8881313504705786</v>
      </c>
    </row>
    <row r="59" spans="2:84" ht="12.75" customHeight="1" x14ac:dyDescent="0.25">
      <c r="B59" s="58">
        <v>3</v>
      </c>
      <c r="C59" s="59" t="s">
        <v>447</v>
      </c>
      <c r="D59" s="60" t="s">
        <v>448</v>
      </c>
      <c r="E59" s="60">
        <v>2010</v>
      </c>
      <c r="F59" s="77">
        <v>90.9</v>
      </c>
      <c r="G59" s="62">
        <v>9.1</v>
      </c>
      <c r="H59" s="63">
        <v>3.5</v>
      </c>
      <c r="I59" s="64"/>
      <c r="J59" s="65" t="s">
        <v>447</v>
      </c>
      <c r="P59" s="70">
        <v>7.2560596279407026</v>
      </c>
      <c r="Q59" s="71">
        <v>5.9316120877394631</v>
      </c>
      <c r="R59" s="71">
        <v>4.5359359200889671</v>
      </c>
      <c r="S59" s="71">
        <v>4.0368610308974358</v>
      </c>
      <c r="T59" s="71">
        <v>3.4932808830074338</v>
      </c>
      <c r="U59" s="71">
        <v>4</v>
      </c>
      <c r="V59" s="71" t="s">
        <v>355</v>
      </c>
      <c r="Z59" s="71" t="s">
        <v>355</v>
      </c>
      <c r="AA59" s="70">
        <f t="shared" si="16"/>
        <v>4.8756249249456669</v>
      </c>
      <c r="AC59" s="67" t="s">
        <v>448</v>
      </c>
      <c r="AI59" s="72">
        <v>110.75948870112877</v>
      </c>
      <c r="AJ59" s="72">
        <v>127.57602703681808</v>
      </c>
      <c r="AK59" s="72">
        <v>144.67266034302264</v>
      </c>
      <c r="AL59" s="72">
        <v>134.51235466050866</v>
      </c>
      <c r="AM59" s="72">
        <v>133.05501736049047</v>
      </c>
      <c r="AN59" s="72">
        <v>114.7</v>
      </c>
      <c r="AT59" s="72">
        <f t="shared" si="17"/>
        <v>127.54592468366145</v>
      </c>
      <c r="AV59" s="59" t="s">
        <v>447</v>
      </c>
      <c r="BB59" s="73">
        <v>12.871654095737279</v>
      </c>
      <c r="BC59" s="73">
        <v>12.535734437813304</v>
      </c>
      <c r="BD59" s="73">
        <v>12.382018547218236</v>
      </c>
      <c r="BE59" s="73">
        <v>13.046909789852618</v>
      </c>
      <c r="BF59" s="73">
        <v>13.4</v>
      </c>
      <c r="BG59" s="73">
        <v>14.5</v>
      </c>
      <c r="BM59" s="73">
        <f t="shared" si="18"/>
        <v>13.122719478436906</v>
      </c>
      <c r="BO59" s="59" t="s">
        <v>447</v>
      </c>
      <c r="BT59" s="74"/>
      <c r="BU59" s="75">
        <v>1.7689580617923726</v>
      </c>
      <c r="BV59" s="75">
        <v>1.89</v>
      </c>
      <c r="BW59" s="75">
        <v>2.54</v>
      </c>
      <c r="BX59" s="75">
        <v>2.61</v>
      </c>
      <c r="BY59" s="75">
        <v>2.73</v>
      </c>
      <c r="BZ59" s="75">
        <v>2.2999999999999998</v>
      </c>
      <c r="CF59" s="75">
        <f t="shared" si="19"/>
        <v>2.3064930102987287</v>
      </c>
    </row>
    <row r="60" spans="2:84" ht="12.75" customHeight="1" x14ac:dyDescent="0.25">
      <c r="B60" s="58">
        <v>3</v>
      </c>
      <c r="C60" s="59" t="s">
        <v>449</v>
      </c>
      <c r="D60" s="60" t="s">
        <v>450</v>
      </c>
      <c r="E60" s="60">
        <v>2010</v>
      </c>
      <c r="F60" s="77">
        <v>83</v>
      </c>
      <c r="G60" s="62">
        <v>17</v>
      </c>
      <c r="H60" s="63">
        <v>5.3</v>
      </c>
      <c r="I60" s="64"/>
      <c r="J60" s="65" t="s">
        <v>449</v>
      </c>
      <c r="P60" s="70">
        <v>6.4</v>
      </c>
      <c r="Q60" s="71">
        <v>4.8886888073013086</v>
      </c>
      <c r="R60" s="71">
        <v>3.3034085088799165</v>
      </c>
      <c r="S60" s="71">
        <v>2.854222929832138</v>
      </c>
      <c r="T60" s="71">
        <v>2.5029654079204344</v>
      </c>
      <c r="U60" s="71">
        <v>3.5298264779376689</v>
      </c>
      <c r="V60" s="71" t="s">
        <v>355</v>
      </c>
      <c r="Z60" s="71" t="s">
        <v>355</v>
      </c>
      <c r="AA60" s="70">
        <f t="shared" si="16"/>
        <v>3.9131853553119114</v>
      </c>
      <c r="AC60" s="67" t="s">
        <v>450</v>
      </c>
      <c r="AI60" s="72">
        <v>118.97640151755337</v>
      </c>
      <c r="AJ60" s="72">
        <v>143.66867513714311</v>
      </c>
      <c r="AK60" s="72">
        <v>182.65846938491626</v>
      </c>
      <c r="AL60" s="72">
        <v>199.76705260620221</v>
      </c>
      <c r="AM60" s="72">
        <v>215.90346995386403</v>
      </c>
      <c r="AN60" s="72">
        <v>172.3059669009277</v>
      </c>
      <c r="AT60" s="72">
        <f t="shared" si="17"/>
        <v>172.21333925010109</v>
      </c>
      <c r="AV60" s="59" t="s">
        <v>449</v>
      </c>
      <c r="BB60" s="73">
        <v>12.025044976605599</v>
      </c>
      <c r="BC60" s="73">
        <v>11.6494719023864</v>
      </c>
      <c r="BD60" s="73">
        <v>12.0039109032745</v>
      </c>
      <c r="BE60" s="73">
        <v>12.512282280187399</v>
      </c>
      <c r="BF60" s="73">
        <v>12.963851413653201</v>
      </c>
      <c r="BG60" s="73">
        <v>13.930000000000001</v>
      </c>
      <c r="BM60" s="73">
        <f t="shared" si="18"/>
        <v>12.514093579351185</v>
      </c>
      <c r="BO60" s="59" t="s">
        <v>449</v>
      </c>
      <c r="BT60" s="74"/>
      <c r="BU60" s="75">
        <v>1.2093268640454642</v>
      </c>
      <c r="BV60" s="75">
        <v>1.5</v>
      </c>
      <c r="BW60" s="75">
        <v>2.009413917432894</v>
      </c>
      <c r="BX60" s="75">
        <v>2.0435677273704775</v>
      </c>
      <c r="BY60" s="75">
        <v>1.7222354492414969</v>
      </c>
      <c r="BZ60" s="75">
        <v>1.3397145937911574</v>
      </c>
      <c r="CF60" s="75">
        <f t="shared" si="19"/>
        <v>1.6373764253135816</v>
      </c>
    </row>
    <row r="61" spans="2:84" ht="12.75" customHeight="1" x14ac:dyDescent="0.25">
      <c r="B61" s="76">
        <v>4</v>
      </c>
      <c r="C61" s="59" t="s">
        <v>451</v>
      </c>
      <c r="D61" s="60" t="s">
        <v>452</v>
      </c>
      <c r="E61" s="60">
        <v>2010</v>
      </c>
      <c r="F61" s="77">
        <v>82.6</v>
      </c>
      <c r="G61" s="62">
        <v>17.399999999999999</v>
      </c>
      <c r="H61" s="63">
        <v>4.2</v>
      </c>
      <c r="I61" s="64"/>
      <c r="J61" s="65" t="s">
        <v>451</v>
      </c>
      <c r="P61" s="70">
        <v>23.6</v>
      </c>
      <c r="Q61" s="71">
        <v>26.5</v>
      </c>
      <c r="R61" s="71">
        <v>18.2</v>
      </c>
      <c r="S61" s="71">
        <v>19.3</v>
      </c>
      <c r="T61" s="71">
        <v>14.8</v>
      </c>
      <c r="U61" s="71">
        <v>13.4</v>
      </c>
      <c r="V61" s="71" t="s">
        <v>355</v>
      </c>
      <c r="Z61" s="71" t="s">
        <v>355</v>
      </c>
      <c r="AA61" s="70">
        <f t="shared" si="16"/>
        <v>19.3</v>
      </c>
      <c r="AC61" s="67" t="s">
        <v>452</v>
      </c>
      <c r="AI61" s="72">
        <v>60.2</v>
      </c>
      <c r="AJ61" s="72">
        <v>51</v>
      </c>
      <c r="AK61" s="72">
        <v>76.2</v>
      </c>
      <c r="AL61" s="72">
        <v>74.599999999999994</v>
      </c>
      <c r="AM61" s="72">
        <v>92.1</v>
      </c>
      <c r="AN61" s="72">
        <v>94.5</v>
      </c>
      <c r="AT61" s="72">
        <f t="shared" si="17"/>
        <v>74.766666666666666</v>
      </c>
      <c r="AV61" s="59" t="s">
        <v>451</v>
      </c>
      <c r="BB61" s="73">
        <v>11.4</v>
      </c>
      <c r="BC61" s="73">
        <v>13.7</v>
      </c>
      <c r="BD61" s="73">
        <v>14.7</v>
      </c>
      <c r="BE61" s="73">
        <v>14.8</v>
      </c>
      <c r="BF61" s="73">
        <v>14.7</v>
      </c>
      <c r="BG61" s="73">
        <v>15.3</v>
      </c>
      <c r="BM61" s="73">
        <f t="shared" si="18"/>
        <v>14.1</v>
      </c>
      <c r="BO61" s="59" t="s">
        <v>451</v>
      </c>
      <c r="BT61" s="74"/>
      <c r="BU61" s="75">
        <v>0.5</v>
      </c>
      <c r="BV61" s="75">
        <v>0.6</v>
      </c>
      <c r="BW61" s="75">
        <v>0.8</v>
      </c>
      <c r="BX61" s="75">
        <v>0.9</v>
      </c>
      <c r="BY61" s="75">
        <v>0.8</v>
      </c>
      <c r="BZ61" s="75" t="s">
        <v>380</v>
      </c>
      <c r="CF61" s="75">
        <f t="shared" si="19"/>
        <v>0.72000000000000008</v>
      </c>
    </row>
    <row r="62" spans="2:84" ht="12.75" customHeight="1" x14ac:dyDescent="0.25">
      <c r="B62" s="58">
        <v>3</v>
      </c>
      <c r="C62" s="59" t="s">
        <v>453</v>
      </c>
      <c r="D62" s="60" t="s">
        <v>454</v>
      </c>
      <c r="E62" s="60">
        <v>2010</v>
      </c>
      <c r="F62" s="77">
        <v>70.8</v>
      </c>
      <c r="G62" s="62">
        <v>29.2</v>
      </c>
      <c r="H62" s="63">
        <v>4</v>
      </c>
      <c r="I62" s="64"/>
      <c r="J62" s="65" t="s">
        <v>453</v>
      </c>
      <c r="P62" s="70">
        <v>2.2999999999999998</v>
      </c>
      <c r="Q62" s="71">
        <v>1.9</v>
      </c>
      <c r="R62" s="71">
        <v>1.9</v>
      </c>
      <c r="S62" s="71">
        <v>2.1</v>
      </c>
      <c r="T62" s="71">
        <v>2.8</v>
      </c>
      <c r="U62" s="71">
        <v>4.4000000000000004</v>
      </c>
      <c r="V62" s="71" t="s">
        <v>355</v>
      </c>
      <c r="Z62" s="71" t="s">
        <v>355</v>
      </c>
      <c r="AA62" s="70">
        <f t="shared" si="16"/>
        <v>2.5666666666666669</v>
      </c>
      <c r="AC62" s="67" t="s">
        <v>454</v>
      </c>
      <c r="AI62" s="72">
        <v>132.32</v>
      </c>
      <c r="AJ62" s="72">
        <v>126.67</v>
      </c>
      <c r="AK62" s="72">
        <v>116.37</v>
      </c>
      <c r="AL62" s="72">
        <v>120.01</v>
      </c>
      <c r="AM62" s="72">
        <v>110.4</v>
      </c>
      <c r="AN62" s="72">
        <v>99</v>
      </c>
      <c r="AT62" s="72">
        <f t="shared" si="17"/>
        <v>117.46166666666666</v>
      </c>
      <c r="AV62" s="59" t="s">
        <v>453</v>
      </c>
      <c r="BB62" s="73">
        <v>13.4</v>
      </c>
      <c r="BC62" s="73">
        <v>13.5</v>
      </c>
      <c r="BD62" s="73">
        <v>13.79</v>
      </c>
      <c r="BE62" s="73">
        <v>13.82</v>
      </c>
      <c r="BF62" s="73">
        <v>15.1</v>
      </c>
      <c r="BG62" s="73">
        <v>16.5</v>
      </c>
      <c r="BM62" s="73">
        <f t="shared" si="18"/>
        <v>14.351666666666667</v>
      </c>
      <c r="BO62" s="59" t="s">
        <v>453</v>
      </c>
      <c r="BT62" s="74"/>
      <c r="BU62" s="75">
        <v>1.02</v>
      </c>
      <c r="BV62" s="75">
        <v>1.18</v>
      </c>
      <c r="BW62" s="75">
        <v>1.5</v>
      </c>
      <c r="BX62" s="75">
        <v>1.19</v>
      </c>
      <c r="BY62" s="75">
        <v>1</v>
      </c>
      <c r="BZ62" s="75">
        <v>0.5</v>
      </c>
      <c r="CF62" s="75">
        <f t="shared" si="19"/>
        <v>1.0650000000000002</v>
      </c>
    </row>
    <row r="63" spans="2:84" ht="12.75" customHeight="1" x14ac:dyDescent="0.25">
      <c r="B63" s="76">
        <v>6</v>
      </c>
      <c r="C63" s="59" t="s">
        <v>455</v>
      </c>
      <c r="D63" s="60" t="s">
        <v>456</v>
      </c>
      <c r="E63" s="60">
        <v>2010</v>
      </c>
      <c r="F63" s="61">
        <v>77.165714285714287</v>
      </c>
      <c r="G63" s="62" t="s">
        <v>355</v>
      </c>
      <c r="H63" s="63" t="s">
        <v>355</v>
      </c>
      <c r="I63" s="64"/>
      <c r="J63" s="65" t="s">
        <v>455</v>
      </c>
      <c r="P63" s="66">
        <v>12.639230769230769</v>
      </c>
      <c r="Q63" s="66">
        <v>12.165410295921369</v>
      </c>
      <c r="R63" s="66">
        <v>10.59847453234358</v>
      </c>
      <c r="S63" s="66">
        <v>9.472707780057064</v>
      </c>
      <c r="T63" s="66">
        <v>7.9803674992915017</v>
      </c>
      <c r="U63" s="66">
        <v>8.8942099137723467</v>
      </c>
      <c r="V63" s="66">
        <v>9.5068542417657511</v>
      </c>
      <c r="Z63" s="66">
        <v>9.5068542417657511</v>
      </c>
      <c r="AA63" s="66">
        <f t="shared" si="16"/>
        <v>10.095513659268518</v>
      </c>
      <c r="AC63" s="67" t="s">
        <v>456</v>
      </c>
      <c r="AI63" s="66">
        <f>VLOOKUP($B63,$AB$198:$AN$204,8,FALSE)</f>
        <v>75.888644067796605</v>
      </c>
      <c r="AJ63" s="66">
        <f>VLOOKUP($B63,$AB$198:$AN$204,9,FALSE)</f>
        <v>80.455696202531627</v>
      </c>
      <c r="AK63" s="66">
        <f>VLOOKUP($B63,$AB$198:$AN$204,10,FALSE)</f>
        <v>79.335945945945952</v>
      </c>
      <c r="AL63" s="66">
        <f>VLOOKUP($B63,$AB$198:$AN$204,11,FALSE)</f>
        <v>70.762500000000003</v>
      </c>
      <c r="AM63" s="66">
        <f>VLOOKUP($B63,$AB$198:$AN$204,12,FALSE)</f>
        <v>76.45</v>
      </c>
      <c r="AN63" s="66">
        <f>VLOOKUP($B63,$AB$198:$AN$204,13,FALSE)</f>
        <v>67.424999999999997</v>
      </c>
      <c r="AT63" s="66">
        <f t="shared" si="17"/>
        <v>75.05296436937904</v>
      </c>
      <c r="AV63" s="59" t="s">
        <v>455</v>
      </c>
      <c r="BB63" s="68">
        <f>VLOOKUP($B63,$AU$198:$BH$204,8,FALSE)</f>
        <v>18.156923076923078</v>
      </c>
      <c r="BC63" s="68">
        <f>VLOOKUP($B63,$AU$198:$BH$204,9,FALSE)</f>
        <v>17.862307692307695</v>
      </c>
      <c r="BD63" s="68">
        <f>VLOOKUP($B63,$AU$198:$BH$204,10,FALSE)</f>
        <v>17.588461538461537</v>
      </c>
      <c r="BE63" s="68">
        <f>VLOOKUP($B63,$AU$198:$BH$204,11,FALSE)</f>
        <v>17.724615384615387</v>
      </c>
      <c r="BF63" s="68">
        <f>VLOOKUP($B63,$AU$198:$BH$204,12,FALSE)</f>
        <v>18.493846153846153</v>
      </c>
      <c r="BG63" s="68">
        <f>VLOOKUP($B63,$AU$198:$BH$204,13,FALSE)</f>
        <v>19.346363636363638</v>
      </c>
      <c r="BM63" s="68">
        <f t="shared" si="18"/>
        <v>18.195419580419578</v>
      </c>
      <c r="BO63" s="59" t="s">
        <v>455</v>
      </c>
      <c r="BT63" s="74"/>
      <c r="BU63" s="69">
        <f>VLOOKUP($B63,$BN$198:$BZ$204,8,FALSE)</f>
        <v>3.2984615384615386</v>
      </c>
      <c r="BV63" s="69">
        <f>VLOOKUP($B63,$BN$198:$BZ$204,9,FALSE)</f>
        <v>2.7469230769230766</v>
      </c>
      <c r="BW63" s="69">
        <f>VLOOKUP($B63,$BN$198:$BZ$204,10,FALSE)</f>
        <v>2.7653846153846158</v>
      </c>
      <c r="BX63" s="69">
        <f>VLOOKUP($B63,$BN$198:$BZ$204,11,FALSE)</f>
        <v>2.525384615384616</v>
      </c>
      <c r="BY63" s="69">
        <f>VLOOKUP($B63,$BN$198:$BZ$204,12,FALSE)</f>
        <v>2.9269230769230767</v>
      </c>
      <c r="BZ63" s="69">
        <f>VLOOKUP($B63,$BN$198:$BZ$204,13,FALSE)</f>
        <v>2.36</v>
      </c>
      <c r="CF63" s="69">
        <f t="shared" si="19"/>
        <v>2.7705128205128204</v>
      </c>
    </row>
    <row r="64" spans="2:84" ht="12.75" customHeight="1" x14ac:dyDescent="0.25">
      <c r="B64" s="76">
        <v>6</v>
      </c>
      <c r="C64" s="59" t="s">
        <v>457</v>
      </c>
      <c r="D64" s="60" t="s">
        <v>458</v>
      </c>
      <c r="E64" s="60">
        <v>2010</v>
      </c>
      <c r="F64" s="61">
        <v>77.165714285714287</v>
      </c>
      <c r="G64" s="62" t="s">
        <v>355</v>
      </c>
      <c r="H64" s="63" t="s">
        <v>355</v>
      </c>
      <c r="I64" s="64"/>
      <c r="J64" s="65" t="s">
        <v>457</v>
      </c>
      <c r="P64" s="66">
        <v>12.639230769230769</v>
      </c>
      <c r="Q64" s="66">
        <v>12.165410295921369</v>
      </c>
      <c r="R64" s="66">
        <v>10.59847453234358</v>
      </c>
      <c r="S64" s="66">
        <v>9.472707780057064</v>
      </c>
      <c r="T64" s="66">
        <v>7.9803674992915017</v>
      </c>
      <c r="U64" s="66">
        <v>8.8942099137723467</v>
      </c>
      <c r="V64" s="66">
        <v>9.5068542417657511</v>
      </c>
      <c r="Z64" s="66">
        <v>9.5068542417657511</v>
      </c>
      <c r="AA64" s="66">
        <f t="shared" si="16"/>
        <v>10.095513659268518</v>
      </c>
      <c r="AC64" s="67" t="s">
        <v>458</v>
      </c>
      <c r="AI64" s="66">
        <f>VLOOKUP($B64,$AB$198:$AN$204,8,FALSE)</f>
        <v>75.888644067796605</v>
      </c>
      <c r="AJ64" s="66">
        <f>VLOOKUP($B64,$AB$198:$AN$204,9,FALSE)</f>
        <v>80.455696202531627</v>
      </c>
      <c r="AK64" s="66">
        <f>VLOOKUP($B64,$AB$198:$AN$204,10,FALSE)</f>
        <v>79.335945945945952</v>
      </c>
      <c r="AL64" s="66">
        <f>VLOOKUP($B64,$AB$198:$AN$204,11,FALSE)</f>
        <v>70.762500000000003</v>
      </c>
      <c r="AM64" s="66">
        <f>VLOOKUP($B64,$AB$198:$AN$204,12,FALSE)</f>
        <v>76.45</v>
      </c>
      <c r="AN64" s="66">
        <f>VLOOKUP($B64,$AB$198:$AN$204,13,FALSE)</f>
        <v>67.424999999999997</v>
      </c>
      <c r="AT64" s="66">
        <f t="shared" si="17"/>
        <v>75.05296436937904</v>
      </c>
      <c r="AV64" s="59" t="s">
        <v>457</v>
      </c>
      <c r="BB64" s="68">
        <f>VLOOKUP($B64,$AU$198:$BH$204,8,FALSE)</f>
        <v>18.156923076923078</v>
      </c>
      <c r="BC64" s="68">
        <f>VLOOKUP($B64,$AU$198:$BH$204,9,FALSE)</f>
        <v>17.862307692307695</v>
      </c>
      <c r="BD64" s="68">
        <f>VLOOKUP($B64,$AU$198:$BH$204,10,FALSE)</f>
        <v>17.588461538461537</v>
      </c>
      <c r="BE64" s="68">
        <f>VLOOKUP($B64,$AU$198:$BH$204,11,FALSE)</f>
        <v>17.724615384615387</v>
      </c>
      <c r="BF64" s="68">
        <f>VLOOKUP($B64,$AU$198:$BH$204,12,FALSE)</f>
        <v>18.493846153846153</v>
      </c>
      <c r="BG64" s="68">
        <f>VLOOKUP($B64,$AU$198:$BH$204,13,FALSE)</f>
        <v>19.346363636363638</v>
      </c>
      <c r="BM64" s="68">
        <f t="shared" si="18"/>
        <v>18.195419580419578</v>
      </c>
      <c r="BO64" s="59" t="s">
        <v>457</v>
      </c>
      <c r="BT64" s="74"/>
      <c r="BU64" s="69">
        <f>VLOOKUP($B64,$BN$198:$BZ$204,8,FALSE)</f>
        <v>3.2984615384615386</v>
      </c>
      <c r="BV64" s="69">
        <f>VLOOKUP($B64,$BN$198:$BZ$204,9,FALSE)</f>
        <v>2.7469230769230766</v>
      </c>
      <c r="BW64" s="69">
        <f>VLOOKUP($B64,$BN$198:$BZ$204,10,FALSE)</f>
        <v>2.7653846153846158</v>
      </c>
      <c r="BX64" s="69">
        <f>VLOOKUP($B64,$BN$198:$BZ$204,11,FALSE)</f>
        <v>2.525384615384616</v>
      </c>
      <c r="BY64" s="69">
        <f>VLOOKUP($B64,$BN$198:$BZ$204,12,FALSE)</f>
        <v>2.9269230769230767</v>
      </c>
      <c r="BZ64" s="69">
        <f>VLOOKUP($B64,$BN$198:$BZ$204,13,FALSE)</f>
        <v>2.36</v>
      </c>
      <c r="CF64" s="69">
        <f t="shared" si="19"/>
        <v>2.7705128205128204</v>
      </c>
    </row>
    <row r="65" spans="2:84" ht="12.75" customHeight="1" x14ac:dyDescent="0.25">
      <c r="B65" s="58">
        <v>2</v>
      </c>
      <c r="C65" s="59" t="s">
        <v>459</v>
      </c>
      <c r="D65" s="60" t="s">
        <v>460</v>
      </c>
      <c r="E65" s="60">
        <v>2010</v>
      </c>
      <c r="F65" s="77">
        <v>64.5</v>
      </c>
      <c r="G65" s="62">
        <v>35.5</v>
      </c>
      <c r="H65" s="63">
        <v>3</v>
      </c>
      <c r="I65" s="64"/>
      <c r="J65" s="65" t="s">
        <v>459</v>
      </c>
      <c r="P65" s="70">
        <v>0.2577895</v>
      </c>
      <c r="Q65" s="71">
        <v>0.20254126</v>
      </c>
      <c r="R65" s="71">
        <v>0.18466517327935927</v>
      </c>
      <c r="S65" s="71">
        <v>0.44</v>
      </c>
      <c r="T65" s="71">
        <v>1.9446847760787696</v>
      </c>
      <c r="U65" s="71">
        <v>5.2006940000000004</v>
      </c>
      <c r="V65" s="71">
        <v>5.6291000000000002</v>
      </c>
      <c r="Z65" s="71">
        <v>5.6291000000000002</v>
      </c>
      <c r="AA65" s="70">
        <f t="shared" si="16"/>
        <v>2.4360718386697662</v>
      </c>
      <c r="AC65" s="67" t="s">
        <v>460</v>
      </c>
      <c r="AI65" s="72" t="s">
        <v>380</v>
      </c>
      <c r="AJ65" s="72">
        <v>235.41</v>
      </c>
      <c r="AK65" s="72">
        <v>213.61</v>
      </c>
      <c r="AL65" s="72">
        <v>110.89</v>
      </c>
      <c r="AM65" s="72">
        <v>57.168098342953144</v>
      </c>
      <c r="AN65" s="72">
        <v>83.5</v>
      </c>
      <c r="AT65" s="72">
        <f t="shared" si="17"/>
        <v>140.11561966859063</v>
      </c>
      <c r="AV65" s="59" t="s">
        <v>459</v>
      </c>
      <c r="BB65" s="73">
        <v>11.466512688603428</v>
      </c>
      <c r="BC65" s="73">
        <v>10.716773622008187</v>
      </c>
      <c r="BD65" s="73">
        <v>10.785011714535518</v>
      </c>
      <c r="BE65" s="73">
        <v>10.838735807428518</v>
      </c>
      <c r="BF65" s="73">
        <v>13.31801941909645</v>
      </c>
      <c r="BG65" s="73">
        <v>15.739320288253932</v>
      </c>
      <c r="BM65" s="73">
        <f t="shared" si="18"/>
        <v>12.144062256654339</v>
      </c>
      <c r="BO65" s="59" t="s">
        <v>459</v>
      </c>
      <c r="BT65" s="74"/>
      <c r="BU65" s="75">
        <v>2.1347221157877372</v>
      </c>
      <c r="BV65" s="75">
        <v>1.960537774325942</v>
      </c>
      <c r="BW65" s="75">
        <v>1.704196313136694</v>
      </c>
      <c r="BX65" s="75">
        <v>2.5907660052029722</v>
      </c>
      <c r="BY65" s="75">
        <v>0.26550000000000001</v>
      </c>
      <c r="BZ65" s="75">
        <v>-5.8424300000000002</v>
      </c>
      <c r="CF65" s="75">
        <f t="shared" si="19"/>
        <v>0.46888203474222401</v>
      </c>
    </row>
    <row r="66" spans="2:84" ht="12.75" customHeight="1" x14ac:dyDescent="0.25">
      <c r="B66" s="76">
        <v>6</v>
      </c>
      <c r="C66" s="59" t="s">
        <v>461</v>
      </c>
      <c r="D66" s="60" t="s">
        <v>462</v>
      </c>
      <c r="E66" s="60">
        <v>2010</v>
      </c>
      <c r="F66" s="77">
        <v>68.7</v>
      </c>
      <c r="G66" s="62">
        <v>31.3</v>
      </c>
      <c r="H66" s="63">
        <v>3</v>
      </c>
      <c r="I66" s="64"/>
      <c r="J66" s="65" t="s">
        <v>461</v>
      </c>
      <c r="P66" s="66">
        <v>12.639230769230769</v>
      </c>
      <c r="Q66" s="66">
        <v>12.165410295921369</v>
      </c>
      <c r="R66" s="66">
        <v>10.59847453234358</v>
      </c>
      <c r="S66" s="66">
        <v>9.472707780057064</v>
      </c>
      <c r="T66" s="66">
        <v>7.9803674992915017</v>
      </c>
      <c r="U66" s="66">
        <v>8.8942099137723467</v>
      </c>
      <c r="V66" s="66">
        <v>9.5068542417657511</v>
      </c>
      <c r="Z66" s="66">
        <v>9.5068542417657511</v>
      </c>
      <c r="AA66" s="66">
        <f t="shared" si="16"/>
        <v>10.095513659268518</v>
      </c>
      <c r="AC66" s="67" t="s">
        <v>462</v>
      </c>
      <c r="AI66" s="66">
        <f>VLOOKUP($B66,$AB$198:$AN$204,8,FALSE)</f>
        <v>75.888644067796605</v>
      </c>
      <c r="AJ66" s="66">
        <f>VLOOKUP($B66,$AB$198:$AN$204,9,FALSE)</f>
        <v>80.455696202531627</v>
      </c>
      <c r="AK66" s="66">
        <f>VLOOKUP($B66,$AB$198:$AN$204,10,FALSE)</f>
        <v>79.335945945945952</v>
      </c>
      <c r="AL66" s="66">
        <f>VLOOKUP($B66,$AB$198:$AN$204,11,FALSE)</f>
        <v>70.762500000000003</v>
      </c>
      <c r="AM66" s="66">
        <f>VLOOKUP($B66,$AB$198:$AN$204,12,FALSE)</f>
        <v>76.45</v>
      </c>
      <c r="AN66" s="66">
        <f>VLOOKUP($B66,$AB$198:$AN$204,13,FALSE)</f>
        <v>67.424999999999997</v>
      </c>
      <c r="AT66" s="66">
        <f t="shared" si="17"/>
        <v>75.05296436937904</v>
      </c>
      <c r="AV66" s="59" t="s">
        <v>461</v>
      </c>
      <c r="BB66" s="68">
        <f>VLOOKUP($B66,$AU$198:$BH$204,8,FALSE)</f>
        <v>18.156923076923078</v>
      </c>
      <c r="BC66" s="68">
        <f>VLOOKUP($B66,$AU$198:$BH$204,9,FALSE)</f>
        <v>17.862307692307695</v>
      </c>
      <c r="BD66" s="68">
        <f>VLOOKUP($B66,$AU$198:$BH$204,10,FALSE)</f>
        <v>17.588461538461537</v>
      </c>
      <c r="BE66" s="68">
        <f>VLOOKUP($B66,$AU$198:$BH$204,11,FALSE)</f>
        <v>17.724615384615387</v>
      </c>
      <c r="BF66" s="68">
        <f>VLOOKUP($B66,$AU$198:$BH$204,12,FALSE)</f>
        <v>18.493846153846153</v>
      </c>
      <c r="BG66" s="68">
        <f>VLOOKUP($B66,$AU$198:$BH$204,13,FALSE)</f>
        <v>19.346363636363638</v>
      </c>
      <c r="BM66" s="68">
        <f t="shared" si="18"/>
        <v>18.195419580419578</v>
      </c>
      <c r="BO66" s="59" t="s">
        <v>461</v>
      </c>
      <c r="BT66" s="74"/>
      <c r="BU66" s="69">
        <f>VLOOKUP($B66,$BN$198:$BZ$204,8,FALSE)</f>
        <v>3.2984615384615386</v>
      </c>
      <c r="BV66" s="69">
        <f>VLOOKUP($B66,$BN$198:$BZ$204,9,FALSE)</f>
        <v>2.7469230769230766</v>
      </c>
      <c r="BW66" s="69">
        <f>VLOOKUP($B66,$BN$198:$BZ$204,10,FALSE)</f>
        <v>2.7653846153846158</v>
      </c>
      <c r="BX66" s="69">
        <f>VLOOKUP($B66,$BN$198:$BZ$204,11,FALSE)</f>
        <v>2.525384615384616</v>
      </c>
      <c r="BY66" s="69">
        <f>VLOOKUP($B66,$BN$198:$BZ$204,12,FALSE)</f>
        <v>2.9269230769230767</v>
      </c>
      <c r="BZ66" s="69">
        <f>VLOOKUP($B66,$BN$198:$BZ$204,13,FALSE)</f>
        <v>2.36</v>
      </c>
      <c r="CF66" s="69">
        <f t="shared" si="19"/>
        <v>2.7705128205128204</v>
      </c>
    </row>
    <row r="67" spans="2:84" ht="12.75" customHeight="1" x14ac:dyDescent="0.25">
      <c r="B67" s="76">
        <v>1</v>
      </c>
      <c r="C67" s="59" t="s">
        <v>463</v>
      </c>
      <c r="D67" s="60" t="s">
        <v>464</v>
      </c>
      <c r="E67" s="60">
        <v>2010</v>
      </c>
      <c r="F67" s="77">
        <v>79.5</v>
      </c>
      <c r="G67" s="62">
        <v>20.5</v>
      </c>
      <c r="H67" s="63">
        <v>1.8</v>
      </c>
      <c r="I67" s="64"/>
      <c r="J67" s="65" t="s">
        <v>463</v>
      </c>
      <c r="P67" s="66">
        <v>10.951448940605555</v>
      </c>
      <c r="Q67" s="66">
        <v>8.9659352564169783</v>
      </c>
      <c r="R67" s="66">
        <v>7.5764805003373485</v>
      </c>
      <c r="S67" s="66">
        <v>6.9766808385753336</v>
      </c>
      <c r="T67" s="66">
        <v>6.028398498646701</v>
      </c>
      <c r="U67" s="66">
        <v>5.1511144935422388</v>
      </c>
      <c r="V67" s="66">
        <v>7.19</v>
      </c>
      <c r="Z67" s="66">
        <v>7.19</v>
      </c>
      <c r="AA67" s="66">
        <f t="shared" si="16"/>
        <v>7.5037573160155189</v>
      </c>
      <c r="AC67" s="67" t="s">
        <v>464</v>
      </c>
      <c r="AI67" s="66">
        <f>VLOOKUP($B67,$AB$198:$AN$204,8,FALSE)</f>
        <v>62.267766724334649</v>
      </c>
      <c r="AJ67" s="66">
        <f>VLOOKUP($B67,$AB$198:$AN$204,9,FALSE)</f>
        <v>58.416201756290228</v>
      </c>
      <c r="AK67" s="66">
        <f>VLOOKUP($B67,$AB$198:$AN$204,10,FALSE)</f>
        <v>65.401431372790213</v>
      </c>
      <c r="AL67" s="66">
        <f>VLOOKUP($B67,$AB$198:$AN$204,11,FALSE)</f>
        <v>71.775804261946988</v>
      </c>
      <c r="AM67" s="66">
        <f>VLOOKUP($B67,$AB$198:$AN$204,12,FALSE)</f>
        <v>85.024999999999991</v>
      </c>
      <c r="AN67" s="66">
        <f>VLOOKUP($B67,$AB$198:$AN$204,13,FALSE)</f>
        <v>106.17999999999999</v>
      </c>
      <c r="AT67" s="66">
        <f t="shared" si="17"/>
        <v>74.84436735256034</v>
      </c>
      <c r="AV67" s="59" t="s">
        <v>463</v>
      </c>
      <c r="BB67" s="68">
        <f>VLOOKUP($B67,$AU$198:$BH$204,8,FALSE)</f>
        <v>11.270393306464786</v>
      </c>
      <c r="BC67" s="68">
        <f>VLOOKUP($B67,$AU$198:$BH$204,9,FALSE)</f>
        <v>12.218846153846155</v>
      </c>
      <c r="BD67" s="68">
        <f>VLOOKUP($B67,$AU$198:$BH$204,10,FALSE)</f>
        <v>12.689038461538463</v>
      </c>
      <c r="BE67" s="68">
        <f>VLOOKUP($B67,$AU$198:$BH$204,11,FALSE)</f>
        <v>12.925000000000001</v>
      </c>
      <c r="BF67" s="68">
        <f>VLOOKUP($B67,$AU$198:$BH$204,12,FALSE)</f>
        <v>13.27</v>
      </c>
      <c r="BG67" s="68">
        <f>VLOOKUP($B67,$AU$198:$BH$204,13,FALSE)</f>
        <v>14.116666666666667</v>
      </c>
      <c r="BM67" s="68">
        <f t="shared" si="18"/>
        <v>12.748324098086011</v>
      </c>
      <c r="BO67" s="59" t="s">
        <v>463</v>
      </c>
      <c r="BT67" s="74"/>
      <c r="BU67" s="69">
        <f>VLOOKUP($B67,$BN$198:$BZ$204,8,FALSE)</f>
        <v>1.1095149831589846</v>
      </c>
      <c r="BV67" s="69">
        <f>VLOOKUP($B67,$BN$198:$BZ$204,9,FALSE)</f>
        <v>1.2860560376080794</v>
      </c>
      <c r="BW67" s="69">
        <f>VLOOKUP($B67,$BN$198:$BZ$204,10,FALSE)</f>
        <v>1.0562499999999999</v>
      </c>
      <c r="BX67" s="69">
        <f>VLOOKUP($B67,$BN$198:$BZ$204,11,FALSE)</f>
        <v>1.2375</v>
      </c>
      <c r="BY67" s="69">
        <f>VLOOKUP($B67,$BN$198:$BZ$204,12,FALSE)</f>
        <v>1.2124999999999999</v>
      </c>
      <c r="BZ67" s="69">
        <f>VLOOKUP($B67,$BN$198:$BZ$204,13,FALSE)</f>
        <v>1.3316666666666668</v>
      </c>
      <c r="CF67" s="69">
        <f t="shared" si="19"/>
        <v>1.2055812812389552</v>
      </c>
    </row>
    <row r="68" spans="2:84" ht="12.75" customHeight="1" x14ac:dyDescent="0.25">
      <c r="B68" s="76">
        <v>5</v>
      </c>
      <c r="C68" s="59" t="s">
        <v>465</v>
      </c>
      <c r="D68" s="60" t="s">
        <v>466</v>
      </c>
      <c r="E68" s="60">
        <v>2010</v>
      </c>
      <c r="F68" s="77">
        <v>10.599999999999994</v>
      </c>
      <c r="G68" s="62">
        <v>89.4</v>
      </c>
      <c r="H68" s="63">
        <v>0.9</v>
      </c>
      <c r="I68" s="64"/>
      <c r="J68" s="65" t="s">
        <v>465</v>
      </c>
      <c r="P68" s="70">
        <v>0.37</v>
      </c>
      <c r="Q68" s="71">
        <v>0.27</v>
      </c>
      <c r="R68" s="71">
        <v>0.26</v>
      </c>
      <c r="S68" s="71">
        <v>0.28999999999999998</v>
      </c>
      <c r="T68" s="71">
        <v>0.46500000000000002</v>
      </c>
      <c r="U68" s="71">
        <v>0.74399999999999999</v>
      </c>
      <c r="V68" s="71">
        <v>0.76</v>
      </c>
      <c r="Z68" s="71">
        <v>0.76</v>
      </c>
      <c r="AA68" s="70">
        <f t="shared" si="16"/>
        <v>0.48987499999999995</v>
      </c>
      <c r="AC68" s="67" t="s">
        <v>466</v>
      </c>
      <c r="AI68" s="72">
        <v>78.514548110834667</v>
      </c>
      <c r="AJ68" s="72">
        <v>85.834553818185924</v>
      </c>
      <c r="AK68" s="72" t="s">
        <v>380</v>
      </c>
      <c r="AL68" s="72" t="s">
        <v>380</v>
      </c>
      <c r="AM68" s="72" t="s">
        <v>380</v>
      </c>
      <c r="AN68" s="72" t="s">
        <v>380</v>
      </c>
      <c r="AT68" s="72">
        <f t="shared" si="17"/>
        <v>82.174550964510303</v>
      </c>
      <c r="AV68" s="59" t="s">
        <v>465</v>
      </c>
      <c r="BB68" s="73">
        <v>19.100000000000001</v>
      </c>
      <c r="BC68" s="73">
        <v>17.2</v>
      </c>
      <c r="BD68" s="73">
        <v>15.1</v>
      </c>
      <c r="BE68" s="73">
        <v>15.4</v>
      </c>
      <c r="BF68" s="73">
        <v>13.5</v>
      </c>
      <c r="BG68" s="73" t="s">
        <v>380</v>
      </c>
      <c r="BM68" s="73">
        <f t="shared" si="18"/>
        <v>16.059999999999999</v>
      </c>
      <c r="BO68" s="59" t="s">
        <v>465</v>
      </c>
      <c r="BT68" s="74"/>
      <c r="BU68" s="75">
        <v>0.8</v>
      </c>
      <c r="BV68" s="75">
        <v>0.9</v>
      </c>
      <c r="BW68" s="75">
        <v>1</v>
      </c>
      <c r="BX68" s="75">
        <v>1.2</v>
      </c>
      <c r="BY68" s="75">
        <v>0.8</v>
      </c>
      <c r="BZ68" s="75" t="s">
        <v>380</v>
      </c>
      <c r="CF68" s="75">
        <f t="shared" si="19"/>
        <v>0.94000000000000006</v>
      </c>
    </row>
    <row r="69" spans="2:84" ht="12.75" customHeight="1" x14ac:dyDescent="0.25">
      <c r="B69" s="76">
        <v>5</v>
      </c>
      <c r="C69" s="59" t="s">
        <v>467</v>
      </c>
      <c r="D69" s="60" t="s">
        <v>468</v>
      </c>
      <c r="E69" s="60">
        <v>2010</v>
      </c>
      <c r="F69" s="77">
        <v>54.8</v>
      </c>
      <c r="G69" s="62">
        <v>45.2</v>
      </c>
      <c r="H69" s="63">
        <v>1.9</v>
      </c>
      <c r="I69" s="64"/>
      <c r="J69" s="65" t="s">
        <v>467</v>
      </c>
      <c r="P69" s="70">
        <v>4.1970676525629997</v>
      </c>
      <c r="Q69" s="71">
        <v>3.5</v>
      </c>
      <c r="R69" s="71">
        <v>3.03</v>
      </c>
      <c r="S69" s="71">
        <v>2.7</v>
      </c>
      <c r="T69" s="71">
        <v>2.8372897232000001</v>
      </c>
      <c r="U69" s="71">
        <v>3.6446411500578701</v>
      </c>
      <c r="V69" s="71" t="s">
        <v>355</v>
      </c>
      <c r="Z69" s="71" t="s">
        <v>355</v>
      </c>
      <c r="AA69" s="70">
        <f t="shared" si="16"/>
        <v>3.3181664209701451</v>
      </c>
      <c r="AC69" s="67" t="s">
        <v>468</v>
      </c>
      <c r="AI69" s="72" t="s">
        <v>380</v>
      </c>
      <c r="AJ69" s="72" t="s">
        <v>380</v>
      </c>
      <c r="AK69" s="72">
        <v>170</v>
      </c>
      <c r="AL69" s="72">
        <v>158.30000000000001</v>
      </c>
      <c r="AM69" s="72">
        <v>131.04360428000001</v>
      </c>
      <c r="AN69" s="72" t="s">
        <v>380</v>
      </c>
      <c r="AT69" s="72">
        <f t="shared" si="17"/>
        <v>153.11453476</v>
      </c>
      <c r="AV69" s="59" t="s">
        <v>467</v>
      </c>
      <c r="BB69" s="73">
        <v>11.52</v>
      </c>
      <c r="BC69" s="73">
        <v>11.3</v>
      </c>
      <c r="BD69" s="73">
        <v>10.9</v>
      </c>
      <c r="BE69" s="73">
        <v>10.199999999999999</v>
      </c>
      <c r="BF69" s="73" t="s">
        <v>380</v>
      </c>
      <c r="BG69" s="73" t="s">
        <v>380</v>
      </c>
      <c r="BM69" s="73">
        <f t="shared" si="18"/>
        <v>10.98</v>
      </c>
      <c r="BO69" s="59" t="s">
        <v>467</v>
      </c>
      <c r="BT69" s="74"/>
      <c r="BU69" s="75">
        <v>0.5</v>
      </c>
      <c r="BV69" s="75">
        <v>0.56000000000000005</v>
      </c>
      <c r="BW69" s="75">
        <v>0.63</v>
      </c>
      <c r="BX69" s="75">
        <v>0.38</v>
      </c>
      <c r="BY69" s="75">
        <v>-4.1173817000000001E-2</v>
      </c>
      <c r="BZ69" s="75" t="s">
        <v>380</v>
      </c>
      <c r="CF69" s="75">
        <f t="shared" si="19"/>
        <v>0.40576523659999991</v>
      </c>
    </row>
    <row r="70" spans="2:84" ht="12.75" customHeight="1" x14ac:dyDescent="0.25">
      <c r="B70" s="76">
        <v>6</v>
      </c>
      <c r="C70" s="59" t="s">
        <v>469</v>
      </c>
      <c r="D70" s="60" t="s">
        <v>470</v>
      </c>
      <c r="E70" s="60">
        <v>2010</v>
      </c>
      <c r="F70" s="77">
        <v>84.8</v>
      </c>
      <c r="G70" s="62">
        <v>15.2</v>
      </c>
      <c r="H70" s="63">
        <v>5</v>
      </c>
      <c r="I70" s="64"/>
      <c r="J70" s="65" t="s">
        <v>469</v>
      </c>
      <c r="P70" s="70">
        <v>16</v>
      </c>
      <c r="Q70" s="71">
        <v>14.1</v>
      </c>
      <c r="R70" s="71">
        <v>10.7</v>
      </c>
      <c r="S70" s="71">
        <v>7.6</v>
      </c>
      <c r="T70" s="71">
        <v>8.5</v>
      </c>
      <c r="U70" s="71">
        <v>9.8000000000000007</v>
      </c>
      <c r="V70" s="71" t="s">
        <v>355</v>
      </c>
      <c r="Z70" s="71" t="s">
        <v>355</v>
      </c>
      <c r="AA70" s="70">
        <f t="shared" si="16"/>
        <v>11.116666666666667</v>
      </c>
      <c r="AC70" s="67" t="s">
        <v>470</v>
      </c>
      <c r="AI70" s="72">
        <v>53.6</v>
      </c>
      <c r="AJ70" s="72">
        <v>55.5</v>
      </c>
      <c r="AK70" s="72">
        <v>57.4</v>
      </c>
      <c r="AL70" s="72">
        <v>59.8</v>
      </c>
      <c r="AM70" s="72">
        <v>61.4</v>
      </c>
      <c r="AN70" s="72">
        <v>63.2</v>
      </c>
      <c r="AT70" s="72">
        <f t="shared" si="17"/>
        <v>58.483333333333327</v>
      </c>
      <c r="AV70" s="59" t="s">
        <v>469</v>
      </c>
      <c r="BB70" s="73">
        <v>22.3</v>
      </c>
      <c r="BC70" s="73">
        <v>19.8</v>
      </c>
      <c r="BD70" s="73">
        <v>17.8</v>
      </c>
      <c r="BE70" s="73">
        <v>14.3</v>
      </c>
      <c r="BF70" s="73">
        <v>19.399999999999999</v>
      </c>
      <c r="BG70" s="73" t="s">
        <v>380</v>
      </c>
      <c r="BM70" s="73">
        <f t="shared" si="18"/>
        <v>18.72</v>
      </c>
      <c r="BO70" s="59" t="s">
        <v>469</v>
      </c>
      <c r="BT70" s="74"/>
      <c r="BU70" s="75">
        <v>2.8</v>
      </c>
      <c r="BV70" s="75">
        <v>2.6</v>
      </c>
      <c r="BW70" s="75">
        <v>2.5</v>
      </c>
      <c r="BX70" s="75">
        <v>2.7</v>
      </c>
      <c r="BY70" s="75">
        <v>1.8</v>
      </c>
      <c r="BZ70" s="75" t="s">
        <v>380</v>
      </c>
      <c r="CF70" s="75">
        <f t="shared" si="19"/>
        <v>2.4800000000000004</v>
      </c>
    </row>
    <row r="71" spans="2:84" ht="12.75" customHeight="1" x14ac:dyDescent="0.25">
      <c r="B71" s="76">
        <v>6</v>
      </c>
      <c r="C71" s="59" t="s">
        <v>471</v>
      </c>
      <c r="D71" s="60" t="s">
        <v>472</v>
      </c>
      <c r="E71" s="60">
        <v>2010</v>
      </c>
      <c r="F71" s="77">
        <v>80.2</v>
      </c>
      <c r="G71" s="62">
        <v>19.8</v>
      </c>
      <c r="H71" s="63">
        <v>3</v>
      </c>
      <c r="I71" s="64"/>
      <c r="J71" s="65" t="s">
        <v>471</v>
      </c>
      <c r="P71" s="66">
        <v>12.639230769230769</v>
      </c>
      <c r="Q71" s="66">
        <v>12.165410295921369</v>
      </c>
      <c r="R71" s="66">
        <v>10.59847453234358</v>
      </c>
      <c r="S71" s="66">
        <v>9.472707780057064</v>
      </c>
      <c r="T71" s="66">
        <v>7.9803674992915017</v>
      </c>
      <c r="U71" s="66">
        <v>8.8942099137723467</v>
      </c>
      <c r="V71" s="66">
        <v>9.5068542417657511</v>
      </c>
      <c r="Z71" s="66">
        <v>9.5068542417657511</v>
      </c>
      <c r="AA71" s="66">
        <f t="shared" si="16"/>
        <v>10.095513659268518</v>
      </c>
      <c r="AC71" s="67" t="s">
        <v>472</v>
      </c>
      <c r="AI71" s="66">
        <f>VLOOKUP($B71,$AB$198:$AN$204,8,FALSE)</f>
        <v>75.888644067796605</v>
      </c>
      <c r="AJ71" s="66">
        <f>VLOOKUP($B71,$AB$198:$AN$204,9,FALSE)</f>
        <v>80.455696202531627</v>
      </c>
      <c r="AK71" s="66">
        <f>VLOOKUP($B71,$AB$198:$AN$204,10,FALSE)</f>
        <v>79.335945945945952</v>
      </c>
      <c r="AL71" s="66">
        <f>VLOOKUP($B71,$AB$198:$AN$204,11,FALSE)</f>
        <v>70.762500000000003</v>
      </c>
      <c r="AM71" s="66">
        <f>VLOOKUP($B71,$AB$198:$AN$204,12,FALSE)</f>
        <v>76.45</v>
      </c>
      <c r="AN71" s="66">
        <f>VLOOKUP($B71,$AB$198:$AN$204,13,FALSE)</f>
        <v>67.424999999999997</v>
      </c>
      <c r="AT71" s="66">
        <f t="shared" si="17"/>
        <v>75.05296436937904</v>
      </c>
      <c r="AV71" s="59" t="s">
        <v>471</v>
      </c>
      <c r="BB71" s="68">
        <f>VLOOKUP($B71,$AU$198:$BH$204,8,FALSE)</f>
        <v>18.156923076923078</v>
      </c>
      <c r="BC71" s="68">
        <f>VLOOKUP($B71,$AU$198:$BH$204,9,FALSE)</f>
        <v>17.862307692307695</v>
      </c>
      <c r="BD71" s="68">
        <f>VLOOKUP($B71,$AU$198:$BH$204,10,FALSE)</f>
        <v>17.588461538461537</v>
      </c>
      <c r="BE71" s="68">
        <f>VLOOKUP($B71,$AU$198:$BH$204,11,FALSE)</f>
        <v>17.724615384615387</v>
      </c>
      <c r="BF71" s="68">
        <f>VLOOKUP($B71,$AU$198:$BH$204,12,FALSE)</f>
        <v>18.493846153846153</v>
      </c>
      <c r="BG71" s="68">
        <f>VLOOKUP($B71,$AU$198:$BH$204,13,FALSE)</f>
        <v>19.346363636363638</v>
      </c>
      <c r="BM71" s="68">
        <f t="shared" si="18"/>
        <v>18.195419580419578</v>
      </c>
      <c r="BO71" s="59" t="s">
        <v>471</v>
      </c>
      <c r="BT71" s="74"/>
      <c r="BU71" s="69">
        <f>VLOOKUP($B71,$BN$198:$BZ$204,8,FALSE)</f>
        <v>3.2984615384615386</v>
      </c>
      <c r="BV71" s="69">
        <f>VLOOKUP($B71,$BN$198:$BZ$204,9,FALSE)</f>
        <v>2.7469230769230766</v>
      </c>
      <c r="BW71" s="69">
        <f>VLOOKUP($B71,$BN$198:$BZ$204,10,FALSE)</f>
        <v>2.7653846153846158</v>
      </c>
      <c r="BX71" s="69">
        <f>VLOOKUP($B71,$BN$198:$BZ$204,11,FALSE)</f>
        <v>2.525384615384616</v>
      </c>
      <c r="BY71" s="69">
        <f>VLOOKUP($B71,$BN$198:$BZ$204,12,FALSE)</f>
        <v>2.9269230769230767</v>
      </c>
      <c r="BZ71" s="69">
        <f>VLOOKUP($B71,$BN$198:$BZ$204,13,FALSE)</f>
        <v>2.36</v>
      </c>
      <c r="CF71" s="69">
        <f t="shared" si="19"/>
        <v>2.7705128205128204</v>
      </c>
    </row>
    <row r="72" spans="2:84" ht="12.75" customHeight="1" x14ac:dyDescent="0.25">
      <c r="B72" s="58">
        <v>2</v>
      </c>
      <c r="C72" s="59" t="s">
        <v>473</v>
      </c>
      <c r="D72" s="60" t="s">
        <v>474</v>
      </c>
      <c r="E72" s="60">
        <v>2010</v>
      </c>
      <c r="F72" s="77">
        <v>74.900000000000006</v>
      </c>
      <c r="G72" s="62">
        <v>25.1</v>
      </c>
      <c r="H72" s="63">
        <v>3.3</v>
      </c>
      <c r="I72" s="64"/>
      <c r="J72" s="65" t="s">
        <v>473</v>
      </c>
      <c r="P72" s="70">
        <v>2</v>
      </c>
      <c r="Q72" s="71">
        <v>1.2</v>
      </c>
      <c r="R72" s="71">
        <v>0.8</v>
      </c>
      <c r="S72" s="71">
        <v>0.8</v>
      </c>
      <c r="T72" s="71">
        <v>4.0999999999999996</v>
      </c>
      <c r="U72" s="71">
        <v>6.3</v>
      </c>
      <c r="V72" s="71">
        <v>7</v>
      </c>
      <c r="Z72" s="71">
        <v>7</v>
      </c>
      <c r="AA72" s="70">
        <f t="shared" si="16"/>
        <v>3.65</v>
      </c>
      <c r="AC72" s="67" t="s">
        <v>474</v>
      </c>
      <c r="AI72" s="72">
        <v>199.4</v>
      </c>
      <c r="AJ72" s="72">
        <v>172.6</v>
      </c>
      <c r="AK72" s="72">
        <v>158.1</v>
      </c>
      <c r="AL72" s="72">
        <v>154.4</v>
      </c>
      <c r="AM72" s="72">
        <v>146.30000000000001</v>
      </c>
      <c r="AN72" s="72">
        <v>141.85387387496951</v>
      </c>
      <c r="AT72" s="72">
        <f t="shared" si="17"/>
        <v>162.10897897916158</v>
      </c>
      <c r="AV72" s="59" t="s">
        <v>473</v>
      </c>
      <c r="BB72" s="73">
        <v>36</v>
      </c>
      <c r="BC72" s="73">
        <v>31</v>
      </c>
      <c r="BD72" s="73">
        <v>36</v>
      </c>
      <c r="BE72" s="73">
        <v>30</v>
      </c>
      <c r="BF72" s="73">
        <v>24</v>
      </c>
      <c r="BG72" s="73">
        <v>26.6</v>
      </c>
      <c r="BM72" s="73">
        <f t="shared" si="18"/>
        <v>30.599999999999998</v>
      </c>
      <c r="BO72" s="59" t="s">
        <v>473</v>
      </c>
      <c r="BT72" s="74"/>
      <c r="BU72" s="75">
        <v>1.8755991259251676</v>
      </c>
      <c r="BV72" s="75">
        <v>3.030237150834771</v>
      </c>
      <c r="BW72" s="75">
        <v>2.7312400000000001</v>
      </c>
      <c r="BX72" s="75">
        <v>1.8792854248788595</v>
      </c>
      <c r="BY72" s="75">
        <v>-2.6</v>
      </c>
      <c r="BZ72" s="75">
        <v>-1.1450417854109385</v>
      </c>
      <c r="CF72" s="75">
        <f t="shared" si="19"/>
        <v>0.96188665270464302</v>
      </c>
    </row>
    <row r="73" spans="2:84" ht="12.75" customHeight="1" x14ac:dyDescent="0.25">
      <c r="B73" s="76">
        <v>5</v>
      </c>
      <c r="C73" s="59" t="s">
        <v>475</v>
      </c>
      <c r="D73" s="60" t="s">
        <v>476</v>
      </c>
      <c r="E73" s="60">
        <v>2010</v>
      </c>
      <c r="F73" s="77">
        <v>46.9</v>
      </c>
      <c r="G73" s="62">
        <v>53.1</v>
      </c>
      <c r="H73" s="63">
        <v>1.2</v>
      </c>
      <c r="I73" s="64"/>
      <c r="J73" s="65" t="s">
        <v>475</v>
      </c>
      <c r="P73" s="70">
        <v>4.9000000000000004</v>
      </c>
      <c r="Q73" s="71">
        <v>4</v>
      </c>
      <c r="R73" s="71">
        <v>3.4</v>
      </c>
      <c r="S73" s="71">
        <v>2.6</v>
      </c>
      <c r="T73" s="71">
        <v>2.9</v>
      </c>
      <c r="U73" s="71">
        <v>3.2</v>
      </c>
      <c r="V73" s="71" t="s">
        <v>355</v>
      </c>
      <c r="Z73" s="71">
        <v>3.2</v>
      </c>
      <c r="AA73" s="70">
        <f t="shared" si="16"/>
        <v>3.4571428571428569</v>
      </c>
      <c r="AC73" s="67" t="s">
        <v>476</v>
      </c>
      <c r="AI73" s="72" t="s">
        <v>380</v>
      </c>
      <c r="AJ73" s="72">
        <v>49.1</v>
      </c>
      <c r="AK73" s="72">
        <v>50</v>
      </c>
      <c r="AL73" s="72">
        <v>51.3</v>
      </c>
      <c r="AM73" s="79">
        <v>50</v>
      </c>
      <c r="AN73" s="79">
        <v>50</v>
      </c>
      <c r="AT73" s="72">
        <f t="shared" si="17"/>
        <v>50.08</v>
      </c>
      <c r="AV73" s="59" t="s">
        <v>475</v>
      </c>
      <c r="BB73" s="73">
        <v>12.4</v>
      </c>
      <c r="BC73" s="73">
        <v>12.2</v>
      </c>
      <c r="BD73" s="73">
        <v>12.5</v>
      </c>
      <c r="BE73" s="73">
        <v>12.9</v>
      </c>
      <c r="BF73" s="73">
        <v>13.6</v>
      </c>
      <c r="BG73" s="73" t="s">
        <v>380</v>
      </c>
      <c r="BM73" s="73">
        <f t="shared" si="18"/>
        <v>12.72</v>
      </c>
      <c r="BO73" s="59" t="s">
        <v>475</v>
      </c>
      <c r="BT73" s="74"/>
      <c r="BU73" s="75">
        <v>0.14000000000000001</v>
      </c>
      <c r="BV73" s="75">
        <v>0.44</v>
      </c>
      <c r="BW73" s="75">
        <v>0.36</v>
      </c>
      <c r="BX73" s="75">
        <v>0.25</v>
      </c>
      <c r="BY73" s="75">
        <v>-0.3</v>
      </c>
      <c r="BZ73" s="75" t="s">
        <v>380</v>
      </c>
      <c r="CF73" s="75">
        <f t="shared" si="19"/>
        <v>0.17799999999999999</v>
      </c>
    </row>
    <row r="74" spans="2:84" ht="12.75" customHeight="1" x14ac:dyDescent="0.25">
      <c r="B74" s="76">
        <v>6</v>
      </c>
      <c r="C74" s="59" t="s">
        <v>477</v>
      </c>
      <c r="D74" s="60" t="s">
        <v>478</v>
      </c>
      <c r="E74" s="60">
        <v>2010</v>
      </c>
      <c r="F74" s="77">
        <v>76.3</v>
      </c>
      <c r="G74" s="62">
        <v>23.7</v>
      </c>
      <c r="H74" s="63">
        <v>1.9</v>
      </c>
      <c r="I74" s="64"/>
      <c r="J74" s="65" t="s">
        <v>477</v>
      </c>
      <c r="P74" s="70">
        <v>16.3</v>
      </c>
      <c r="Q74" s="71">
        <v>12.99</v>
      </c>
      <c r="R74" s="71">
        <v>7.9</v>
      </c>
      <c r="S74" s="71">
        <v>6.4</v>
      </c>
      <c r="T74" s="71">
        <v>7.7</v>
      </c>
      <c r="U74" s="71">
        <v>16.2</v>
      </c>
      <c r="V74" s="71">
        <v>18.899999999999999</v>
      </c>
      <c r="Z74" s="71">
        <v>18.899999999999999</v>
      </c>
      <c r="AA74" s="70">
        <f t="shared" si="16"/>
        <v>13.161249999999999</v>
      </c>
      <c r="AC74" s="67" t="s">
        <v>478</v>
      </c>
      <c r="AI74" s="66">
        <f>VLOOKUP($B74,$AB$198:$AN$204,8,FALSE)</f>
        <v>75.888644067796605</v>
      </c>
      <c r="AJ74" s="66">
        <f>VLOOKUP($B74,$AB$198:$AN$204,9,FALSE)</f>
        <v>80.455696202531627</v>
      </c>
      <c r="AK74" s="66">
        <f>VLOOKUP($B74,$AB$198:$AN$204,10,FALSE)</f>
        <v>79.335945945945952</v>
      </c>
      <c r="AL74" s="66">
        <f>VLOOKUP($B74,$AB$198:$AN$204,11,FALSE)</f>
        <v>70.762500000000003</v>
      </c>
      <c r="AM74" s="66">
        <f>VLOOKUP($B74,$AB$198:$AN$204,12,FALSE)</f>
        <v>76.45</v>
      </c>
      <c r="AN74" s="66">
        <f>VLOOKUP($B74,$AB$198:$AN$204,13,FALSE)</f>
        <v>67.424999999999997</v>
      </c>
      <c r="AT74" s="66">
        <f t="shared" si="17"/>
        <v>75.05296436937904</v>
      </c>
      <c r="AV74" s="59" t="s">
        <v>477</v>
      </c>
      <c r="BB74" s="73">
        <v>13.9</v>
      </c>
      <c r="BC74" s="73">
        <v>16.2</v>
      </c>
      <c r="BD74" s="73">
        <v>15.8</v>
      </c>
      <c r="BE74" s="73">
        <v>14.8</v>
      </c>
      <c r="BF74" s="73">
        <v>13.8</v>
      </c>
      <c r="BG74" s="73">
        <v>15.6</v>
      </c>
      <c r="BM74" s="73">
        <f t="shared" si="18"/>
        <v>15.016666666666666</v>
      </c>
      <c r="BO74" s="59" t="s">
        <v>477</v>
      </c>
      <c r="BT74" s="74"/>
      <c r="BU74" s="75">
        <v>5.8</v>
      </c>
      <c r="BV74" s="75">
        <v>4.5999999999999996</v>
      </c>
      <c r="BW74" s="75">
        <v>4.8</v>
      </c>
      <c r="BX74" s="75">
        <v>3.7</v>
      </c>
      <c r="BY74" s="75">
        <v>3.2</v>
      </c>
      <c r="BZ74" s="75">
        <v>3.2</v>
      </c>
      <c r="CF74" s="75">
        <f t="shared" si="19"/>
        <v>4.2166666666666659</v>
      </c>
    </row>
    <row r="75" spans="2:84" ht="12.75" customHeight="1" x14ac:dyDescent="0.25">
      <c r="B75" s="76">
        <v>5</v>
      </c>
      <c r="C75" s="59" t="s">
        <v>479</v>
      </c>
      <c r="D75" s="60" t="s">
        <v>480</v>
      </c>
      <c r="E75" s="60">
        <v>2010</v>
      </c>
      <c r="F75" s="77">
        <v>56.8</v>
      </c>
      <c r="G75" s="62">
        <v>43.2</v>
      </c>
      <c r="H75" s="63">
        <v>2</v>
      </c>
      <c r="I75" s="64"/>
      <c r="J75" s="65" t="s">
        <v>479</v>
      </c>
      <c r="P75" s="70">
        <v>7</v>
      </c>
      <c r="Q75" s="71">
        <v>6.3</v>
      </c>
      <c r="R75" s="71">
        <v>5.4</v>
      </c>
      <c r="S75" s="71">
        <v>4.5437433785675578</v>
      </c>
      <c r="T75" s="71">
        <v>5.0381398022757669</v>
      </c>
      <c r="U75" s="71">
        <v>7.7044545277943453</v>
      </c>
      <c r="V75" s="71">
        <v>9</v>
      </c>
      <c r="Z75" s="71">
        <v>9</v>
      </c>
      <c r="AA75" s="70">
        <f t="shared" si="16"/>
        <v>6.7482922135797097</v>
      </c>
      <c r="AC75" s="67" t="s">
        <v>480</v>
      </c>
      <c r="AI75" s="72">
        <v>51.4</v>
      </c>
      <c r="AJ75" s="72">
        <v>61.9</v>
      </c>
      <c r="AK75" s="72">
        <v>61.8</v>
      </c>
      <c r="AL75" s="72">
        <v>53.4</v>
      </c>
      <c r="AM75" s="72">
        <v>48.9</v>
      </c>
      <c r="AN75" s="72">
        <v>41.9</v>
      </c>
      <c r="AT75" s="72">
        <f t="shared" si="17"/>
        <v>53.216666666666661</v>
      </c>
      <c r="AV75" s="59" t="s">
        <v>479</v>
      </c>
      <c r="BB75" s="73">
        <v>12.8</v>
      </c>
      <c r="BC75" s="73">
        <v>13.2</v>
      </c>
      <c r="BD75" s="73">
        <v>12.2</v>
      </c>
      <c r="BE75" s="73">
        <v>11.227561673835961</v>
      </c>
      <c r="BF75" s="73">
        <v>9.4</v>
      </c>
      <c r="BG75" s="73">
        <v>11.7</v>
      </c>
      <c r="BM75" s="73">
        <f t="shared" si="18"/>
        <v>11.754593612305994</v>
      </c>
      <c r="BO75" s="59" t="s">
        <v>479</v>
      </c>
      <c r="BT75" s="74"/>
      <c r="BU75" s="75">
        <v>0.4</v>
      </c>
      <c r="BV75" s="75">
        <v>0.9</v>
      </c>
      <c r="BW75" s="75">
        <v>0.8</v>
      </c>
      <c r="BX75" s="75">
        <v>0.97925387752005044</v>
      </c>
      <c r="BY75" s="75">
        <v>0.2</v>
      </c>
      <c r="BZ75" s="75">
        <v>0.2</v>
      </c>
      <c r="CF75" s="75">
        <f t="shared" si="19"/>
        <v>0.57987564625334176</v>
      </c>
    </row>
    <row r="76" spans="2:84" ht="12.75" customHeight="1" x14ac:dyDescent="0.25">
      <c r="B76" s="76">
        <v>3</v>
      </c>
      <c r="C76" s="59" t="s">
        <v>481</v>
      </c>
      <c r="D76" s="60" t="s">
        <v>482</v>
      </c>
      <c r="E76" s="60">
        <v>2010</v>
      </c>
      <c r="F76" s="61">
        <v>67.23333333333332</v>
      </c>
      <c r="G76" s="62" t="s">
        <v>355</v>
      </c>
      <c r="H76" s="63" t="s">
        <v>355</v>
      </c>
      <c r="I76" s="64"/>
      <c r="J76" s="65" t="s">
        <v>481</v>
      </c>
      <c r="P76" s="66">
        <v>5.584644672858265</v>
      </c>
      <c r="Q76" s="66">
        <v>3.9624899241932421</v>
      </c>
      <c r="R76" s="66">
        <v>3.0340039193664454</v>
      </c>
      <c r="S76" s="66">
        <v>2.604471088787407</v>
      </c>
      <c r="T76" s="66">
        <v>2.4269734911821845</v>
      </c>
      <c r="U76" s="66">
        <v>2.9280358899553502</v>
      </c>
      <c r="V76" s="66">
        <v>3.5429234268459737</v>
      </c>
      <c r="Z76" s="66">
        <v>3.5429234268459737</v>
      </c>
      <c r="AA76" s="66">
        <f t="shared" si="16"/>
        <v>3.4533082300043549</v>
      </c>
      <c r="AC76" s="67" t="s">
        <v>482</v>
      </c>
      <c r="AI76" s="66">
        <f>VLOOKUP($B76,$AB$198:$AN$204,8,FALSE)</f>
        <v>128.9834964234991</v>
      </c>
      <c r="AJ76" s="66">
        <f>VLOOKUP($B76,$AB$198:$AN$204,9,FALSE)</f>
        <v>140.08513617162512</v>
      </c>
      <c r="AK76" s="66">
        <f>VLOOKUP($B76,$AB$198:$AN$204,10,FALSE)</f>
        <v>159.45976537422837</v>
      </c>
      <c r="AL76" s="66">
        <f>VLOOKUP($B76,$AB$198:$AN$204,11,FALSE)</f>
        <v>176.08231767394884</v>
      </c>
      <c r="AM76" s="66">
        <f>VLOOKUP($B76,$AB$198:$AN$204,12,FALSE)</f>
        <v>179.91973269843069</v>
      </c>
      <c r="AN76" s="66">
        <f>VLOOKUP($B76,$AB$198:$AN$204,13,FALSE)</f>
        <v>163.73758550252111</v>
      </c>
      <c r="AT76" s="66">
        <f t="shared" si="17"/>
        <v>158.04467230737555</v>
      </c>
      <c r="AV76" s="59" t="s">
        <v>481</v>
      </c>
      <c r="BB76" s="68">
        <f>VLOOKUP($B76,$AU$198:$BH$204,8,FALSE)</f>
        <v>15.896096812126734</v>
      </c>
      <c r="BC76" s="68">
        <f>VLOOKUP($B76,$AU$198:$BH$204,9,FALSE)</f>
        <v>15.574506119519162</v>
      </c>
      <c r="BD76" s="68">
        <f>VLOOKUP($B76,$AU$198:$BH$204,10,FALSE)</f>
        <v>15.053685490252553</v>
      </c>
      <c r="BE76" s="68">
        <f>VLOOKUP($B76,$AU$198:$BH$204,11,FALSE)</f>
        <v>14.526883451785674</v>
      </c>
      <c r="BF76" s="68">
        <f>VLOOKUP($B76,$AU$198:$BH$204,12,FALSE)</f>
        <v>14.663359386876838</v>
      </c>
      <c r="BG76" s="68">
        <f>VLOOKUP($B76,$AU$198:$BH$204,13,FALSE)</f>
        <v>15.454370304742046</v>
      </c>
      <c r="BM76" s="68">
        <f t="shared" si="18"/>
        <v>15.1948169275505</v>
      </c>
      <c r="BO76" s="59" t="s">
        <v>481</v>
      </c>
      <c r="BT76" s="74"/>
      <c r="BU76" s="69">
        <f>VLOOKUP($B76,$BN$198:$BZ$204,8,FALSE)</f>
        <v>1.5948707163335805</v>
      </c>
      <c r="BV76" s="69">
        <f>VLOOKUP($B76,$BN$198:$BZ$204,9,FALSE)</f>
        <v>1.9470251257359674</v>
      </c>
      <c r="BW76" s="69">
        <f>VLOOKUP($B76,$BN$198:$BZ$204,10,FALSE)</f>
        <v>2.1255980960882401</v>
      </c>
      <c r="BX76" s="69">
        <f>VLOOKUP($B76,$BN$198:$BZ$204,11,FALSE)</f>
        <v>2.0468362458386125</v>
      </c>
      <c r="BY76" s="69">
        <f>VLOOKUP($B76,$BN$198:$BZ$204,12,FALSE)</f>
        <v>1.9140404691321369</v>
      </c>
      <c r="BZ76" s="69">
        <f>VLOOKUP($B76,$BN$198:$BZ$204,13,FALSE)</f>
        <v>1.7004174496949338</v>
      </c>
      <c r="CF76" s="69">
        <f t="shared" si="19"/>
        <v>1.8881313504705786</v>
      </c>
    </row>
    <row r="77" spans="2:84" ht="12.75" customHeight="1" x14ac:dyDescent="0.25">
      <c r="B77" s="58">
        <v>3</v>
      </c>
      <c r="C77" s="59" t="s">
        <v>483</v>
      </c>
      <c r="D77" s="60" t="s">
        <v>484</v>
      </c>
      <c r="E77" s="60">
        <v>2010</v>
      </c>
      <c r="F77" s="77">
        <v>72.5</v>
      </c>
      <c r="G77" s="62">
        <v>27.5</v>
      </c>
      <c r="H77" s="63">
        <v>3</v>
      </c>
      <c r="I77" s="64"/>
      <c r="J77" s="65" t="s">
        <v>483</v>
      </c>
      <c r="P77" s="70">
        <v>7.1</v>
      </c>
      <c r="Q77" s="71">
        <v>4.2</v>
      </c>
      <c r="R77" s="71">
        <v>4.5999999999999996</v>
      </c>
      <c r="S77" s="71">
        <v>5.8</v>
      </c>
      <c r="T77" s="71">
        <v>2.35</v>
      </c>
      <c r="U77" s="71">
        <v>2.7</v>
      </c>
      <c r="V77" s="71" t="s">
        <v>355</v>
      </c>
      <c r="Z77" s="71" t="s">
        <v>355</v>
      </c>
      <c r="AA77" s="70">
        <f t="shared" si="16"/>
        <v>4.458333333333333</v>
      </c>
      <c r="AC77" s="67" t="s">
        <v>484</v>
      </c>
      <c r="AI77" s="72" t="s">
        <v>380</v>
      </c>
      <c r="AJ77" s="72">
        <v>43.16</v>
      </c>
      <c r="AK77" s="72">
        <v>39.56</v>
      </c>
      <c r="AL77" s="72">
        <v>42.7</v>
      </c>
      <c r="AM77" s="72">
        <v>73.19</v>
      </c>
      <c r="AN77" s="72">
        <v>76.45</v>
      </c>
      <c r="AT77" s="72">
        <f t="shared" si="17"/>
        <v>55.012</v>
      </c>
      <c r="AV77" s="59" t="s">
        <v>483</v>
      </c>
      <c r="BB77" s="73">
        <v>14.5</v>
      </c>
      <c r="BC77" s="73">
        <v>13.7</v>
      </c>
      <c r="BD77" s="73">
        <v>13.6</v>
      </c>
      <c r="BE77" s="73">
        <v>13.8</v>
      </c>
      <c r="BF77" s="73">
        <v>13.5</v>
      </c>
      <c r="BG77" s="73">
        <v>14.8</v>
      </c>
      <c r="BM77" s="73">
        <f t="shared" si="18"/>
        <v>13.983333333333333</v>
      </c>
      <c r="BO77" s="59" t="s">
        <v>483</v>
      </c>
      <c r="BT77" s="74"/>
      <c r="BU77" s="75">
        <v>1.3</v>
      </c>
      <c r="BV77" s="75">
        <v>1.6</v>
      </c>
      <c r="BW77" s="75">
        <v>1.2</v>
      </c>
      <c r="BX77" s="75">
        <v>1.5</v>
      </c>
      <c r="BY77" s="75">
        <v>1.68</v>
      </c>
      <c r="BZ77" s="75">
        <v>1.91</v>
      </c>
      <c r="CF77" s="75">
        <f t="shared" si="19"/>
        <v>1.5316666666666665</v>
      </c>
    </row>
    <row r="78" spans="2:84" ht="12.75" customHeight="1" x14ac:dyDescent="0.25">
      <c r="B78" s="76">
        <v>6</v>
      </c>
      <c r="C78" s="59" t="s">
        <v>485</v>
      </c>
      <c r="D78" s="60" t="s">
        <v>486</v>
      </c>
      <c r="E78" s="60">
        <v>2010</v>
      </c>
      <c r="F78" s="77">
        <v>80.599999999999994</v>
      </c>
      <c r="G78" s="62">
        <v>19.399999999999999</v>
      </c>
      <c r="H78" s="63">
        <v>3.8</v>
      </c>
      <c r="I78" s="64"/>
      <c r="J78" s="65" t="s">
        <v>485</v>
      </c>
      <c r="P78" s="66">
        <v>12.639230769230769</v>
      </c>
      <c r="Q78" s="66">
        <v>12.165410295921369</v>
      </c>
      <c r="R78" s="66">
        <v>10.59847453234358</v>
      </c>
      <c r="S78" s="66">
        <v>9.472707780057064</v>
      </c>
      <c r="T78" s="66">
        <v>7.9803674992915017</v>
      </c>
      <c r="U78" s="66">
        <v>8.8942099137723467</v>
      </c>
      <c r="V78" s="66">
        <v>9.5068542417657511</v>
      </c>
      <c r="Z78" s="66">
        <v>9.5068542417657511</v>
      </c>
      <c r="AA78" s="66">
        <f t="shared" ref="AA78:AA141" si="20">AVERAGE(K78:Z78)</f>
        <v>10.095513659268518</v>
      </c>
      <c r="AC78" s="67" t="s">
        <v>486</v>
      </c>
      <c r="AI78" s="66">
        <f>VLOOKUP($B78,$AB$198:$AN$204,8,FALSE)</f>
        <v>75.888644067796605</v>
      </c>
      <c r="AJ78" s="66">
        <f>VLOOKUP($B78,$AB$198:$AN$204,9,FALSE)</f>
        <v>80.455696202531627</v>
      </c>
      <c r="AK78" s="66">
        <f>VLOOKUP($B78,$AB$198:$AN$204,10,FALSE)</f>
        <v>79.335945945945952</v>
      </c>
      <c r="AL78" s="66">
        <f>VLOOKUP($B78,$AB$198:$AN$204,11,FALSE)</f>
        <v>70.762500000000003</v>
      </c>
      <c r="AM78" s="66">
        <f>VLOOKUP($B78,$AB$198:$AN$204,12,FALSE)</f>
        <v>76.45</v>
      </c>
      <c r="AN78" s="66">
        <f>VLOOKUP($B78,$AB$198:$AN$204,13,FALSE)</f>
        <v>67.424999999999997</v>
      </c>
      <c r="AT78" s="66">
        <f t="shared" ref="AT78:AT141" si="21">AVERAGE(AD78:AS78)</f>
        <v>75.05296436937904</v>
      </c>
      <c r="AV78" s="59" t="s">
        <v>485</v>
      </c>
      <c r="BB78" s="68">
        <f>VLOOKUP($B78,$AU$198:$BH$204,8,FALSE)</f>
        <v>18.156923076923078</v>
      </c>
      <c r="BC78" s="68">
        <f>VLOOKUP($B78,$AU$198:$BH$204,9,FALSE)</f>
        <v>17.862307692307695</v>
      </c>
      <c r="BD78" s="68">
        <f>VLOOKUP($B78,$AU$198:$BH$204,10,FALSE)</f>
        <v>17.588461538461537</v>
      </c>
      <c r="BE78" s="68">
        <f>VLOOKUP($B78,$AU$198:$BH$204,11,FALSE)</f>
        <v>17.724615384615387</v>
      </c>
      <c r="BF78" s="68">
        <f>VLOOKUP($B78,$AU$198:$BH$204,12,FALSE)</f>
        <v>18.493846153846153</v>
      </c>
      <c r="BG78" s="68">
        <f>VLOOKUP($B78,$AU$198:$BH$204,13,FALSE)</f>
        <v>19.346363636363638</v>
      </c>
      <c r="BM78" s="68">
        <f t="shared" ref="BM78:BM141" si="22">AVERAGE(AW78:BL78)</f>
        <v>18.195419580419578</v>
      </c>
      <c r="BO78" s="59" t="s">
        <v>485</v>
      </c>
      <c r="BT78" s="74"/>
      <c r="BU78" s="69">
        <f>VLOOKUP($B78,$BN$198:$BZ$204,8,FALSE)</f>
        <v>3.2984615384615386</v>
      </c>
      <c r="BV78" s="69">
        <f>VLOOKUP($B78,$BN$198:$BZ$204,9,FALSE)</f>
        <v>2.7469230769230766</v>
      </c>
      <c r="BW78" s="69">
        <f>VLOOKUP($B78,$BN$198:$BZ$204,10,FALSE)</f>
        <v>2.7653846153846158</v>
      </c>
      <c r="BX78" s="69">
        <f>VLOOKUP($B78,$BN$198:$BZ$204,11,FALSE)</f>
        <v>2.525384615384616</v>
      </c>
      <c r="BY78" s="69">
        <f>VLOOKUP($B78,$BN$198:$BZ$204,12,FALSE)</f>
        <v>2.9269230769230767</v>
      </c>
      <c r="BZ78" s="69">
        <f>VLOOKUP($B78,$BN$198:$BZ$204,13,FALSE)</f>
        <v>2.36</v>
      </c>
      <c r="CF78" s="69">
        <f t="shared" ref="CF78:CF141" si="23">AVERAGE(BP78:CE78)</f>
        <v>2.7705128205128204</v>
      </c>
    </row>
    <row r="79" spans="2:84" ht="12.75" customHeight="1" x14ac:dyDescent="0.25">
      <c r="B79" s="76">
        <v>6</v>
      </c>
      <c r="C79" s="59" t="s">
        <v>487</v>
      </c>
      <c r="D79" s="60" t="s">
        <v>488</v>
      </c>
      <c r="E79" s="60">
        <v>2010</v>
      </c>
      <c r="F79" s="61">
        <v>77.165714285714287</v>
      </c>
      <c r="G79" s="62" t="s">
        <v>355</v>
      </c>
      <c r="H79" s="63" t="s">
        <v>355</v>
      </c>
      <c r="I79" s="64"/>
      <c r="J79" s="65" t="s">
        <v>487</v>
      </c>
      <c r="P79" s="66">
        <v>12.639230769230769</v>
      </c>
      <c r="Q79" s="66">
        <v>12.165410295921369</v>
      </c>
      <c r="R79" s="66">
        <v>10.59847453234358</v>
      </c>
      <c r="S79" s="66">
        <v>9.472707780057064</v>
      </c>
      <c r="T79" s="66">
        <v>7.9803674992915017</v>
      </c>
      <c r="U79" s="66">
        <v>8.8942099137723467</v>
      </c>
      <c r="V79" s="66">
        <v>9.5068542417657511</v>
      </c>
      <c r="Z79" s="66">
        <v>9.5068542417657511</v>
      </c>
      <c r="AA79" s="66">
        <f t="shared" si="20"/>
        <v>10.095513659268518</v>
      </c>
      <c r="AC79" s="67" t="s">
        <v>488</v>
      </c>
      <c r="AI79" s="66">
        <f>VLOOKUP($B79,$AB$198:$AN$204,8,FALSE)</f>
        <v>75.888644067796605</v>
      </c>
      <c r="AJ79" s="66">
        <f>VLOOKUP($B79,$AB$198:$AN$204,9,FALSE)</f>
        <v>80.455696202531627</v>
      </c>
      <c r="AK79" s="66">
        <f>VLOOKUP($B79,$AB$198:$AN$204,10,FALSE)</f>
        <v>79.335945945945952</v>
      </c>
      <c r="AL79" s="66">
        <f>VLOOKUP($B79,$AB$198:$AN$204,11,FALSE)</f>
        <v>70.762500000000003</v>
      </c>
      <c r="AM79" s="66">
        <f>VLOOKUP($B79,$AB$198:$AN$204,12,FALSE)</f>
        <v>76.45</v>
      </c>
      <c r="AN79" s="66">
        <f>VLOOKUP($B79,$AB$198:$AN$204,13,FALSE)</f>
        <v>67.424999999999997</v>
      </c>
      <c r="AT79" s="66">
        <f t="shared" si="21"/>
        <v>75.05296436937904</v>
      </c>
      <c r="AV79" s="59" t="s">
        <v>487</v>
      </c>
      <c r="BB79" s="68">
        <f>VLOOKUP($B79,$AU$198:$BH$204,8,FALSE)</f>
        <v>18.156923076923078</v>
      </c>
      <c r="BC79" s="68">
        <f>VLOOKUP($B79,$AU$198:$BH$204,9,FALSE)</f>
        <v>17.862307692307695</v>
      </c>
      <c r="BD79" s="68">
        <f>VLOOKUP($B79,$AU$198:$BH$204,10,FALSE)</f>
        <v>17.588461538461537</v>
      </c>
      <c r="BE79" s="68">
        <f>VLOOKUP($B79,$AU$198:$BH$204,11,FALSE)</f>
        <v>17.724615384615387</v>
      </c>
      <c r="BF79" s="68">
        <f>VLOOKUP($B79,$AU$198:$BH$204,12,FALSE)</f>
        <v>18.493846153846153</v>
      </c>
      <c r="BG79" s="68">
        <f>VLOOKUP($B79,$AU$198:$BH$204,13,FALSE)</f>
        <v>19.346363636363638</v>
      </c>
      <c r="BM79" s="68">
        <f t="shared" si="22"/>
        <v>18.195419580419578</v>
      </c>
      <c r="BO79" s="59" t="s">
        <v>487</v>
      </c>
      <c r="BT79" s="74"/>
      <c r="BU79" s="69">
        <f>VLOOKUP($B79,$BN$198:$BZ$204,8,FALSE)</f>
        <v>3.2984615384615386</v>
      </c>
      <c r="BV79" s="69">
        <f>VLOOKUP($B79,$BN$198:$BZ$204,9,FALSE)</f>
        <v>2.7469230769230766</v>
      </c>
      <c r="BW79" s="69">
        <f>VLOOKUP($B79,$BN$198:$BZ$204,10,FALSE)</f>
        <v>2.7653846153846158</v>
      </c>
      <c r="BX79" s="69">
        <f>VLOOKUP($B79,$BN$198:$BZ$204,11,FALSE)</f>
        <v>2.525384615384616</v>
      </c>
      <c r="BY79" s="69">
        <f>VLOOKUP($B79,$BN$198:$BZ$204,12,FALSE)</f>
        <v>2.9269230769230767</v>
      </c>
      <c r="BZ79" s="69">
        <f>VLOOKUP($B79,$BN$198:$BZ$204,13,FALSE)</f>
        <v>2.36</v>
      </c>
      <c r="CF79" s="69">
        <f t="shared" si="23"/>
        <v>2.7705128205128204</v>
      </c>
    </row>
    <row r="80" spans="2:84" ht="12.75" customHeight="1" x14ac:dyDescent="0.25">
      <c r="B80" s="76">
        <v>3</v>
      </c>
      <c r="C80" s="59" t="s">
        <v>489</v>
      </c>
      <c r="D80" s="60" t="s">
        <v>490</v>
      </c>
      <c r="E80" s="60">
        <v>2010</v>
      </c>
      <c r="F80" s="77">
        <v>82.4</v>
      </c>
      <c r="G80" s="62">
        <v>17.600000000000001</v>
      </c>
      <c r="H80" s="63">
        <v>3</v>
      </c>
      <c r="I80" s="64"/>
      <c r="J80" s="65" t="s">
        <v>489</v>
      </c>
      <c r="P80" s="66">
        <v>5.584644672858265</v>
      </c>
      <c r="Q80" s="66">
        <v>3.9624899241932421</v>
      </c>
      <c r="R80" s="66">
        <v>3.0340039193664454</v>
      </c>
      <c r="S80" s="66">
        <v>2.604471088787407</v>
      </c>
      <c r="T80" s="66">
        <v>2.4269734911821845</v>
      </c>
      <c r="U80" s="66">
        <v>2.9280358899553502</v>
      </c>
      <c r="V80" s="66">
        <v>3.5429234268459737</v>
      </c>
      <c r="Z80" s="66">
        <v>3.5429234268459737</v>
      </c>
      <c r="AA80" s="66">
        <f t="shared" si="20"/>
        <v>3.4533082300043549</v>
      </c>
      <c r="AC80" s="67" t="s">
        <v>490</v>
      </c>
      <c r="AI80" s="66">
        <f>VLOOKUP($B80,$AB$198:$AN$204,8,FALSE)</f>
        <v>128.9834964234991</v>
      </c>
      <c r="AJ80" s="66">
        <f>VLOOKUP($B80,$AB$198:$AN$204,9,FALSE)</f>
        <v>140.08513617162512</v>
      </c>
      <c r="AK80" s="66">
        <f>VLOOKUP($B80,$AB$198:$AN$204,10,FALSE)</f>
        <v>159.45976537422837</v>
      </c>
      <c r="AL80" s="66">
        <f>VLOOKUP($B80,$AB$198:$AN$204,11,FALSE)</f>
        <v>176.08231767394884</v>
      </c>
      <c r="AM80" s="66">
        <f>VLOOKUP($B80,$AB$198:$AN$204,12,FALSE)</f>
        <v>179.91973269843069</v>
      </c>
      <c r="AN80" s="66">
        <f>VLOOKUP($B80,$AB$198:$AN$204,13,FALSE)</f>
        <v>163.73758550252111</v>
      </c>
      <c r="AT80" s="66">
        <f t="shared" si="21"/>
        <v>158.04467230737555</v>
      </c>
      <c r="AV80" s="59" t="s">
        <v>489</v>
      </c>
      <c r="BB80" s="68">
        <f>VLOOKUP($B80,$AU$198:$BH$204,8,FALSE)</f>
        <v>15.896096812126734</v>
      </c>
      <c r="BC80" s="68">
        <f>VLOOKUP($B80,$AU$198:$BH$204,9,FALSE)</f>
        <v>15.574506119519162</v>
      </c>
      <c r="BD80" s="68">
        <f>VLOOKUP($B80,$AU$198:$BH$204,10,FALSE)</f>
        <v>15.053685490252553</v>
      </c>
      <c r="BE80" s="68">
        <f>VLOOKUP($B80,$AU$198:$BH$204,11,FALSE)</f>
        <v>14.526883451785674</v>
      </c>
      <c r="BF80" s="68">
        <f>VLOOKUP($B80,$AU$198:$BH$204,12,FALSE)</f>
        <v>14.663359386876838</v>
      </c>
      <c r="BG80" s="68">
        <f>VLOOKUP($B80,$AU$198:$BH$204,13,FALSE)</f>
        <v>15.454370304742046</v>
      </c>
      <c r="BM80" s="68">
        <f t="shared" si="22"/>
        <v>15.1948169275505</v>
      </c>
      <c r="BO80" s="59" t="s">
        <v>489</v>
      </c>
      <c r="BT80" s="74"/>
      <c r="BU80" s="69">
        <f>VLOOKUP($B80,$BN$198:$BZ$204,8,FALSE)</f>
        <v>1.5948707163335805</v>
      </c>
      <c r="BV80" s="69">
        <f>VLOOKUP($B80,$BN$198:$BZ$204,9,FALSE)</f>
        <v>1.9470251257359674</v>
      </c>
      <c r="BW80" s="69">
        <f>VLOOKUP($B80,$BN$198:$BZ$204,10,FALSE)</f>
        <v>2.1255980960882401</v>
      </c>
      <c r="BX80" s="69">
        <f>VLOOKUP($B80,$BN$198:$BZ$204,11,FALSE)</f>
        <v>2.0468362458386125</v>
      </c>
      <c r="BY80" s="69">
        <f>VLOOKUP($B80,$BN$198:$BZ$204,12,FALSE)</f>
        <v>1.9140404691321369</v>
      </c>
      <c r="BZ80" s="69">
        <f>VLOOKUP($B80,$BN$198:$BZ$204,13,FALSE)</f>
        <v>1.7004174496949338</v>
      </c>
      <c r="CF80" s="69">
        <f t="shared" si="23"/>
        <v>1.8881313504705786</v>
      </c>
    </row>
    <row r="81" spans="2:84" ht="12.75" customHeight="1" x14ac:dyDescent="0.25">
      <c r="B81" s="76">
        <v>3</v>
      </c>
      <c r="C81" s="59" t="s">
        <v>491</v>
      </c>
      <c r="D81" s="60" t="s">
        <v>492</v>
      </c>
      <c r="E81" s="60">
        <v>2010</v>
      </c>
      <c r="F81" s="77">
        <v>93.3</v>
      </c>
      <c r="G81" s="62">
        <v>6.7</v>
      </c>
      <c r="H81" s="63">
        <v>5.7</v>
      </c>
      <c r="I81" s="64"/>
      <c r="J81" s="65" t="s">
        <v>491</v>
      </c>
      <c r="P81" s="66">
        <v>5.584644672858265</v>
      </c>
      <c r="Q81" s="66">
        <v>3.9624899241932421</v>
      </c>
      <c r="R81" s="66">
        <v>3.0340039193664454</v>
      </c>
      <c r="S81" s="66">
        <v>2.604471088787407</v>
      </c>
      <c r="T81" s="66">
        <v>2.4269734911821845</v>
      </c>
      <c r="U81" s="66">
        <v>2.9280358899553502</v>
      </c>
      <c r="V81" s="66">
        <v>3.5429234268459737</v>
      </c>
      <c r="Z81" s="66">
        <v>3.5429234268459737</v>
      </c>
      <c r="AA81" s="66">
        <f t="shared" si="20"/>
        <v>3.4533082300043549</v>
      </c>
      <c r="AC81" s="67" t="s">
        <v>492</v>
      </c>
      <c r="AI81" s="66">
        <f>VLOOKUP($B81,$AB$198:$AN$204,8,FALSE)</f>
        <v>128.9834964234991</v>
      </c>
      <c r="AJ81" s="66">
        <f>VLOOKUP($B81,$AB$198:$AN$204,9,FALSE)</f>
        <v>140.08513617162512</v>
      </c>
      <c r="AK81" s="66">
        <f>VLOOKUP($B81,$AB$198:$AN$204,10,FALSE)</f>
        <v>159.45976537422837</v>
      </c>
      <c r="AL81" s="66">
        <f>VLOOKUP($B81,$AB$198:$AN$204,11,FALSE)</f>
        <v>176.08231767394884</v>
      </c>
      <c r="AM81" s="66">
        <f>VLOOKUP($B81,$AB$198:$AN$204,12,FALSE)</f>
        <v>179.91973269843069</v>
      </c>
      <c r="AN81" s="66">
        <f>VLOOKUP($B81,$AB$198:$AN$204,13,FALSE)</f>
        <v>163.73758550252111</v>
      </c>
      <c r="AT81" s="66">
        <f t="shared" si="21"/>
        <v>158.04467230737555</v>
      </c>
      <c r="AV81" s="59" t="s">
        <v>491</v>
      </c>
      <c r="BB81" s="68">
        <f>VLOOKUP($B81,$AU$198:$BH$204,8,FALSE)</f>
        <v>15.896096812126734</v>
      </c>
      <c r="BC81" s="68">
        <f>VLOOKUP($B81,$AU$198:$BH$204,9,FALSE)</f>
        <v>15.574506119519162</v>
      </c>
      <c r="BD81" s="68">
        <f>VLOOKUP($B81,$AU$198:$BH$204,10,FALSE)</f>
        <v>15.053685490252553</v>
      </c>
      <c r="BE81" s="68">
        <f>VLOOKUP($B81,$AU$198:$BH$204,11,FALSE)</f>
        <v>14.526883451785674</v>
      </c>
      <c r="BF81" s="68">
        <f>VLOOKUP($B81,$AU$198:$BH$204,12,FALSE)</f>
        <v>14.663359386876838</v>
      </c>
      <c r="BG81" s="68">
        <f>VLOOKUP($B81,$AU$198:$BH$204,13,FALSE)</f>
        <v>15.454370304742046</v>
      </c>
      <c r="BM81" s="68">
        <f t="shared" si="22"/>
        <v>15.1948169275505</v>
      </c>
      <c r="BO81" s="59" t="s">
        <v>491</v>
      </c>
      <c r="BT81" s="74"/>
      <c r="BU81" s="69">
        <f>VLOOKUP($B81,$BN$198:$BZ$204,8,FALSE)</f>
        <v>1.5948707163335805</v>
      </c>
      <c r="BV81" s="69">
        <f>VLOOKUP($B81,$BN$198:$BZ$204,9,FALSE)</f>
        <v>1.9470251257359674</v>
      </c>
      <c r="BW81" s="69">
        <f>VLOOKUP($B81,$BN$198:$BZ$204,10,FALSE)</f>
        <v>2.1255980960882401</v>
      </c>
      <c r="BX81" s="69">
        <f>VLOOKUP($B81,$BN$198:$BZ$204,11,FALSE)</f>
        <v>2.0468362458386125</v>
      </c>
      <c r="BY81" s="69">
        <f>VLOOKUP($B81,$BN$198:$BZ$204,12,FALSE)</f>
        <v>1.9140404691321369</v>
      </c>
      <c r="BZ81" s="69">
        <f>VLOOKUP($B81,$BN$198:$BZ$204,13,FALSE)</f>
        <v>1.7004174496949338</v>
      </c>
      <c r="CF81" s="69">
        <f t="shared" si="23"/>
        <v>1.8881313504705786</v>
      </c>
    </row>
    <row r="82" spans="2:84" ht="12.75" customHeight="1" x14ac:dyDescent="0.25">
      <c r="B82" s="76">
        <v>3</v>
      </c>
      <c r="C82" s="59" t="s">
        <v>493</v>
      </c>
      <c r="D82" s="60" t="s">
        <v>494</v>
      </c>
      <c r="E82" s="60">
        <v>2010</v>
      </c>
      <c r="F82" s="77">
        <v>80.099999999999994</v>
      </c>
      <c r="G82" s="62">
        <v>19.899999999999999</v>
      </c>
      <c r="H82" s="63">
        <v>3.8</v>
      </c>
      <c r="I82" s="64"/>
      <c r="J82" s="65" t="s">
        <v>493</v>
      </c>
      <c r="P82" s="66">
        <v>5.584644672858265</v>
      </c>
      <c r="Q82" s="66">
        <v>3.9624899241932421</v>
      </c>
      <c r="R82" s="66">
        <v>3.0340039193664454</v>
      </c>
      <c r="S82" s="66">
        <v>2.604471088787407</v>
      </c>
      <c r="T82" s="66">
        <v>2.4269734911821845</v>
      </c>
      <c r="U82" s="66">
        <v>2.9280358899553502</v>
      </c>
      <c r="V82" s="66">
        <v>3.5429234268459737</v>
      </c>
      <c r="Z82" s="66">
        <v>3.5429234268459737</v>
      </c>
      <c r="AA82" s="66">
        <f t="shared" si="20"/>
        <v>3.4533082300043549</v>
      </c>
      <c r="AC82" s="67" t="s">
        <v>494</v>
      </c>
      <c r="AI82" s="66">
        <f>VLOOKUP($B82,$AB$198:$AN$204,8,FALSE)</f>
        <v>128.9834964234991</v>
      </c>
      <c r="AJ82" s="66">
        <f>VLOOKUP($B82,$AB$198:$AN$204,9,FALSE)</f>
        <v>140.08513617162512</v>
      </c>
      <c r="AK82" s="66">
        <f>VLOOKUP($B82,$AB$198:$AN$204,10,FALSE)</f>
        <v>159.45976537422837</v>
      </c>
      <c r="AL82" s="66">
        <f>VLOOKUP($B82,$AB$198:$AN$204,11,FALSE)</f>
        <v>176.08231767394884</v>
      </c>
      <c r="AM82" s="66">
        <f>VLOOKUP($B82,$AB$198:$AN$204,12,FALSE)</f>
        <v>179.91973269843069</v>
      </c>
      <c r="AN82" s="66">
        <f>VLOOKUP($B82,$AB$198:$AN$204,13,FALSE)</f>
        <v>163.73758550252111</v>
      </c>
      <c r="AT82" s="66">
        <f t="shared" si="21"/>
        <v>158.04467230737555</v>
      </c>
      <c r="AV82" s="59" t="s">
        <v>493</v>
      </c>
      <c r="BB82" s="68">
        <f>VLOOKUP($B82,$AU$198:$BH$204,8,FALSE)</f>
        <v>15.896096812126734</v>
      </c>
      <c r="BC82" s="68">
        <f>VLOOKUP($B82,$AU$198:$BH$204,9,FALSE)</f>
        <v>15.574506119519162</v>
      </c>
      <c r="BD82" s="68">
        <f>VLOOKUP($B82,$AU$198:$BH$204,10,FALSE)</f>
        <v>15.053685490252553</v>
      </c>
      <c r="BE82" s="68">
        <f>VLOOKUP($B82,$AU$198:$BH$204,11,FALSE)</f>
        <v>14.526883451785674</v>
      </c>
      <c r="BF82" s="68">
        <f>VLOOKUP($B82,$AU$198:$BH$204,12,FALSE)</f>
        <v>14.663359386876838</v>
      </c>
      <c r="BG82" s="68">
        <f>VLOOKUP($B82,$AU$198:$BH$204,13,FALSE)</f>
        <v>15.454370304742046</v>
      </c>
      <c r="BM82" s="68">
        <f t="shared" si="22"/>
        <v>15.1948169275505</v>
      </c>
      <c r="BO82" s="59" t="s">
        <v>493</v>
      </c>
      <c r="BT82" s="74"/>
      <c r="BU82" s="69">
        <f>VLOOKUP($B82,$BN$198:$BZ$204,8,FALSE)</f>
        <v>1.5948707163335805</v>
      </c>
      <c r="BV82" s="69">
        <f>VLOOKUP($B82,$BN$198:$BZ$204,9,FALSE)</f>
        <v>1.9470251257359674</v>
      </c>
      <c r="BW82" s="69">
        <f>VLOOKUP($B82,$BN$198:$BZ$204,10,FALSE)</f>
        <v>2.1255980960882401</v>
      </c>
      <c r="BX82" s="69">
        <f>VLOOKUP($B82,$BN$198:$BZ$204,11,FALSE)</f>
        <v>2.0468362458386125</v>
      </c>
      <c r="BY82" s="69">
        <f>VLOOKUP($B82,$BN$198:$BZ$204,12,FALSE)</f>
        <v>1.9140404691321369</v>
      </c>
      <c r="BZ82" s="69">
        <f>VLOOKUP($B82,$BN$198:$BZ$204,13,FALSE)</f>
        <v>1.7004174496949338</v>
      </c>
      <c r="CF82" s="69">
        <f t="shared" si="23"/>
        <v>1.8881313504705786</v>
      </c>
    </row>
    <row r="83" spans="2:84" ht="12.75" customHeight="1" x14ac:dyDescent="0.25">
      <c r="B83" s="76">
        <v>5</v>
      </c>
      <c r="C83" s="59" t="s">
        <v>495</v>
      </c>
      <c r="D83" s="60" t="s">
        <v>496</v>
      </c>
      <c r="E83" s="60">
        <v>2010</v>
      </c>
      <c r="F83" s="77">
        <v>18.799999999999997</v>
      </c>
      <c r="G83" s="62">
        <v>81.2</v>
      </c>
      <c r="H83" s="63">
        <v>1.1000000000000001</v>
      </c>
      <c r="I83" s="64"/>
      <c r="J83" s="65" t="s">
        <v>495</v>
      </c>
      <c r="P83" s="66">
        <v>2.4143507854253707</v>
      </c>
      <c r="Q83" s="66">
        <v>2.0582686500460241</v>
      </c>
      <c r="R83" s="66">
        <v>1.7318994690665552</v>
      </c>
      <c r="S83" s="66">
        <v>1.519708481407064</v>
      </c>
      <c r="T83" s="66">
        <v>2.0276465089870674</v>
      </c>
      <c r="U83" s="66">
        <v>5.3933078992297316</v>
      </c>
      <c r="V83" s="66">
        <v>4.5894958180573342</v>
      </c>
      <c r="Z83" s="66">
        <v>4.5894958180573342</v>
      </c>
      <c r="AA83" s="70">
        <f t="shared" si="20"/>
        <v>3.0405216787845601</v>
      </c>
      <c r="AC83" s="67" t="s">
        <v>496</v>
      </c>
      <c r="AI83" s="72">
        <v>67</v>
      </c>
      <c r="AJ83" s="72">
        <v>64.8</v>
      </c>
      <c r="AK83" s="72">
        <v>67.599999999999994</v>
      </c>
      <c r="AL83" s="72">
        <v>78.400000000000006</v>
      </c>
      <c r="AM83" s="72">
        <v>71.5</v>
      </c>
      <c r="AN83" s="72">
        <v>68.3</v>
      </c>
      <c r="AT83" s="72">
        <f t="shared" si="21"/>
        <v>69.600000000000009</v>
      </c>
      <c r="AV83" s="59" t="s">
        <v>495</v>
      </c>
      <c r="BB83" s="73">
        <v>15.4</v>
      </c>
      <c r="BC83" s="73">
        <v>14.8</v>
      </c>
      <c r="BD83" s="73">
        <v>14.9</v>
      </c>
      <c r="BE83" s="73">
        <v>13.4</v>
      </c>
      <c r="BF83" s="73">
        <v>14.8</v>
      </c>
      <c r="BG83" s="73">
        <v>16.600000000000001</v>
      </c>
      <c r="BM83" s="73">
        <f t="shared" si="22"/>
        <v>14.983333333333334</v>
      </c>
      <c r="BO83" s="59" t="s">
        <v>495</v>
      </c>
      <c r="BT83" s="74"/>
      <c r="BU83" s="75">
        <v>1.7</v>
      </c>
      <c r="BV83" s="75">
        <v>1.7</v>
      </c>
      <c r="BW83" s="75">
        <v>1.8</v>
      </c>
      <c r="BX83" s="75">
        <v>1.9</v>
      </c>
      <c r="BY83" s="75">
        <v>1.8</v>
      </c>
      <c r="BZ83" s="75">
        <v>1.6</v>
      </c>
      <c r="CF83" s="75">
        <f t="shared" si="23"/>
        <v>1.75</v>
      </c>
    </row>
    <row r="84" spans="2:84" ht="12.75" customHeight="1" x14ac:dyDescent="0.25">
      <c r="B84" s="58">
        <v>2</v>
      </c>
      <c r="C84" s="59" t="s">
        <v>497</v>
      </c>
      <c r="D84" s="60" t="s">
        <v>498</v>
      </c>
      <c r="E84" s="60">
        <v>2010</v>
      </c>
      <c r="F84" s="77">
        <v>62.1</v>
      </c>
      <c r="G84" s="62">
        <v>37.9</v>
      </c>
      <c r="H84" s="63">
        <v>2</v>
      </c>
      <c r="I84" s="64"/>
      <c r="J84" s="65" t="s">
        <v>497</v>
      </c>
      <c r="P84" s="70">
        <v>1.8</v>
      </c>
      <c r="Q84" s="71">
        <v>2.2999999999999998</v>
      </c>
      <c r="R84" s="71">
        <v>2.6</v>
      </c>
      <c r="S84" s="71">
        <v>2.2999999999999998</v>
      </c>
      <c r="T84" s="71">
        <v>3</v>
      </c>
      <c r="U84" s="71">
        <v>6.7</v>
      </c>
      <c r="V84" s="71">
        <v>9.3000000000000007</v>
      </c>
      <c r="Z84" s="71">
        <v>9.3000000000000007</v>
      </c>
      <c r="AA84" s="70">
        <f t="shared" si="20"/>
        <v>4.6624999999999996</v>
      </c>
      <c r="AC84" s="67" t="s">
        <v>498</v>
      </c>
      <c r="AI84" s="72">
        <v>83.5</v>
      </c>
      <c r="AJ84" s="72">
        <v>65.099999999999994</v>
      </c>
      <c r="AK84" s="72">
        <v>57.1</v>
      </c>
      <c r="AL84" s="72">
        <v>64.8</v>
      </c>
      <c r="AM84" s="72">
        <v>58.9</v>
      </c>
      <c r="AN84" s="72">
        <v>51.2</v>
      </c>
      <c r="AT84" s="72">
        <f t="shared" si="21"/>
        <v>63.43333333333333</v>
      </c>
      <c r="AV84" s="59" t="s">
        <v>497</v>
      </c>
      <c r="BB84" s="73">
        <v>12.443559523760154</v>
      </c>
      <c r="BC84" s="73">
        <v>11.558380218886189</v>
      </c>
      <c r="BD84" s="73">
        <v>11.0119926726752</v>
      </c>
      <c r="BE84" s="73">
        <v>10.421356226116455</v>
      </c>
      <c r="BF84" s="73">
        <v>11.06</v>
      </c>
      <c r="BG84" s="73">
        <v>13.1</v>
      </c>
      <c r="BM84" s="73">
        <f t="shared" si="22"/>
        <v>11.599214773572998</v>
      </c>
      <c r="BO84" s="59" t="s">
        <v>497</v>
      </c>
      <c r="BT84" s="74"/>
      <c r="BU84" s="75">
        <v>1.3</v>
      </c>
      <c r="BV84" s="75">
        <v>1.4</v>
      </c>
      <c r="BW84" s="75">
        <v>1.5</v>
      </c>
      <c r="BX84" s="75">
        <v>1.2</v>
      </c>
      <c r="BY84" s="75">
        <v>0.8</v>
      </c>
      <c r="BZ84" s="75">
        <v>1.1000000000000001</v>
      </c>
      <c r="CF84" s="75">
        <f t="shared" si="23"/>
        <v>1.2166666666666668</v>
      </c>
    </row>
    <row r="85" spans="2:84" ht="12.75" customHeight="1" x14ac:dyDescent="0.25">
      <c r="B85" s="76">
        <v>5</v>
      </c>
      <c r="C85" s="59" t="s">
        <v>499</v>
      </c>
      <c r="D85" s="60" t="s">
        <v>500</v>
      </c>
      <c r="E85" s="60">
        <v>2010</v>
      </c>
      <c r="F85" s="77">
        <v>21.5</v>
      </c>
      <c r="G85" s="62">
        <v>78.5</v>
      </c>
      <c r="H85" s="63">
        <v>1</v>
      </c>
      <c r="I85" s="64"/>
      <c r="J85" s="65" t="s">
        <v>499</v>
      </c>
      <c r="P85" s="70">
        <v>0.901036023135796</v>
      </c>
      <c r="Q85" s="71">
        <v>1.1000000000000001</v>
      </c>
      <c r="R85" s="71">
        <v>0.8</v>
      </c>
      <c r="S85" s="71" t="s">
        <v>355</v>
      </c>
      <c r="T85" s="71" t="s">
        <v>355</v>
      </c>
      <c r="U85" s="71">
        <v>61.2</v>
      </c>
      <c r="V85" s="71" t="s">
        <v>355</v>
      </c>
      <c r="Z85" s="71" t="s">
        <v>355</v>
      </c>
      <c r="AA85" s="70">
        <f t="shared" si="20"/>
        <v>16.000259005783949</v>
      </c>
      <c r="AC85" s="67" t="s">
        <v>500</v>
      </c>
      <c r="AI85" s="72">
        <v>80.938016875403832</v>
      </c>
      <c r="AJ85" s="72">
        <v>112.86603557226226</v>
      </c>
      <c r="AK85" s="72">
        <v>99.62</v>
      </c>
      <c r="AL85" s="72">
        <v>84.13</v>
      </c>
      <c r="AM85" s="72" t="s">
        <v>380</v>
      </c>
      <c r="AN85" s="72" t="s">
        <v>380</v>
      </c>
      <c r="AT85" s="72">
        <f t="shared" si="21"/>
        <v>94.388513111916524</v>
      </c>
      <c r="AV85" s="59" t="s">
        <v>499</v>
      </c>
      <c r="BB85" s="73">
        <v>12.837013500790199</v>
      </c>
      <c r="BC85" s="73">
        <v>12.8</v>
      </c>
      <c r="BD85" s="73">
        <v>15.1</v>
      </c>
      <c r="BE85" s="73">
        <v>12.1</v>
      </c>
      <c r="BF85" s="73" t="s">
        <v>380</v>
      </c>
      <c r="BG85" s="73" t="s">
        <v>380</v>
      </c>
      <c r="BM85" s="73">
        <f t="shared" si="22"/>
        <v>13.20925337519755</v>
      </c>
      <c r="BO85" s="59" t="s">
        <v>499</v>
      </c>
      <c r="BT85" s="74"/>
      <c r="BU85" s="75">
        <v>1.8</v>
      </c>
      <c r="BV85" s="75">
        <v>2.2999999999999998</v>
      </c>
      <c r="BW85" s="75">
        <v>2.6</v>
      </c>
      <c r="BX85" s="75">
        <v>1.5</v>
      </c>
      <c r="BY85" s="75" t="s">
        <v>380</v>
      </c>
      <c r="BZ85" s="75" t="s">
        <v>380</v>
      </c>
      <c r="CF85" s="75">
        <f t="shared" si="23"/>
        <v>2.0499999999999998</v>
      </c>
    </row>
    <row r="86" spans="2:84" ht="12.75" customHeight="1" x14ac:dyDescent="0.25">
      <c r="B86" s="76">
        <v>1</v>
      </c>
      <c r="C86" s="59" t="s">
        <v>501</v>
      </c>
      <c r="D86" s="60" t="s">
        <v>502</v>
      </c>
      <c r="E86" s="60">
        <v>2010</v>
      </c>
      <c r="F86" s="77">
        <v>83.7</v>
      </c>
      <c r="G86" s="62">
        <v>16.3</v>
      </c>
      <c r="H86" s="63">
        <v>7</v>
      </c>
      <c r="I86" s="64"/>
      <c r="J86" s="65" t="s">
        <v>501</v>
      </c>
      <c r="P86" s="70">
        <v>7.2</v>
      </c>
      <c r="Q86" s="71">
        <v>5.2</v>
      </c>
      <c r="R86" s="71">
        <v>3.3</v>
      </c>
      <c r="S86" s="71">
        <v>2.5</v>
      </c>
      <c r="T86" s="71">
        <v>2.2999999999999998</v>
      </c>
      <c r="U86" s="71">
        <v>2.2999999999999998</v>
      </c>
      <c r="V86" s="71" t="s">
        <v>355</v>
      </c>
      <c r="Z86" s="71" t="s">
        <v>355</v>
      </c>
      <c r="AA86" s="70">
        <f t="shared" si="20"/>
        <v>3.8000000000000003</v>
      </c>
      <c r="AC86" s="67" t="s">
        <v>502</v>
      </c>
      <c r="AI86" s="72">
        <v>56.6</v>
      </c>
      <c r="AJ86" s="72">
        <v>60.3</v>
      </c>
      <c r="AK86" s="72">
        <v>58.9</v>
      </c>
      <c r="AL86" s="72">
        <v>56.1</v>
      </c>
      <c r="AM86" s="72">
        <v>52.6</v>
      </c>
      <c r="AN86" s="72" t="s">
        <v>380</v>
      </c>
      <c r="AT86" s="72">
        <f t="shared" si="21"/>
        <v>56.9</v>
      </c>
      <c r="AV86" s="59" t="s">
        <v>501</v>
      </c>
      <c r="BB86" s="73">
        <v>12.9</v>
      </c>
      <c r="BC86" s="73">
        <v>12.8</v>
      </c>
      <c r="BD86" s="73">
        <v>12.3</v>
      </c>
      <c r="BE86" s="73">
        <v>12.3</v>
      </c>
      <c r="BF86" s="73">
        <v>13</v>
      </c>
      <c r="BG86" s="73">
        <v>13.2</v>
      </c>
      <c r="BM86" s="73">
        <f t="shared" si="22"/>
        <v>12.75</v>
      </c>
      <c r="BO86" s="59" t="s">
        <v>501</v>
      </c>
      <c r="BT86" s="74"/>
      <c r="BU86" s="75">
        <v>0.8</v>
      </c>
      <c r="BV86" s="75">
        <v>0.9</v>
      </c>
      <c r="BW86" s="75">
        <v>0.7</v>
      </c>
      <c r="BX86" s="75">
        <v>0.9</v>
      </c>
      <c r="BY86" s="75">
        <v>1</v>
      </c>
      <c r="BZ86" s="75">
        <v>1.02</v>
      </c>
      <c r="CF86" s="75">
        <f t="shared" si="23"/>
        <v>0.88666666666666671</v>
      </c>
    </row>
    <row r="87" spans="2:84" ht="12.75" customHeight="1" x14ac:dyDescent="0.25">
      <c r="B87" s="76">
        <v>1</v>
      </c>
      <c r="C87" s="59" t="s">
        <v>503</v>
      </c>
      <c r="D87" s="60" t="s">
        <v>504</v>
      </c>
      <c r="E87" s="60">
        <v>2010</v>
      </c>
      <c r="F87" s="77">
        <v>86.8</v>
      </c>
      <c r="G87" s="62">
        <v>13.2</v>
      </c>
      <c r="H87" s="63">
        <v>5.5</v>
      </c>
      <c r="I87" s="64"/>
      <c r="J87" s="65" t="s">
        <v>503</v>
      </c>
      <c r="P87" s="70">
        <v>4.5</v>
      </c>
      <c r="Q87" s="71">
        <v>7.4015467949188398</v>
      </c>
      <c r="R87" s="71">
        <v>5.9653635023614404</v>
      </c>
      <c r="S87" s="71">
        <v>4.0771346719041865</v>
      </c>
      <c r="T87" s="71">
        <v>3.1987894905269001</v>
      </c>
      <c r="U87" s="71">
        <v>3.3066869612534333</v>
      </c>
      <c r="V87" s="71" t="s">
        <v>355</v>
      </c>
      <c r="Z87" s="71" t="s">
        <v>355</v>
      </c>
      <c r="AA87" s="70">
        <f t="shared" si="20"/>
        <v>4.7415869034941336</v>
      </c>
      <c r="AC87" s="67" t="s">
        <v>504</v>
      </c>
      <c r="AI87" s="72">
        <v>137.4</v>
      </c>
      <c r="AJ87" s="72">
        <v>60.6</v>
      </c>
      <c r="AK87" s="72">
        <v>84.7</v>
      </c>
      <c r="AL87" s="72">
        <v>104.5</v>
      </c>
      <c r="AM87" s="72">
        <v>118.6</v>
      </c>
      <c r="AN87" s="72">
        <v>127.4</v>
      </c>
      <c r="AT87" s="72">
        <f t="shared" si="21"/>
        <v>105.53333333333332</v>
      </c>
      <c r="AV87" s="59" t="s">
        <v>503</v>
      </c>
      <c r="BB87" s="73">
        <v>19.399999999999999</v>
      </c>
      <c r="BC87" s="73">
        <v>19.3</v>
      </c>
      <c r="BD87" s="73">
        <v>21.27</v>
      </c>
      <c r="BE87" s="73">
        <v>19.3</v>
      </c>
      <c r="BF87" s="73">
        <v>16.77</v>
      </c>
      <c r="BG87" s="73">
        <v>17.5</v>
      </c>
      <c r="BM87" s="73">
        <f t="shared" si="22"/>
        <v>18.923333333333332</v>
      </c>
      <c r="BO87" s="59" t="s">
        <v>503</v>
      </c>
      <c r="BT87" s="74"/>
      <c r="BU87" s="75">
        <v>3.41</v>
      </c>
      <c r="BV87" s="75">
        <v>2.46</v>
      </c>
      <c r="BW87" s="75">
        <v>2.6</v>
      </c>
      <c r="BX87" s="75">
        <v>2.8</v>
      </c>
      <c r="BY87" s="75">
        <v>2.2999999999999998</v>
      </c>
      <c r="BZ87" s="75">
        <v>2.6</v>
      </c>
      <c r="CF87" s="75">
        <f t="shared" si="23"/>
        <v>2.6950000000000003</v>
      </c>
    </row>
    <row r="88" spans="2:84" ht="12.75" customHeight="1" x14ac:dyDescent="0.25">
      <c r="B88" s="76">
        <v>4</v>
      </c>
      <c r="C88" s="59" t="s">
        <v>505</v>
      </c>
      <c r="D88" s="60" t="s">
        <v>506</v>
      </c>
      <c r="E88" s="60">
        <v>2010</v>
      </c>
      <c r="F88" s="77">
        <v>76.900000000000006</v>
      </c>
      <c r="G88" s="62">
        <v>23.1</v>
      </c>
      <c r="H88" s="63">
        <v>4.5</v>
      </c>
      <c r="I88" s="64"/>
      <c r="J88" s="65" t="s">
        <v>505</v>
      </c>
      <c r="P88" s="66">
        <v>14.02222222222222</v>
      </c>
      <c r="Q88" s="66">
        <v>11.930374904361134</v>
      </c>
      <c r="R88" s="66">
        <v>9.2577029027354598</v>
      </c>
      <c r="S88" s="66">
        <v>7.8242517155789182</v>
      </c>
      <c r="T88" s="66">
        <v>6.5840245506868422</v>
      </c>
      <c r="U88" s="66">
        <v>7.3444444444444441</v>
      </c>
      <c r="V88" s="66">
        <v>6.58</v>
      </c>
      <c r="Z88" s="66">
        <v>6.58</v>
      </c>
      <c r="AA88" s="66">
        <f t="shared" si="20"/>
        <v>8.7653775925036275</v>
      </c>
      <c r="AC88" s="67" t="s">
        <v>506</v>
      </c>
      <c r="AI88" s="66">
        <f>VLOOKUP($B88,$AB$198:$AN$204,8,FALSE)</f>
        <v>79.341861538879385</v>
      </c>
      <c r="AJ88" s="66">
        <f>VLOOKUP($B88,$AB$198:$AN$204,9,FALSE)</f>
        <v>88.50619591554171</v>
      </c>
      <c r="AK88" s="66">
        <f>VLOOKUP($B88,$AB$198:$AN$204,10,FALSE)</f>
        <v>90.69473658368932</v>
      </c>
      <c r="AL88" s="66">
        <f>VLOOKUP($B88,$AB$198:$AN$204,11,FALSE)</f>
        <v>86.039752929996837</v>
      </c>
      <c r="AM88" s="66">
        <f>VLOOKUP($B88,$AB$198:$AN$204,12,FALSE)</f>
        <v>90.63333333333334</v>
      </c>
      <c r="AN88" s="66">
        <f>VLOOKUP($B88,$AB$198:$AN$204,13,FALSE)</f>
        <v>79.016666666666666</v>
      </c>
      <c r="AT88" s="66">
        <f t="shared" si="21"/>
        <v>85.70542449468455</v>
      </c>
      <c r="AV88" s="59" t="s">
        <v>505</v>
      </c>
      <c r="BB88" s="68">
        <f>VLOOKUP($B88,$AU$198:$BH$204,8,FALSE)</f>
        <v>15.783333333333331</v>
      </c>
      <c r="BC88" s="68">
        <f>VLOOKUP($B88,$AU$198:$BH$204,9,FALSE)</f>
        <v>16.96777777777778</v>
      </c>
      <c r="BD88" s="68">
        <f>VLOOKUP($B88,$AU$198:$BH$204,10,FALSE)</f>
        <v>18.087777777777777</v>
      </c>
      <c r="BE88" s="68">
        <f>VLOOKUP($B88,$AU$198:$BH$204,11,FALSE)</f>
        <v>15.511111111111111</v>
      </c>
      <c r="BF88" s="68">
        <f>VLOOKUP($B88,$AU$198:$BH$204,12,FALSE)</f>
        <v>14.228888888888889</v>
      </c>
      <c r="BG88" s="68">
        <f>VLOOKUP($B88,$AU$198:$BH$204,13,FALSE)</f>
        <v>15.466666666666669</v>
      </c>
      <c r="BM88" s="68">
        <f t="shared" si="22"/>
        <v>16.007592592592591</v>
      </c>
      <c r="BO88" s="59" t="s">
        <v>505</v>
      </c>
      <c r="BT88" s="74"/>
      <c r="BU88" s="69">
        <f>VLOOKUP($B88,$BN$198:$BZ$204,8,FALSE)</f>
        <v>1.3611111111111112</v>
      </c>
      <c r="BV88" s="69">
        <f>VLOOKUP($B88,$BN$198:$BZ$204,9,FALSE)</f>
        <v>1.7591101065276993</v>
      </c>
      <c r="BW88" s="69">
        <f>VLOOKUP($B88,$BN$198:$BZ$204,10,FALSE)</f>
        <v>1.8948899098974377</v>
      </c>
      <c r="BX88" s="69">
        <f>VLOOKUP($B88,$BN$198:$BZ$204,11,FALSE)</f>
        <v>1.8022222222222222</v>
      </c>
      <c r="BY88" s="69">
        <f>VLOOKUP($B88,$BN$198:$BZ$204,12,FALSE)</f>
        <v>1.6577777777777776</v>
      </c>
      <c r="BZ88" s="69">
        <f>VLOOKUP($B88,$BN$198:$BZ$204,13,FALSE)</f>
        <v>1.53</v>
      </c>
      <c r="CF88" s="69">
        <f t="shared" si="23"/>
        <v>1.6675185212560413</v>
      </c>
    </row>
    <row r="89" spans="2:84" ht="12.75" customHeight="1" x14ac:dyDescent="0.25">
      <c r="B89" s="76">
        <v>4</v>
      </c>
      <c r="C89" s="59" t="s">
        <v>507</v>
      </c>
      <c r="D89" s="60" t="s">
        <v>508</v>
      </c>
      <c r="E89" s="60">
        <v>2010</v>
      </c>
      <c r="F89" s="61">
        <v>65.8</v>
      </c>
      <c r="G89" s="62" t="s">
        <v>355</v>
      </c>
      <c r="H89" s="63" t="s">
        <v>355</v>
      </c>
      <c r="I89" s="64"/>
      <c r="J89" s="65" t="s">
        <v>507</v>
      </c>
      <c r="P89" s="66">
        <v>14.02222222222222</v>
      </c>
      <c r="Q89" s="66">
        <v>11.930374904361134</v>
      </c>
      <c r="R89" s="66">
        <v>9.2577029027354598</v>
      </c>
      <c r="S89" s="66">
        <v>7.8242517155789182</v>
      </c>
      <c r="T89" s="66">
        <v>6.5840245506868422</v>
      </c>
      <c r="U89" s="66">
        <v>7.3444444444444441</v>
      </c>
      <c r="V89" s="66">
        <v>6.58</v>
      </c>
      <c r="Z89" s="66">
        <v>6.58</v>
      </c>
      <c r="AA89" s="66">
        <f t="shared" si="20"/>
        <v>8.7653775925036275</v>
      </c>
      <c r="AC89" s="67" t="s">
        <v>508</v>
      </c>
      <c r="AI89" s="66">
        <f>VLOOKUP($B89,$AB$198:$AN$204,8,FALSE)</f>
        <v>79.341861538879385</v>
      </c>
      <c r="AJ89" s="66">
        <f>VLOOKUP($B89,$AB$198:$AN$204,9,FALSE)</f>
        <v>88.50619591554171</v>
      </c>
      <c r="AK89" s="66">
        <f>VLOOKUP($B89,$AB$198:$AN$204,10,FALSE)</f>
        <v>90.69473658368932</v>
      </c>
      <c r="AL89" s="66">
        <f>VLOOKUP($B89,$AB$198:$AN$204,11,FALSE)</f>
        <v>86.039752929996837</v>
      </c>
      <c r="AM89" s="66">
        <f>VLOOKUP($B89,$AB$198:$AN$204,12,FALSE)</f>
        <v>90.63333333333334</v>
      </c>
      <c r="AN89" s="66">
        <f>VLOOKUP($B89,$AB$198:$AN$204,13,FALSE)</f>
        <v>79.016666666666666</v>
      </c>
      <c r="AT89" s="66">
        <f t="shared" si="21"/>
        <v>85.70542449468455</v>
      </c>
      <c r="AV89" s="59" t="s">
        <v>507</v>
      </c>
      <c r="BB89" s="68">
        <f>VLOOKUP($B89,$AU$198:$BH$204,8,FALSE)</f>
        <v>15.783333333333331</v>
      </c>
      <c r="BC89" s="68">
        <f>VLOOKUP($B89,$AU$198:$BH$204,9,FALSE)</f>
        <v>16.96777777777778</v>
      </c>
      <c r="BD89" s="68">
        <f>VLOOKUP($B89,$AU$198:$BH$204,10,FALSE)</f>
        <v>18.087777777777777</v>
      </c>
      <c r="BE89" s="68">
        <f>VLOOKUP($B89,$AU$198:$BH$204,11,FALSE)</f>
        <v>15.511111111111111</v>
      </c>
      <c r="BF89" s="68">
        <f>VLOOKUP($B89,$AU$198:$BH$204,12,FALSE)</f>
        <v>14.228888888888889</v>
      </c>
      <c r="BG89" s="68">
        <f>VLOOKUP($B89,$AU$198:$BH$204,13,FALSE)</f>
        <v>15.466666666666669</v>
      </c>
      <c r="BM89" s="68">
        <f t="shared" si="22"/>
        <v>16.007592592592591</v>
      </c>
      <c r="BO89" s="59" t="s">
        <v>507</v>
      </c>
      <c r="BT89" s="74"/>
      <c r="BU89" s="69">
        <f>VLOOKUP($B89,$BN$198:$BZ$204,8,FALSE)</f>
        <v>1.3611111111111112</v>
      </c>
      <c r="BV89" s="69">
        <f>VLOOKUP($B89,$BN$198:$BZ$204,9,FALSE)</f>
        <v>1.7591101065276993</v>
      </c>
      <c r="BW89" s="69">
        <f>VLOOKUP($B89,$BN$198:$BZ$204,10,FALSE)</f>
        <v>1.8948899098974377</v>
      </c>
      <c r="BX89" s="69">
        <f>VLOOKUP($B89,$BN$198:$BZ$204,11,FALSE)</f>
        <v>1.8022222222222222</v>
      </c>
      <c r="BY89" s="69">
        <f>VLOOKUP($B89,$BN$198:$BZ$204,12,FALSE)</f>
        <v>1.6577777777777776</v>
      </c>
      <c r="BZ89" s="69">
        <f>VLOOKUP($B89,$BN$198:$BZ$204,13,FALSE)</f>
        <v>1.53</v>
      </c>
      <c r="CF89" s="69">
        <f t="shared" si="23"/>
        <v>1.6675185212560413</v>
      </c>
    </row>
    <row r="90" spans="2:84" ht="12.75" customHeight="1" x14ac:dyDescent="0.25">
      <c r="B90" s="76">
        <v>5</v>
      </c>
      <c r="C90" s="59" t="s">
        <v>509</v>
      </c>
      <c r="D90" s="60" t="s">
        <v>510</v>
      </c>
      <c r="E90" s="60">
        <v>2010</v>
      </c>
      <c r="F90" s="77">
        <v>12.599999999999994</v>
      </c>
      <c r="G90" s="62">
        <v>87.4</v>
      </c>
      <c r="H90" s="63">
        <v>0.4</v>
      </c>
      <c r="I90" s="64"/>
      <c r="J90" s="65" t="s">
        <v>509</v>
      </c>
      <c r="P90" s="70">
        <v>0.82</v>
      </c>
      <c r="Q90" s="71">
        <v>0.68</v>
      </c>
      <c r="R90" s="71">
        <v>0.71</v>
      </c>
      <c r="S90" s="71">
        <v>0.79</v>
      </c>
      <c r="T90" s="71">
        <v>2.6</v>
      </c>
      <c r="U90" s="71">
        <v>9</v>
      </c>
      <c r="V90" s="71">
        <v>12.9</v>
      </c>
      <c r="Z90" s="71">
        <v>12.9</v>
      </c>
      <c r="AA90" s="70">
        <f t="shared" si="20"/>
        <v>5.05</v>
      </c>
      <c r="AC90" s="67" t="s">
        <v>510</v>
      </c>
      <c r="AI90" s="72">
        <v>92.7</v>
      </c>
      <c r="AJ90" s="72">
        <v>75.099999999999994</v>
      </c>
      <c r="AK90" s="72">
        <v>56.7</v>
      </c>
      <c r="AL90" s="72">
        <v>49.1</v>
      </c>
      <c r="AM90" s="72">
        <v>47.2</v>
      </c>
      <c r="AN90" s="72">
        <v>37.700000000000003</v>
      </c>
      <c r="AT90" s="72">
        <f t="shared" si="21"/>
        <v>59.75</v>
      </c>
      <c r="AV90" s="59" t="s">
        <v>509</v>
      </c>
      <c r="BB90" s="73">
        <v>12.6</v>
      </c>
      <c r="BC90" s="73">
        <v>12</v>
      </c>
      <c r="BD90" s="73">
        <v>10.9</v>
      </c>
      <c r="BE90" s="73">
        <v>10.7</v>
      </c>
      <c r="BF90" s="73">
        <v>10.6</v>
      </c>
      <c r="BG90" s="73">
        <v>10.6</v>
      </c>
      <c r="BM90" s="73">
        <f t="shared" si="22"/>
        <v>11.233333333333334</v>
      </c>
      <c r="BO90" s="59" t="s">
        <v>509</v>
      </c>
      <c r="BT90" s="74"/>
      <c r="BU90" s="75">
        <v>1.1000000000000001</v>
      </c>
      <c r="BV90" s="75">
        <v>0.8</v>
      </c>
      <c r="BW90" s="75">
        <v>0.8</v>
      </c>
      <c r="BX90" s="75">
        <v>0.7</v>
      </c>
      <c r="BY90" s="75" t="s">
        <v>380</v>
      </c>
      <c r="BZ90" s="75" t="s">
        <v>380</v>
      </c>
      <c r="CF90" s="75">
        <f t="shared" si="23"/>
        <v>0.85000000000000009</v>
      </c>
    </row>
    <row r="91" spans="2:84" ht="12.75" customHeight="1" x14ac:dyDescent="0.25">
      <c r="B91" s="76">
        <v>5</v>
      </c>
      <c r="C91" s="59" t="s">
        <v>511</v>
      </c>
      <c r="D91" s="60" t="s">
        <v>512</v>
      </c>
      <c r="E91" s="60">
        <v>2010</v>
      </c>
      <c r="F91" s="77">
        <v>50.9</v>
      </c>
      <c r="G91" s="62">
        <v>49.1</v>
      </c>
      <c r="H91" s="63">
        <v>4</v>
      </c>
      <c r="I91" s="64"/>
      <c r="J91" s="65" t="s">
        <v>511</v>
      </c>
      <c r="P91" s="70">
        <v>2.5488195267830367</v>
      </c>
      <c r="Q91" s="71">
        <v>2.3305029541752456</v>
      </c>
      <c r="R91" s="71">
        <v>1.939431797589263</v>
      </c>
      <c r="S91" s="71">
        <v>1.4482371697068113</v>
      </c>
      <c r="T91" s="71">
        <v>1.5</v>
      </c>
      <c r="U91" s="71">
        <v>1.5</v>
      </c>
      <c r="V91" s="71" t="s">
        <v>355</v>
      </c>
      <c r="Z91" s="71" t="s">
        <v>355</v>
      </c>
      <c r="AA91" s="70">
        <f t="shared" si="20"/>
        <v>1.8778319080423929</v>
      </c>
      <c r="AC91" s="67" t="s">
        <v>512</v>
      </c>
      <c r="AI91" s="66">
        <f>VLOOKUP($B91,$AB$198:$AN$204,8,FALSE)</f>
        <v>92.897933193103839</v>
      </c>
      <c r="AJ91" s="66">
        <f>VLOOKUP($B91,$AB$198:$AN$204,9,FALSE)</f>
        <v>91.027330710904693</v>
      </c>
      <c r="AK91" s="66">
        <f>VLOOKUP($B91,$AB$198:$AN$204,10,FALSE)</f>
        <v>93.198641148641926</v>
      </c>
      <c r="AL91" s="66">
        <f>VLOOKUP($B91,$AB$198:$AN$204,11,FALSE)</f>
        <v>91.369909561122711</v>
      </c>
      <c r="AM91" s="66">
        <f>VLOOKUP($B91,$AB$198:$AN$204,12,FALSE)</f>
        <v>69.403859855449028</v>
      </c>
      <c r="AN91" s="66">
        <f>VLOOKUP($B91,$AB$198:$AN$204,13,FALSE)</f>
        <v>62.07823623621681</v>
      </c>
      <c r="AT91" s="66">
        <f t="shared" si="21"/>
        <v>83.329318450906499</v>
      </c>
      <c r="AV91" s="59" t="s">
        <v>511</v>
      </c>
      <c r="BB91" s="73">
        <v>10.75</v>
      </c>
      <c r="BC91" s="73">
        <v>10.73</v>
      </c>
      <c r="BD91" s="73">
        <v>10.82</v>
      </c>
      <c r="BE91" s="73">
        <v>10.95</v>
      </c>
      <c r="BF91" s="73">
        <v>11.1</v>
      </c>
      <c r="BG91" s="73">
        <v>12.6</v>
      </c>
      <c r="BM91" s="73">
        <f t="shared" si="22"/>
        <v>11.158333333333333</v>
      </c>
      <c r="BO91" s="59" t="s">
        <v>511</v>
      </c>
      <c r="BT91" s="74"/>
      <c r="BU91" s="75">
        <v>0.97907113948950208</v>
      </c>
      <c r="BV91" s="75">
        <v>1.106140649545392</v>
      </c>
      <c r="BW91" s="75">
        <v>1.0370865356608463</v>
      </c>
      <c r="BX91" s="75">
        <v>1.2215473400852697</v>
      </c>
      <c r="BY91" s="75">
        <v>0</v>
      </c>
      <c r="BZ91" s="75">
        <v>0.2</v>
      </c>
      <c r="CF91" s="75">
        <f t="shared" si="23"/>
        <v>0.75730761079683495</v>
      </c>
    </row>
    <row r="92" spans="2:84" ht="12.75" customHeight="1" x14ac:dyDescent="0.25">
      <c r="B92" s="76">
        <v>5</v>
      </c>
      <c r="C92" s="59" t="s">
        <v>513</v>
      </c>
      <c r="D92" s="60" t="s">
        <v>514</v>
      </c>
      <c r="E92" s="60">
        <v>2010</v>
      </c>
      <c r="F92" s="77">
        <v>42</v>
      </c>
      <c r="G92" s="62">
        <v>58</v>
      </c>
      <c r="H92" s="63">
        <v>1.8</v>
      </c>
      <c r="I92" s="64"/>
      <c r="J92" s="65" t="s">
        <v>513</v>
      </c>
      <c r="P92" s="70">
        <v>6.6</v>
      </c>
      <c r="Q92" s="71">
        <v>5.31</v>
      </c>
      <c r="R92" s="71">
        <v>4.88</v>
      </c>
      <c r="S92" s="71">
        <v>4.55</v>
      </c>
      <c r="T92" s="71">
        <v>4.8546480428082983</v>
      </c>
      <c r="U92" s="71">
        <v>7.0043472828681184</v>
      </c>
      <c r="V92" s="71">
        <v>7.5630151399311192</v>
      </c>
      <c r="Z92" s="71">
        <v>7.5630151399311192</v>
      </c>
      <c r="AA92" s="70">
        <f t="shared" si="20"/>
        <v>6.0406282006923311</v>
      </c>
      <c r="AC92" s="67" t="s">
        <v>514</v>
      </c>
      <c r="AI92" s="72" t="s">
        <v>380</v>
      </c>
      <c r="AJ92" s="72" t="s">
        <v>380</v>
      </c>
      <c r="AK92" s="72">
        <v>46</v>
      </c>
      <c r="AL92" s="72">
        <v>49.4</v>
      </c>
      <c r="AM92" s="72">
        <v>46.1</v>
      </c>
      <c r="AN92" s="72" t="s">
        <v>380</v>
      </c>
      <c r="AT92" s="72">
        <f t="shared" si="21"/>
        <v>47.166666666666664</v>
      </c>
      <c r="AV92" s="59" t="s">
        <v>513</v>
      </c>
      <c r="BB92" s="73">
        <v>11.6</v>
      </c>
      <c r="BC92" s="73">
        <v>10.6</v>
      </c>
      <c r="BD92" s="73">
        <v>10.7</v>
      </c>
      <c r="BE92" s="73">
        <v>10.4</v>
      </c>
      <c r="BF92" s="73">
        <v>10.8</v>
      </c>
      <c r="BG92" s="73" t="s">
        <v>380</v>
      </c>
      <c r="BM92" s="73">
        <f t="shared" si="22"/>
        <v>10.819999999999999</v>
      </c>
      <c r="BO92" s="59" t="s">
        <v>513</v>
      </c>
      <c r="BT92" s="74"/>
      <c r="BU92" s="75">
        <v>0.64547626075078768</v>
      </c>
      <c r="BV92" s="75">
        <v>0.65979374963663417</v>
      </c>
      <c r="BW92" s="75">
        <v>0.80733392670239812</v>
      </c>
      <c r="BX92" s="75">
        <v>0.8</v>
      </c>
      <c r="BY92" s="75">
        <v>0.3</v>
      </c>
      <c r="BZ92" s="75" t="s">
        <v>380</v>
      </c>
      <c r="CF92" s="75">
        <f t="shared" si="23"/>
        <v>0.64252078741796392</v>
      </c>
    </row>
    <row r="93" spans="2:84" ht="12.75" customHeight="1" x14ac:dyDescent="0.25">
      <c r="B93" s="76">
        <v>3</v>
      </c>
      <c r="C93" s="59" t="s">
        <v>515</v>
      </c>
      <c r="D93" s="60" t="s">
        <v>516</v>
      </c>
      <c r="E93" s="60">
        <v>2010</v>
      </c>
      <c r="F93" s="77">
        <v>34.900000000000006</v>
      </c>
      <c r="G93" s="62">
        <v>65.099999999999994</v>
      </c>
      <c r="H93" s="63">
        <v>1.1000000000000001</v>
      </c>
      <c r="I93" s="64"/>
      <c r="J93" s="65" t="s">
        <v>515</v>
      </c>
      <c r="P93" s="66">
        <v>5.584644672858265</v>
      </c>
      <c r="Q93" s="66">
        <v>3.9624899241932421</v>
      </c>
      <c r="R93" s="66">
        <v>3.0340039193664454</v>
      </c>
      <c r="S93" s="66">
        <v>2.604471088787407</v>
      </c>
      <c r="T93" s="66">
        <v>2.4269734911821845</v>
      </c>
      <c r="U93" s="66">
        <v>2.9280358899553502</v>
      </c>
      <c r="V93" s="66">
        <v>3.5429234268459737</v>
      </c>
      <c r="Z93" s="66">
        <v>3.5429234268459737</v>
      </c>
      <c r="AA93" s="66">
        <f t="shared" si="20"/>
        <v>3.4533082300043549</v>
      </c>
      <c r="AC93" s="67" t="s">
        <v>516</v>
      </c>
      <c r="AI93" s="66">
        <f>VLOOKUP($B93,$AB$198:$AN$204,8,FALSE)</f>
        <v>128.9834964234991</v>
      </c>
      <c r="AJ93" s="66">
        <f>VLOOKUP($B93,$AB$198:$AN$204,9,FALSE)</f>
        <v>140.08513617162512</v>
      </c>
      <c r="AK93" s="66">
        <f>VLOOKUP($B93,$AB$198:$AN$204,10,FALSE)</f>
        <v>159.45976537422837</v>
      </c>
      <c r="AL93" s="66">
        <f>VLOOKUP($B93,$AB$198:$AN$204,11,FALSE)</f>
        <v>176.08231767394884</v>
      </c>
      <c r="AM93" s="66">
        <f>VLOOKUP($B93,$AB$198:$AN$204,12,FALSE)</f>
        <v>179.91973269843069</v>
      </c>
      <c r="AN93" s="66">
        <f>VLOOKUP($B93,$AB$198:$AN$204,13,FALSE)</f>
        <v>163.73758550252111</v>
      </c>
      <c r="AT93" s="66">
        <f t="shared" si="21"/>
        <v>158.04467230737555</v>
      </c>
      <c r="AV93" s="59" t="s">
        <v>515</v>
      </c>
      <c r="BB93" s="68">
        <f>VLOOKUP($B93,$AU$198:$BH$204,8,FALSE)</f>
        <v>15.896096812126734</v>
      </c>
      <c r="BC93" s="68">
        <f>VLOOKUP($B93,$AU$198:$BH$204,9,FALSE)</f>
        <v>15.574506119519162</v>
      </c>
      <c r="BD93" s="68">
        <f>VLOOKUP($B93,$AU$198:$BH$204,10,FALSE)</f>
        <v>15.053685490252553</v>
      </c>
      <c r="BE93" s="68">
        <f>VLOOKUP($B93,$AU$198:$BH$204,11,FALSE)</f>
        <v>14.526883451785674</v>
      </c>
      <c r="BF93" s="68">
        <f>VLOOKUP($B93,$AU$198:$BH$204,12,FALSE)</f>
        <v>14.663359386876838</v>
      </c>
      <c r="BG93" s="68">
        <f>VLOOKUP($B93,$AU$198:$BH$204,13,FALSE)</f>
        <v>15.454370304742046</v>
      </c>
      <c r="BM93" s="68">
        <f t="shared" si="22"/>
        <v>15.1948169275505</v>
      </c>
      <c r="BO93" s="59" t="s">
        <v>515</v>
      </c>
      <c r="BT93" s="74"/>
      <c r="BU93" s="69">
        <f>VLOOKUP($B93,$BN$198:$BZ$204,8,FALSE)</f>
        <v>1.5948707163335805</v>
      </c>
      <c r="BV93" s="69">
        <f>VLOOKUP($B93,$BN$198:$BZ$204,9,FALSE)</f>
        <v>1.9470251257359674</v>
      </c>
      <c r="BW93" s="69">
        <f>VLOOKUP($B93,$BN$198:$BZ$204,10,FALSE)</f>
        <v>2.1255980960882401</v>
      </c>
      <c r="BX93" s="69">
        <f>VLOOKUP($B93,$BN$198:$BZ$204,11,FALSE)</f>
        <v>2.0468362458386125</v>
      </c>
      <c r="BY93" s="69">
        <f>VLOOKUP($B93,$BN$198:$BZ$204,12,FALSE)</f>
        <v>1.9140404691321369</v>
      </c>
      <c r="BZ93" s="69">
        <f>VLOOKUP($B93,$BN$198:$BZ$204,13,FALSE)</f>
        <v>1.7004174496949338</v>
      </c>
      <c r="CF93" s="69">
        <f t="shared" si="23"/>
        <v>1.8881313504705786</v>
      </c>
    </row>
    <row r="94" spans="2:84" ht="12.75" customHeight="1" x14ac:dyDescent="0.25">
      <c r="B94" s="76">
        <v>5</v>
      </c>
      <c r="C94" s="59" t="s">
        <v>517</v>
      </c>
      <c r="D94" s="60" t="s">
        <v>518</v>
      </c>
      <c r="E94" s="60">
        <v>2010</v>
      </c>
      <c r="F94" s="77">
        <v>7.2999999999999972</v>
      </c>
      <c r="G94" s="62">
        <v>92.7</v>
      </c>
      <c r="H94" s="63">
        <v>0.6</v>
      </c>
      <c r="I94" s="64"/>
      <c r="J94" s="65" t="s">
        <v>517</v>
      </c>
      <c r="P94" s="70">
        <v>2.9</v>
      </c>
      <c r="Q94" s="71">
        <v>1.8</v>
      </c>
      <c r="R94" s="71">
        <v>1.5</v>
      </c>
      <c r="S94" s="71">
        <v>1.4</v>
      </c>
      <c r="T94" s="71">
        <v>1.6</v>
      </c>
      <c r="U94" s="71">
        <v>1.7</v>
      </c>
      <c r="V94" s="71" t="s">
        <v>355</v>
      </c>
      <c r="Z94" s="71" t="s">
        <v>355</v>
      </c>
      <c r="AA94" s="70">
        <f t="shared" si="20"/>
        <v>1.8166666666666664</v>
      </c>
      <c r="AC94" s="67" t="s">
        <v>518</v>
      </c>
      <c r="AI94" s="72">
        <v>31.2</v>
      </c>
      <c r="AJ94" s="72">
        <v>28.1</v>
      </c>
      <c r="AK94" s="72">
        <v>28.8</v>
      </c>
      <c r="AL94" s="72">
        <v>26.4</v>
      </c>
      <c r="AM94" s="72">
        <v>20.325203252032519</v>
      </c>
      <c r="AN94" s="72">
        <v>22.5</v>
      </c>
      <c r="AT94" s="72">
        <f t="shared" si="21"/>
        <v>26.220867208672086</v>
      </c>
      <c r="AV94" s="59" t="s">
        <v>517</v>
      </c>
      <c r="BB94" s="73">
        <v>11.6</v>
      </c>
      <c r="BC94" s="73">
        <v>12.2</v>
      </c>
      <c r="BD94" s="73">
        <v>13.1</v>
      </c>
      <c r="BE94" s="73">
        <v>12.3</v>
      </c>
      <c r="BF94" s="73">
        <v>12.42</v>
      </c>
      <c r="BG94" s="73">
        <v>14.32</v>
      </c>
      <c r="BM94" s="73">
        <f t="shared" si="22"/>
        <v>12.656666666666666</v>
      </c>
      <c r="BO94" s="59" t="s">
        <v>517</v>
      </c>
      <c r="BT94" s="74"/>
      <c r="BU94" s="75">
        <v>0.2</v>
      </c>
      <c r="BV94" s="75">
        <v>0.5</v>
      </c>
      <c r="BW94" s="75">
        <v>0.4</v>
      </c>
      <c r="BX94" s="75">
        <v>0.2</v>
      </c>
      <c r="BY94" s="75">
        <v>-0.2</v>
      </c>
      <c r="BZ94" s="75" t="s">
        <v>380</v>
      </c>
      <c r="CF94" s="75">
        <f t="shared" si="23"/>
        <v>0.22000000000000003</v>
      </c>
    </row>
    <row r="95" spans="2:84" ht="12.75" customHeight="1" x14ac:dyDescent="0.25">
      <c r="B95" s="76">
        <v>4</v>
      </c>
      <c r="C95" s="59" t="s">
        <v>519</v>
      </c>
      <c r="D95" s="60" t="s">
        <v>520</v>
      </c>
      <c r="E95" s="60">
        <v>2010</v>
      </c>
      <c r="F95" s="77">
        <v>73.099999999999994</v>
      </c>
      <c r="G95" s="62">
        <v>26.9</v>
      </c>
      <c r="H95" s="63">
        <v>4.3</v>
      </c>
      <c r="I95" s="64"/>
      <c r="J95" s="65" t="s">
        <v>519</v>
      </c>
      <c r="P95" s="70">
        <v>10.3</v>
      </c>
      <c r="Q95" s="71">
        <v>6.6</v>
      </c>
      <c r="R95" s="71">
        <v>4.3</v>
      </c>
      <c r="S95" s="71">
        <v>4.0999999999999996</v>
      </c>
      <c r="T95" s="71">
        <v>4.2</v>
      </c>
      <c r="U95" s="71">
        <v>6.7</v>
      </c>
      <c r="V95" s="71" t="s">
        <v>355</v>
      </c>
      <c r="Z95" s="71" t="s">
        <v>355</v>
      </c>
      <c r="AA95" s="70">
        <f t="shared" si="20"/>
        <v>6.0333333333333323</v>
      </c>
      <c r="AC95" s="67" t="s">
        <v>520</v>
      </c>
      <c r="AI95" s="72">
        <v>63.8</v>
      </c>
      <c r="AJ95" s="72">
        <v>78.400000000000006</v>
      </c>
      <c r="AK95" s="72">
        <v>79.599999999999994</v>
      </c>
      <c r="AL95" s="72">
        <v>67.8</v>
      </c>
      <c r="AM95" s="72">
        <v>63.4</v>
      </c>
      <c r="AN95" s="72">
        <v>48.9</v>
      </c>
      <c r="AT95" s="72">
        <f t="shared" si="21"/>
        <v>66.98333333333332</v>
      </c>
      <c r="AV95" s="59" t="s">
        <v>519</v>
      </c>
      <c r="BB95" s="73">
        <v>17.8</v>
      </c>
      <c r="BC95" s="73">
        <v>17.600000000000001</v>
      </c>
      <c r="BD95" s="73">
        <v>21.4</v>
      </c>
      <c r="BE95" s="73">
        <v>20.8</v>
      </c>
      <c r="BF95" s="73">
        <v>18.399999999999999</v>
      </c>
      <c r="BG95" s="73">
        <v>19.3</v>
      </c>
      <c r="BM95" s="73">
        <f t="shared" si="22"/>
        <v>19.216666666666665</v>
      </c>
      <c r="BO95" s="59" t="s">
        <v>519</v>
      </c>
      <c r="BT95" s="74"/>
      <c r="BU95" s="75">
        <v>1.1000000000000001</v>
      </c>
      <c r="BV95" s="75">
        <v>2</v>
      </c>
      <c r="BW95" s="75">
        <v>1.7</v>
      </c>
      <c r="BX95" s="75">
        <v>1.6</v>
      </c>
      <c r="BY95" s="75">
        <v>1.4</v>
      </c>
      <c r="BZ95" s="75">
        <v>1.2</v>
      </c>
      <c r="CF95" s="75">
        <f t="shared" si="23"/>
        <v>1.5</v>
      </c>
    </row>
    <row r="96" spans="2:84" ht="12.75" customHeight="1" x14ac:dyDescent="0.25">
      <c r="B96" s="58">
        <v>2</v>
      </c>
      <c r="C96" s="59" t="s">
        <v>521</v>
      </c>
      <c r="D96" s="60" t="s">
        <v>522</v>
      </c>
      <c r="E96" s="60">
        <v>2010</v>
      </c>
      <c r="F96" s="77">
        <v>56.7</v>
      </c>
      <c r="G96" s="62">
        <v>43.3</v>
      </c>
      <c r="H96" s="63">
        <v>1.5</v>
      </c>
      <c r="I96" s="64"/>
      <c r="J96" s="65" t="s">
        <v>521</v>
      </c>
      <c r="P96" s="70" t="s">
        <v>380</v>
      </c>
      <c r="Q96" s="71" t="s">
        <v>355</v>
      </c>
      <c r="R96" s="71" t="s">
        <v>355</v>
      </c>
      <c r="S96" s="71" t="s">
        <v>355</v>
      </c>
      <c r="T96" s="71">
        <v>5.0999999999999996</v>
      </c>
      <c r="U96" s="71">
        <v>21.2</v>
      </c>
      <c r="V96" s="71">
        <v>26.9</v>
      </c>
      <c r="Z96" s="71">
        <v>26.9</v>
      </c>
      <c r="AA96" s="70">
        <f t="shared" si="20"/>
        <v>20.024999999999999</v>
      </c>
      <c r="AC96" s="67" t="s">
        <v>522</v>
      </c>
      <c r="AI96" s="72" t="s">
        <v>380</v>
      </c>
      <c r="AJ96" s="72" t="s">
        <v>380</v>
      </c>
      <c r="AK96" s="72" t="s">
        <v>380</v>
      </c>
      <c r="AL96" s="72" t="s">
        <v>380</v>
      </c>
      <c r="AM96" s="72">
        <v>215.3</v>
      </c>
      <c r="AN96" s="72">
        <v>178</v>
      </c>
      <c r="AT96" s="72">
        <f t="shared" si="21"/>
        <v>196.65</v>
      </c>
      <c r="AV96" s="59" t="s">
        <v>521</v>
      </c>
      <c r="BB96" s="73">
        <v>15.3</v>
      </c>
      <c r="BC96" s="73">
        <v>14.9</v>
      </c>
      <c r="BD96" s="73">
        <v>14.8</v>
      </c>
      <c r="BE96" s="73">
        <v>14.2</v>
      </c>
      <c r="BF96" s="73">
        <v>14.9</v>
      </c>
      <c r="BG96" s="73">
        <v>-9.1</v>
      </c>
      <c r="BM96" s="73">
        <f t="shared" si="22"/>
        <v>10.833333333333336</v>
      </c>
      <c r="BO96" s="59" t="s">
        <v>521</v>
      </c>
      <c r="BT96" s="74"/>
      <c r="BU96" s="75">
        <v>1.2</v>
      </c>
      <c r="BV96" s="75">
        <v>1.6</v>
      </c>
      <c r="BW96" s="75">
        <v>1.4</v>
      </c>
      <c r="BX96" s="75">
        <v>2.6</v>
      </c>
      <c r="BY96" s="75">
        <v>0.2</v>
      </c>
      <c r="BZ96" s="75">
        <v>-23.5</v>
      </c>
      <c r="CF96" s="75">
        <f t="shared" si="23"/>
        <v>-2.75</v>
      </c>
    </row>
    <row r="97" spans="2:84" ht="12.75" customHeight="1" x14ac:dyDescent="0.25">
      <c r="B97" s="76">
        <v>6</v>
      </c>
      <c r="C97" s="59" t="s">
        <v>523</v>
      </c>
      <c r="D97" s="60" t="s">
        <v>524</v>
      </c>
      <c r="E97" s="60">
        <v>2010</v>
      </c>
      <c r="F97" s="77">
        <v>70.2</v>
      </c>
      <c r="G97" s="62">
        <v>29.8</v>
      </c>
      <c r="H97" s="63">
        <v>4.5</v>
      </c>
      <c r="I97" s="64"/>
      <c r="J97" s="65" t="s">
        <v>523</v>
      </c>
      <c r="P97" s="70">
        <v>29.3</v>
      </c>
      <c r="Q97" s="71">
        <v>25.6</v>
      </c>
      <c r="R97" s="71">
        <v>21.3</v>
      </c>
      <c r="S97" s="71">
        <v>10.9</v>
      </c>
      <c r="T97" s="71">
        <v>9</v>
      </c>
      <c r="U97" s="71">
        <v>7.9</v>
      </c>
      <c r="V97" s="71">
        <v>7.76</v>
      </c>
      <c r="Z97" s="71">
        <v>7.76</v>
      </c>
      <c r="AA97" s="70">
        <f t="shared" si="20"/>
        <v>14.940000000000003</v>
      </c>
      <c r="AC97" s="67" t="s">
        <v>524</v>
      </c>
      <c r="AI97" s="72">
        <v>102.9</v>
      </c>
      <c r="AJ97" s="72">
        <v>115.6</v>
      </c>
      <c r="AK97" s="72">
        <v>115.6</v>
      </c>
      <c r="AL97" s="72" t="s">
        <v>380</v>
      </c>
      <c r="AM97" s="72" t="s">
        <v>380</v>
      </c>
      <c r="AN97" s="72" t="s">
        <v>380</v>
      </c>
      <c r="AT97" s="72">
        <f t="shared" si="21"/>
        <v>111.36666666666667</v>
      </c>
      <c r="AV97" s="59" t="s">
        <v>523</v>
      </c>
      <c r="BB97" s="73">
        <v>16.600000000000001</v>
      </c>
      <c r="BC97" s="73">
        <v>16.399999999999999</v>
      </c>
      <c r="BD97" s="73">
        <v>16.5</v>
      </c>
      <c r="BE97" s="73">
        <v>18</v>
      </c>
      <c r="BF97" s="73">
        <v>18.899999999999999</v>
      </c>
      <c r="BG97" s="73">
        <v>19.899999999999999</v>
      </c>
      <c r="BM97" s="73">
        <f t="shared" si="22"/>
        <v>17.716666666666669</v>
      </c>
      <c r="BO97" s="59" t="s">
        <v>523</v>
      </c>
      <c r="BT97" s="74"/>
      <c r="BU97" s="75">
        <v>2.1</v>
      </c>
      <c r="BV97" s="75">
        <v>2.4</v>
      </c>
      <c r="BW97" s="75">
        <v>2.8</v>
      </c>
      <c r="BX97" s="75">
        <v>3</v>
      </c>
      <c r="BY97" s="75">
        <v>2.8</v>
      </c>
      <c r="BZ97" s="75">
        <v>3</v>
      </c>
      <c r="CF97" s="75">
        <f t="shared" si="23"/>
        <v>2.6833333333333336</v>
      </c>
    </row>
    <row r="98" spans="2:84" ht="12.75" customHeight="1" x14ac:dyDescent="0.25">
      <c r="B98" s="76">
        <v>1</v>
      </c>
      <c r="C98" s="59" t="s">
        <v>525</v>
      </c>
      <c r="D98" s="60" t="s">
        <v>526</v>
      </c>
      <c r="E98" s="60">
        <v>2010</v>
      </c>
      <c r="F98" s="61">
        <v>71.713636363636368</v>
      </c>
      <c r="G98" s="62" t="s">
        <v>355</v>
      </c>
      <c r="H98" s="63" t="s">
        <v>355</v>
      </c>
      <c r="I98" s="64"/>
      <c r="J98" s="65" t="s">
        <v>525</v>
      </c>
      <c r="P98" s="66">
        <v>10.951448940605555</v>
      </c>
      <c r="Q98" s="66">
        <v>8.9659352564169783</v>
      </c>
      <c r="R98" s="66">
        <v>7.5764805003373485</v>
      </c>
      <c r="S98" s="66">
        <v>6.9766808385753336</v>
      </c>
      <c r="T98" s="66">
        <v>6.028398498646701</v>
      </c>
      <c r="U98" s="66">
        <v>5.1511144935422388</v>
      </c>
      <c r="V98" s="66">
        <v>7.19</v>
      </c>
      <c r="Z98" s="66">
        <v>7.19</v>
      </c>
      <c r="AA98" s="66">
        <f t="shared" si="20"/>
        <v>7.5037573160155189</v>
      </c>
      <c r="AC98" s="67" t="s">
        <v>526</v>
      </c>
      <c r="AI98" s="66">
        <f>VLOOKUP($B98,$AB$198:$AN$204,8,FALSE)</f>
        <v>62.267766724334649</v>
      </c>
      <c r="AJ98" s="66">
        <f>VLOOKUP($B98,$AB$198:$AN$204,9,FALSE)</f>
        <v>58.416201756290228</v>
      </c>
      <c r="AK98" s="66">
        <f>VLOOKUP($B98,$AB$198:$AN$204,10,FALSE)</f>
        <v>65.401431372790213</v>
      </c>
      <c r="AL98" s="66">
        <f>VLOOKUP($B98,$AB$198:$AN$204,11,FALSE)</f>
        <v>71.775804261946988</v>
      </c>
      <c r="AM98" s="66">
        <f>VLOOKUP($B98,$AB$198:$AN$204,12,FALSE)</f>
        <v>85.024999999999991</v>
      </c>
      <c r="AN98" s="66">
        <f>VLOOKUP($B98,$AB$198:$AN$204,13,FALSE)</f>
        <v>106.17999999999999</v>
      </c>
      <c r="AT98" s="66">
        <f t="shared" si="21"/>
        <v>74.84436735256034</v>
      </c>
      <c r="AV98" s="59" t="s">
        <v>525</v>
      </c>
      <c r="BB98" s="68">
        <f>VLOOKUP($B98,$AU$198:$BH$204,8,FALSE)</f>
        <v>11.270393306464786</v>
      </c>
      <c r="BC98" s="68">
        <f>VLOOKUP($B98,$AU$198:$BH$204,9,FALSE)</f>
        <v>12.218846153846155</v>
      </c>
      <c r="BD98" s="68">
        <f>VLOOKUP($B98,$AU$198:$BH$204,10,FALSE)</f>
        <v>12.689038461538463</v>
      </c>
      <c r="BE98" s="68">
        <f>VLOOKUP($B98,$AU$198:$BH$204,11,FALSE)</f>
        <v>12.925000000000001</v>
      </c>
      <c r="BF98" s="68">
        <f>VLOOKUP($B98,$AU$198:$BH$204,12,FALSE)</f>
        <v>13.27</v>
      </c>
      <c r="BG98" s="68">
        <f>VLOOKUP($B98,$AU$198:$BH$204,13,FALSE)</f>
        <v>14.116666666666667</v>
      </c>
      <c r="BM98" s="68">
        <f t="shared" si="22"/>
        <v>12.748324098086011</v>
      </c>
      <c r="BO98" s="59" t="s">
        <v>525</v>
      </c>
      <c r="BT98" s="74"/>
      <c r="BU98" s="69">
        <f>VLOOKUP($B98,$BN$198:$BZ$204,8,FALSE)</f>
        <v>1.1095149831589846</v>
      </c>
      <c r="BV98" s="69">
        <f>VLOOKUP($B98,$BN$198:$BZ$204,9,FALSE)</f>
        <v>1.2860560376080794</v>
      </c>
      <c r="BW98" s="69">
        <f>VLOOKUP($B98,$BN$198:$BZ$204,10,FALSE)</f>
        <v>1.0562499999999999</v>
      </c>
      <c r="BX98" s="69">
        <f>VLOOKUP($B98,$BN$198:$BZ$204,11,FALSE)</f>
        <v>1.2375</v>
      </c>
      <c r="BY98" s="69">
        <f>VLOOKUP($B98,$BN$198:$BZ$204,12,FALSE)</f>
        <v>1.2124999999999999</v>
      </c>
      <c r="BZ98" s="69">
        <f>VLOOKUP($B98,$BN$198:$BZ$204,13,FALSE)</f>
        <v>1.3316666666666668</v>
      </c>
      <c r="CF98" s="69">
        <f t="shared" si="23"/>
        <v>1.2055812812389552</v>
      </c>
    </row>
    <row r="99" spans="2:84" ht="12.75" customHeight="1" x14ac:dyDescent="0.25">
      <c r="B99" s="76">
        <v>5</v>
      </c>
      <c r="C99" s="59" t="s">
        <v>527</v>
      </c>
      <c r="D99" s="60" t="s">
        <v>528</v>
      </c>
      <c r="E99" s="60">
        <v>2010</v>
      </c>
      <c r="F99" s="77">
        <v>18.299999999999997</v>
      </c>
      <c r="G99" s="62">
        <v>81.7</v>
      </c>
      <c r="H99" s="63">
        <v>1.5</v>
      </c>
      <c r="I99" s="64"/>
      <c r="J99" s="65" t="s">
        <v>527</v>
      </c>
      <c r="P99" s="70">
        <v>1.9</v>
      </c>
      <c r="Q99" s="71" t="s">
        <v>355</v>
      </c>
      <c r="R99" s="71" t="s">
        <v>355</v>
      </c>
      <c r="S99" s="71" t="s">
        <v>355</v>
      </c>
      <c r="T99" s="71" t="s">
        <v>355</v>
      </c>
      <c r="U99" s="71" t="s">
        <v>355</v>
      </c>
      <c r="V99" s="71" t="s">
        <v>355</v>
      </c>
      <c r="Z99" s="71" t="s">
        <v>355</v>
      </c>
      <c r="AA99" s="70">
        <f t="shared" si="20"/>
        <v>1.9</v>
      </c>
      <c r="AC99" s="67" t="s">
        <v>528</v>
      </c>
      <c r="AI99" s="72">
        <v>104.5</v>
      </c>
      <c r="AJ99" s="72">
        <v>131.4</v>
      </c>
      <c r="AK99" s="72">
        <v>175.2</v>
      </c>
      <c r="AL99" s="72">
        <v>205.2</v>
      </c>
      <c r="AM99" s="72">
        <v>146.28</v>
      </c>
      <c r="AN99" s="72">
        <v>125.16</v>
      </c>
      <c r="AT99" s="72">
        <f t="shared" si="21"/>
        <v>147.95666666666665</v>
      </c>
      <c r="AV99" s="59" t="s">
        <v>527</v>
      </c>
      <c r="BB99" s="73">
        <v>12.1</v>
      </c>
      <c r="BC99" s="73">
        <v>13</v>
      </c>
      <c r="BD99" s="73">
        <v>12.8</v>
      </c>
      <c r="BE99" s="73">
        <v>12.3</v>
      </c>
      <c r="BF99" s="73">
        <v>12.31</v>
      </c>
      <c r="BG99" s="73">
        <v>14.2</v>
      </c>
      <c r="BM99" s="73">
        <f t="shared" si="22"/>
        <v>12.785000000000002</v>
      </c>
      <c r="BO99" s="59" t="s">
        <v>527</v>
      </c>
      <c r="BT99" s="74"/>
      <c r="BU99" s="78">
        <v>0.85</v>
      </c>
      <c r="BV99" s="78">
        <v>1.3</v>
      </c>
      <c r="BW99" s="78">
        <v>1.1000000000000001</v>
      </c>
      <c r="BX99" s="78">
        <v>1.1000000000000001</v>
      </c>
      <c r="BY99" s="78">
        <v>0.47</v>
      </c>
      <c r="BZ99" s="78" t="s">
        <v>380</v>
      </c>
      <c r="CF99" s="78">
        <f t="shared" si="23"/>
        <v>0.96399999999999986</v>
      </c>
    </row>
    <row r="100" spans="2:84" ht="12.75" customHeight="1" x14ac:dyDescent="0.25">
      <c r="B100" s="76">
        <v>2</v>
      </c>
      <c r="C100" s="59" t="s">
        <v>529</v>
      </c>
      <c r="D100" s="60" t="s">
        <v>355</v>
      </c>
      <c r="E100" s="60">
        <v>2010</v>
      </c>
      <c r="F100" s="77">
        <v>42.6</v>
      </c>
      <c r="G100" s="62">
        <v>57.4</v>
      </c>
      <c r="H100" s="63">
        <v>2</v>
      </c>
      <c r="I100" s="64"/>
      <c r="J100" s="65" t="s">
        <v>529</v>
      </c>
      <c r="P100" s="66">
        <v>6.5470230297727472</v>
      </c>
      <c r="Q100" s="66">
        <v>4.866104606691894</v>
      </c>
      <c r="R100" s="66">
        <v>4.0793587535733469</v>
      </c>
      <c r="S100" s="66">
        <v>3.4682894030301306</v>
      </c>
      <c r="T100" s="66">
        <v>5.324434274292706</v>
      </c>
      <c r="U100" s="66">
        <v>11.791266704541009</v>
      </c>
      <c r="V100" s="66">
        <v>13.204792520432788</v>
      </c>
      <c r="Z100" s="66">
        <v>13.204792520432788</v>
      </c>
      <c r="AA100" s="70">
        <f t="shared" si="20"/>
        <v>7.8107577265959263</v>
      </c>
      <c r="AC100" s="67" t="s">
        <v>355</v>
      </c>
      <c r="AI100" s="66">
        <f>VLOOKUP($B100,$AB$198:$AN$204,8,FALSE)</f>
        <v>81.617815617406805</v>
      </c>
      <c r="AJ100" s="66">
        <f>VLOOKUP($B100,$AB$198:$AN$204,9,FALSE)</f>
        <v>90.087240267752392</v>
      </c>
      <c r="AK100" s="66">
        <f>VLOOKUP($B100,$AB$198:$AN$204,10,FALSE)</f>
        <v>88.985721813757607</v>
      </c>
      <c r="AL100" s="66">
        <f>VLOOKUP($B100,$AB$198:$AN$204,11,FALSE)</f>
        <v>85.305718000035199</v>
      </c>
      <c r="AM100" s="66">
        <f>VLOOKUP($B100,$AB$198:$AN$204,12,FALSE)</f>
        <v>84.643872929029527</v>
      </c>
      <c r="AN100" s="66">
        <f>VLOOKUP($B100,$AB$198:$AN$204,13,FALSE)</f>
        <v>74.875500940663585</v>
      </c>
      <c r="AT100" s="66">
        <f t="shared" si="21"/>
        <v>84.252644928107514</v>
      </c>
      <c r="AV100" s="59" t="s">
        <v>529</v>
      </c>
      <c r="BB100" s="68">
        <f>VLOOKUP($B100,$AU$198:$BH$204,8,FALSE)</f>
        <v>21.020522134936851</v>
      </c>
      <c r="BC100" s="68">
        <f>VLOOKUP($B100,$AU$198:$BH$204,9,FALSE)</f>
        <v>19.450013274888473</v>
      </c>
      <c r="BD100" s="68">
        <f>VLOOKUP($B100,$AU$198:$BH$204,10,FALSE)</f>
        <v>18.667698962580744</v>
      </c>
      <c r="BE100" s="68">
        <f>VLOOKUP($B100,$AU$198:$BH$204,11,FALSE)</f>
        <v>17.474378499557432</v>
      </c>
      <c r="BF100" s="68">
        <f>VLOOKUP($B100,$AU$198:$BH$204,12,FALSE)</f>
        <v>17.117970453391717</v>
      </c>
      <c r="BG100" s="68">
        <f>VLOOKUP($B100,$AU$198:$BH$204,13,FALSE)</f>
        <v>16.94805594144432</v>
      </c>
      <c r="BM100" s="68">
        <f t="shared" si="22"/>
        <v>18.446439877799925</v>
      </c>
      <c r="BO100" s="59" t="s">
        <v>529</v>
      </c>
      <c r="BT100" s="74"/>
      <c r="BU100" s="69">
        <f>VLOOKUP($B100,$BN$198:$BZ$204,8,FALSE)</f>
        <v>1.5534520775941867</v>
      </c>
      <c r="BV100" s="69">
        <f>VLOOKUP($B100,$BN$198:$BZ$204,9,FALSE)</f>
        <v>1.7594268869112808</v>
      </c>
      <c r="BW100" s="69">
        <f>VLOOKUP($B100,$BN$198:$BZ$204,10,FALSE)</f>
        <v>1.9264064345990539</v>
      </c>
      <c r="BX100" s="69">
        <f>VLOOKUP($B100,$BN$198:$BZ$204,11,FALSE)</f>
        <v>1.9610645486104465</v>
      </c>
      <c r="BY100" s="69">
        <f>VLOOKUP($B100,$BN$198:$BZ$204,12,FALSE)</f>
        <v>1.1293177319334557</v>
      </c>
      <c r="BZ100" s="69">
        <f>VLOOKUP($B100,$BN$198:$BZ$204,13,FALSE)</f>
        <v>-1.4158844507992445</v>
      </c>
      <c r="CF100" s="69">
        <f t="shared" si="23"/>
        <v>1.1522972048081965</v>
      </c>
    </row>
    <row r="101" spans="2:84" ht="12.75" customHeight="1" x14ac:dyDescent="0.25">
      <c r="B101" s="76">
        <v>4</v>
      </c>
      <c r="C101" s="59" t="s">
        <v>530</v>
      </c>
      <c r="D101" s="60" t="s">
        <v>531</v>
      </c>
      <c r="E101" s="60">
        <v>2010</v>
      </c>
      <c r="F101" s="77">
        <v>62.1</v>
      </c>
      <c r="G101" s="62">
        <v>37.9</v>
      </c>
      <c r="H101" s="63">
        <v>4.2</v>
      </c>
      <c r="I101" s="64"/>
      <c r="J101" s="65" t="s">
        <v>530</v>
      </c>
      <c r="P101" s="70">
        <v>5.3</v>
      </c>
      <c r="Q101" s="71">
        <v>4.0999999999999996</v>
      </c>
      <c r="R101" s="71">
        <v>3.9</v>
      </c>
      <c r="S101" s="71">
        <v>3.2</v>
      </c>
      <c r="T101" s="71">
        <v>5.3</v>
      </c>
      <c r="U101" s="71">
        <v>9.6999999999999993</v>
      </c>
      <c r="V101" s="71" t="s">
        <v>355</v>
      </c>
      <c r="Z101" s="71" t="s">
        <v>355</v>
      </c>
      <c r="AA101" s="70">
        <f t="shared" si="20"/>
        <v>5.25</v>
      </c>
      <c r="AC101" s="67" t="s">
        <v>531</v>
      </c>
      <c r="AI101" s="72">
        <v>82.5</v>
      </c>
      <c r="AJ101" s="72">
        <v>107.2</v>
      </c>
      <c r="AK101" s="72">
        <v>95.8</v>
      </c>
      <c r="AL101" s="72">
        <v>92</v>
      </c>
      <c r="AM101" s="72">
        <v>84.7</v>
      </c>
      <c r="AN101" s="72" t="s">
        <v>380</v>
      </c>
      <c r="AT101" s="72">
        <f t="shared" si="21"/>
        <v>92.44</v>
      </c>
      <c r="AV101" s="59" t="s">
        <v>530</v>
      </c>
      <c r="BB101" s="73">
        <v>17.3</v>
      </c>
      <c r="BC101" s="73">
        <v>21.3</v>
      </c>
      <c r="BD101" s="73">
        <v>21.8</v>
      </c>
      <c r="BE101" s="73">
        <v>18.5</v>
      </c>
      <c r="BF101" s="73">
        <v>16</v>
      </c>
      <c r="BG101" s="73" t="s">
        <v>380</v>
      </c>
      <c r="BM101" s="73">
        <f t="shared" si="22"/>
        <v>18.98</v>
      </c>
      <c r="BO101" s="59" t="s">
        <v>530</v>
      </c>
      <c r="BT101" s="74"/>
      <c r="BU101" s="75">
        <v>2.5</v>
      </c>
      <c r="BV101" s="75">
        <v>3</v>
      </c>
      <c r="BW101" s="75">
        <v>3.2</v>
      </c>
      <c r="BX101" s="75">
        <v>3.4</v>
      </c>
      <c r="BY101" s="75">
        <v>3.2</v>
      </c>
      <c r="BZ101" s="75" t="s">
        <v>380</v>
      </c>
      <c r="CF101" s="75">
        <f t="shared" si="23"/>
        <v>3.06</v>
      </c>
    </row>
    <row r="102" spans="2:84" ht="12.75" customHeight="1" x14ac:dyDescent="0.25">
      <c r="B102" s="76">
        <v>2</v>
      </c>
      <c r="C102" s="59" t="s">
        <v>532</v>
      </c>
      <c r="D102" s="60" t="s">
        <v>533</v>
      </c>
      <c r="E102" s="60">
        <v>2010</v>
      </c>
      <c r="F102" s="77">
        <v>84.7</v>
      </c>
      <c r="G102" s="62">
        <v>15.3</v>
      </c>
      <c r="H102" s="63">
        <v>4</v>
      </c>
      <c r="I102" s="64"/>
      <c r="J102" s="65" t="s">
        <v>532</v>
      </c>
      <c r="P102" s="66">
        <v>6.5470230297727472</v>
      </c>
      <c r="Q102" s="66">
        <v>4.866104606691894</v>
      </c>
      <c r="R102" s="66">
        <v>4.0793587535733469</v>
      </c>
      <c r="S102" s="66">
        <v>3.4682894030301306</v>
      </c>
      <c r="T102" s="66">
        <v>5.324434274292706</v>
      </c>
      <c r="U102" s="66">
        <v>11.791266704541009</v>
      </c>
      <c r="V102" s="66">
        <v>13.204792520432788</v>
      </c>
      <c r="Z102" s="66">
        <v>13.204792520432788</v>
      </c>
      <c r="AA102" s="66">
        <f t="shared" si="20"/>
        <v>7.8107577265959263</v>
      </c>
      <c r="AC102" s="67" t="s">
        <v>533</v>
      </c>
      <c r="AI102" s="66">
        <f>VLOOKUP($B102,$AB$198:$AN$204,8,FALSE)</f>
        <v>81.617815617406805</v>
      </c>
      <c r="AJ102" s="66">
        <f>VLOOKUP($B102,$AB$198:$AN$204,9,FALSE)</f>
        <v>90.087240267752392</v>
      </c>
      <c r="AK102" s="66">
        <f>VLOOKUP($B102,$AB$198:$AN$204,10,FALSE)</f>
        <v>88.985721813757607</v>
      </c>
      <c r="AL102" s="66">
        <f>VLOOKUP($B102,$AB$198:$AN$204,11,FALSE)</f>
        <v>85.305718000035199</v>
      </c>
      <c r="AM102" s="66">
        <f>VLOOKUP($B102,$AB$198:$AN$204,12,FALSE)</f>
        <v>84.643872929029527</v>
      </c>
      <c r="AN102" s="66">
        <f>VLOOKUP($B102,$AB$198:$AN$204,13,FALSE)</f>
        <v>74.875500940663585</v>
      </c>
      <c r="AT102" s="66">
        <f t="shared" si="21"/>
        <v>84.252644928107514</v>
      </c>
      <c r="AV102" s="59" t="s">
        <v>532</v>
      </c>
      <c r="BB102" s="68">
        <f>VLOOKUP($B102,$AU$198:$BH$204,8,FALSE)</f>
        <v>21.020522134936851</v>
      </c>
      <c r="BC102" s="68">
        <f>VLOOKUP($B102,$AU$198:$BH$204,9,FALSE)</f>
        <v>19.450013274888473</v>
      </c>
      <c r="BD102" s="68">
        <f>VLOOKUP($B102,$AU$198:$BH$204,10,FALSE)</f>
        <v>18.667698962580744</v>
      </c>
      <c r="BE102" s="68">
        <f>VLOOKUP($B102,$AU$198:$BH$204,11,FALSE)</f>
        <v>17.474378499557432</v>
      </c>
      <c r="BF102" s="68">
        <f>VLOOKUP($B102,$AU$198:$BH$204,12,FALSE)</f>
        <v>17.117970453391717</v>
      </c>
      <c r="BG102" s="68">
        <f>VLOOKUP($B102,$AU$198:$BH$204,13,FALSE)</f>
        <v>16.94805594144432</v>
      </c>
      <c r="BM102" s="68">
        <f t="shared" si="22"/>
        <v>18.446439877799925</v>
      </c>
      <c r="BO102" s="59" t="s">
        <v>532</v>
      </c>
      <c r="BT102" s="74"/>
      <c r="BU102" s="69">
        <f>VLOOKUP($B102,$BN$198:$BZ$204,8,FALSE)</f>
        <v>1.5534520775941867</v>
      </c>
      <c r="BV102" s="69">
        <f>VLOOKUP($B102,$BN$198:$BZ$204,9,FALSE)</f>
        <v>1.7594268869112808</v>
      </c>
      <c r="BW102" s="69">
        <f>VLOOKUP($B102,$BN$198:$BZ$204,10,FALSE)</f>
        <v>1.9264064345990539</v>
      </c>
      <c r="BX102" s="69">
        <f>VLOOKUP($B102,$BN$198:$BZ$204,11,FALSE)</f>
        <v>1.9610645486104465</v>
      </c>
      <c r="BY102" s="69">
        <f>VLOOKUP($B102,$BN$198:$BZ$204,12,FALSE)</f>
        <v>1.1293177319334557</v>
      </c>
      <c r="BZ102" s="69">
        <f>VLOOKUP($B102,$BN$198:$BZ$204,13,FALSE)</f>
        <v>-1.4158844507992445</v>
      </c>
      <c r="CF102" s="69">
        <f t="shared" si="23"/>
        <v>1.1522972048081965</v>
      </c>
    </row>
    <row r="103" spans="2:84" ht="12.75" customHeight="1" x14ac:dyDescent="0.25">
      <c r="B103" s="76">
        <v>1</v>
      </c>
      <c r="C103" s="59" t="s">
        <v>534</v>
      </c>
      <c r="D103" s="60" t="s">
        <v>535</v>
      </c>
      <c r="E103" s="60">
        <v>2010</v>
      </c>
      <c r="F103" s="61">
        <v>71.713636363636368</v>
      </c>
      <c r="G103" s="62" t="s">
        <v>355</v>
      </c>
      <c r="H103" s="63" t="s">
        <v>355</v>
      </c>
      <c r="I103" s="64"/>
      <c r="J103" s="65" t="s">
        <v>534</v>
      </c>
      <c r="P103" s="66">
        <v>10.951448940605555</v>
      </c>
      <c r="Q103" s="66">
        <v>8.9659352564169783</v>
      </c>
      <c r="R103" s="66">
        <v>7.5764805003373485</v>
      </c>
      <c r="S103" s="66">
        <v>6.9766808385753336</v>
      </c>
      <c r="T103" s="66">
        <v>6.028398498646701</v>
      </c>
      <c r="U103" s="66">
        <v>5.1511144935422388</v>
      </c>
      <c r="V103" s="66">
        <v>7.19</v>
      </c>
      <c r="Z103" s="66">
        <v>7.19</v>
      </c>
      <c r="AA103" s="66">
        <f t="shared" si="20"/>
        <v>7.5037573160155189</v>
      </c>
      <c r="AC103" s="67" t="s">
        <v>535</v>
      </c>
      <c r="AI103" s="66">
        <f>VLOOKUP($B103,$AB$198:$AN$204,8,FALSE)</f>
        <v>62.267766724334649</v>
      </c>
      <c r="AJ103" s="66">
        <f>VLOOKUP($B103,$AB$198:$AN$204,9,FALSE)</f>
        <v>58.416201756290228</v>
      </c>
      <c r="AK103" s="66">
        <f>VLOOKUP($B103,$AB$198:$AN$204,10,FALSE)</f>
        <v>65.401431372790213</v>
      </c>
      <c r="AL103" s="66">
        <f>VLOOKUP($B103,$AB$198:$AN$204,11,FALSE)</f>
        <v>71.775804261946988</v>
      </c>
      <c r="AM103" s="66">
        <f>VLOOKUP($B103,$AB$198:$AN$204,12,FALSE)</f>
        <v>85.024999999999991</v>
      </c>
      <c r="AN103" s="66">
        <f>VLOOKUP($B103,$AB$198:$AN$204,13,FALSE)</f>
        <v>106.17999999999999</v>
      </c>
      <c r="AT103" s="66">
        <f t="shared" si="21"/>
        <v>74.84436735256034</v>
      </c>
      <c r="AV103" s="59" t="s">
        <v>534</v>
      </c>
      <c r="BB103" s="68">
        <f>VLOOKUP($B103,$AU$198:$BH$204,8,FALSE)</f>
        <v>11.270393306464786</v>
      </c>
      <c r="BC103" s="68">
        <f>VLOOKUP($B103,$AU$198:$BH$204,9,FALSE)</f>
        <v>12.218846153846155</v>
      </c>
      <c r="BD103" s="68">
        <f>VLOOKUP($B103,$AU$198:$BH$204,10,FALSE)</f>
        <v>12.689038461538463</v>
      </c>
      <c r="BE103" s="68">
        <f>VLOOKUP($B103,$AU$198:$BH$204,11,FALSE)</f>
        <v>12.925000000000001</v>
      </c>
      <c r="BF103" s="68">
        <f>VLOOKUP($B103,$AU$198:$BH$204,12,FALSE)</f>
        <v>13.27</v>
      </c>
      <c r="BG103" s="68">
        <f>VLOOKUP($B103,$AU$198:$BH$204,13,FALSE)</f>
        <v>14.116666666666667</v>
      </c>
      <c r="BM103" s="68">
        <f t="shared" si="22"/>
        <v>12.748324098086011</v>
      </c>
      <c r="BO103" s="59" t="s">
        <v>534</v>
      </c>
      <c r="BT103" s="74"/>
      <c r="BU103" s="69">
        <f>VLOOKUP($B103,$BN$198:$BZ$204,8,FALSE)</f>
        <v>1.1095149831589846</v>
      </c>
      <c r="BV103" s="69">
        <f>VLOOKUP($B103,$BN$198:$BZ$204,9,FALSE)</f>
        <v>1.2860560376080794</v>
      </c>
      <c r="BW103" s="69">
        <f>VLOOKUP($B103,$BN$198:$BZ$204,10,FALSE)</f>
        <v>1.0562499999999999</v>
      </c>
      <c r="BX103" s="69">
        <f>VLOOKUP($B103,$BN$198:$BZ$204,11,FALSE)</f>
        <v>1.2375</v>
      </c>
      <c r="BY103" s="69">
        <f>VLOOKUP($B103,$BN$198:$BZ$204,12,FALSE)</f>
        <v>1.2124999999999999</v>
      </c>
      <c r="BZ103" s="69">
        <f>VLOOKUP($B103,$BN$198:$BZ$204,13,FALSE)</f>
        <v>1.3316666666666668</v>
      </c>
      <c r="CF103" s="69">
        <f t="shared" si="23"/>
        <v>1.2055812812389552</v>
      </c>
    </row>
    <row r="104" spans="2:84" ht="12.75" customHeight="1" x14ac:dyDescent="0.25">
      <c r="B104" s="58">
        <v>2</v>
      </c>
      <c r="C104" s="59" t="s">
        <v>536</v>
      </c>
      <c r="D104" s="60" t="s">
        <v>537</v>
      </c>
      <c r="E104" s="60">
        <v>2010</v>
      </c>
      <c r="F104" s="77">
        <v>68.099999999999994</v>
      </c>
      <c r="G104" s="62">
        <v>31.9</v>
      </c>
      <c r="H104" s="63">
        <v>3</v>
      </c>
      <c r="I104" s="64"/>
      <c r="J104" s="65" t="s">
        <v>536</v>
      </c>
      <c r="P104" s="70">
        <v>1.1236695210060479</v>
      </c>
      <c r="Q104" s="71">
        <v>0.69</v>
      </c>
      <c r="R104" s="71">
        <v>0.5</v>
      </c>
      <c r="S104" s="71">
        <v>0.8</v>
      </c>
      <c r="T104" s="71">
        <v>3.6</v>
      </c>
      <c r="U104" s="71">
        <v>16.39</v>
      </c>
      <c r="V104" s="71">
        <v>19.399999999999999</v>
      </c>
      <c r="Z104" s="71">
        <v>19.399999999999999</v>
      </c>
      <c r="AA104" s="70">
        <f t="shared" si="20"/>
        <v>7.7379586901257555</v>
      </c>
      <c r="AC104" s="67" t="s">
        <v>537</v>
      </c>
      <c r="AI104" s="72">
        <v>99.060123694430857</v>
      </c>
      <c r="AJ104" s="72">
        <v>98.79</v>
      </c>
      <c r="AK104" s="72">
        <v>116.62</v>
      </c>
      <c r="AL104" s="72">
        <v>129.80000000000001</v>
      </c>
      <c r="AM104" s="72">
        <v>61.332730260765345</v>
      </c>
      <c r="AN104" s="72">
        <v>57.38</v>
      </c>
      <c r="AT104" s="72">
        <f t="shared" si="21"/>
        <v>93.830475659199365</v>
      </c>
      <c r="AV104" s="59" t="s">
        <v>536</v>
      </c>
      <c r="BB104" s="73">
        <v>11.71</v>
      </c>
      <c r="BC104" s="73">
        <v>10.11</v>
      </c>
      <c r="BD104" s="73">
        <v>10.220000000000001</v>
      </c>
      <c r="BE104" s="73">
        <v>11.1</v>
      </c>
      <c r="BF104" s="73">
        <v>11.8</v>
      </c>
      <c r="BG104" s="73">
        <v>14.56</v>
      </c>
      <c r="BM104" s="73">
        <f t="shared" si="22"/>
        <v>11.583333333333334</v>
      </c>
      <c r="BO104" s="59" t="s">
        <v>536</v>
      </c>
      <c r="BT104" s="74"/>
      <c r="BU104" s="75">
        <v>1.7</v>
      </c>
      <c r="BV104" s="75">
        <v>2.12</v>
      </c>
      <c r="BW104" s="75">
        <v>2.0499999999999998</v>
      </c>
      <c r="BX104" s="75">
        <v>2</v>
      </c>
      <c r="BY104" s="75">
        <v>0.3</v>
      </c>
      <c r="BZ104" s="75">
        <v>-3.5090841696174611</v>
      </c>
      <c r="CF104" s="75">
        <f t="shared" si="23"/>
        <v>0.77681930506375652</v>
      </c>
    </row>
    <row r="105" spans="2:84" ht="12.75" customHeight="1" x14ac:dyDescent="0.25">
      <c r="B105" s="76">
        <v>4</v>
      </c>
      <c r="C105" s="59" t="s">
        <v>538</v>
      </c>
      <c r="D105" s="60" t="s">
        <v>539</v>
      </c>
      <c r="E105" s="60">
        <v>2010</v>
      </c>
      <c r="F105" s="77">
        <v>80.2</v>
      </c>
      <c r="G105" s="62">
        <v>19.8</v>
      </c>
      <c r="H105" s="63">
        <v>4</v>
      </c>
      <c r="I105" s="64"/>
      <c r="J105" s="65" t="s">
        <v>538</v>
      </c>
      <c r="P105" s="70">
        <v>17.7</v>
      </c>
      <c r="Q105" s="71">
        <v>16.373374139250192</v>
      </c>
      <c r="R105" s="71">
        <v>13.519326124619152</v>
      </c>
      <c r="S105" s="71">
        <v>10.11826544021025</v>
      </c>
      <c r="T105" s="71">
        <v>7.4562209561815749</v>
      </c>
      <c r="U105" s="71">
        <v>6</v>
      </c>
      <c r="V105" s="71">
        <v>5.4</v>
      </c>
      <c r="Z105" s="71">
        <v>5.4</v>
      </c>
      <c r="AA105" s="70">
        <f t="shared" si="20"/>
        <v>10.245898332532647</v>
      </c>
      <c r="AC105" s="67" t="s">
        <v>539</v>
      </c>
      <c r="AI105" s="72">
        <v>46.076753849914446</v>
      </c>
      <c r="AJ105" s="72">
        <v>50.155763239875384</v>
      </c>
      <c r="AK105" s="72">
        <v>54.352629253203709</v>
      </c>
      <c r="AL105" s="72">
        <v>56.857776369971482</v>
      </c>
      <c r="AM105" s="72">
        <v>61.3</v>
      </c>
      <c r="AN105" s="72">
        <v>63.8</v>
      </c>
      <c r="AT105" s="72">
        <f t="shared" si="21"/>
        <v>55.42382045216084</v>
      </c>
      <c r="AV105" s="59" t="s">
        <v>538</v>
      </c>
      <c r="BB105" s="73">
        <v>21.15</v>
      </c>
      <c r="BC105" s="73">
        <v>22.91</v>
      </c>
      <c r="BD105" s="73">
        <v>24.99</v>
      </c>
      <c r="BE105" s="73">
        <v>12.5</v>
      </c>
      <c r="BF105" s="73">
        <v>12.06</v>
      </c>
      <c r="BG105" s="73">
        <v>12.4</v>
      </c>
      <c r="BM105" s="73">
        <f t="shared" si="22"/>
        <v>17.668333333333333</v>
      </c>
      <c r="BO105" s="59" t="s">
        <v>538</v>
      </c>
      <c r="BT105" s="74"/>
      <c r="BU105" s="75">
        <v>0.65</v>
      </c>
      <c r="BV105" s="75">
        <v>0.73199095874929354</v>
      </c>
      <c r="BW105" s="75">
        <v>0.85400918907693901</v>
      </c>
      <c r="BX105" s="75">
        <v>1.02</v>
      </c>
      <c r="BY105" s="75">
        <v>1.1199999999999999</v>
      </c>
      <c r="BZ105" s="75">
        <v>1.03</v>
      </c>
      <c r="CF105" s="75">
        <f t="shared" si="23"/>
        <v>0.90100002463770545</v>
      </c>
    </row>
    <row r="106" spans="2:84" ht="12.75" customHeight="1" x14ac:dyDescent="0.25">
      <c r="B106" s="76">
        <v>6</v>
      </c>
      <c r="C106" s="59" t="s">
        <v>540</v>
      </c>
      <c r="D106" s="60" t="s">
        <v>541</v>
      </c>
      <c r="E106" s="60">
        <v>2010</v>
      </c>
      <c r="F106" s="77">
        <v>63.6</v>
      </c>
      <c r="G106" s="62">
        <v>36.4</v>
      </c>
      <c r="H106" s="63">
        <v>2.6</v>
      </c>
      <c r="I106" s="64"/>
      <c r="J106" s="65" t="s">
        <v>540</v>
      </c>
      <c r="P106" s="70">
        <v>1</v>
      </c>
      <c r="Q106" s="71">
        <v>3</v>
      </c>
      <c r="R106" s="71">
        <v>3</v>
      </c>
      <c r="S106" s="71">
        <v>3</v>
      </c>
      <c r="T106" s="71">
        <v>4</v>
      </c>
      <c r="U106" s="71">
        <v>4</v>
      </c>
      <c r="V106" s="71" t="s">
        <v>355</v>
      </c>
      <c r="Z106" s="71" t="s">
        <v>355</v>
      </c>
      <c r="AA106" s="70">
        <f t="shared" si="20"/>
        <v>3</v>
      </c>
      <c r="AC106" s="67" t="s">
        <v>541</v>
      </c>
      <c r="AI106" s="72" t="s">
        <v>380</v>
      </c>
      <c r="AJ106" s="72">
        <v>167</v>
      </c>
      <c r="AK106" s="72">
        <v>125</v>
      </c>
      <c r="AL106" s="72">
        <v>115</v>
      </c>
      <c r="AM106" s="72">
        <v>118</v>
      </c>
      <c r="AN106" s="72">
        <v>113</v>
      </c>
      <c r="AT106" s="72">
        <f t="shared" si="21"/>
        <v>127.6</v>
      </c>
      <c r="AV106" s="59" t="s">
        <v>540</v>
      </c>
      <c r="BB106" s="73">
        <v>22</v>
      </c>
      <c r="BC106" s="73">
        <v>25</v>
      </c>
      <c r="BD106" s="73">
        <v>19</v>
      </c>
      <c r="BE106" s="73">
        <v>14</v>
      </c>
      <c r="BF106" s="73">
        <v>12</v>
      </c>
      <c r="BG106" s="73">
        <v>15</v>
      </c>
      <c r="BM106" s="73">
        <f t="shared" si="22"/>
        <v>17.833333333333332</v>
      </c>
      <c r="BO106" s="59" t="s">
        <v>540</v>
      </c>
      <c r="BT106" s="74"/>
      <c r="BU106" s="75">
        <v>3</v>
      </c>
      <c r="BV106" s="75">
        <v>2</v>
      </c>
      <c r="BW106" s="75">
        <v>2</v>
      </c>
      <c r="BX106" s="75">
        <v>2.6</v>
      </c>
      <c r="BY106" s="75">
        <v>3</v>
      </c>
      <c r="BZ106" s="75">
        <v>4</v>
      </c>
      <c r="CF106" s="75">
        <f t="shared" si="23"/>
        <v>2.7666666666666671</v>
      </c>
    </row>
    <row r="107" spans="2:84" ht="12.75" customHeight="1" x14ac:dyDescent="0.25">
      <c r="B107" s="76">
        <v>6</v>
      </c>
      <c r="C107" s="59" t="s">
        <v>542</v>
      </c>
      <c r="D107" s="60" t="s">
        <v>543</v>
      </c>
      <c r="E107" s="60">
        <v>2010</v>
      </c>
      <c r="F107" s="77">
        <v>91.6</v>
      </c>
      <c r="G107" s="62">
        <v>8.4</v>
      </c>
      <c r="H107" s="63">
        <v>3</v>
      </c>
      <c r="I107" s="64"/>
      <c r="J107" s="65" t="s">
        <v>542</v>
      </c>
      <c r="P107" s="66">
        <v>12.639230769230769</v>
      </c>
      <c r="Q107" s="66">
        <v>12.165410295921369</v>
      </c>
      <c r="R107" s="66">
        <v>10.59847453234358</v>
      </c>
      <c r="S107" s="66">
        <v>9.472707780057064</v>
      </c>
      <c r="T107" s="66">
        <v>7.9803674992915017</v>
      </c>
      <c r="U107" s="66">
        <v>8.8942099137723467</v>
      </c>
      <c r="V107" s="66">
        <v>9.5068542417657511</v>
      </c>
      <c r="Z107" s="66">
        <v>9.5068542417657511</v>
      </c>
      <c r="AA107" s="66">
        <f t="shared" si="20"/>
        <v>10.095513659268518</v>
      </c>
      <c r="AC107" s="67" t="s">
        <v>543</v>
      </c>
      <c r="AI107" s="66">
        <f>VLOOKUP($B107,$AB$198:$AN$204,8,FALSE)</f>
        <v>75.888644067796605</v>
      </c>
      <c r="AJ107" s="66">
        <f>VLOOKUP($B107,$AB$198:$AN$204,9,FALSE)</f>
        <v>80.455696202531627</v>
      </c>
      <c r="AK107" s="66">
        <f>VLOOKUP($B107,$AB$198:$AN$204,10,FALSE)</f>
        <v>79.335945945945952</v>
      </c>
      <c r="AL107" s="66">
        <f>VLOOKUP($B107,$AB$198:$AN$204,11,FALSE)</f>
        <v>70.762500000000003</v>
      </c>
      <c r="AM107" s="66">
        <f>VLOOKUP($B107,$AB$198:$AN$204,12,FALSE)</f>
        <v>76.45</v>
      </c>
      <c r="AN107" s="66">
        <f>VLOOKUP($B107,$AB$198:$AN$204,13,FALSE)</f>
        <v>67.424999999999997</v>
      </c>
      <c r="AT107" s="66">
        <f t="shared" si="21"/>
        <v>75.05296436937904</v>
      </c>
      <c r="AV107" s="59" t="s">
        <v>542</v>
      </c>
      <c r="BB107" s="68">
        <f>VLOOKUP($B107,$AU$198:$BH$204,8,FALSE)</f>
        <v>18.156923076923078</v>
      </c>
      <c r="BC107" s="68">
        <f>VLOOKUP($B107,$AU$198:$BH$204,9,FALSE)</f>
        <v>17.862307692307695</v>
      </c>
      <c r="BD107" s="68">
        <f>VLOOKUP($B107,$AU$198:$BH$204,10,FALSE)</f>
        <v>17.588461538461537</v>
      </c>
      <c r="BE107" s="68">
        <f>VLOOKUP($B107,$AU$198:$BH$204,11,FALSE)</f>
        <v>17.724615384615387</v>
      </c>
      <c r="BF107" s="68">
        <f>VLOOKUP($B107,$AU$198:$BH$204,12,FALSE)</f>
        <v>18.493846153846153</v>
      </c>
      <c r="BG107" s="68">
        <f>VLOOKUP($B107,$AU$198:$BH$204,13,FALSE)</f>
        <v>19.346363636363638</v>
      </c>
      <c r="BM107" s="68">
        <f t="shared" si="22"/>
        <v>18.195419580419578</v>
      </c>
      <c r="BO107" s="59" t="s">
        <v>542</v>
      </c>
      <c r="BT107" s="74"/>
      <c r="BU107" s="69">
        <f>VLOOKUP($B107,$BN$198:$BZ$204,8,FALSE)</f>
        <v>3.2984615384615386</v>
      </c>
      <c r="BV107" s="69">
        <f>VLOOKUP($B107,$BN$198:$BZ$204,9,FALSE)</f>
        <v>2.7469230769230766</v>
      </c>
      <c r="BW107" s="69">
        <f>VLOOKUP($B107,$BN$198:$BZ$204,10,FALSE)</f>
        <v>2.7653846153846158</v>
      </c>
      <c r="BX107" s="69">
        <f>VLOOKUP($B107,$BN$198:$BZ$204,11,FALSE)</f>
        <v>2.525384615384616</v>
      </c>
      <c r="BY107" s="69">
        <f>VLOOKUP($B107,$BN$198:$BZ$204,12,FALSE)</f>
        <v>2.9269230769230767</v>
      </c>
      <c r="BZ107" s="69">
        <f>VLOOKUP($B107,$BN$198:$BZ$204,13,FALSE)</f>
        <v>2.36</v>
      </c>
      <c r="CF107" s="69">
        <f t="shared" si="23"/>
        <v>2.7705128205128204</v>
      </c>
    </row>
    <row r="108" spans="2:84" ht="12.75" customHeight="1" x14ac:dyDescent="0.25">
      <c r="B108" s="58">
        <v>2</v>
      </c>
      <c r="C108" s="59" t="s">
        <v>544</v>
      </c>
      <c r="D108" s="60" t="s">
        <v>545</v>
      </c>
      <c r="E108" s="60">
        <v>2010</v>
      </c>
      <c r="F108" s="77">
        <v>50.4</v>
      </c>
      <c r="G108" s="62">
        <v>49.6</v>
      </c>
      <c r="H108" s="63">
        <v>1.5</v>
      </c>
      <c r="I108" s="64"/>
      <c r="J108" s="65" t="s">
        <v>544</v>
      </c>
      <c r="P108" s="70">
        <v>2.2000000000000002</v>
      </c>
      <c r="Q108" s="71">
        <v>0.6</v>
      </c>
      <c r="R108" s="71">
        <v>1</v>
      </c>
      <c r="S108" s="71">
        <v>1</v>
      </c>
      <c r="T108" s="71">
        <v>4.5999999999999996</v>
      </c>
      <c r="U108" s="71">
        <v>19.3</v>
      </c>
      <c r="V108" s="71">
        <v>19.12</v>
      </c>
      <c r="Z108" s="71">
        <v>19.12</v>
      </c>
      <c r="AA108" s="70">
        <f t="shared" si="20"/>
        <v>8.3675000000000015</v>
      </c>
      <c r="AC108" s="67" t="s">
        <v>545</v>
      </c>
      <c r="AI108" s="66">
        <f>VLOOKUP($B108,$AB$198:$AN$204,8,FALSE)</f>
        <v>81.617815617406805</v>
      </c>
      <c r="AJ108" s="66">
        <f>VLOOKUP($B108,$AB$198:$AN$204,9,FALSE)</f>
        <v>90.087240267752392</v>
      </c>
      <c r="AK108" s="66">
        <f>VLOOKUP($B108,$AB$198:$AN$204,10,FALSE)</f>
        <v>88.985721813757607</v>
      </c>
      <c r="AL108" s="66">
        <f>VLOOKUP($B108,$AB$198:$AN$204,11,FALSE)</f>
        <v>85.305718000035199</v>
      </c>
      <c r="AM108" s="66">
        <f>VLOOKUP($B108,$AB$198:$AN$204,12,FALSE)</f>
        <v>84.643872929029527</v>
      </c>
      <c r="AN108" s="66">
        <f>VLOOKUP($B108,$AB$198:$AN$204,13,FALSE)</f>
        <v>74.875500940663585</v>
      </c>
      <c r="AT108" s="66">
        <f t="shared" si="21"/>
        <v>84.252644928107514</v>
      </c>
      <c r="AV108" s="59" t="s">
        <v>544</v>
      </c>
      <c r="BB108" s="73">
        <v>12.4</v>
      </c>
      <c r="BC108" s="73">
        <v>10.3</v>
      </c>
      <c r="BD108" s="73">
        <v>10.8</v>
      </c>
      <c r="BE108" s="73">
        <v>10.9</v>
      </c>
      <c r="BF108" s="73">
        <v>12.9</v>
      </c>
      <c r="BG108" s="73">
        <v>14.2</v>
      </c>
      <c r="BM108" s="73">
        <f t="shared" si="22"/>
        <v>11.916666666666666</v>
      </c>
      <c r="BO108" s="59" t="s">
        <v>544</v>
      </c>
      <c r="BT108" s="74"/>
      <c r="BU108" s="75">
        <v>1.2</v>
      </c>
      <c r="BV108" s="75">
        <v>1</v>
      </c>
      <c r="BW108" s="75">
        <v>1.3</v>
      </c>
      <c r="BX108" s="75">
        <v>1.7</v>
      </c>
      <c r="BY108" s="75">
        <v>1</v>
      </c>
      <c r="BZ108" s="75">
        <v>-4.2</v>
      </c>
      <c r="CF108" s="75">
        <f t="shared" si="23"/>
        <v>0.33333333333333331</v>
      </c>
    </row>
    <row r="109" spans="2:84" ht="12.75" customHeight="1" x14ac:dyDescent="0.25">
      <c r="B109" s="76">
        <v>5</v>
      </c>
      <c r="C109" s="59" t="s">
        <v>546</v>
      </c>
      <c r="D109" s="60" t="s">
        <v>547</v>
      </c>
      <c r="E109" s="60">
        <v>2010</v>
      </c>
      <c r="F109" s="77">
        <v>56.3</v>
      </c>
      <c r="G109" s="62">
        <v>43.7</v>
      </c>
      <c r="H109" s="63">
        <v>2</v>
      </c>
      <c r="I109" s="64"/>
      <c r="J109" s="65" t="s">
        <v>546</v>
      </c>
      <c r="P109" s="70">
        <v>0.3</v>
      </c>
      <c r="Q109" s="71">
        <v>0.2</v>
      </c>
      <c r="R109" s="71">
        <v>0.1</v>
      </c>
      <c r="S109" s="71">
        <v>0.2</v>
      </c>
      <c r="T109" s="71">
        <v>1</v>
      </c>
      <c r="U109" s="71">
        <v>1.3</v>
      </c>
      <c r="V109" s="71">
        <v>0.5</v>
      </c>
      <c r="Z109" s="71">
        <v>0.5</v>
      </c>
      <c r="AA109" s="70">
        <f t="shared" si="20"/>
        <v>0.51249999999999996</v>
      </c>
      <c r="AC109" s="67" t="s">
        <v>547</v>
      </c>
      <c r="AI109" s="66">
        <f>VLOOKUP($B109,$AB$198:$AN$204,8,FALSE)</f>
        <v>92.897933193103839</v>
      </c>
      <c r="AJ109" s="66">
        <f>VLOOKUP($B109,$AB$198:$AN$204,9,FALSE)</f>
        <v>91.027330710904693</v>
      </c>
      <c r="AK109" s="66">
        <f>VLOOKUP($B109,$AB$198:$AN$204,10,FALSE)</f>
        <v>93.198641148641926</v>
      </c>
      <c r="AL109" s="66">
        <f>VLOOKUP($B109,$AB$198:$AN$204,11,FALSE)</f>
        <v>91.369909561122711</v>
      </c>
      <c r="AM109" s="66">
        <f>VLOOKUP($B109,$AB$198:$AN$204,12,FALSE)</f>
        <v>69.403859855449028</v>
      </c>
      <c r="AN109" s="66">
        <f>VLOOKUP($B109,$AB$198:$AN$204,13,FALSE)</f>
        <v>62.07823623621681</v>
      </c>
      <c r="AT109" s="66">
        <f t="shared" si="21"/>
        <v>83.329318450906499</v>
      </c>
      <c r="AV109" s="59" t="s">
        <v>546</v>
      </c>
      <c r="BB109" s="73">
        <v>17.5</v>
      </c>
      <c r="BC109" s="73">
        <v>15.5</v>
      </c>
      <c r="BD109" s="73">
        <v>15.3</v>
      </c>
      <c r="BE109" s="73">
        <v>14.3</v>
      </c>
      <c r="BF109" s="73">
        <v>15.4</v>
      </c>
      <c r="BG109" s="73">
        <v>17.5</v>
      </c>
      <c r="BM109" s="73">
        <f t="shared" si="22"/>
        <v>15.916666666666666</v>
      </c>
      <c r="BO109" s="59" t="s">
        <v>546</v>
      </c>
      <c r="BT109" s="74"/>
      <c r="BU109" s="75">
        <v>0.7</v>
      </c>
      <c r="BV109" s="75">
        <v>0.7</v>
      </c>
      <c r="BW109" s="75">
        <v>0.9</v>
      </c>
      <c r="BX109" s="75">
        <v>0.8</v>
      </c>
      <c r="BY109" s="75">
        <v>0.2</v>
      </c>
      <c r="BZ109" s="75">
        <v>0.6</v>
      </c>
      <c r="CF109" s="75">
        <f t="shared" si="23"/>
        <v>0.65</v>
      </c>
    </row>
    <row r="110" spans="2:84" ht="12.75" customHeight="1" x14ac:dyDescent="0.25">
      <c r="B110" s="58">
        <v>2</v>
      </c>
      <c r="C110" s="59" t="s">
        <v>548</v>
      </c>
      <c r="D110" s="60" t="s">
        <v>549</v>
      </c>
      <c r="E110" s="60">
        <v>2010</v>
      </c>
      <c r="F110" s="77">
        <v>79.3</v>
      </c>
      <c r="G110" s="62">
        <v>20.7</v>
      </c>
      <c r="H110" s="63">
        <v>2.9</v>
      </c>
      <c r="I110" s="64"/>
      <c r="J110" s="65" t="s">
        <v>548</v>
      </c>
      <c r="P110" s="70">
        <v>16.954949487121169</v>
      </c>
      <c r="Q110" s="71">
        <v>14.998929384541684</v>
      </c>
      <c r="R110" s="71">
        <v>11.2</v>
      </c>
      <c r="S110" s="71">
        <v>7.5</v>
      </c>
      <c r="T110" s="71">
        <v>6.7</v>
      </c>
      <c r="U110" s="71">
        <v>8.9</v>
      </c>
      <c r="V110" s="71">
        <v>10.4</v>
      </c>
      <c r="Z110" s="71">
        <v>10.4</v>
      </c>
      <c r="AA110" s="70">
        <f t="shared" si="20"/>
        <v>10.881734858957859</v>
      </c>
      <c r="AC110" s="67" t="s">
        <v>549</v>
      </c>
      <c r="AI110" s="72">
        <v>95.5</v>
      </c>
      <c r="AJ110" s="72">
        <v>95.8</v>
      </c>
      <c r="AK110" s="72">
        <v>100.8</v>
      </c>
      <c r="AL110" s="72">
        <v>117</v>
      </c>
      <c r="AM110" s="72">
        <v>120.3</v>
      </c>
      <c r="AN110" s="72">
        <v>97.6</v>
      </c>
      <c r="AT110" s="72">
        <f t="shared" si="21"/>
        <v>104.5</v>
      </c>
      <c r="AV110" s="59" t="s">
        <v>548</v>
      </c>
      <c r="BB110" s="73">
        <v>23</v>
      </c>
      <c r="BC110" s="73">
        <v>21.3</v>
      </c>
      <c r="BD110" s="73">
        <v>18.3</v>
      </c>
      <c r="BE110" s="73">
        <v>17</v>
      </c>
      <c r="BF110" s="73">
        <v>16.2</v>
      </c>
      <c r="BG110" s="73">
        <v>16.5</v>
      </c>
      <c r="BM110" s="73">
        <f t="shared" si="22"/>
        <v>18.716666666666665</v>
      </c>
      <c r="BO110" s="59" t="s">
        <v>548</v>
      </c>
      <c r="BT110" s="74"/>
      <c r="BU110" s="75">
        <v>0.6</v>
      </c>
      <c r="BV110" s="75">
        <v>1.2</v>
      </c>
      <c r="BW110" s="75">
        <v>1.8</v>
      </c>
      <c r="BX110" s="75">
        <v>1.8</v>
      </c>
      <c r="BY110" s="75">
        <v>1.4</v>
      </c>
      <c r="BZ110" s="75">
        <v>0.70804368656733496</v>
      </c>
      <c r="CF110" s="75">
        <f t="shared" si="23"/>
        <v>1.2513406144278889</v>
      </c>
    </row>
    <row r="111" spans="2:84" ht="12.75" customHeight="1" x14ac:dyDescent="0.25">
      <c r="B111" s="76">
        <v>6</v>
      </c>
      <c r="C111" s="59" t="s">
        <v>550</v>
      </c>
      <c r="D111" s="60" t="s">
        <v>551</v>
      </c>
      <c r="E111" s="60">
        <v>2010</v>
      </c>
      <c r="F111" s="61">
        <v>77.165714285714287</v>
      </c>
      <c r="G111" s="62" t="s">
        <v>355</v>
      </c>
      <c r="H111" s="63" t="s">
        <v>355</v>
      </c>
      <c r="I111" s="64"/>
      <c r="J111" s="65" t="s">
        <v>550</v>
      </c>
      <c r="P111" s="66">
        <v>12.639230769230769</v>
      </c>
      <c r="Q111" s="66">
        <v>12.165410295921369</v>
      </c>
      <c r="R111" s="66">
        <v>10.59847453234358</v>
      </c>
      <c r="S111" s="66">
        <v>9.472707780057064</v>
      </c>
      <c r="T111" s="66">
        <v>7.9803674992915017</v>
      </c>
      <c r="U111" s="66">
        <v>8.8942099137723467</v>
      </c>
      <c r="V111" s="66">
        <v>9.5068542417657511</v>
      </c>
      <c r="Z111" s="66">
        <v>9.5068542417657511</v>
      </c>
      <c r="AA111" s="66">
        <f t="shared" si="20"/>
        <v>10.095513659268518</v>
      </c>
      <c r="AC111" s="67" t="s">
        <v>551</v>
      </c>
      <c r="AI111" s="66">
        <f>VLOOKUP($B111,$AB$198:$AN$204,8,FALSE)</f>
        <v>75.888644067796605</v>
      </c>
      <c r="AJ111" s="66">
        <f>VLOOKUP($B111,$AB$198:$AN$204,9,FALSE)</f>
        <v>80.455696202531627</v>
      </c>
      <c r="AK111" s="66">
        <f>VLOOKUP($B111,$AB$198:$AN$204,10,FALSE)</f>
        <v>79.335945945945952</v>
      </c>
      <c r="AL111" s="66">
        <f>VLOOKUP($B111,$AB$198:$AN$204,11,FALSE)</f>
        <v>70.762500000000003</v>
      </c>
      <c r="AM111" s="66">
        <f>VLOOKUP($B111,$AB$198:$AN$204,12,FALSE)</f>
        <v>76.45</v>
      </c>
      <c r="AN111" s="66">
        <f>VLOOKUP($B111,$AB$198:$AN$204,13,FALSE)</f>
        <v>67.424999999999997</v>
      </c>
      <c r="AT111" s="66">
        <f t="shared" si="21"/>
        <v>75.05296436937904</v>
      </c>
      <c r="AV111" s="59" t="s">
        <v>550</v>
      </c>
      <c r="BB111" s="68">
        <f>VLOOKUP($B111,$AU$198:$BH$204,8,FALSE)</f>
        <v>18.156923076923078</v>
      </c>
      <c r="BC111" s="68">
        <f>VLOOKUP($B111,$AU$198:$BH$204,9,FALSE)</f>
        <v>17.862307692307695</v>
      </c>
      <c r="BD111" s="68">
        <f>VLOOKUP($B111,$AU$198:$BH$204,10,FALSE)</f>
        <v>17.588461538461537</v>
      </c>
      <c r="BE111" s="68">
        <f>VLOOKUP($B111,$AU$198:$BH$204,11,FALSE)</f>
        <v>17.724615384615387</v>
      </c>
      <c r="BF111" s="68">
        <f>VLOOKUP($B111,$AU$198:$BH$204,12,FALSE)</f>
        <v>18.493846153846153</v>
      </c>
      <c r="BG111" s="68">
        <f>VLOOKUP($B111,$AU$198:$BH$204,13,FALSE)</f>
        <v>19.346363636363638</v>
      </c>
      <c r="BM111" s="68">
        <f t="shared" si="22"/>
        <v>18.195419580419578</v>
      </c>
      <c r="BO111" s="59" t="s">
        <v>550</v>
      </c>
      <c r="BT111" s="74"/>
      <c r="BU111" s="69">
        <f>VLOOKUP($B111,$BN$198:$BZ$204,8,FALSE)</f>
        <v>3.2984615384615386</v>
      </c>
      <c r="BV111" s="69">
        <f>VLOOKUP($B111,$BN$198:$BZ$204,9,FALSE)</f>
        <v>2.7469230769230766</v>
      </c>
      <c r="BW111" s="69">
        <f>VLOOKUP($B111,$BN$198:$BZ$204,10,FALSE)</f>
        <v>2.7653846153846158</v>
      </c>
      <c r="BX111" s="69">
        <f>VLOOKUP($B111,$BN$198:$BZ$204,11,FALSE)</f>
        <v>2.525384615384616</v>
      </c>
      <c r="BY111" s="69">
        <f>VLOOKUP($B111,$BN$198:$BZ$204,12,FALSE)</f>
        <v>2.9269230769230767</v>
      </c>
      <c r="BZ111" s="69">
        <f>VLOOKUP($B111,$BN$198:$BZ$204,13,FALSE)</f>
        <v>2.36</v>
      </c>
      <c r="CF111" s="69">
        <f t="shared" si="23"/>
        <v>2.7705128205128204</v>
      </c>
    </row>
    <row r="112" spans="2:84" ht="12.75" customHeight="1" x14ac:dyDescent="0.25">
      <c r="B112" s="76">
        <v>6</v>
      </c>
      <c r="C112" s="59" t="s">
        <v>552</v>
      </c>
      <c r="D112" s="60" t="s">
        <v>553</v>
      </c>
      <c r="E112" s="60">
        <v>2010</v>
      </c>
      <c r="F112" s="77">
        <v>82.1</v>
      </c>
      <c r="G112" s="62">
        <v>17.899999999999999</v>
      </c>
      <c r="H112" s="63">
        <v>2.6</v>
      </c>
      <c r="I112" s="64"/>
      <c r="J112" s="65" t="s">
        <v>552</v>
      </c>
      <c r="P112" s="66">
        <v>12.639230769230769</v>
      </c>
      <c r="Q112" s="66">
        <v>12.165410295921369</v>
      </c>
      <c r="R112" s="66">
        <v>10.59847453234358</v>
      </c>
      <c r="S112" s="66">
        <v>9.472707780057064</v>
      </c>
      <c r="T112" s="66">
        <v>7.9803674992915017</v>
      </c>
      <c r="U112" s="66">
        <v>8.8942099137723467</v>
      </c>
      <c r="V112" s="66">
        <v>9.5068542417657511</v>
      </c>
      <c r="Z112" s="66">
        <v>9.5068542417657511</v>
      </c>
      <c r="AA112" s="66">
        <f t="shared" si="20"/>
        <v>10.095513659268518</v>
      </c>
      <c r="AC112" s="67" t="s">
        <v>553</v>
      </c>
      <c r="AI112" s="66">
        <f>VLOOKUP($B112,$AB$198:$AN$204,8,FALSE)</f>
        <v>75.888644067796605</v>
      </c>
      <c r="AJ112" s="66">
        <f>VLOOKUP($B112,$AB$198:$AN$204,9,FALSE)</f>
        <v>80.455696202531627</v>
      </c>
      <c r="AK112" s="66">
        <f>VLOOKUP($B112,$AB$198:$AN$204,10,FALSE)</f>
        <v>79.335945945945952</v>
      </c>
      <c r="AL112" s="66">
        <f>VLOOKUP($B112,$AB$198:$AN$204,11,FALSE)</f>
        <v>70.762500000000003</v>
      </c>
      <c r="AM112" s="66">
        <f>VLOOKUP($B112,$AB$198:$AN$204,12,FALSE)</f>
        <v>76.45</v>
      </c>
      <c r="AN112" s="66">
        <f>VLOOKUP($B112,$AB$198:$AN$204,13,FALSE)</f>
        <v>67.424999999999997</v>
      </c>
      <c r="AT112" s="66">
        <f t="shared" si="21"/>
        <v>75.05296436937904</v>
      </c>
      <c r="AV112" s="59" t="s">
        <v>552</v>
      </c>
      <c r="BB112" s="68">
        <f>VLOOKUP($B112,$AU$198:$BH$204,8,FALSE)</f>
        <v>18.156923076923078</v>
      </c>
      <c r="BC112" s="68">
        <f>VLOOKUP($B112,$AU$198:$BH$204,9,FALSE)</f>
        <v>17.862307692307695</v>
      </c>
      <c r="BD112" s="68">
        <f>VLOOKUP($B112,$AU$198:$BH$204,10,FALSE)</f>
        <v>17.588461538461537</v>
      </c>
      <c r="BE112" s="68">
        <f>VLOOKUP($B112,$AU$198:$BH$204,11,FALSE)</f>
        <v>17.724615384615387</v>
      </c>
      <c r="BF112" s="68">
        <f>VLOOKUP($B112,$AU$198:$BH$204,12,FALSE)</f>
        <v>18.493846153846153</v>
      </c>
      <c r="BG112" s="68">
        <f>VLOOKUP($B112,$AU$198:$BH$204,13,FALSE)</f>
        <v>19.346363636363638</v>
      </c>
      <c r="BM112" s="68">
        <f t="shared" si="22"/>
        <v>18.195419580419578</v>
      </c>
      <c r="BO112" s="59" t="s">
        <v>552</v>
      </c>
      <c r="BT112" s="74"/>
      <c r="BU112" s="69">
        <f>VLOOKUP($B112,$BN$198:$BZ$204,8,FALSE)</f>
        <v>3.2984615384615386</v>
      </c>
      <c r="BV112" s="69">
        <f>VLOOKUP($B112,$BN$198:$BZ$204,9,FALSE)</f>
        <v>2.7469230769230766</v>
      </c>
      <c r="BW112" s="69">
        <f>VLOOKUP($B112,$BN$198:$BZ$204,10,FALSE)</f>
        <v>2.7653846153846158</v>
      </c>
      <c r="BX112" s="69">
        <f>VLOOKUP($B112,$BN$198:$BZ$204,11,FALSE)</f>
        <v>2.525384615384616</v>
      </c>
      <c r="BY112" s="69">
        <f>VLOOKUP($B112,$BN$198:$BZ$204,12,FALSE)</f>
        <v>2.9269230769230767</v>
      </c>
      <c r="BZ112" s="69">
        <f>VLOOKUP($B112,$BN$198:$BZ$204,13,FALSE)</f>
        <v>2.36</v>
      </c>
      <c r="CF112" s="69">
        <f t="shared" si="23"/>
        <v>2.7705128205128204</v>
      </c>
    </row>
    <row r="113" spans="2:84" ht="12.75" customHeight="1" x14ac:dyDescent="0.25">
      <c r="B113" s="76">
        <v>1</v>
      </c>
      <c r="C113" s="59" t="s">
        <v>554</v>
      </c>
      <c r="D113" s="60" t="s">
        <v>555</v>
      </c>
      <c r="E113" s="60">
        <v>2010</v>
      </c>
      <c r="F113" s="77">
        <v>60.2</v>
      </c>
      <c r="G113" s="62">
        <v>39.799999999999997</v>
      </c>
      <c r="H113" s="63">
        <v>2.2999999999999998</v>
      </c>
      <c r="I113" s="64"/>
      <c r="J113" s="65" t="s">
        <v>554</v>
      </c>
      <c r="P113" s="70">
        <v>11.7</v>
      </c>
      <c r="Q113" s="71">
        <v>9.6</v>
      </c>
      <c r="R113" s="71">
        <v>8.5</v>
      </c>
      <c r="S113" s="71">
        <v>6.5</v>
      </c>
      <c r="T113" s="71">
        <v>4.8</v>
      </c>
      <c r="U113" s="71">
        <v>3.7</v>
      </c>
      <c r="V113" s="71">
        <v>3.5</v>
      </c>
      <c r="Z113" s="71">
        <v>3.5</v>
      </c>
      <c r="AA113" s="70">
        <f t="shared" si="20"/>
        <v>6.4749999999999996</v>
      </c>
      <c r="AC113" s="67" t="s">
        <v>555</v>
      </c>
      <c r="AI113" s="72">
        <v>54.984945296274567</v>
      </c>
      <c r="AJ113" s="72">
        <v>59.10910753670241</v>
      </c>
      <c r="AK113" s="72">
        <v>64.625798851401129</v>
      </c>
      <c r="AL113" s="72">
        <v>77.316265984267716</v>
      </c>
      <c r="AM113" s="72">
        <v>89</v>
      </c>
      <c r="AN113" s="72">
        <v>93.3</v>
      </c>
      <c r="AT113" s="72">
        <f t="shared" si="21"/>
        <v>73.056019611440973</v>
      </c>
      <c r="AV113" s="59" t="s">
        <v>554</v>
      </c>
      <c r="BB113" s="73">
        <v>14.4</v>
      </c>
      <c r="BC113" s="73">
        <v>13.7</v>
      </c>
      <c r="BD113" s="73">
        <v>13.5</v>
      </c>
      <c r="BE113" s="73">
        <v>13.2</v>
      </c>
      <c r="BF113" s="73">
        <v>12.7</v>
      </c>
      <c r="BG113" s="73">
        <v>14.6</v>
      </c>
      <c r="BM113" s="73">
        <f t="shared" si="22"/>
        <v>13.683333333333332</v>
      </c>
      <c r="BO113" s="59" t="s">
        <v>554</v>
      </c>
      <c r="BT113" s="74"/>
      <c r="BU113" s="75">
        <v>1.4</v>
      </c>
      <c r="BV113" s="75">
        <v>1.4</v>
      </c>
      <c r="BW113" s="75">
        <v>1.3</v>
      </c>
      <c r="BX113" s="75">
        <v>1.5</v>
      </c>
      <c r="BY113" s="75">
        <v>1.5</v>
      </c>
      <c r="BZ113" s="75">
        <v>1.2</v>
      </c>
      <c r="CF113" s="75">
        <f t="shared" si="23"/>
        <v>1.3833333333333331</v>
      </c>
    </row>
    <row r="114" spans="2:84" ht="12.75" customHeight="1" x14ac:dyDescent="0.25">
      <c r="B114" s="76">
        <v>1</v>
      </c>
      <c r="C114" s="59" t="s">
        <v>556</v>
      </c>
      <c r="D114" s="60" t="s">
        <v>557</v>
      </c>
      <c r="E114" s="60">
        <v>2010</v>
      </c>
      <c r="F114" s="77">
        <v>75.400000000000006</v>
      </c>
      <c r="G114" s="62">
        <v>24.6</v>
      </c>
      <c r="H114" s="63">
        <v>6.7</v>
      </c>
      <c r="I114" s="64"/>
      <c r="J114" s="65" t="s">
        <v>556</v>
      </c>
      <c r="P114" s="66">
        <v>10.951448940605555</v>
      </c>
      <c r="Q114" s="66">
        <v>8.9659352564169783</v>
      </c>
      <c r="R114" s="66">
        <v>7.5764805003373485</v>
      </c>
      <c r="S114" s="66">
        <v>6.9766808385753336</v>
      </c>
      <c r="T114" s="66">
        <v>6.028398498646701</v>
      </c>
      <c r="U114" s="66">
        <v>5.1511144935422388</v>
      </c>
      <c r="V114" s="66">
        <v>7.19</v>
      </c>
      <c r="Z114" s="66">
        <v>7.19</v>
      </c>
      <c r="AA114" s="66">
        <f t="shared" si="20"/>
        <v>7.5037573160155189</v>
      </c>
      <c r="AC114" s="67" t="s">
        <v>557</v>
      </c>
      <c r="AI114" s="66">
        <f t="shared" ref="AI114:AI119" si="24">VLOOKUP($B114,$AB$198:$AN$204,8,FALSE)</f>
        <v>62.267766724334649</v>
      </c>
      <c r="AJ114" s="66">
        <f t="shared" ref="AJ114:AJ119" si="25">VLOOKUP($B114,$AB$198:$AN$204,9,FALSE)</f>
        <v>58.416201756290228</v>
      </c>
      <c r="AK114" s="66">
        <f t="shared" ref="AK114:AK119" si="26">VLOOKUP($B114,$AB$198:$AN$204,10,FALSE)</f>
        <v>65.401431372790213</v>
      </c>
      <c r="AL114" s="66">
        <f t="shared" ref="AL114:AL119" si="27">VLOOKUP($B114,$AB$198:$AN$204,11,FALSE)</f>
        <v>71.775804261946988</v>
      </c>
      <c r="AM114" s="66">
        <f t="shared" ref="AM114:AM119" si="28">VLOOKUP($B114,$AB$198:$AN$204,12,FALSE)</f>
        <v>85.024999999999991</v>
      </c>
      <c r="AN114" s="66">
        <f t="shared" ref="AN114:AN119" si="29">VLOOKUP($B114,$AB$198:$AN$204,13,FALSE)</f>
        <v>106.17999999999999</v>
      </c>
      <c r="AT114" s="66">
        <f t="shared" si="21"/>
        <v>74.84436735256034</v>
      </c>
      <c r="AV114" s="59" t="s">
        <v>556</v>
      </c>
      <c r="BB114" s="68">
        <f>VLOOKUP($B114,$AU$198:$BH$204,8,FALSE)</f>
        <v>11.270393306464786</v>
      </c>
      <c r="BC114" s="68">
        <f>VLOOKUP($B114,$AU$198:$BH$204,9,FALSE)</f>
        <v>12.218846153846155</v>
      </c>
      <c r="BD114" s="68">
        <f>VLOOKUP($B114,$AU$198:$BH$204,10,FALSE)</f>
        <v>12.689038461538463</v>
      </c>
      <c r="BE114" s="68">
        <f>VLOOKUP($B114,$AU$198:$BH$204,11,FALSE)</f>
        <v>12.925000000000001</v>
      </c>
      <c r="BF114" s="68">
        <f>VLOOKUP($B114,$AU$198:$BH$204,12,FALSE)</f>
        <v>13.27</v>
      </c>
      <c r="BG114" s="68">
        <f>VLOOKUP($B114,$AU$198:$BH$204,13,FALSE)</f>
        <v>14.116666666666667</v>
      </c>
      <c r="BM114" s="68">
        <f t="shared" si="22"/>
        <v>12.748324098086011</v>
      </c>
      <c r="BO114" s="59" t="s">
        <v>556</v>
      </c>
      <c r="BT114" s="74"/>
      <c r="BU114" s="69">
        <f>VLOOKUP($B114,$BN$198:$BZ$204,8,FALSE)</f>
        <v>1.1095149831589846</v>
      </c>
      <c r="BV114" s="69">
        <f>VLOOKUP($B114,$BN$198:$BZ$204,9,FALSE)</f>
        <v>1.2860560376080794</v>
      </c>
      <c r="BW114" s="69">
        <f>VLOOKUP($B114,$BN$198:$BZ$204,10,FALSE)</f>
        <v>1.0562499999999999</v>
      </c>
      <c r="BX114" s="69">
        <f>VLOOKUP($B114,$BN$198:$BZ$204,11,FALSE)</f>
        <v>1.2375</v>
      </c>
      <c r="BY114" s="69">
        <f>VLOOKUP($B114,$BN$198:$BZ$204,12,FALSE)</f>
        <v>1.2124999999999999</v>
      </c>
      <c r="BZ114" s="69">
        <f>VLOOKUP($B114,$BN$198:$BZ$204,13,FALSE)</f>
        <v>1.3316666666666668</v>
      </c>
      <c r="CF114" s="69">
        <f t="shared" si="23"/>
        <v>1.2055812812389552</v>
      </c>
    </row>
    <row r="115" spans="2:84" ht="12.75" customHeight="1" x14ac:dyDescent="0.25">
      <c r="B115" s="76">
        <v>6</v>
      </c>
      <c r="C115" s="80" t="s">
        <v>558</v>
      </c>
      <c r="D115" s="81" t="s">
        <v>559</v>
      </c>
      <c r="E115" s="81">
        <v>2010</v>
      </c>
      <c r="F115" s="82">
        <v>82.1</v>
      </c>
      <c r="G115" s="83">
        <v>17.899999999999999</v>
      </c>
      <c r="H115" s="84">
        <v>3.6</v>
      </c>
      <c r="I115" s="64"/>
      <c r="J115" s="85" t="s">
        <v>558</v>
      </c>
      <c r="P115" s="66">
        <v>12.639230769230769</v>
      </c>
      <c r="Q115" s="66">
        <v>12.165410295921369</v>
      </c>
      <c r="R115" s="66">
        <v>10.59847453234358</v>
      </c>
      <c r="S115" s="66">
        <v>9.472707780057064</v>
      </c>
      <c r="T115" s="66">
        <v>7.9803674992915017</v>
      </c>
      <c r="U115" s="66">
        <v>8.8942099137723467</v>
      </c>
      <c r="V115" s="66">
        <v>9.5068542417657511</v>
      </c>
      <c r="Z115" s="66">
        <v>9.5068542417657511</v>
      </c>
      <c r="AA115" s="66">
        <f t="shared" si="20"/>
        <v>10.095513659268518</v>
      </c>
      <c r="AC115" s="86" t="s">
        <v>559</v>
      </c>
      <c r="AI115" s="66">
        <f t="shared" si="24"/>
        <v>75.888644067796605</v>
      </c>
      <c r="AJ115" s="66">
        <f t="shared" si="25"/>
        <v>80.455696202531627</v>
      </c>
      <c r="AK115" s="66">
        <f t="shared" si="26"/>
        <v>79.335945945945952</v>
      </c>
      <c r="AL115" s="66">
        <f t="shared" si="27"/>
        <v>70.762500000000003</v>
      </c>
      <c r="AM115" s="66">
        <f t="shared" si="28"/>
        <v>76.45</v>
      </c>
      <c r="AN115" s="66">
        <f t="shared" si="29"/>
        <v>67.424999999999997</v>
      </c>
      <c r="AT115" s="66">
        <f t="shared" si="21"/>
        <v>75.05296436937904</v>
      </c>
      <c r="AV115" s="80" t="s">
        <v>558</v>
      </c>
      <c r="BB115" s="68">
        <f>VLOOKUP($B115,$AU$198:$BH$204,8,FALSE)</f>
        <v>18.156923076923078</v>
      </c>
      <c r="BC115" s="68">
        <f>VLOOKUP($B115,$AU$198:$BH$204,9,FALSE)</f>
        <v>17.862307692307695</v>
      </c>
      <c r="BD115" s="68">
        <f>VLOOKUP($B115,$AU$198:$BH$204,10,FALSE)</f>
        <v>17.588461538461537</v>
      </c>
      <c r="BE115" s="68">
        <f>VLOOKUP($B115,$AU$198:$BH$204,11,FALSE)</f>
        <v>17.724615384615387</v>
      </c>
      <c r="BF115" s="68">
        <f>VLOOKUP($B115,$AU$198:$BH$204,12,FALSE)</f>
        <v>18.493846153846153</v>
      </c>
      <c r="BG115" s="68">
        <f>VLOOKUP($B115,$AU$198:$BH$204,13,FALSE)</f>
        <v>19.346363636363638</v>
      </c>
      <c r="BM115" s="68">
        <f t="shared" si="22"/>
        <v>18.195419580419578</v>
      </c>
      <c r="BO115" s="80" t="s">
        <v>558</v>
      </c>
      <c r="BT115" s="74"/>
      <c r="BU115" s="69">
        <f>VLOOKUP($B115,$BN$198:$BZ$204,8,FALSE)</f>
        <v>3.2984615384615386</v>
      </c>
      <c r="BV115" s="69">
        <f>VLOOKUP($B115,$BN$198:$BZ$204,9,FALSE)</f>
        <v>2.7469230769230766</v>
      </c>
      <c r="BW115" s="69">
        <f>VLOOKUP($B115,$BN$198:$BZ$204,10,FALSE)</f>
        <v>2.7653846153846158</v>
      </c>
      <c r="BX115" s="69">
        <f>VLOOKUP($B115,$BN$198:$BZ$204,11,FALSE)</f>
        <v>2.525384615384616</v>
      </c>
      <c r="BY115" s="69">
        <f>VLOOKUP($B115,$BN$198:$BZ$204,12,FALSE)</f>
        <v>2.9269230769230767</v>
      </c>
      <c r="BZ115" s="69">
        <f>VLOOKUP($B115,$BN$198:$BZ$204,13,FALSE)</f>
        <v>2.36</v>
      </c>
      <c r="CF115" s="69">
        <f t="shared" si="23"/>
        <v>2.7705128205128204</v>
      </c>
    </row>
    <row r="116" spans="2:84" ht="12.75" customHeight="1" x14ac:dyDescent="0.25">
      <c r="B116" s="76">
        <v>5</v>
      </c>
      <c r="C116" s="87" t="s">
        <v>560</v>
      </c>
      <c r="D116" s="88" t="s">
        <v>561</v>
      </c>
      <c r="E116" s="88">
        <v>2010</v>
      </c>
      <c r="F116" s="61">
        <v>31.6</v>
      </c>
      <c r="G116" s="89" t="s">
        <v>355</v>
      </c>
      <c r="H116" s="90" t="s">
        <v>355</v>
      </c>
      <c r="I116" s="91"/>
      <c r="J116" s="92" t="s">
        <v>560</v>
      </c>
      <c r="P116" s="70">
        <v>6.5</v>
      </c>
      <c r="Q116" s="71">
        <v>3.9</v>
      </c>
      <c r="R116" s="71">
        <v>2.8</v>
      </c>
      <c r="S116" s="71">
        <v>1.8</v>
      </c>
      <c r="T116" s="71">
        <v>1.7</v>
      </c>
      <c r="U116" s="71">
        <v>2.4</v>
      </c>
      <c r="V116" s="71" t="s">
        <v>355</v>
      </c>
      <c r="Z116" s="71" t="s">
        <v>355</v>
      </c>
      <c r="AA116" s="70">
        <f t="shared" si="20"/>
        <v>3.1833333333333331</v>
      </c>
      <c r="AC116" s="93" t="s">
        <v>561</v>
      </c>
      <c r="AI116" s="66">
        <f t="shared" si="24"/>
        <v>92.897933193103839</v>
      </c>
      <c r="AJ116" s="66">
        <f t="shared" si="25"/>
        <v>91.027330710904693</v>
      </c>
      <c r="AK116" s="66">
        <f t="shared" si="26"/>
        <v>93.198641148641926</v>
      </c>
      <c r="AL116" s="66">
        <f t="shared" si="27"/>
        <v>91.369909561122711</v>
      </c>
      <c r="AM116" s="66">
        <f t="shared" si="28"/>
        <v>69.403859855449028</v>
      </c>
      <c r="AN116" s="66">
        <f t="shared" si="29"/>
        <v>62.07823623621681</v>
      </c>
      <c r="AT116" s="66">
        <f t="shared" si="21"/>
        <v>83.329318450906499</v>
      </c>
      <c r="AV116" s="87" t="s">
        <v>560</v>
      </c>
      <c r="BB116" s="73">
        <v>21.3</v>
      </c>
      <c r="BC116" s="73">
        <v>20.399999999999999</v>
      </c>
      <c r="BD116" s="73">
        <v>22</v>
      </c>
      <c r="BE116" s="73">
        <v>21</v>
      </c>
      <c r="BF116" s="73">
        <v>17.7</v>
      </c>
      <c r="BG116" s="73" t="s">
        <v>380</v>
      </c>
      <c r="BM116" s="73">
        <f t="shared" si="22"/>
        <v>20.48</v>
      </c>
      <c r="BO116" s="87" t="s">
        <v>560</v>
      </c>
      <c r="BT116" s="94"/>
      <c r="BU116" s="75">
        <v>1.4</v>
      </c>
      <c r="BV116" s="75">
        <v>1.4</v>
      </c>
      <c r="BW116" s="75">
        <v>1.3</v>
      </c>
      <c r="BX116" s="75">
        <v>1</v>
      </c>
      <c r="BY116" s="75">
        <v>0.7</v>
      </c>
      <c r="BZ116" s="75" t="s">
        <v>380</v>
      </c>
      <c r="CF116" s="75">
        <f t="shared" si="23"/>
        <v>1.1599999999999999</v>
      </c>
    </row>
    <row r="117" spans="2:84" ht="12.75" customHeight="1" x14ac:dyDescent="0.25">
      <c r="B117" s="95">
        <v>1</v>
      </c>
      <c r="C117" s="59" t="s">
        <v>562</v>
      </c>
      <c r="D117" s="60" t="s">
        <v>563</v>
      </c>
      <c r="E117" s="60">
        <v>2010</v>
      </c>
      <c r="F117" s="77">
        <v>82.1</v>
      </c>
      <c r="G117" s="62">
        <v>17.899999999999999</v>
      </c>
      <c r="H117" s="63">
        <v>2</v>
      </c>
      <c r="I117" s="64"/>
      <c r="J117" s="65" t="s">
        <v>562</v>
      </c>
      <c r="P117" s="66">
        <v>10.951448940605555</v>
      </c>
      <c r="Q117" s="66">
        <v>8.9659352564169783</v>
      </c>
      <c r="R117" s="66">
        <v>7.5764805003373485</v>
      </c>
      <c r="S117" s="66">
        <v>6.9766808385753336</v>
      </c>
      <c r="T117" s="66">
        <v>6.028398498646701</v>
      </c>
      <c r="U117" s="66">
        <v>5.1511144935422388</v>
      </c>
      <c r="V117" s="66">
        <v>7.19</v>
      </c>
      <c r="Z117" s="66">
        <v>7.19</v>
      </c>
      <c r="AA117" s="66">
        <f t="shared" si="20"/>
        <v>7.5037573160155189</v>
      </c>
      <c r="AC117" s="67" t="s">
        <v>563</v>
      </c>
      <c r="AI117" s="66">
        <f t="shared" si="24"/>
        <v>62.267766724334649</v>
      </c>
      <c r="AJ117" s="66">
        <f t="shared" si="25"/>
        <v>58.416201756290228</v>
      </c>
      <c r="AK117" s="66">
        <f t="shared" si="26"/>
        <v>65.401431372790213</v>
      </c>
      <c r="AL117" s="66">
        <f t="shared" si="27"/>
        <v>71.775804261946988</v>
      </c>
      <c r="AM117" s="66">
        <f t="shared" si="28"/>
        <v>85.024999999999991</v>
      </c>
      <c r="AN117" s="66">
        <f t="shared" si="29"/>
        <v>106.17999999999999</v>
      </c>
      <c r="AT117" s="66">
        <f t="shared" si="21"/>
        <v>74.84436735256034</v>
      </c>
      <c r="AV117" s="59" t="s">
        <v>562</v>
      </c>
      <c r="BB117" s="68">
        <f>VLOOKUP($B117,$AU$198:$BH$204,8,FALSE)</f>
        <v>11.270393306464786</v>
      </c>
      <c r="BC117" s="68">
        <f>VLOOKUP($B117,$AU$198:$BH$204,9,FALSE)</f>
        <v>12.218846153846155</v>
      </c>
      <c r="BD117" s="68">
        <f>VLOOKUP($B117,$AU$198:$BH$204,10,FALSE)</f>
        <v>12.689038461538463</v>
      </c>
      <c r="BE117" s="68">
        <f>VLOOKUP($B117,$AU$198:$BH$204,11,FALSE)</f>
        <v>12.925000000000001</v>
      </c>
      <c r="BF117" s="68">
        <f>VLOOKUP($B117,$AU$198:$BH$204,12,FALSE)</f>
        <v>13.27</v>
      </c>
      <c r="BG117" s="68">
        <f>VLOOKUP($B117,$AU$198:$BH$204,13,FALSE)</f>
        <v>14.116666666666667</v>
      </c>
      <c r="BM117" s="68">
        <f t="shared" si="22"/>
        <v>12.748324098086011</v>
      </c>
      <c r="BO117" s="59" t="s">
        <v>562</v>
      </c>
      <c r="BT117" s="74"/>
      <c r="BU117" s="69">
        <f>VLOOKUP($B117,$BN$198:$BZ$204,8,FALSE)</f>
        <v>1.1095149831589846</v>
      </c>
      <c r="BV117" s="69">
        <f>VLOOKUP($B117,$BN$198:$BZ$204,9,FALSE)</f>
        <v>1.2860560376080794</v>
      </c>
      <c r="BW117" s="69">
        <f>VLOOKUP($B117,$BN$198:$BZ$204,10,FALSE)</f>
        <v>1.0562499999999999</v>
      </c>
      <c r="BX117" s="69">
        <f>VLOOKUP($B117,$BN$198:$BZ$204,11,FALSE)</f>
        <v>1.2375</v>
      </c>
      <c r="BY117" s="69">
        <f>VLOOKUP($B117,$BN$198:$BZ$204,12,FALSE)</f>
        <v>1.2124999999999999</v>
      </c>
      <c r="BZ117" s="69">
        <f>VLOOKUP($B117,$BN$198:$BZ$204,13,FALSE)</f>
        <v>1.3316666666666668</v>
      </c>
      <c r="CF117" s="69">
        <f t="shared" si="23"/>
        <v>1.2055812812389552</v>
      </c>
    </row>
    <row r="118" spans="2:84" ht="12.75" customHeight="1" x14ac:dyDescent="0.25">
      <c r="B118" s="76">
        <v>6</v>
      </c>
      <c r="C118" s="59" t="s">
        <v>564</v>
      </c>
      <c r="D118" s="60" t="s">
        <v>565</v>
      </c>
      <c r="E118" s="60">
        <v>2010</v>
      </c>
      <c r="F118" s="77">
        <v>89.7</v>
      </c>
      <c r="G118" s="62">
        <v>10.3</v>
      </c>
      <c r="H118" s="63">
        <v>8</v>
      </c>
      <c r="I118" s="64"/>
      <c r="J118" s="65" t="s">
        <v>564</v>
      </c>
      <c r="P118" s="66">
        <v>12.639230769230769</v>
      </c>
      <c r="Q118" s="66">
        <v>12.165410295921369</v>
      </c>
      <c r="R118" s="66">
        <v>10.59847453234358</v>
      </c>
      <c r="S118" s="66">
        <v>9.472707780057064</v>
      </c>
      <c r="T118" s="66">
        <v>7.9803674992915017</v>
      </c>
      <c r="U118" s="66">
        <v>8.8942099137723467</v>
      </c>
      <c r="V118" s="66">
        <v>9.5068542417657511</v>
      </c>
      <c r="Z118" s="66">
        <v>9.5068542417657511</v>
      </c>
      <c r="AA118" s="66">
        <f t="shared" si="20"/>
        <v>10.095513659268518</v>
      </c>
      <c r="AC118" s="67" t="s">
        <v>565</v>
      </c>
      <c r="AI118" s="66">
        <f t="shared" si="24"/>
        <v>75.888644067796605</v>
      </c>
      <c r="AJ118" s="66">
        <f t="shared" si="25"/>
        <v>80.455696202531627</v>
      </c>
      <c r="AK118" s="66">
        <f t="shared" si="26"/>
        <v>79.335945945945952</v>
      </c>
      <c r="AL118" s="66">
        <f t="shared" si="27"/>
        <v>70.762500000000003</v>
      </c>
      <c r="AM118" s="66">
        <f t="shared" si="28"/>
        <v>76.45</v>
      </c>
      <c r="AN118" s="66">
        <f t="shared" si="29"/>
        <v>67.424999999999997</v>
      </c>
      <c r="AT118" s="66">
        <f t="shared" si="21"/>
        <v>75.05296436937904</v>
      </c>
      <c r="AV118" s="59" t="s">
        <v>564</v>
      </c>
      <c r="BB118" s="68">
        <f>VLOOKUP($B118,$AU$198:$BH$204,8,FALSE)</f>
        <v>18.156923076923078</v>
      </c>
      <c r="BC118" s="68">
        <f>VLOOKUP($B118,$AU$198:$BH$204,9,FALSE)</f>
        <v>17.862307692307695</v>
      </c>
      <c r="BD118" s="68">
        <f>VLOOKUP($B118,$AU$198:$BH$204,10,FALSE)</f>
        <v>17.588461538461537</v>
      </c>
      <c r="BE118" s="68">
        <f>VLOOKUP($B118,$AU$198:$BH$204,11,FALSE)</f>
        <v>17.724615384615387</v>
      </c>
      <c r="BF118" s="68">
        <f>VLOOKUP($B118,$AU$198:$BH$204,12,FALSE)</f>
        <v>18.493846153846153</v>
      </c>
      <c r="BG118" s="68">
        <f>VLOOKUP($B118,$AU$198:$BH$204,13,FALSE)</f>
        <v>19.346363636363638</v>
      </c>
      <c r="BM118" s="68">
        <f t="shared" si="22"/>
        <v>18.195419580419578</v>
      </c>
      <c r="BO118" s="59" t="s">
        <v>564</v>
      </c>
      <c r="BT118" s="74"/>
      <c r="BU118" s="69">
        <f>VLOOKUP($B118,$BN$198:$BZ$204,8,FALSE)</f>
        <v>3.2984615384615386</v>
      </c>
      <c r="BV118" s="69">
        <f>VLOOKUP($B118,$BN$198:$BZ$204,9,FALSE)</f>
        <v>2.7469230769230766</v>
      </c>
      <c r="BW118" s="69">
        <f>VLOOKUP($B118,$BN$198:$BZ$204,10,FALSE)</f>
        <v>2.7653846153846158</v>
      </c>
      <c r="BX118" s="69">
        <f>VLOOKUP($B118,$BN$198:$BZ$204,11,FALSE)</f>
        <v>2.525384615384616</v>
      </c>
      <c r="BY118" s="69">
        <f>VLOOKUP($B118,$BN$198:$BZ$204,12,FALSE)</f>
        <v>2.9269230769230767</v>
      </c>
      <c r="BZ118" s="69">
        <f>VLOOKUP($B118,$BN$198:$BZ$204,13,FALSE)</f>
        <v>2.36</v>
      </c>
      <c r="CF118" s="69">
        <f t="shared" si="23"/>
        <v>2.7705128205128204</v>
      </c>
    </row>
    <row r="119" spans="2:84" ht="12.75" customHeight="1" x14ac:dyDescent="0.25">
      <c r="B119" s="95">
        <v>6</v>
      </c>
      <c r="C119" s="59" t="s">
        <v>566</v>
      </c>
      <c r="D119" s="60" t="s">
        <v>567</v>
      </c>
      <c r="E119" s="60">
        <v>2010</v>
      </c>
      <c r="F119" s="77">
        <v>64.900000000000006</v>
      </c>
      <c r="G119" s="62">
        <v>35.1</v>
      </c>
      <c r="H119" s="63">
        <v>1.7</v>
      </c>
      <c r="I119" s="64"/>
      <c r="J119" s="65" t="s">
        <v>566</v>
      </c>
      <c r="P119" s="66">
        <v>12.639230769230769</v>
      </c>
      <c r="Q119" s="66">
        <v>12.165410295921369</v>
      </c>
      <c r="R119" s="66">
        <v>10.59847453234358</v>
      </c>
      <c r="S119" s="66">
        <v>9.472707780057064</v>
      </c>
      <c r="T119" s="66">
        <v>7.9803674992915017</v>
      </c>
      <c r="U119" s="66">
        <v>8.8942099137723467</v>
      </c>
      <c r="V119" s="66">
        <v>9.5068542417657511</v>
      </c>
      <c r="Z119" s="66">
        <v>9.5068542417657511</v>
      </c>
      <c r="AA119" s="66">
        <f t="shared" si="20"/>
        <v>10.095513659268518</v>
      </c>
      <c r="AC119" s="67" t="s">
        <v>567</v>
      </c>
      <c r="AI119" s="66">
        <f t="shared" si="24"/>
        <v>75.888644067796605</v>
      </c>
      <c r="AJ119" s="66">
        <f t="shared" si="25"/>
        <v>80.455696202531627</v>
      </c>
      <c r="AK119" s="66">
        <f t="shared" si="26"/>
        <v>79.335945945945952</v>
      </c>
      <c r="AL119" s="66">
        <f t="shared" si="27"/>
        <v>70.762500000000003</v>
      </c>
      <c r="AM119" s="66">
        <f t="shared" si="28"/>
        <v>76.45</v>
      </c>
      <c r="AN119" s="66">
        <f t="shared" si="29"/>
        <v>67.424999999999997</v>
      </c>
      <c r="AT119" s="66">
        <f t="shared" si="21"/>
        <v>75.05296436937904</v>
      </c>
      <c r="AV119" s="59" t="s">
        <v>566</v>
      </c>
      <c r="BB119" s="68">
        <f>VLOOKUP($B119,$AU$198:$BH$204,8,FALSE)</f>
        <v>18.156923076923078</v>
      </c>
      <c r="BC119" s="68">
        <f>VLOOKUP($B119,$AU$198:$BH$204,9,FALSE)</f>
        <v>17.862307692307695</v>
      </c>
      <c r="BD119" s="68">
        <f>VLOOKUP($B119,$AU$198:$BH$204,10,FALSE)</f>
        <v>17.588461538461537</v>
      </c>
      <c r="BE119" s="68">
        <f>VLOOKUP($B119,$AU$198:$BH$204,11,FALSE)</f>
        <v>17.724615384615387</v>
      </c>
      <c r="BF119" s="68">
        <f>VLOOKUP($B119,$AU$198:$BH$204,12,FALSE)</f>
        <v>18.493846153846153</v>
      </c>
      <c r="BG119" s="68">
        <f>VLOOKUP($B119,$AU$198:$BH$204,13,FALSE)</f>
        <v>19.346363636363638</v>
      </c>
      <c r="BM119" s="68">
        <f t="shared" si="22"/>
        <v>18.195419580419578</v>
      </c>
      <c r="BO119" s="59" t="s">
        <v>566</v>
      </c>
      <c r="BT119" s="74"/>
      <c r="BU119" s="69">
        <f>VLOOKUP($B119,$BN$198:$BZ$204,8,FALSE)</f>
        <v>3.2984615384615386</v>
      </c>
      <c r="BV119" s="69">
        <f>VLOOKUP($B119,$BN$198:$BZ$204,9,FALSE)</f>
        <v>2.7469230769230766</v>
      </c>
      <c r="BW119" s="69">
        <f>VLOOKUP($B119,$BN$198:$BZ$204,10,FALSE)</f>
        <v>2.7653846153846158</v>
      </c>
      <c r="BX119" s="69">
        <f>VLOOKUP($B119,$BN$198:$BZ$204,11,FALSE)</f>
        <v>2.525384615384616</v>
      </c>
      <c r="BY119" s="69">
        <f>VLOOKUP($B119,$BN$198:$BZ$204,12,FALSE)</f>
        <v>2.9269230769230767</v>
      </c>
      <c r="BZ119" s="69">
        <f>VLOOKUP($B119,$BN$198:$BZ$204,13,FALSE)</f>
        <v>2.36</v>
      </c>
      <c r="CF119" s="69">
        <f t="shared" si="23"/>
        <v>2.7705128205128204</v>
      </c>
    </row>
    <row r="120" spans="2:84" ht="12.75" customHeight="1" x14ac:dyDescent="0.25">
      <c r="B120" s="58">
        <v>3</v>
      </c>
      <c r="C120" s="59" t="s">
        <v>568</v>
      </c>
      <c r="D120" s="60" t="s">
        <v>569</v>
      </c>
      <c r="E120" s="60">
        <v>2010</v>
      </c>
      <c r="F120" s="77">
        <v>33.299999999999997</v>
      </c>
      <c r="G120" s="62">
        <v>66.7</v>
      </c>
      <c r="H120" s="63">
        <v>1.8</v>
      </c>
      <c r="I120" s="64"/>
      <c r="J120" s="65" t="s">
        <v>568</v>
      </c>
      <c r="P120" s="70">
        <v>2.5144543568002899</v>
      </c>
      <c r="Q120" s="71">
        <v>1.81627378228772</v>
      </c>
      <c r="R120" s="71">
        <v>1.99431224916341</v>
      </c>
      <c r="S120" s="71">
        <v>2.6931660165163502</v>
      </c>
      <c r="T120" s="71">
        <v>3.20766601903689</v>
      </c>
      <c r="U120" s="71">
        <v>3.4</v>
      </c>
      <c r="V120" s="71" t="s">
        <v>355</v>
      </c>
      <c r="Z120" s="71" t="s">
        <v>355</v>
      </c>
      <c r="AA120" s="70">
        <f t="shared" si="20"/>
        <v>2.6043120706341099</v>
      </c>
      <c r="AC120" s="67" t="s">
        <v>569</v>
      </c>
      <c r="AI120" s="72">
        <v>201.41038517383399</v>
      </c>
      <c r="AJ120" s="72">
        <v>241.341149632309</v>
      </c>
      <c r="AK120" s="72">
        <v>209.98546180233501</v>
      </c>
      <c r="AL120" s="72">
        <v>168.89024155409101</v>
      </c>
      <c r="AM120" s="72">
        <v>161.168582964508</v>
      </c>
      <c r="AN120" s="72">
        <v>163.80000000000001</v>
      </c>
      <c r="AT120" s="72">
        <f t="shared" si="21"/>
        <v>191.09930352117951</v>
      </c>
      <c r="AV120" s="59" t="s">
        <v>568</v>
      </c>
      <c r="BB120" s="73">
        <v>14.0679732203479</v>
      </c>
      <c r="BC120" s="73">
        <v>14.3209977095536</v>
      </c>
      <c r="BD120" s="73">
        <v>16.085613039003601</v>
      </c>
      <c r="BE120" s="73">
        <v>15.9496720197358</v>
      </c>
      <c r="BF120" s="73">
        <v>15.2670978391403</v>
      </c>
      <c r="BG120" s="73">
        <v>15.9</v>
      </c>
      <c r="BM120" s="73">
        <f t="shared" si="22"/>
        <v>15.265225637963534</v>
      </c>
      <c r="BO120" s="59" t="s">
        <v>568</v>
      </c>
      <c r="BT120" s="74"/>
      <c r="BU120" s="75">
        <v>2.1256164286911301</v>
      </c>
      <c r="BV120" s="75">
        <v>3.1901474754640202</v>
      </c>
      <c r="BW120" s="75">
        <v>3.50838717773241</v>
      </c>
      <c r="BX120" s="75">
        <v>2.7437739029518098</v>
      </c>
      <c r="BY120" s="75">
        <v>1.4550000000000001</v>
      </c>
      <c r="BZ120" s="75">
        <v>1.2370000000000001</v>
      </c>
      <c r="CF120" s="75">
        <f t="shared" si="23"/>
        <v>2.3766541641398953</v>
      </c>
    </row>
    <row r="121" spans="2:84" ht="12.75" customHeight="1" x14ac:dyDescent="0.25">
      <c r="B121" s="76">
        <v>1</v>
      </c>
      <c r="C121" s="59" t="s">
        <v>570</v>
      </c>
      <c r="D121" s="60" t="s">
        <v>571</v>
      </c>
      <c r="E121" s="60">
        <v>2010</v>
      </c>
      <c r="F121" s="77">
        <v>96.8</v>
      </c>
      <c r="G121" s="62">
        <v>3.2</v>
      </c>
      <c r="H121" s="63">
        <v>5.3</v>
      </c>
      <c r="I121" s="64"/>
      <c r="J121" s="65" t="s">
        <v>570</v>
      </c>
      <c r="P121" s="66">
        <v>10.951448940605555</v>
      </c>
      <c r="Q121" s="66">
        <v>8.9659352564169783</v>
      </c>
      <c r="R121" s="66">
        <v>7.5764805003373485</v>
      </c>
      <c r="S121" s="66">
        <v>6.9766808385753336</v>
      </c>
      <c r="T121" s="66">
        <v>6.028398498646701</v>
      </c>
      <c r="U121" s="66">
        <v>5.1511144935422388</v>
      </c>
      <c r="V121" s="66">
        <v>7.19</v>
      </c>
      <c r="Z121" s="66">
        <v>7.19</v>
      </c>
      <c r="AA121" s="66">
        <f t="shared" si="20"/>
        <v>7.5037573160155189</v>
      </c>
      <c r="AC121" s="67" t="s">
        <v>571</v>
      </c>
      <c r="AI121" s="66">
        <f>VLOOKUP($B121,$AB$198:$AN$204,8,FALSE)</f>
        <v>62.267766724334649</v>
      </c>
      <c r="AJ121" s="66">
        <f>VLOOKUP($B121,$AB$198:$AN$204,9,FALSE)</f>
        <v>58.416201756290228</v>
      </c>
      <c r="AK121" s="66">
        <f>VLOOKUP($B121,$AB$198:$AN$204,10,FALSE)</f>
        <v>65.401431372790213</v>
      </c>
      <c r="AL121" s="66">
        <f>VLOOKUP($B121,$AB$198:$AN$204,11,FALSE)</f>
        <v>71.775804261946988</v>
      </c>
      <c r="AM121" s="66">
        <f>VLOOKUP($B121,$AB$198:$AN$204,12,FALSE)</f>
        <v>85.024999999999991</v>
      </c>
      <c r="AN121" s="66">
        <f>VLOOKUP($B121,$AB$198:$AN$204,13,FALSE)</f>
        <v>106.17999999999999</v>
      </c>
      <c r="AT121" s="66">
        <f t="shared" si="21"/>
        <v>74.84436735256034</v>
      </c>
      <c r="AV121" s="59" t="s">
        <v>570</v>
      </c>
      <c r="BB121" s="68">
        <f>VLOOKUP($B121,$AU$198:$BH$204,8,FALSE)</f>
        <v>11.270393306464786</v>
      </c>
      <c r="BC121" s="68">
        <f>VLOOKUP($B121,$AU$198:$BH$204,9,FALSE)</f>
        <v>12.218846153846155</v>
      </c>
      <c r="BD121" s="68">
        <f>VLOOKUP($B121,$AU$198:$BH$204,10,FALSE)</f>
        <v>12.689038461538463</v>
      </c>
      <c r="BE121" s="68">
        <f>VLOOKUP($B121,$AU$198:$BH$204,11,FALSE)</f>
        <v>12.925000000000001</v>
      </c>
      <c r="BF121" s="68">
        <f>VLOOKUP($B121,$AU$198:$BH$204,12,FALSE)</f>
        <v>13.27</v>
      </c>
      <c r="BG121" s="68">
        <f>VLOOKUP($B121,$AU$198:$BH$204,13,FALSE)</f>
        <v>14.116666666666667</v>
      </c>
      <c r="BM121" s="68">
        <f t="shared" si="22"/>
        <v>12.748324098086011</v>
      </c>
      <c r="BO121" s="59" t="s">
        <v>570</v>
      </c>
      <c r="BT121" s="74"/>
      <c r="BU121" s="69">
        <f>VLOOKUP($B121,$BN$198:$BZ$204,8,FALSE)</f>
        <v>1.1095149831589846</v>
      </c>
      <c r="BV121" s="69">
        <f>VLOOKUP($B121,$BN$198:$BZ$204,9,FALSE)</f>
        <v>1.2860560376080794</v>
      </c>
      <c r="BW121" s="69">
        <f>VLOOKUP($B121,$BN$198:$BZ$204,10,FALSE)</f>
        <v>1.0562499999999999</v>
      </c>
      <c r="BX121" s="69">
        <f>VLOOKUP($B121,$BN$198:$BZ$204,11,FALSE)</f>
        <v>1.2375</v>
      </c>
      <c r="BY121" s="69">
        <f>VLOOKUP($B121,$BN$198:$BZ$204,12,FALSE)</f>
        <v>1.2124999999999999</v>
      </c>
      <c r="BZ121" s="69">
        <f>VLOOKUP($B121,$BN$198:$BZ$204,13,FALSE)</f>
        <v>1.3316666666666668</v>
      </c>
      <c r="CF121" s="69">
        <f t="shared" si="23"/>
        <v>1.2055812812389552</v>
      </c>
    </row>
    <row r="122" spans="2:84" ht="12.75" customHeight="1" x14ac:dyDescent="0.25">
      <c r="B122" s="58">
        <v>2</v>
      </c>
      <c r="C122" s="59" t="s">
        <v>572</v>
      </c>
      <c r="D122" s="60" t="s">
        <v>573</v>
      </c>
      <c r="E122" s="60">
        <v>2010</v>
      </c>
      <c r="F122" s="77">
        <v>71.8</v>
      </c>
      <c r="G122" s="62">
        <v>28.2</v>
      </c>
      <c r="H122" s="63">
        <v>2.8</v>
      </c>
      <c r="I122" s="64"/>
      <c r="J122" s="65" t="s">
        <v>572</v>
      </c>
      <c r="P122" s="70">
        <v>6.89</v>
      </c>
      <c r="Q122" s="71">
        <v>5.31</v>
      </c>
      <c r="R122" s="71">
        <v>4.3899999999999997</v>
      </c>
      <c r="S122" s="71">
        <v>3.7</v>
      </c>
      <c r="T122" s="71">
        <v>5.15</v>
      </c>
      <c r="U122" s="71">
        <v>16.3</v>
      </c>
      <c r="V122" s="71">
        <v>14.8</v>
      </c>
      <c r="Z122" s="71">
        <v>14.8</v>
      </c>
      <c r="AA122" s="70">
        <f t="shared" si="20"/>
        <v>8.9174999999999986</v>
      </c>
      <c r="AC122" s="67" t="s">
        <v>573</v>
      </c>
      <c r="AI122" s="72">
        <v>85.4</v>
      </c>
      <c r="AJ122" s="72">
        <v>98.870056497175156</v>
      </c>
      <c r="AK122" s="72">
        <v>117.3</v>
      </c>
      <c r="AL122" s="72">
        <v>113.8</v>
      </c>
      <c r="AM122" s="72">
        <v>94.174757281553383</v>
      </c>
      <c r="AN122" s="72">
        <v>52.5</v>
      </c>
      <c r="AT122" s="72">
        <f t="shared" si="21"/>
        <v>93.674135629788097</v>
      </c>
      <c r="AV122" s="59" t="s">
        <v>572</v>
      </c>
      <c r="BB122" s="73">
        <v>31.36</v>
      </c>
      <c r="BC122" s="73">
        <v>27.2</v>
      </c>
      <c r="BD122" s="73">
        <v>27.86</v>
      </c>
      <c r="BE122" s="73">
        <v>29.07</v>
      </c>
      <c r="BF122" s="73">
        <v>32.229999999999997</v>
      </c>
      <c r="BG122" s="73">
        <v>32.700000000000003</v>
      </c>
      <c r="BM122" s="73">
        <f t="shared" si="22"/>
        <v>30.070000000000004</v>
      </c>
      <c r="BO122" s="59" t="s">
        <v>572</v>
      </c>
      <c r="BT122" s="74"/>
      <c r="BU122" s="75">
        <v>3.72</v>
      </c>
      <c r="BV122" s="75">
        <v>3.2</v>
      </c>
      <c r="BW122" s="75">
        <v>3.4</v>
      </c>
      <c r="BX122" s="75">
        <v>3.91</v>
      </c>
      <c r="BY122" s="75">
        <v>3.49</v>
      </c>
      <c r="BZ122" s="75">
        <v>0.2</v>
      </c>
      <c r="CF122" s="75">
        <f t="shared" si="23"/>
        <v>2.9866666666666664</v>
      </c>
    </row>
    <row r="123" spans="2:84" ht="12.75" customHeight="1" x14ac:dyDescent="0.25">
      <c r="B123" s="76">
        <v>2</v>
      </c>
      <c r="C123" s="59" t="s">
        <v>574</v>
      </c>
      <c r="D123" s="60" t="s">
        <v>575</v>
      </c>
      <c r="E123" s="60">
        <v>2010</v>
      </c>
      <c r="F123" s="77">
        <v>80</v>
      </c>
      <c r="G123" s="62">
        <v>20</v>
      </c>
      <c r="H123" s="63">
        <v>4</v>
      </c>
      <c r="I123" s="64"/>
      <c r="J123" s="65" t="s">
        <v>574</v>
      </c>
      <c r="P123" s="66">
        <v>6.5470230297727472</v>
      </c>
      <c r="Q123" s="66">
        <v>4.866104606691894</v>
      </c>
      <c r="R123" s="66">
        <v>4.0793587535733469</v>
      </c>
      <c r="S123" s="66">
        <v>3.4682894030301306</v>
      </c>
      <c r="T123" s="66">
        <v>5.324434274292706</v>
      </c>
      <c r="U123" s="66">
        <v>11.791266704541009</v>
      </c>
      <c r="V123" s="66">
        <v>13.204792520432788</v>
      </c>
      <c r="Z123" s="66">
        <v>13.204792520432788</v>
      </c>
      <c r="AA123" s="66">
        <f t="shared" si="20"/>
        <v>7.8107577265959263</v>
      </c>
      <c r="AC123" s="67" t="s">
        <v>575</v>
      </c>
      <c r="AI123" s="66">
        <f>VLOOKUP($B123,$AB$198:$AN$204,8,FALSE)</f>
        <v>81.617815617406805</v>
      </c>
      <c r="AJ123" s="66">
        <f>VLOOKUP($B123,$AB$198:$AN$204,9,FALSE)</f>
        <v>90.087240267752392</v>
      </c>
      <c r="AK123" s="66">
        <f>VLOOKUP($B123,$AB$198:$AN$204,10,FALSE)</f>
        <v>88.985721813757607</v>
      </c>
      <c r="AL123" s="66">
        <f>VLOOKUP($B123,$AB$198:$AN$204,11,FALSE)</f>
        <v>85.305718000035199</v>
      </c>
      <c r="AM123" s="66">
        <f>VLOOKUP($B123,$AB$198:$AN$204,12,FALSE)</f>
        <v>84.643872929029527</v>
      </c>
      <c r="AN123" s="66">
        <f>VLOOKUP($B123,$AB$198:$AN$204,13,FALSE)</f>
        <v>74.875500940663585</v>
      </c>
      <c r="AT123" s="66">
        <f t="shared" si="21"/>
        <v>84.252644928107514</v>
      </c>
      <c r="AV123" s="59" t="s">
        <v>574</v>
      </c>
      <c r="BB123" s="68">
        <f>VLOOKUP($B123,$AU$198:$BH$204,8,FALSE)</f>
        <v>21.020522134936851</v>
      </c>
      <c r="BC123" s="68">
        <f>VLOOKUP($B123,$AU$198:$BH$204,9,FALSE)</f>
        <v>19.450013274888473</v>
      </c>
      <c r="BD123" s="68">
        <f>VLOOKUP($B123,$AU$198:$BH$204,10,FALSE)</f>
        <v>18.667698962580744</v>
      </c>
      <c r="BE123" s="68">
        <f>VLOOKUP($B123,$AU$198:$BH$204,11,FALSE)</f>
        <v>17.474378499557432</v>
      </c>
      <c r="BF123" s="68">
        <f>VLOOKUP($B123,$AU$198:$BH$204,12,FALSE)</f>
        <v>17.117970453391717</v>
      </c>
      <c r="BG123" s="68">
        <f>VLOOKUP($B123,$AU$198:$BH$204,13,FALSE)</f>
        <v>16.94805594144432</v>
      </c>
      <c r="BM123" s="68">
        <f t="shared" si="22"/>
        <v>18.446439877799925</v>
      </c>
      <c r="BO123" s="59" t="s">
        <v>574</v>
      </c>
      <c r="BT123" s="74"/>
      <c r="BU123" s="69">
        <f>VLOOKUP($B123,$BN$198:$BZ$204,8,FALSE)</f>
        <v>1.5534520775941867</v>
      </c>
      <c r="BV123" s="69">
        <f>VLOOKUP($B123,$BN$198:$BZ$204,9,FALSE)</f>
        <v>1.7594268869112808</v>
      </c>
      <c r="BW123" s="69">
        <f>VLOOKUP($B123,$BN$198:$BZ$204,10,FALSE)</f>
        <v>1.9264064345990539</v>
      </c>
      <c r="BX123" s="69">
        <f>VLOOKUP($B123,$BN$198:$BZ$204,11,FALSE)</f>
        <v>1.9610645486104465</v>
      </c>
      <c r="BY123" s="69">
        <f>VLOOKUP($B123,$BN$198:$BZ$204,12,FALSE)</f>
        <v>1.1293177319334557</v>
      </c>
      <c r="BZ123" s="69">
        <f>VLOOKUP($B123,$BN$198:$BZ$204,13,FALSE)</f>
        <v>-1.4158844507992445</v>
      </c>
      <c r="CF123" s="69">
        <f t="shared" si="23"/>
        <v>1.1522972048081965</v>
      </c>
    </row>
    <row r="124" spans="2:84" ht="12.75" customHeight="1" x14ac:dyDescent="0.25">
      <c r="B124" s="58">
        <v>2</v>
      </c>
      <c r="C124" s="59" t="s">
        <v>576</v>
      </c>
      <c r="D124" s="60" t="s">
        <v>577</v>
      </c>
      <c r="E124" s="60">
        <v>2010</v>
      </c>
      <c r="F124" s="77">
        <v>56.6</v>
      </c>
      <c r="G124" s="62">
        <v>43.4</v>
      </c>
      <c r="H124" s="63">
        <v>2</v>
      </c>
      <c r="I124" s="64"/>
      <c r="J124" s="65" t="s">
        <v>576</v>
      </c>
      <c r="P124" s="70">
        <v>5.17</v>
      </c>
      <c r="Q124" s="71">
        <v>5.33</v>
      </c>
      <c r="R124" s="71">
        <v>2.8550552195324639</v>
      </c>
      <c r="S124" s="71">
        <v>3.1613990042227686</v>
      </c>
      <c r="T124" s="71">
        <v>7.1989805310746791</v>
      </c>
      <c r="U124" s="71">
        <v>13.523441719441728</v>
      </c>
      <c r="V124" s="71">
        <v>14.857554948669865</v>
      </c>
      <c r="Z124" s="71">
        <v>14.857554948669865</v>
      </c>
      <c r="AA124" s="70">
        <f t="shared" si="20"/>
        <v>8.3692482964514205</v>
      </c>
      <c r="AC124" s="67" t="s">
        <v>577</v>
      </c>
      <c r="AI124" s="72">
        <v>77.305670482937245</v>
      </c>
      <c r="AJ124" s="72">
        <v>67.428048829645263</v>
      </c>
      <c r="AK124" s="72">
        <v>78.75304915863893</v>
      </c>
      <c r="AL124" s="72">
        <v>73.551658567504745</v>
      </c>
      <c r="AM124" s="72">
        <v>55.58</v>
      </c>
      <c r="AN124" s="72">
        <v>60.5</v>
      </c>
      <c r="AT124" s="72">
        <f t="shared" si="21"/>
        <v>68.853071173121023</v>
      </c>
      <c r="AV124" s="59" t="s">
        <v>576</v>
      </c>
      <c r="BB124" s="73">
        <v>31.262587425390901</v>
      </c>
      <c r="BC124" s="73">
        <v>27.847668693889368</v>
      </c>
      <c r="BD124" s="73">
        <v>21.276906537991255</v>
      </c>
      <c r="BE124" s="73">
        <v>17.119194564416336</v>
      </c>
      <c r="BF124" s="73">
        <v>15.04</v>
      </c>
      <c r="BG124" s="73">
        <v>12.86</v>
      </c>
      <c r="BM124" s="73">
        <f t="shared" si="22"/>
        <v>20.901059536947976</v>
      </c>
      <c r="BO124" s="59" t="s">
        <v>576</v>
      </c>
      <c r="BT124" s="96"/>
      <c r="BU124" s="75">
        <v>-0.28999999999999998</v>
      </c>
      <c r="BV124" s="75">
        <v>0.81</v>
      </c>
      <c r="BW124" s="75">
        <v>1.07</v>
      </c>
      <c r="BX124" s="75">
        <v>0.72</v>
      </c>
      <c r="BY124" s="75">
        <v>-0.62</v>
      </c>
      <c r="BZ124" s="75">
        <v>-0.88</v>
      </c>
      <c r="CF124" s="75">
        <f t="shared" si="23"/>
        <v>0.13499999999999998</v>
      </c>
    </row>
    <row r="125" spans="2:84" ht="12.75" customHeight="1" x14ac:dyDescent="0.25">
      <c r="B125" s="76">
        <v>4</v>
      </c>
      <c r="C125" s="59" t="s">
        <v>578</v>
      </c>
      <c r="D125" s="60" t="s">
        <v>579</v>
      </c>
      <c r="E125" s="60">
        <v>2010</v>
      </c>
      <c r="F125" s="77">
        <v>61.6</v>
      </c>
      <c r="G125" s="62">
        <v>38.4</v>
      </c>
      <c r="H125" s="63">
        <v>1.8</v>
      </c>
      <c r="I125" s="64"/>
      <c r="J125" s="65" t="s">
        <v>578</v>
      </c>
      <c r="P125" s="70">
        <v>19.399999999999999</v>
      </c>
      <c r="Q125" s="71">
        <v>15.7</v>
      </c>
      <c r="R125" s="71">
        <v>10.9</v>
      </c>
      <c r="S125" s="71">
        <v>7.9</v>
      </c>
      <c r="T125" s="71">
        <v>6</v>
      </c>
      <c r="U125" s="71">
        <v>5.5</v>
      </c>
      <c r="V125" s="71">
        <v>5.2</v>
      </c>
      <c r="Z125" s="71">
        <v>5.2</v>
      </c>
      <c r="AA125" s="70">
        <f t="shared" si="20"/>
        <v>9.4749999999999996</v>
      </c>
      <c r="AC125" s="67" t="s">
        <v>579</v>
      </c>
      <c r="AI125" s="72">
        <v>59.3</v>
      </c>
      <c r="AJ125" s="72">
        <v>67.099999999999994</v>
      </c>
      <c r="AK125" s="72">
        <v>71.2</v>
      </c>
      <c r="AL125" s="72">
        <v>75.2</v>
      </c>
      <c r="AM125" s="72">
        <v>75.3</v>
      </c>
      <c r="AN125" s="72">
        <v>74.099999999999994</v>
      </c>
      <c r="AT125" s="72">
        <f t="shared" si="21"/>
        <v>70.366666666666674</v>
      </c>
      <c r="AV125" s="59" t="s">
        <v>578</v>
      </c>
      <c r="BB125" s="73">
        <v>10.5</v>
      </c>
      <c r="BC125" s="73">
        <v>11.5</v>
      </c>
      <c r="BD125" s="73">
        <v>12.3</v>
      </c>
      <c r="BE125" s="73">
        <v>10.6</v>
      </c>
      <c r="BF125" s="73">
        <v>11.2</v>
      </c>
      <c r="BG125" s="73">
        <v>11.7</v>
      </c>
      <c r="BM125" s="73">
        <f t="shared" si="22"/>
        <v>11.299999999999999</v>
      </c>
      <c r="BO125" s="59" t="s">
        <v>578</v>
      </c>
      <c r="BT125" s="74"/>
      <c r="BU125" s="75">
        <v>0.8</v>
      </c>
      <c r="BV125" s="75">
        <v>0.5</v>
      </c>
      <c r="BW125" s="75">
        <v>1.3</v>
      </c>
      <c r="BX125" s="75">
        <v>1.5</v>
      </c>
      <c r="BY125" s="75">
        <v>1.2</v>
      </c>
      <c r="BZ125" s="75">
        <v>1.3</v>
      </c>
      <c r="CF125" s="75">
        <f t="shared" si="23"/>
        <v>1.0999999999999999</v>
      </c>
    </row>
    <row r="126" spans="2:84" ht="12.75" customHeight="1" x14ac:dyDescent="0.25">
      <c r="B126" s="76">
        <v>6</v>
      </c>
      <c r="C126" s="59" t="s">
        <v>580</v>
      </c>
      <c r="D126" s="60" t="s">
        <v>581</v>
      </c>
      <c r="E126" s="60">
        <v>2010</v>
      </c>
      <c r="F126" s="77">
        <v>82.3</v>
      </c>
      <c r="G126" s="62">
        <v>17.7</v>
      </c>
      <c r="H126" s="63">
        <v>5</v>
      </c>
      <c r="I126" s="64"/>
      <c r="J126" s="65" t="s">
        <v>580</v>
      </c>
      <c r="P126" s="70">
        <v>6.42</v>
      </c>
      <c r="Q126" s="71">
        <v>3.54432045791284</v>
      </c>
      <c r="R126" s="71">
        <v>3.1159891391997601</v>
      </c>
      <c r="S126" s="71">
        <v>2.5970201234528498</v>
      </c>
      <c r="T126" s="71">
        <v>1.8879905297300801</v>
      </c>
      <c r="U126" s="71">
        <v>1.8433542290948797</v>
      </c>
      <c r="V126" s="71">
        <v>1.8</v>
      </c>
      <c r="Z126" s="71">
        <v>1.8</v>
      </c>
      <c r="AA126" s="70">
        <f t="shared" si="20"/>
        <v>2.8760843099238018</v>
      </c>
      <c r="AC126" s="67" t="s">
        <v>581</v>
      </c>
      <c r="AI126" s="66">
        <f>VLOOKUP($B126,$AB$198:$AN$204,8,FALSE)</f>
        <v>75.888644067796605</v>
      </c>
      <c r="AJ126" s="66">
        <f>VLOOKUP($B126,$AB$198:$AN$204,9,FALSE)</f>
        <v>80.455696202531627</v>
      </c>
      <c r="AK126" s="66">
        <f>VLOOKUP($B126,$AB$198:$AN$204,10,FALSE)</f>
        <v>79.335945945945952</v>
      </c>
      <c r="AL126" s="66">
        <f>VLOOKUP($B126,$AB$198:$AN$204,11,FALSE)</f>
        <v>70.762500000000003</v>
      </c>
      <c r="AM126" s="66">
        <f>VLOOKUP($B126,$AB$198:$AN$204,12,FALSE)</f>
        <v>76.45</v>
      </c>
      <c r="AN126" s="66">
        <f>VLOOKUP($B126,$AB$198:$AN$204,13,FALSE)</f>
        <v>67.424999999999997</v>
      </c>
      <c r="AT126" s="66">
        <f t="shared" si="21"/>
        <v>75.05296436937904</v>
      </c>
      <c r="AV126" s="59" t="s">
        <v>580</v>
      </c>
      <c r="BB126" s="73">
        <v>18.649999999999999</v>
      </c>
      <c r="BC126" s="73">
        <v>16</v>
      </c>
      <c r="BD126" s="73">
        <v>12.53</v>
      </c>
      <c r="BE126" s="73">
        <v>14.2</v>
      </c>
      <c r="BF126" s="73">
        <v>13.9</v>
      </c>
      <c r="BG126" s="73" t="s">
        <v>380</v>
      </c>
      <c r="BM126" s="73">
        <f t="shared" si="22"/>
        <v>15.056000000000001</v>
      </c>
      <c r="BO126" s="59" t="s">
        <v>580</v>
      </c>
      <c r="BT126" s="74"/>
      <c r="BU126" s="75">
        <v>1.43</v>
      </c>
      <c r="BV126" s="75">
        <v>1.81</v>
      </c>
      <c r="BW126" s="75">
        <v>3.51</v>
      </c>
      <c r="BX126" s="75">
        <v>1.9</v>
      </c>
      <c r="BY126" s="75">
        <v>3.5</v>
      </c>
      <c r="BZ126" s="75" t="s">
        <v>380</v>
      </c>
      <c r="CF126" s="75">
        <f t="shared" si="23"/>
        <v>2.4300000000000002</v>
      </c>
    </row>
    <row r="127" spans="2:84" ht="12.75" customHeight="1" x14ac:dyDescent="0.25">
      <c r="B127" s="76">
        <v>6</v>
      </c>
      <c r="C127" s="59" t="s">
        <v>582</v>
      </c>
      <c r="D127" s="60" t="s">
        <v>583</v>
      </c>
      <c r="E127" s="60">
        <v>2010</v>
      </c>
      <c r="F127" s="77">
        <v>58.5</v>
      </c>
      <c r="G127" s="62">
        <v>41.5</v>
      </c>
      <c r="H127" s="63">
        <v>1.5</v>
      </c>
      <c r="I127" s="64"/>
      <c r="J127" s="65" t="s">
        <v>582</v>
      </c>
      <c r="P127" s="70">
        <v>2.4</v>
      </c>
      <c r="Q127" s="71">
        <v>2.2999999999999998</v>
      </c>
      <c r="R127" s="71">
        <v>2.6</v>
      </c>
      <c r="S127" s="71">
        <v>2.8</v>
      </c>
      <c r="T127" s="71">
        <v>3.1</v>
      </c>
      <c r="U127" s="71">
        <v>2.7</v>
      </c>
      <c r="V127" s="71" t="s">
        <v>355</v>
      </c>
      <c r="Z127" s="71" t="s">
        <v>355</v>
      </c>
      <c r="AA127" s="70">
        <f t="shared" si="20"/>
        <v>2.65</v>
      </c>
      <c r="AC127" s="67" t="s">
        <v>583</v>
      </c>
      <c r="AI127" s="72">
        <v>95.2</v>
      </c>
      <c r="AJ127" s="72">
        <v>85.3</v>
      </c>
      <c r="AK127" s="72">
        <v>90.3</v>
      </c>
      <c r="AL127" s="72">
        <v>77.2</v>
      </c>
      <c r="AM127" s="72">
        <v>64.7</v>
      </c>
      <c r="AN127" s="72">
        <v>62.8</v>
      </c>
      <c r="AT127" s="72">
        <f t="shared" si="21"/>
        <v>79.25</v>
      </c>
      <c r="AV127" s="59" t="s">
        <v>582</v>
      </c>
      <c r="BB127" s="73">
        <v>15.4</v>
      </c>
      <c r="BC127" s="73">
        <v>14.6</v>
      </c>
      <c r="BD127" s="73">
        <v>14.2</v>
      </c>
      <c r="BE127" s="73">
        <v>15.7</v>
      </c>
      <c r="BF127" s="73">
        <v>15.5</v>
      </c>
      <c r="BG127" s="73">
        <v>16.399999999999999</v>
      </c>
      <c r="BM127" s="73">
        <f t="shared" si="22"/>
        <v>15.300000000000002</v>
      </c>
      <c r="BO127" s="59" t="s">
        <v>582</v>
      </c>
      <c r="BT127" s="74"/>
      <c r="BU127" s="75">
        <v>2.1</v>
      </c>
      <c r="BV127" s="75">
        <v>3.5</v>
      </c>
      <c r="BW127" s="75">
        <v>1.5</v>
      </c>
      <c r="BX127" s="75">
        <v>3.5</v>
      </c>
      <c r="BY127" s="75">
        <v>4.2</v>
      </c>
      <c r="BZ127" s="75">
        <v>3</v>
      </c>
      <c r="CF127" s="75">
        <f t="shared" si="23"/>
        <v>2.9666666666666668</v>
      </c>
    </row>
    <row r="128" spans="2:84" ht="12.75" customHeight="1" x14ac:dyDescent="0.25">
      <c r="B128" s="76">
        <v>1</v>
      </c>
      <c r="C128" s="59" t="s">
        <v>584</v>
      </c>
      <c r="D128" s="60" t="s">
        <v>585</v>
      </c>
      <c r="E128" s="60">
        <v>2010</v>
      </c>
      <c r="F128" s="77">
        <v>75.5</v>
      </c>
      <c r="G128" s="62">
        <v>24.5</v>
      </c>
      <c r="H128" s="63">
        <v>5</v>
      </c>
      <c r="I128" s="64"/>
      <c r="J128" s="65" t="s">
        <v>584</v>
      </c>
      <c r="P128" s="66">
        <v>10.951448940605555</v>
      </c>
      <c r="Q128" s="66">
        <v>8.9659352564169783</v>
      </c>
      <c r="R128" s="66">
        <v>7.5764805003373485</v>
      </c>
      <c r="S128" s="66">
        <v>6.9766808385753336</v>
      </c>
      <c r="T128" s="66">
        <v>6.028398498646701</v>
      </c>
      <c r="U128" s="66">
        <v>5.1511144935422388</v>
      </c>
      <c r="V128" s="66">
        <v>7.19</v>
      </c>
      <c r="Z128" s="66">
        <v>7.19</v>
      </c>
      <c r="AA128" s="66">
        <f t="shared" si="20"/>
        <v>7.5037573160155189</v>
      </c>
      <c r="AC128" s="67" t="s">
        <v>585</v>
      </c>
      <c r="AI128" s="66">
        <f>VLOOKUP($B128,$AB$198:$AN$204,8,FALSE)</f>
        <v>62.267766724334649</v>
      </c>
      <c r="AJ128" s="66">
        <f>VLOOKUP($B128,$AB$198:$AN$204,9,FALSE)</f>
        <v>58.416201756290228</v>
      </c>
      <c r="AK128" s="66">
        <f>VLOOKUP($B128,$AB$198:$AN$204,10,FALSE)</f>
        <v>65.401431372790213</v>
      </c>
      <c r="AL128" s="66">
        <f>VLOOKUP($B128,$AB$198:$AN$204,11,FALSE)</f>
        <v>71.775804261946988</v>
      </c>
      <c r="AM128" s="66">
        <f>VLOOKUP($B128,$AB$198:$AN$204,12,FALSE)</f>
        <v>85.024999999999991</v>
      </c>
      <c r="AN128" s="66">
        <f>VLOOKUP($B128,$AB$198:$AN$204,13,FALSE)</f>
        <v>106.17999999999999</v>
      </c>
      <c r="AT128" s="66">
        <f t="shared" si="21"/>
        <v>74.84436735256034</v>
      </c>
      <c r="AV128" s="59" t="s">
        <v>584</v>
      </c>
      <c r="BB128" s="68">
        <f>VLOOKUP($B128,$AU$198:$BH$204,8,FALSE)</f>
        <v>11.270393306464786</v>
      </c>
      <c r="BC128" s="68">
        <f>VLOOKUP($B128,$AU$198:$BH$204,9,FALSE)</f>
        <v>12.218846153846155</v>
      </c>
      <c r="BD128" s="68">
        <f>VLOOKUP($B128,$AU$198:$BH$204,10,FALSE)</f>
        <v>12.689038461538463</v>
      </c>
      <c r="BE128" s="68">
        <f>VLOOKUP($B128,$AU$198:$BH$204,11,FALSE)</f>
        <v>12.925000000000001</v>
      </c>
      <c r="BF128" s="68">
        <f>VLOOKUP($B128,$AU$198:$BH$204,12,FALSE)</f>
        <v>13.27</v>
      </c>
      <c r="BG128" s="68">
        <f>VLOOKUP($B128,$AU$198:$BH$204,13,FALSE)</f>
        <v>14.116666666666667</v>
      </c>
      <c r="BM128" s="68">
        <f t="shared" si="22"/>
        <v>12.748324098086011</v>
      </c>
      <c r="BO128" s="59" t="s">
        <v>584</v>
      </c>
      <c r="BT128" s="74"/>
      <c r="BU128" s="69">
        <f>VLOOKUP($B128,$BN$198:$BZ$204,8,FALSE)</f>
        <v>1.1095149831589846</v>
      </c>
      <c r="BV128" s="69">
        <f>VLOOKUP($B128,$BN$198:$BZ$204,9,FALSE)</f>
        <v>1.2860560376080794</v>
      </c>
      <c r="BW128" s="69">
        <f>VLOOKUP($B128,$BN$198:$BZ$204,10,FALSE)</f>
        <v>1.0562499999999999</v>
      </c>
      <c r="BX128" s="69">
        <f>VLOOKUP($B128,$BN$198:$BZ$204,11,FALSE)</f>
        <v>1.2375</v>
      </c>
      <c r="BY128" s="69">
        <f>VLOOKUP($B128,$BN$198:$BZ$204,12,FALSE)</f>
        <v>1.2124999999999999</v>
      </c>
      <c r="BZ128" s="69">
        <f>VLOOKUP($B128,$BN$198:$BZ$204,13,FALSE)</f>
        <v>1.3316666666666668</v>
      </c>
      <c r="CF128" s="69">
        <f t="shared" si="23"/>
        <v>1.2055812812389552</v>
      </c>
    </row>
    <row r="129" spans="2:84" ht="12.75" customHeight="1" x14ac:dyDescent="0.25">
      <c r="B129" s="76">
        <v>5</v>
      </c>
      <c r="C129" s="59" t="s">
        <v>586</v>
      </c>
      <c r="D129" s="60" t="s">
        <v>587</v>
      </c>
      <c r="E129" s="60">
        <v>2010</v>
      </c>
      <c r="F129" s="77">
        <v>18.099999999999994</v>
      </c>
      <c r="G129" s="62">
        <v>81.900000000000006</v>
      </c>
      <c r="H129" s="63">
        <v>1.1000000000000001</v>
      </c>
      <c r="I129" s="64"/>
      <c r="J129" s="65" t="s">
        <v>586</v>
      </c>
      <c r="P129" s="70">
        <v>1.54</v>
      </c>
      <c r="Q129" s="71">
        <v>1.22</v>
      </c>
      <c r="R129" s="71">
        <v>0.8</v>
      </c>
      <c r="S129" s="71" t="s">
        <v>355</v>
      </c>
      <c r="T129" s="71">
        <v>1.7</v>
      </c>
      <c r="U129" s="71">
        <v>3.2</v>
      </c>
      <c r="V129" s="71">
        <v>2.57</v>
      </c>
      <c r="Z129" s="71">
        <v>2.57</v>
      </c>
      <c r="AA129" s="70">
        <f t="shared" si="20"/>
        <v>1.9428571428571431</v>
      </c>
      <c r="AC129" s="67" t="s">
        <v>587</v>
      </c>
      <c r="AI129" s="72">
        <v>69.239028766552025</v>
      </c>
      <c r="AJ129" s="72">
        <v>65.455802733319857</v>
      </c>
      <c r="AK129" s="72">
        <v>56.029550066594958</v>
      </c>
      <c r="AL129" s="72" t="s">
        <v>380</v>
      </c>
      <c r="AM129" s="72" t="s">
        <v>380</v>
      </c>
      <c r="AN129" s="72" t="s">
        <v>380</v>
      </c>
      <c r="AT129" s="72">
        <f t="shared" si="21"/>
        <v>63.574793855488956</v>
      </c>
      <c r="AV129" s="59" t="s">
        <v>586</v>
      </c>
      <c r="BB129" s="73">
        <v>12.2678035857792</v>
      </c>
      <c r="BC129" s="73">
        <v>12.624831759957718</v>
      </c>
      <c r="BD129" s="73">
        <v>11.85</v>
      </c>
      <c r="BE129" s="73">
        <v>13.16</v>
      </c>
      <c r="BF129" s="73">
        <v>11.86</v>
      </c>
      <c r="BG129" s="73">
        <v>13.31</v>
      </c>
      <c r="BM129" s="73">
        <f t="shared" si="22"/>
        <v>12.512105890956155</v>
      </c>
      <c r="BO129" s="59" t="s">
        <v>586</v>
      </c>
      <c r="BT129" s="74"/>
      <c r="BU129" s="75">
        <v>0.43153503839822294</v>
      </c>
      <c r="BV129" s="75">
        <v>0.36624826212928896</v>
      </c>
      <c r="BW129" s="75">
        <v>0.39</v>
      </c>
      <c r="BX129" s="75">
        <v>0.62</v>
      </c>
      <c r="BY129" s="75">
        <v>-0.4</v>
      </c>
      <c r="BZ129" s="75">
        <v>-0.04</v>
      </c>
      <c r="CF129" s="75">
        <f t="shared" si="23"/>
        <v>0.22796388342125198</v>
      </c>
    </row>
    <row r="130" spans="2:84" ht="12.75" customHeight="1" x14ac:dyDescent="0.25">
      <c r="B130" s="76">
        <v>5</v>
      </c>
      <c r="C130" s="59" t="s">
        <v>588</v>
      </c>
      <c r="D130" s="60" t="s">
        <v>589</v>
      </c>
      <c r="E130" s="60">
        <v>2010</v>
      </c>
      <c r="F130" s="77">
        <v>20.900000000000006</v>
      </c>
      <c r="G130" s="62">
        <v>79.099999999999994</v>
      </c>
      <c r="H130" s="63">
        <v>1.3</v>
      </c>
      <c r="I130" s="64"/>
      <c r="J130" s="65" t="s">
        <v>588</v>
      </c>
      <c r="P130" s="66">
        <v>2.4143507854253707</v>
      </c>
      <c r="Q130" s="66">
        <v>2.0582686500460241</v>
      </c>
      <c r="R130" s="66">
        <v>1.7318994690665552</v>
      </c>
      <c r="S130" s="66">
        <v>1.519708481407064</v>
      </c>
      <c r="T130" s="66">
        <v>2.0276465089870674</v>
      </c>
      <c r="U130" s="66">
        <v>5.3933078992297316</v>
      </c>
      <c r="V130" s="66">
        <v>4.5894958180573342</v>
      </c>
      <c r="Z130" s="66">
        <v>4.5894958180573342</v>
      </c>
      <c r="AA130" s="66">
        <f t="shared" si="20"/>
        <v>3.0405216787845601</v>
      </c>
      <c r="AC130" s="67" t="s">
        <v>589</v>
      </c>
      <c r="AI130" s="66">
        <f>VLOOKUP($B130,$AB$198:$AN$204,8,FALSE)</f>
        <v>92.897933193103839</v>
      </c>
      <c r="AJ130" s="66">
        <f>VLOOKUP($B130,$AB$198:$AN$204,9,FALSE)</f>
        <v>91.027330710904693</v>
      </c>
      <c r="AK130" s="66">
        <f>VLOOKUP($B130,$AB$198:$AN$204,10,FALSE)</f>
        <v>93.198641148641926</v>
      </c>
      <c r="AL130" s="66">
        <f>VLOOKUP($B130,$AB$198:$AN$204,11,FALSE)</f>
        <v>91.369909561122711</v>
      </c>
      <c r="AM130" s="66">
        <f>VLOOKUP($B130,$AB$198:$AN$204,12,FALSE)</f>
        <v>69.403859855449028</v>
      </c>
      <c r="AN130" s="66">
        <f>VLOOKUP($B130,$AB$198:$AN$204,13,FALSE)</f>
        <v>62.07823623621681</v>
      </c>
      <c r="AT130" s="66">
        <f t="shared" si="21"/>
        <v>83.329318450906499</v>
      </c>
      <c r="AV130" s="59" t="s">
        <v>588</v>
      </c>
      <c r="BB130" s="68">
        <f>VLOOKUP($B130,$AU$198:$BH$204,8,FALSE)</f>
        <v>13.258706396910066</v>
      </c>
      <c r="BC130" s="68">
        <f>VLOOKUP($B130,$AU$198:$BH$204,9,FALSE)</f>
        <v>12.795043217983102</v>
      </c>
      <c r="BD130" s="68">
        <f>VLOOKUP($B130,$AU$198:$BH$204,10,FALSE)</f>
        <v>12.783223765967742</v>
      </c>
      <c r="BE130" s="68">
        <f>VLOOKUP($B130,$AU$198:$BH$204,11,FALSE)</f>
        <v>12.26170519233661</v>
      </c>
      <c r="BF130" s="68">
        <f>VLOOKUP($B130,$AU$198:$BH$204,12,FALSE)</f>
        <v>12.540622469859557</v>
      </c>
      <c r="BG130" s="68">
        <f>VLOOKUP($B130,$AU$198:$BH$204,13,FALSE)</f>
        <v>13.606086956521736</v>
      </c>
      <c r="BM130" s="68">
        <f t="shared" si="22"/>
        <v>12.874231333263134</v>
      </c>
      <c r="BO130" s="59" t="s">
        <v>588</v>
      </c>
      <c r="BT130" s="74"/>
      <c r="BU130" s="69">
        <f>VLOOKUP($B130,$BN$198:$BZ$204,8,FALSE)</f>
        <v>0.88569317755419663</v>
      </c>
      <c r="BV130" s="69">
        <f>VLOOKUP($B130,$BN$198:$BZ$204,9,FALSE)</f>
        <v>0.96349876527743306</v>
      </c>
      <c r="BW130" s="69">
        <f>VLOOKUP($B130,$BN$198:$BZ$204,10,FALSE)</f>
        <v>1.0088473487454415</v>
      </c>
      <c r="BX130" s="69">
        <f>VLOOKUP($B130,$BN$198:$BZ$204,11,FALSE)</f>
        <v>0.90879337392017734</v>
      </c>
      <c r="BY130" s="69">
        <f>VLOOKUP($B130,$BN$198:$BZ$204,12,FALSE)</f>
        <v>0.34295652529629622</v>
      </c>
      <c r="BZ130" s="69">
        <f>VLOOKUP($B130,$BN$198:$BZ$204,13,FALSE)</f>
        <v>0.48000000000000004</v>
      </c>
      <c r="CF130" s="69">
        <f t="shared" si="23"/>
        <v>0.76496486513225748</v>
      </c>
    </row>
    <row r="131" spans="2:84" ht="12.75" customHeight="1" x14ac:dyDescent="0.25">
      <c r="B131" s="58">
        <v>3</v>
      </c>
      <c r="C131" s="59" t="s">
        <v>590</v>
      </c>
      <c r="D131" s="60" t="s">
        <v>591</v>
      </c>
      <c r="E131" s="60">
        <v>2010</v>
      </c>
      <c r="F131" s="77">
        <v>66.3</v>
      </c>
      <c r="G131" s="62">
        <v>33.700000000000003</v>
      </c>
      <c r="H131" s="63">
        <v>2.2000000000000002</v>
      </c>
      <c r="I131" s="64"/>
      <c r="J131" s="65" t="s">
        <v>590</v>
      </c>
      <c r="P131" s="66">
        <v>5.584644672858265</v>
      </c>
      <c r="Q131" s="66">
        <v>3.9624899241932421</v>
      </c>
      <c r="R131" s="66">
        <v>3.0340039193664454</v>
      </c>
      <c r="S131" s="66">
        <v>2.604471088787407</v>
      </c>
      <c r="T131" s="66">
        <v>2.4269734911821845</v>
      </c>
      <c r="U131" s="66">
        <v>2.9280358899553502</v>
      </c>
      <c r="V131" s="66">
        <v>3.5429234268459737</v>
      </c>
      <c r="Z131" s="66">
        <v>3.5429234268459737</v>
      </c>
      <c r="AA131" s="66">
        <f t="shared" si="20"/>
        <v>3.4533082300043549</v>
      </c>
      <c r="AC131" s="67" t="s">
        <v>591</v>
      </c>
      <c r="AI131" s="66">
        <f>VLOOKUP($B131,$AB$198:$AN$204,8,FALSE)</f>
        <v>128.9834964234991</v>
      </c>
      <c r="AJ131" s="66">
        <f>VLOOKUP($B131,$AB$198:$AN$204,9,FALSE)</f>
        <v>140.08513617162512</v>
      </c>
      <c r="AK131" s="66">
        <f>VLOOKUP($B131,$AB$198:$AN$204,10,FALSE)</f>
        <v>159.45976537422837</v>
      </c>
      <c r="AL131" s="66">
        <f>VLOOKUP($B131,$AB$198:$AN$204,11,FALSE)</f>
        <v>176.08231767394884</v>
      </c>
      <c r="AM131" s="66">
        <f>VLOOKUP($B131,$AB$198:$AN$204,12,FALSE)</f>
        <v>179.91973269843069</v>
      </c>
      <c r="AN131" s="66">
        <f>VLOOKUP($B131,$AB$198:$AN$204,13,FALSE)</f>
        <v>163.73758550252111</v>
      </c>
      <c r="AT131" s="66">
        <f t="shared" si="21"/>
        <v>158.04467230737555</v>
      </c>
      <c r="AV131" s="59" t="s">
        <v>590</v>
      </c>
      <c r="BB131" s="68">
        <f>VLOOKUP($B131,$AU$198:$BH$204,8,FALSE)</f>
        <v>15.896096812126734</v>
      </c>
      <c r="BC131" s="68">
        <f>VLOOKUP($B131,$AU$198:$BH$204,9,FALSE)</f>
        <v>15.574506119519162</v>
      </c>
      <c r="BD131" s="68">
        <f>VLOOKUP($B131,$AU$198:$BH$204,10,FALSE)</f>
        <v>15.053685490252553</v>
      </c>
      <c r="BE131" s="68">
        <f>VLOOKUP($B131,$AU$198:$BH$204,11,FALSE)</f>
        <v>14.526883451785674</v>
      </c>
      <c r="BF131" s="68">
        <f>VLOOKUP($B131,$AU$198:$BH$204,12,FALSE)</f>
        <v>14.663359386876838</v>
      </c>
      <c r="BG131" s="68">
        <f>VLOOKUP($B131,$AU$198:$BH$204,13,FALSE)</f>
        <v>15.454370304742046</v>
      </c>
      <c r="BM131" s="68">
        <f t="shared" si="22"/>
        <v>15.1948169275505</v>
      </c>
      <c r="BO131" s="59" t="s">
        <v>590</v>
      </c>
      <c r="BT131" s="74"/>
      <c r="BU131" s="69">
        <f>VLOOKUP($B131,$BN$198:$BZ$204,8,FALSE)</f>
        <v>1.5948707163335805</v>
      </c>
      <c r="BV131" s="69">
        <f>VLOOKUP($B131,$BN$198:$BZ$204,9,FALSE)</f>
        <v>1.9470251257359674</v>
      </c>
      <c r="BW131" s="69">
        <f>VLOOKUP($B131,$BN$198:$BZ$204,10,FALSE)</f>
        <v>2.1255980960882401</v>
      </c>
      <c r="BX131" s="69">
        <f>VLOOKUP($B131,$BN$198:$BZ$204,11,FALSE)</f>
        <v>2.0468362458386125</v>
      </c>
      <c r="BY131" s="69">
        <f>VLOOKUP($B131,$BN$198:$BZ$204,12,FALSE)</f>
        <v>1.9140404691321369</v>
      </c>
      <c r="BZ131" s="69">
        <f>VLOOKUP($B131,$BN$198:$BZ$204,13,FALSE)</f>
        <v>1.7004174496949338</v>
      </c>
      <c r="CF131" s="69">
        <f t="shared" si="23"/>
        <v>1.8881313504705786</v>
      </c>
    </row>
    <row r="132" spans="2:84" ht="12.75" customHeight="1" x14ac:dyDescent="0.25">
      <c r="B132" s="76">
        <v>6</v>
      </c>
      <c r="C132" s="59" t="s">
        <v>592</v>
      </c>
      <c r="D132" s="60" t="s">
        <v>593</v>
      </c>
      <c r="E132" s="60">
        <v>2010</v>
      </c>
      <c r="F132" s="77">
        <v>84</v>
      </c>
      <c r="G132" s="62">
        <v>16</v>
      </c>
      <c r="H132" s="63">
        <v>5</v>
      </c>
      <c r="I132" s="64"/>
      <c r="J132" s="65" t="s">
        <v>592</v>
      </c>
      <c r="P132" s="66">
        <v>12.639230769230769</v>
      </c>
      <c r="Q132" s="66">
        <v>12.165410295921369</v>
      </c>
      <c r="R132" s="66">
        <v>10.59847453234358</v>
      </c>
      <c r="S132" s="66">
        <v>9.472707780057064</v>
      </c>
      <c r="T132" s="66">
        <v>7.9803674992915017</v>
      </c>
      <c r="U132" s="66">
        <v>8.8942099137723467</v>
      </c>
      <c r="V132" s="66">
        <v>9.5068542417657511</v>
      </c>
      <c r="Z132" s="66">
        <v>9.5068542417657511</v>
      </c>
      <c r="AA132" s="66">
        <f t="shared" si="20"/>
        <v>10.095513659268518</v>
      </c>
      <c r="AC132" s="67" t="s">
        <v>593</v>
      </c>
      <c r="AI132" s="66">
        <f>VLOOKUP($B132,$AB$198:$AN$204,8,FALSE)</f>
        <v>75.888644067796605</v>
      </c>
      <c r="AJ132" s="66">
        <f>VLOOKUP($B132,$AB$198:$AN$204,9,FALSE)</f>
        <v>80.455696202531627</v>
      </c>
      <c r="AK132" s="66">
        <f>VLOOKUP($B132,$AB$198:$AN$204,10,FALSE)</f>
        <v>79.335945945945952</v>
      </c>
      <c r="AL132" s="66">
        <f>VLOOKUP($B132,$AB$198:$AN$204,11,FALSE)</f>
        <v>70.762500000000003</v>
      </c>
      <c r="AM132" s="66">
        <f>VLOOKUP($B132,$AB$198:$AN$204,12,FALSE)</f>
        <v>76.45</v>
      </c>
      <c r="AN132" s="66">
        <f>VLOOKUP($B132,$AB$198:$AN$204,13,FALSE)</f>
        <v>67.424999999999997</v>
      </c>
      <c r="AT132" s="66">
        <f t="shared" si="21"/>
        <v>75.05296436937904</v>
      </c>
      <c r="AV132" s="59" t="s">
        <v>592</v>
      </c>
      <c r="BB132" s="68">
        <f>VLOOKUP($B132,$AU$198:$BH$204,8,FALSE)</f>
        <v>18.156923076923078</v>
      </c>
      <c r="BC132" s="68">
        <f>VLOOKUP($B132,$AU$198:$BH$204,9,FALSE)</f>
        <v>17.862307692307695</v>
      </c>
      <c r="BD132" s="68">
        <f>VLOOKUP($B132,$AU$198:$BH$204,10,FALSE)</f>
        <v>17.588461538461537</v>
      </c>
      <c r="BE132" s="68">
        <f>VLOOKUP($B132,$AU$198:$BH$204,11,FALSE)</f>
        <v>17.724615384615387</v>
      </c>
      <c r="BF132" s="68">
        <f>VLOOKUP($B132,$AU$198:$BH$204,12,FALSE)</f>
        <v>18.493846153846153</v>
      </c>
      <c r="BG132" s="68">
        <f>VLOOKUP($B132,$AU$198:$BH$204,13,FALSE)</f>
        <v>19.346363636363638</v>
      </c>
      <c r="BM132" s="68">
        <f t="shared" si="22"/>
        <v>18.195419580419578</v>
      </c>
      <c r="BO132" s="59" t="s">
        <v>592</v>
      </c>
      <c r="BT132" s="74"/>
      <c r="BU132" s="69">
        <f>VLOOKUP($B132,$BN$198:$BZ$204,8,FALSE)</f>
        <v>3.2984615384615386</v>
      </c>
      <c r="BV132" s="69">
        <f>VLOOKUP($B132,$BN$198:$BZ$204,9,FALSE)</f>
        <v>2.7469230769230766</v>
      </c>
      <c r="BW132" s="69">
        <f>VLOOKUP($B132,$BN$198:$BZ$204,10,FALSE)</f>
        <v>2.7653846153846158</v>
      </c>
      <c r="BX132" s="69">
        <f>VLOOKUP($B132,$BN$198:$BZ$204,11,FALSE)</f>
        <v>2.525384615384616</v>
      </c>
      <c r="BY132" s="69">
        <f>VLOOKUP($B132,$BN$198:$BZ$204,12,FALSE)</f>
        <v>2.9269230769230767</v>
      </c>
      <c r="BZ132" s="69">
        <f>VLOOKUP($B132,$BN$198:$BZ$204,13,FALSE)</f>
        <v>2.36</v>
      </c>
      <c r="CF132" s="69">
        <f t="shared" si="23"/>
        <v>2.7705128205128204</v>
      </c>
    </row>
    <row r="133" spans="2:84" ht="12.75" customHeight="1" x14ac:dyDescent="0.25">
      <c r="B133" s="76">
        <v>6</v>
      </c>
      <c r="C133" s="59" t="s">
        <v>594</v>
      </c>
      <c r="D133" s="60" t="s">
        <v>595</v>
      </c>
      <c r="E133" s="60">
        <v>2010</v>
      </c>
      <c r="F133" s="77">
        <v>73.2</v>
      </c>
      <c r="G133" s="62">
        <v>26.8</v>
      </c>
      <c r="H133" s="63">
        <v>2</v>
      </c>
      <c r="I133" s="64"/>
      <c r="J133" s="65" t="s">
        <v>594</v>
      </c>
      <c r="P133" s="70">
        <v>21.6</v>
      </c>
      <c r="Q133" s="71">
        <v>18.100000000000001</v>
      </c>
      <c r="R133" s="71">
        <v>8.77</v>
      </c>
      <c r="S133" s="71">
        <v>8.44</v>
      </c>
      <c r="T133" s="71">
        <v>6.26</v>
      </c>
      <c r="U133" s="71">
        <v>6.61</v>
      </c>
      <c r="V133" s="71" t="s">
        <v>355</v>
      </c>
      <c r="Z133" s="71" t="s">
        <v>355</v>
      </c>
      <c r="AA133" s="70">
        <f t="shared" si="20"/>
        <v>11.63</v>
      </c>
      <c r="AC133" s="67" t="s">
        <v>595</v>
      </c>
      <c r="AI133" s="72">
        <v>96.186440677966104</v>
      </c>
      <c r="AJ133" s="72">
        <v>81.012658227848107</v>
      </c>
      <c r="AK133" s="72">
        <v>59.45945945945946</v>
      </c>
      <c r="AL133" s="72" t="s">
        <v>380</v>
      </c>
      <c r="AM133" s="72" t="s">
        <v>380</v>
      </c>
      <c r="AN133" s="72" t="s">
        <v>380</v>
      </c>
      <c r="AT133" s="72">
        <f t="shared" si="21"/>
        <v>78.886186121757888</v>
      </c>
      <c r="AV133" s="59" t="s">
        <v>594</v>
      </c>
      <c r="BB133" s="73">
        <v>14.7</v>
      </c>
      <c r="BC133" s="73">
        <v>17.8</v>
      </c>
      <c r="BD133" s="73">
        <v>22.6</v>
      </c>
      <c r="BE133" s="73">
        <v>20.96</v>
      </c>
      <c r="BF133" s="73">
        <v>21.92</v>
      </c>
      <c r="BG133" s="73">
        <v>21.51</v>
      </c>
      <c r="BM133" s="73">
        <f t="shared" si="22"/>
        <v>19.915000000000003</v>
      </c>
      <c r="BO133" s="59" t="s">
        <v>594</v>
      </c>
      <c r="BT133" s="74"/>
      <c r="BU133" s="75">
        <v>3.1</v>
      </c>
      <c r="BV133" s="75">
        <v>0.9</v>
      </c>
      <c r="BW133" s="75">
        <v>1.6</v>
      </c>
      <c r="BX133" s="75">
        <v>2.1</v>
      </c>
      <c r="BY133" s="75">
        <v>3.95</v>
      </c>
      <c r="BZ133" s="75">
        <v>1.84</v>
      </c>
      <c r="CF133" s="75">
        <f t="shared" si="23"/>
        <v>2.2483333333333331</v>
      </c>
    </row>
    <row r="134" spans="2:84" ht="12.75" customHeight="1" x14ac:dyDescent="0.25">
      <c r="B134" s="76">
        <v>5</v>
      </c>
      <c r="C134" s="59" t="s">
        <v>596</v>
      </c>
      <c r="D134" s="60" t="s">
        <v>597</v>
      </c>
      <c r="E134" s="60">
        <v>2010</v>
      </c>
      <c r="F134" s="77">
        <v>9.0999999999999943</v>
      </c>
      <c r="G134" s="62">
        <v>90.9</v>
      </c>
      <c r="H134" s="63">
        <v>0.9</v>
      </c>
      <c r="I134" s="64"/>
      <c r="J134" s="65" t="s">
        <v>596</v>
      </c>
      <c r="P134" s="70">
        <v>1</v>
      </c>
      <c r="Q134" s="71">
        <v>0.7</v>
      </c>
      <c r="R134" s="71">
        <v>0.6</v>
      </c>
      <c r="S134" s="71">
        <v>0.5</v>
      </c>
      <c r="T134" s="71">
        <v>0.8</v>
      </c>
      <c r="U134" s="71">
        <v>1.5</v>
      </c>
      <c r="V134" s="71" t="s">
        <v>355</v>
      </c>
      <c r="Z134" s="71" t="s">
        <v>355</v>
      </c>
      <c r="AA134" s="70">
        <f t="shared" si="20"/>
        <v>0.85</v>
      </c>
      <c r="AC134" s="67" t="s">
        <v>597</v>
      </c>
      <c r="AI134" s="72">
        <v>124.7</v>
      </c>
      <c r="AJ134" s="72">
        <v>109.3</v>
      </c>
      <c r="AK134" s="72">
        <v>74.2</v>
      </c>
      <c r="AL134" s="72">
        <v>67</v>
      </c>
      <c r="AM134" s="72">
        <v>53.5</v>
      </c>
      <c r="AN134" s="72">
        <v>60.3</v>
      </c>
      <c r="AT134" s="72">
        <f t="shared" si="21"/>
        <v>81.5</v>
      </c>
      <c r="AV134" s="59" t="s">
        <v>596</v>
      </c>
      <c r="BB134" s="73">
        <v>12.2</v>
      </c>
      <c r="BC134" s="73">
        <v>11.9</v>
      </c>
      <c r="BD134" s="73">
        <v>11.2</v>
      </c>
      <c r="BE134" s="73">
        <v>11.7</v>
      </c>
      <c r="BF134" s="73">
        <v>11.2</v>
      </c>
      <c r="BG134" s="73">
        <v>12.1</v>
      </c>
      <c r="BM134" s="73">
        <f t="shared" si="22"/>
        <v>11.716666666666667</v>
      </c>
      <c r="BO134" s="59" t="s">
        <v>596</v>
      </c>
      <c r="BT134" s="74"/>
      <c r="BU134" s="75">
        <v>0.9</v>
      </c>
      <c r="BV134" s="75">
        <v>1</v>
      </c>
      <c r="BW134" s="75">
        <v>0.9</v>
      </c>
      <c r="BX134" s="75">
        <v>0.8</v>
      </c>
      <c r="BY134" s="75">
        <v>0.5</v>
      </c>
      <c r="BZ134" s="75">
        <v>0.6</v>
      </c>
      <c r="CF134" s="75">
        <f t="shared" si="23"/>
        <v>0.78333333333333321</v>
      </c>
    </row>
    <row r="135" spans="2:84" ht="12.75" customHeight="1" x14ac:dyDescent="0.25">
      <c r="B135" s="76">
        <v>4</v>
      </c>
      <c r="C135" s="59" t="s">
        <v>598</v>
      </c>
      <c r="D135" s="60" t="s">
        <v>599</v>
      </c>
      <c r="E135" s="60">
        <v>2010</v>
      </c>
      <c r="F135" s="77">
        <v>65.099999999999994</v>
      </c>
      <c r="G135" s="62">
        <v>34.9</v>
      </c>
      <c r="H135" s="63">
        <v>4</v>
      </c>
      <c r="I135" s="64"/>
      <c r="J135" s="65" t="s">
        <v>598</v>
      </c>
      <c r="P135" s="70">
        <v>11</v>
      </c>
      <c r="Q135" s="71">
        <v>7</v>
      </c>
      <c r="R135" s="71">
        <v>4.9000000000000004</v>
      </c>
      <c r="S135" s="71">
        <v>3.2</v>
      </c>
      <c r="T135" s="71">
        <v>2.1</v>
      </c>
      <c r="U135" s="71">
        <v>3.5</v>
      </c>
      <c r="V135" s="71">
        <v>3.3</v>
      </c>
      <c r="Z135" s="71">
        <v>3.3</v>
      </c>
      <c r="AA135" s="70">
        <f t="shared" si="20"/>
        <v>4.7874999999999996</v>
      </c>
      <c r="AC135" s="67" t="s">
        <v>599</v>
      </c>
      <c r="AI135" s="72">
        <v>87.1</v>
      </c>
      <c r="AJ135" s="72">
        <v>97.4</v>
      </c>
      <c r="AK135" s="72">
        <v>109.6</v>
      </c>
      <c r="AL135" s="72">
        <v>111.8</v>
      </c>
      <c r="AM135" s="72">
        <v>127.3</v>
      </c>
      <c r="AN135" s="72">
        <v>113.8</v>
      </c>
      <c r="AT135" s="72">
        <f t="shared" si="21"/>
        <v>107.83333333333333</v>
      </c>
      <c r="AV135" s="59" t="s">
        <v>598</v>
      </c>
      <c r="BB135" s="73">
        <v>17.600000000000001</v>
      </c>
      <c r="BC135" s="73">
        <v>18.5</v>
      </c>
      <c r="BD135" s="73">
        <v>17.2</v>
      </c>
      <c r="BE135" s="73">
        <v>15.8</v>
      </c>
      <c r="BF135" s="73">
        <v>14.7</v>
      </c>
      <c r="BG135" s="73">
        <v>15.5</v>
      </c>
      <c r="BM135" s="73">
        <f t="shared" si="22"/>
        <v>16.55</v>
      </c>
      <c r="BO135" s="59" t="s">
        <v>598</v>
      </c>
      <c r="BT135" s="74"/>
      <c r="BU135" s="75">
        <v>1.7</v>
      </c>
      <c r="BV135" s="75">
        <v>2.2999999999999998</v>
      </c>
      <c r="BW135" s="75">
        <v>2.2999999999999998</v>
      </c>
      <c r="BX135" s="75">
        <v>2.1</v>
      </c>
      <c r="BY135" s="75">
        <v>1.7</v>
      </c>
      <c r="BZ135" s="75">
        <v>2.2000000000000002</v>
      </c>
      <c r="CF135" s="75">
        <f t="shared" si="23"/>
        <v>2.0500000000000003</v>
      </c>
    </row>
    <row r="136" spans="2:84" ht="12.75" customHeight="1" x14ac:dyDescent="0.25">
      <c r="B136" s="76">
        <v>1</v>
      </c>
      <c r="C136" s="59" t="s">
        <v>600</v>
      </c>
      <c r="D136" s="60" t="s">
        <v>601</v>
      </c>
      <c r="E136" s="60">
        <v>2010</v>
      </c>
      <c r="F136" s="77">
        <v>63.5</v>
      </c>
      <c r="G136" s="62">
        <v>36.5</v>
      </c>
      <c r="H136" s="63">
        <v>2.8</v>
      </c>
      <c r="I136" s="64"/>
      <c r="J136" s="65" t="s">
        <v>600</v>
      </c>
      <c r="P136" s="70">
        <v>11.623575814261558</v>
      </c>
      <c r="Q136" s="71">
        <v>8.3000000000000007</v>
      </c>
      <c r="R136" s="71">
        <v>6.9</v>
      </c>
      <c r="S136" s="71">
        <v>7.6</v>
      </c>
      <c r="T136" s="71">
        <v>10.5</v>
      </c>
      <c r="U136" s="71">
        <v>12.2</v>
      </c>
      <c r="V136" s="71">
        <v>13.1</v>
      </c>
      <c r="Z136" s="71">
        <v>13.1</v>
      </c>
      <c r="AA136" s="70">
        <f t="shared" si="20"/>
        <v>10.415446976782693</v>
      </c>
      <c r="AC136" s="67" t="s">
        <v>601</v>
      </c>
      <c r="AI136" s="72">
        <v>70.400000000000006</v>
      </c>
      <c r="AJ136" s="72">
        <v>76.7</v>
      </c>
      <c r="AK136" s="72">
        <v>77.8</v>
      </c>
      <c r="AL136" s="72">
        <v>86.1</v>
      </c>
      <c r="AM136" s="72">
        <v>69.599999999999994</v>
      </c>
      <c r="AN136" s="72">
        <v>71</v>
      </c>
      <c r="AT136" s="72">
        <f t="shared" si="21"/>
        <v>75.266666666666666</v>
      </c>
      <c r="AV136" s="59" t="s">
        <v>600</v>
      </c>
      <c r="BB136" s="73">
        <v>10.481095169667013</v>
      </c>
      <c r="BC136" s="73">
        <v>11.3</v>
      </c>
      <c r="BD136" s="73">
        <v>12.7</v>
      </c>
      <c r="BE136" s="73">
        <v>12.3</v>
      </c>
      <c r="BF136" s="73">
        <v>12.3</v>
      </c>
      <c r="BG136" s="73">
        <v>14.1</v>
      </c>
      <c r="BM136" s="73">
        <f t="shared" si="22"/>
        <v>12.1968491949445</v>
      </c>
      <c r="BO136" s="59" t="s">
        <v>600</v>
      </c>
      <c r="BT136" s="74"/>
      <c r="BU136" s="75">
        <v>1.2</v>
      </c>
      <c r="BV136" s="75">
        <v>1.89</v>
      </c>
      <c r="BW136" s="75">
        <v>2.08</v>
      </c>
      <c r="BX136" s="75">
        <v>1.5</v>
      </c>
      <c r="BY136" s="75">
        <v>0.8</v>
      </c>
      <c r="BZ136" s="75">
        <v>0.9</v>
      </c>
      <c r="CF136" s="75">
        <f t="shared" si="23"/>
        <v>1.3949999999999998</v>
      </c>
    </row>
    <row r="137" spans="2:84" ht="12.75" customHeight="1" x14ac:dyDescent="0.25">
      <c r="B137" s="76">
        <v>1</v>
      </c>
      <c r="C137" s="59" t="s">
        <v>602</v>
      </c>
      <c r="D137" s="60" t="s">
        <v>603</v>
      </c>
      <c r="E137" s="60">
        <v>2010</v>
      </c>
      <c r="F137" s="77">
        <v>62.1</v>
      </c>
      <c r="G137" s="62">
        <v>37.9</v>
      </c>
      <c r="H137" s="63">
        <v>1</v>
      </c>
      <c r="I137" s="64"/>
      <c r="J137" s="65" t="s">
        <v>602</v>
      </c>
      <c r="P137" s="66">
        <v>10.951448940605555</v>
      </c>
      <c r="Q137" s="66">
        <v>8.9659352564169783</v>
      </c>
      <c r="R137" s="66">
        <v>7.5764805003373485</v>
      </c>
      <c r="S137" s="66">
        <v>6.9766808385753336</v>
      </c>
      <c r="T137" s="66">
        <v>6.028398498646701</v>
      </c>
      <c r="U137" s="66">
        <v>5.1511144935422388</v>
      </c>
      <c r="V137" s="66">
        <v>7.19</v>
      </c>
      <c r="Z137" s="66">
        <v>7.19</v>
      </c>
      <c r="AA137" s="66">
        <f t="shared" si="20"/>
        <v>7.5037573160155189</v>
      </c>
      <c r="AC137" s="67" t="s">
        <v>603</v>
      </c>
      <c r="AI137" s="66">
        <f>VLOOKUP($B137,$AB$198:$AN$204,8,FALSE)</f>
        <v>62.267766724334649</v>
      </c>
      <c r="AJ137" s="66">
        <f>VLOOKUP($B137,$AB$198:$AN$204,9,FALSE)</f>
        <v>58.416201756290228</v>
      </c>
      <c r="AK137" s="66">
        <f>VLOOKUP($B137,$AB$198:$AN$204,10,FALSE)</f>
        <v>65.401431372790213</v>
      </c>
      <c r="AL137" s="66">
        <f>VLOOKUP($B137,$AB$198:$AN$204,11,FALSE)</f>
        <v>71.775804261946988</v>
      </c>
      <c r="AM137" s="66">
        <f>VLOOKUP($B137,$AB$198:$AN$204,12,FALSE)</f>
        <v>85.024999999999991</v>
      </c>
      <c r="AN137" s="66">
        <f>VLOOKUP($B137,$AB$198:$AN$204,13,FALSE)</f>
        <v>106.17999999999999</v>
      </c>
      <c r="AT137" s="66">
        <f t="shared" si="21"/>
        <v>74.84436735256034</v>
      </c>
      <c r="AV137" s="59" t="s">
        <v>602</v>
      </c>
      <c r="BB137" s="68">
        <f>VLOOKUP($B137,$AU$198:$BH$204,8,FALSE)</f>
        <v>11.270393306464786</v>
      </c>
      <c r="BC137" s="68">
        <f>VLOOKUP($B137,$AU$198:$BH$204,9,FALSE)</f>
        <v>12.218846153846155</v>
      </c>
      <c r="BD137" s="68">
        <f>VLOOKUP($B137,$AU$198:$BH$204,10,FALSE)</f>
        <v>12.689038461538463</v>
      </c>
      <c r="BE137" s="68">
        <f>VLOOKUP($B137,$AU$198:$BH$204,11,FALSE)</f>
        <v>12.925000000000001</v>
      </c>
      <c r="BF137" s="68">
        <f>VLOOKUP($B137,$AU$198:$BH$204,12,FALSE)</f>
        <v>13.27</v>
      </c>
      <c r="BG137" s="68">
        <f>VLOOKUP($B137,$AU$198:$BH$204,13,FALSE)</f>
        <v>14.116666666666667</v>
      </c>
      <c r="BM137" s="68">
        <f t="shared" si="22"/>
        <v>12.748324098086011</v>
      </c>
      <c r="BO137" s="59" t="s">
        <v>602</v>
      </c>
      <c r="BT137" s="74"/>
      <c r="BU137" s="69">
        <f>VLOOKUP($B137,$BN$198:$BZ$204,8,FALSE)</f>
        <v>1.1095149831589846</v>
      </c>
      <c r="BV137" s="69">
        <f>VLOOKUP($B137,$BN$198:$BZ$204,9,FALSE)</f>
        <v>1.2860560376080794</v>
      </c>
      <c r="BW137" s="69">
        <f>VLOOKUP($B137,$BN$198:$BZ$204,10,FALSE)</f>
        <v>1.0562499999999999</v>
      </c>
      <c r="BX137" s="69">
        <f>VLOOKUP($B137,$BN$198:$BZ$204,11,FALSE)</f>
        <v>1.2375</v>
      </c>
      <c r="BY137" s="69">
        <f>VLOOKUP($B137,$BN$198:$BZ$204,12,FALSE)</f>
        <v>1.2124999999999999</v>
      </c>
      <c r="BZ137" s="69">
        <f>VLOOKUP($B137,$BN$198:$BZ$204,13,FALSE)</f>
        <v>1.3316666666666668</v>
      </c>
      <c r="CF137" s="69">
        <f t="shared" si="23"/>
        <v>1.2055812812389552</v>
      </c>
    </row>
    <row r="138" spans="2:84" ht="12.75" customHeight="1" x14ac:dyDescent="0.25">
      <c r="B138" s="58">
        <v>3</v>
      </c>
      <c r="C138" s="59" t="s">
        <v>604</v>
      </c>
      <c r="D138" s="60" t="s">
        <v>605</v>
      </c>
      <c r="E138" s="60">
        <v>2010</v>
      </c>
      <c r="F138" s="77">
        <v>67.599999999999994</v>
      </c>
      <c r="G138" s="62">
        <v>32.4</v>
      </c>
      <c r="H138" s="63">
        <v>2.5</v>
      </c>
      <c r="I138" s="64"/>
      <c r="J138" s="65" t="s">
        <v>604</v>
      </c>
      <c r="P138" s="70">
        <v>1.83202610637202</v>
      </c>
      <c r="Q138" s="71">
        <v>1.82876451174743</v>
      </c>
      <c r="R138" s="71">
        <v>1.45</v>
      </c>
      <c r="S138" s="71">
        <v>1.4</v>
      </c>
      <c r="T138" s="71">
        <v>1.67</v>
      </c>
      <c r="U138" s="71">
        <v>1.41</v>
      </c>
      <c r="V138" s="71" t="s">
        <v>355</v>
      </c>
      <c r="Z138" s="71" t="s">
        <v>355</v>
      </c>
      <c r="AA138" s="70">
        <f t="shared" si="20"/>
        <v>1.5984651030199084</v>
      </c>
      <c r="AC138" s="67" t="s">
        <v>605</v>
      </c>
      <c r="AI138" s="72">
        <v>149.4</v>
      </c>
      <c r="AJ138" s="72">
        <v>116.2</v>
      </c>
      <c r="AK138" s="72">
        <v>128.5</v>
      </c>
      <c r="AL138" s="72">
        <v>132.87</v>
      </c>
      <c r="AM138" s="72">
        <v>104.87</v>
      </c>
      <c r="AN138" s="72">
        <v>116.9</v>
      </c>
      <c r="AT138" s="72">
        <f t="shared" si="21"/>
        <v>124.79</v>
      </c>
      <c r="AV138" s="59" t="s">
        <v>604</v>
      </c>
      <c r="BB138" s="73">
        <v>17.639399999999998</v>
      </c>
      <c r="BC138" s="73">
        <v>16.773</v>
      </c>
      <c r="BD138" s="73">
        <v>15.78</v>
      </c>
      <c r="BE138" s="73">
        <v>13.64</v>
      </c>
      <c r="BF138" s="73">
        <v>14.41</v>
      </c>
      <c r="BG138" s="73">
        <v>15.9</v>
      </c>
      <c r="BM138" s="73">
        <f t="shared" si="22"/>
        <v>15.690400000000002</v>
      </c>
      <c r="BO138" s="59" t="s">
        <v>604</v>
      </c>
      <c r="BT138" s="74"/>
      <c r="BU138" s="75">
        <v>1.8</v>
      </c>
      <c r="BV138" s="75">
        <v>2.13</v>
      </c>
      <c r="BW138" s="75">
        <v>1.7</v>
      </c>
      <c r="BX138" s="75">
        <v>2.0299999999999998</v>
      </c>
      <c r="BY138" s="75">
        <v>2.25</v>
      </c>
      <c r="BZ138" s="75">
        <v>1.48</v>
      </c>
      <c r="CF138" s="75">
        <f t="shared" si="23"/>
        <v>1.8983333333333334</v>
      </c>
    </row>
    <row r="139" spans="2:84" ht="12.75" customHeight="1" x14ac:dyDescent="0.25">
      <c r="B139" s="76">
        <v>1</v>
      </c>
      <c r="C139" s="59" t="s">
        <v>606</v>
      </c>
      <c r="D139" s="60" t="s">
        <v>607</v>
      </c>
      <c r="E139" s="60">
        <v>2010</v>
      </c>
      <c r="F139" s="77">
        <v>76.099999999999994</v>
      </c>
      <c r="G139" s="62">
        <v>23.9</v>
      </c>
      <c r="H139" s="63">
        <v>3</v>
      </c>
      <c r="I139" s="64"/>
      <c r="J139" s="65" t="s">
        <v>606</v>
      </c>
      <c r="P139" s="66">
        <v>10.951448940605555</v>
      </c>
      <c r="Q139" s="66">
        <v>8.9659352564169783</v>
      </c>
      <c r="R139" s="66">
        <v>7.5764805003373485</v>
      </c>
      <c r="S139" s="66">
        <v>6.9766808385753336</v>
      </c>
      <c r="T139" s="66">
        <v>6.028398498646701</v>
      </c>
      <c r="U139" s="66">
        <v>5.1511144935422388</v>
      </c>
      <c r="V139" s="66">
        <v>7.19</v>
      </c>
      <c r="Z139" s="66">
        <v>7.19</v>
      </c>
      <c r="AA139" s="66">
        <f t="shared" si="20"/>
        <v>7.5037573160155189</v>
      </c>
      <c r="AC139" s="67" t="s">
        <v>607</v>
      </c>
      <c r="AI139" s="66">
        <f>VLOOKUP($B139,$AB$198:$AN$204,8,FALSE)</f>
        <v>62.267766724334649</v>
      </c>
      <c r="AJ139" s="66">
        <f>VLOOKUP($B139,$AB$198:$AN$204,9,FALSE)</f>
        <v>58.416201756290228</v>
      </c>
      <c r="AK139" s="66">
        <f>VLOOKUP($B139,$AB$198:$AN$204,10,FALSE)</f>
        <v>65.401431372790213</v>
      </c>
      <c r="AL139" s="66">
        <f>VLOOKUP($B139,$AB$198:$AN$204,11,FALSE)</f>
        <v>71.775804261946988</v>
      </c>
      <c r="AM139" s="66">
        <f>VLOOKUP($B139,$AB$198:$AN$204,12,FALSE)</f>
        <v>85.024999999999991</v>
      </c>
      <c r="AN139" s="66">
        <f>VLOOKUP($B139,$AB$198:$AN$204,13,FALSE)</f>
        <v>106.17999999999999</v>
      </c>
      <c r="AT139" s="66">
        <f t="shared" si="21"/>
        <v>74.84436735256034</v>
      </c>
      <c r="AV139" s="59" t="s">
        <v>606</v>
      </c>
      <c r="BB139" s="68">
        <f>VLOOKUP($B139,$AU$198:$BH$204,8,FALSE)</f>
        <v>11.270393306464786</v>
      </c>
      <c r="BC139" s="68">
        <f>VLOOKUP($B139,$AU$198:$BH$204,9,FALSE)</f>
        <v>12.218846153846155</v>
      </c>
      <c r="BD139" s="68">
        <f>VLOOKUP($B139,$AU$198:$BH$204,10,FALSE)</f>
        <v>12.689038461538463</v>
      </c>
      <c r="BE139" s="68">
        <f>VLOOKUP($B139,$AU$198:$BH$204,11,FALSE)</f>
        <v>12.925000000000001</v>
      </c>
      <c r="BF139" s="68">
        <f>VLOOKUP($B139,$AU$198:$BH$204,12,FALSE)</f>
        <v>13.27</v>
      </c>
      <c r="BG139" s="68">
        <f>VLOOKUP($B139,$AU$198:$BH$204,13,FALSE)</f>
        <v>14.116666666666667</v>
      </c>
      <c r="BM139" s="68">
        <f t="shared" si="22"/>
        <v>12.748324098086011</v>
      </c>
      <c r="BO139" s="59" t="s">
        <v>606</v>
      </c>
      <c r="BT139" s="74"/>
      <c r="BU139" s="69">
        <f>VLOOKUP($B139,$BN$198:$BZ$204,8,FALSE)</f>
        <v>1.1095149831589846</v>
      </c>
      <c r="BV139" s="69">
        <f>VLOOKUP($B139,$BN$198:$BZ$204,9,FALSE)</f>
        <v>1.2860560376080794</v>
      </c>
      <c r="BW139" s="69">
        <f>VLOOKUP($B139,$BN$198:$BZ$204,10,FALSE)</f>
        <v>1.0562499999999999</v>
      </c>
      <c r="BX139" s="69">
        <f>VLOOKUP($B139,$BN$198:$BZ$204,11,FALSE)</f>
        <v>1.2375</v>
      </c>
      <c r="BY139" s="69">
        <f>VLOOKUP($B139,$BN$198:$BZ$204,12,FALSE)</f>
        <v>1.2124999999999999</v>
      </c>
      <c r="BZ139" s="69">
        <f>VLOOKUP($B139,$BN$198:$BZ$204,13,FALSE)</f>
        <v>1.3316666666666668</v>
      </c>
      <c r="CF139" s="69">
        <f t="shared" si="23"/>
        <v>1.2055812812389552</v>
      </c>
    </row>
    <row r="140" spans="2:84" ht="12.75" customHeight="1" x14ac:dyDescent="0.25">
      <c r="B140" s="58">
        <v>3</v>
      </c>
      <c r="C140" s="59" t="s">
        <v>608</v>
      </c>
      <c r="D140" s="60" t="s">
        <v>609</v>
      </c>
      <c r="E140" s="60">
        <v>2010</v>
      </c>
      <c r="F140" s="77">
        <v>83.9</v>
      </c>
      <c r="G140" s="62">
        <v>16.100000000000001</v>
      </c>
      <c r="H140" s="63">
        <v>3.9</v>
      </c>
      <c r="I140" s="64"/>
      <c r="J140" s="65" t="s">
        <v>608</v>
      </c>
      <c r="P140" s="70">
        <v>10.8</v>
      </c>
      <c r="Q140" s="71">
        <v>6.6</v>
      </c>
      <c r="R140" s="71">
        <v>3.28</v>
      </c>
      <c r="S140" s="71">
        <v>1.3</v>
      </c>
      <c r="T140" s="71">
        <v>1.1499999999999999</v>
      </c>
      <c r="U140" s="71">
        <v>1.66</v>
      </c>
      <c r="V140" s="71" t="s">
        <v>355</v>
      </c>
      <c r="Z140" s="71" t="s">
        <v>355</v>
      </c>
      <c r="AA140" s="70">
        <f t="shared" si="20"/>
        <v>4.1316666666666668</v>
      </c>
      <c r="AC140" s="67" t="s">
        <v>609</v>
      </c>
      <c r="AI140" s="72">
        <v>54.648861196175005</v>
      </c>
      <c r="AJ140" s="72">
        <v>57.700815292038541</v>
      </c>
      <c r="AK140" s="72">
        <v>59.1</v>
      </c>
      <c r="AL140" s="72">
        <v>78.2</v>
      </c>
      <c r="AM140" s="72">
        <v>77.7</v>
      </c>
      <c r="AN140" s="72">
        <v>78.27</v>
      </c>
      <c r="AT140" s="72">
        <f t="shared" si="21"/>
        <v>67.603279414702257</v>
      </c>
      <c r="AV140" s="59" t="s">
        <v>608</v>
      </c>
      <c r="BB140" s="73">
        <v>20.5</v>
      </c>
      <c r="BC140" s="73">
        <v>20.399999999999999</v>
      </c>
      <c r="BD140" s="73">
        <v>20.100000000000001</v>
      </c>
      <c r="BE140" s="73">
        <v>16.8</v>
      </c>
      <c r="BF140" s="73">
        <v>18.2</v>
      </c>
      <c r="BG140" s="73">
        <v>16.8</v>
      </c>
      <c r="BM140" s="73">
        <f t="shared" si="22"/>
        <v>18.8</v>
      </c>
      <c r="BO140" s="59" t="s">
        <v>608</v>
      </c>
      <c r="BT140" s="74"/>
      <c r="BU140" s="75">
        <v>1.7</v>
      </c>
      <c r="BV140" s="75">
        <v>2.1</v>
      </c>
      <c r="BW140" s="75">
        <v>3.33</v>
      </c>
      <c r="BX140" s="75">
        <v>3.11</v>
      </c>
      <c r="BY140" s="75">
        <v>3.5</v>
      </c>
      <c r="BZ140" s="75">
        <v>2.69</v>
      </c>
      <c r="CF140" s="75">
        <f t="shared" si="23"/>
        <v>2.7383333333333333</v>
      </c>
    </row>
    <row r="141" spans="2:84" ht="12.75" customHeight="1" x14ac:dyDescent="0.25">
      <c r="B141" s="58">
        <v>3</v>
      </c>
      <c r="C141" s="59" t="s">
        <v>610</v>
      </c>
      <c r="D141" s="60" t="s">
        <v>611</v>
      </c>
      <c r="E141" s="60">
        <v>2010</v>
      </c>
      <c r="F141" s="77">
        <v>72.8</v>
      </c>
      <c r="G141" s="62">
        <v>27.2</v>
      </c>
      <c r="H141" s="63">
        <v>3.1</v>
      </c>
      <c r="I141" s="64"/>
      <c r="J141" s="65" t="s">
        <v>610</v>
      </c>
      <c r="P141" s="70">
        <v>9.5</v>
      </c>
      <c r="Q141" s="71">
        <v>6.3</v>
      </c>
      <c r="R141" s="71">
        <v>4.0999999999999996</v>
      </c>
      <c r="S141" s="71">
        <v>2.7</v>
      </c>
      <c r="T141" s="71">
        <v>2.17</v>
      </c>
      <c r="U141" s="71">
        <v>2.7</v>
      </c>
      <c r="V141" s="71" t="s">
        <v>355</v>
      </c>
      <c r="Z141" s="71" t="s">
        <v>355</v>
      </c>
      <c r="AA141" s="70">
        <f t="shared" si="20"/>
        <v>4.5783333333333323</v>
      </c>
      <c r="AC141" s="67" t="s">
        <v>611</v>
      </c>
      <c r="AI141" s="72">
        <v>68.7</v>
      </c>
      <c r="AJ141" s="72">
        <v>80.3</v>
      </c>
      <c r="AK141" s="72">
        <v>100.3</v>
      </c>
      <c r="AL141" s="72">
        <v>131.4</v>
      </c>
      <c r="AM141" s="72">
        <v>151.4</v>
      </c>
      <c r="AN141" s="72">
        <v>135.30000000000001</v>
      </c>
      <c r="AT141" s="72">
        <f t="shared" si="21"/>
        <v>111.23333333333335</v>
      </c>
      <c r="AV141" s="59" t="s">
        <v>610</v>
      </c>
      <c r="BB141" s="73">
        <v>14</v>
      </c>
      <c r="BC141" s="73">
        <v>12</v>
      </c>
      <c r="BD141" s="73">
        <v>12.5</v>
      </c>
      <c r="BE141" s="73">
        <v>12.13</v>
      </c>
      <c r="BF141" s="73">
        <v>11.86</v>
      </c>
      <c r="BG141" s="73">
        <v>13.27</v>
      </c>
      <c r="BM141" s="73">
        <f t="shared" si="22"/>
        <v>12.626666666666667</v>
      </c>
      <c r="BO141" s="59" t="s">
        <v>610</v>
      </c>
      <c r="BT141" s="74"/>
      <c r="BU141" s="75">
        <v>1.2</v>
      </c>
      <c r="BV141" s="75">
        <v>2.2000000000000002</v>
      </c>
      <c r="BW141" s="75">
        <v>2.2000000000000002</v>
      </c>
      <c r="BX141" s="75">
        <v>2.52</v>
      </c>
      <c r="BY141" s="75">
        <v>2.56</v>
      </c>
      <c r="BZ141" s="75">
        <v>2.25</v>
      </c>
      <c r="CF141" s="75">
        <f t="shared" si="23"/>
        <v>2.1550000000000002</v>
      </c>
    </row>
    <row r="142" spans="2:84" ht="12.75" customHeight="1" x14ac:dyDescent="0.25">
      <c r="B142" s="76">
        <v>1</v>
      </c>
      <c r="C142" s="59" t="s">
        <v>612</v>
      </c>
      <c r="D142" s="60" t="s">
        <v>613</v>
      </c>
      <c r="E142" s="60">
        <v>2010</v>
      </c>
      <c r="F142" s="77">
        <v>95.5</v>
      </c>
      <c r="G142" s="62">
        <v>4.5</v>
      </c>
      <c r="H142" s="63">
        <v>5.7</v>
      </c>
      <c r="I142" s="64"/>
      <c r="J142" s="65" t="s">
        <v>612</v>
      </c>
      <c r="P142" s="70">
        <v>12.6</v>
      </c>
      <c r="Q142" s="71">
        <v>10</v>
      </c>
      <c r="R142" s="71">
        <v>7.5</v>
      </c>
      <c r="S142" s="71">
        <v>5.8</v>
      </c>
      <c r="T142" s="71">
        <v>4.5</v>
      </c>
      <c r="U142" s="71">
        <v>4.0999999999999996</v>
      </c>
      <c r="V142" s="71" t="s">
        <v>355</v>
      </c>
      <c r="Z142" s="71" t="s">
        <v>355</v>
      </c>
      <c r="AA142" s="70">
        <f t="shared" ref="AA142:AA196" si="30">AVERAGE(K142:Z142)</f>
        <v>7.416666666666667</v>
      </c>
      <c r="AC142" s="67" t="s">
        <v>613</v>
      </c>
      <c r="AI142" s="72">
        <v>58</v>
      </c>
      <c r="AJ142" s="72">
        <v>73.8</v>
      </c>
      <c r="AK142" s="72">
        <v>75</v>
      </c>
      <c r="AL142" s="72">
        <v>81.5</v>
      </c>
      <c r="AM142" s="72">
        <v>86</v>
      </c>
      <c r="AN142" s="72">
        <v>84.2</v>
      </c>
      <c r="AT142" s="72">
        <f t="shared" ref="AT142:AT196" si="31">AVERAGE(AD142:AS142)</f>
        <v>76.416666666666671</v>
      </c>
      <c r="AV142" s="59" t="s">
        <v>612</v>
      </c>
      <c r="BB142" s="73">
        <v>18.399999999999999</v>
      </c>
      <c r="BC142" s="73">
        <v>17.600000000000001</v>
      </c>
      <c r="BD142" s="73">
        <v>18.100000000000001</v>
      </c>
      <c r="BE142" s="73">
        <v>15.7</v>
      </c>
      <c r="BF142" s="73">
        <v>15.49</v>
      </c>
      <c r="BG142" s="73">
        <v>15.3</v>
      </c>
      <c r="BM142" s="73">
        <f t="shared" ref="BM142:BM196" si="32">AVERAGE(AW142:BL142)</f>
        <v>16.764999999999997</v>
      </c>
      <c r="BO142" s="59" t="s">
        <v>612</v>
      </c>
      <c r="BT142" s="74"/>
      <c r="BU142" s="75">
        <v>0.9</v>
      </c>
      <c r="BV142" s="75">
        <v>1.1000000000000001</v>
      </c>
      <c r="BW142" s="75">
        <v>1.3</v>
      </c>
      <c r="BX142" s="75">
        <v>1.3</v>
      </c>
      <c r="BY142" s="75">
        <v>0.8</v>
      </c>
      <c r="BZ142" s="75">
        <v>1.2</v>
      </c>
      <c r="CF142" s="75">
        <f t="shared" ref="CF142:CF196" si="33">AVERAGE(BP142:CE142)</f>
        <v>1.0999999999999999</v>
      </c>
    </row>
    <row r="143" spans="2:84" ht="12.75" customHeight="1" x14ac:dyDescent="0.25">
      <c r="B143" s="58">
        <v>2</v>
      </c>
      <c r="C143" s="59" t="s">
        <v>614</v>
      </c>
      <c r="D143" s="60" t="s">
        <v>615</v>
      </c>
      <c r="E143" s="60">
        <v>2010</v>
      </c>
      <c r="F143" s="77">
        <v>68.7</v>
      </c>
      <c r="G143" s="62">
        <v>31.3</v>
      </c>
      <c r="H143" s="63">
        <v>3</v>
      </c>
      <c r="I143" s="64"/>
      <c r="J143" s="65" t="s">
        <v>614</v>
      </c>
      <c r="P143" s="70">
        <v>14.8564964273817</v>
      </c>
      <c r="Q143" s="71">
        <v>10.9880916163611</v>
      </c>
      <c r="R143" s="71">
        <v>7.3835755467942699</v>
      </c>
      <c r="S143" s="71">
        <v>5.2216818916985703</v>
      </c>
      <c r="T143" s="71">
        <v>4.5</v>
      </c>
      <c r="U143" s="71">
        <v>8</v>
      </c>
      <c r="V143" s="71">
        <v>8.8000000000000007</v>
      </c>
      <c r="Z143" s="71">
        <v>8.8000000000000007</v>
      </c>
      <c r="AA143" s="70">
        <f t="shared" si="30"/>
        <v>8.5687306852794549</v>
      </c>
      <c r="AC143" s="67" t="s">
        <v>615</v>
      </c>
      <c r="AI143" s="72">
        <v>61.3</v>
      </c>
      <c r="AJ143" s="72">
        <v>61.6</v>
      </c>
      <c r="AK143" s="72">
        <v>57.8</v>
      </c>
      <c r="AL143" s="72" t="s">
        <v>380</v>
      </c>
      <c r="AM143" s="72">
        <v>61.28620674217666</v>
      </c>
      <c r="AN143" s="72">
        <v>50.186561349297179</v>
      </c>
      <c r="AT143" s="72">
        <f t="shared" si="31"/>
        <v>58.434553618294764</v>
      </c>
      <c r="AV143" s="59" t="s">
        <v>614</v>
      </c>
      <c r="BB143" s="73">
        <v>15.4</v>
      </c>
      <c r="BC143" s="73">
        <v>14.5</v>
      </c>
      <c r="BD143" s="73">
        <v>13.2</v>
      </c>
      <c r="BE143" s="73">
        <v>12</v>
      </c>
      <c r="BF143" s="73">
        <v>10.8</v>
      </c>
      <c r="BG143" s="73">
        <v>13.1</v>
      </c>
      <c r="BM143" s="73">
        <f t="shared" si="32"/>
        <v>13.166666666666664</v>
      </c>
      <c r="BO143" s="59" t="s">
        <v>614</v>
      </c>
      <c r="BT143" s="74"/>
      <c r="BU143" s="75">
        <v>1.4</v>
      </c>
      <c r="BV143" s="75">
        <v>1.6</v>
      </c>
      <c r="BW143" s="75">
        <v>1.68685631899874</v>
      </c>
      <c r="BX143" s="75">
        <v>1.67313773426062</v>
      </c>
      <c r="BY143" s="75">
        <v>1.6</v>
      </c>
      <c r="BZ143" s="75">
        <v>1.2</v>
      </c>
      <c r="CF143" s="75">
        <f t="shared" si="33"/>
        <v>1.5266656755432264</v>
      </c>
    </row>
    <row r="144" spans="2:84" ht="12.75" customHeight="1" x14ac:dyDescent="0.25">
      <c r="B144" s="76">
        <v>5</v>
      </c>
      <c r="C144" s="59" t="s">
        <v>616</v>
      </c>
      <c r="D144" s="60" t="s">
        <v>617</v>
      </c>
      <c r="E144" s="60">
        <v>2010</v>
      </c>
      <c r="F144" s="77">
        <v>27.400000000000006</v>
      </c>
      <c r="G144" s="62">
        <v>72.599999999999994</v>
      </c>
      <c r="H144" s="63">
        <v>2</v>
      </c>
      <c r="I144" s="64"/>
      <c r="J144" s="65" t="s">
        <v>616</v>
      </c>
      <c r="P144" s="70">
        <v>1.981731914740295</v>
      </c>
      <c r="Q144" s="71">
        <v>1.5</v>
      </c>
      <c r="R144" s="71">
        <v>1.3</v>
      </c>
      <c r="S144" s="71">
        <v>1.4602820728009036</v>
      </c>
      <c r="T144" s="71">
        <v>1.9533055792967866</v>
      </c>
      <c r="U144" s="71">
        <v>3.1518703184823638</v>
      </c>
      <c r="V144" s="71">
        <v>3.3099263128715593</v>
      </c>
      <c r="Z144" s="71">
        <v>3.3099263128715593</v>
      </c>
      <c r="AA144" s="70">
        <f t="shared" si="30"/>
        <v>2.2458803138829331</v>
      </c>
      <c r="AC144" s="67" t="s">
        <v>617</v>
      </c>
      <c r="AI144" s="72">
        <v>83.4</v>
      </c>
      <c r="AJ144" s="72">
        <v>79</v>
      </c>
      <c r="AK144" s="72">
        <v>80.5</v>
      </c>
      <c r="AL144" s="72">
        <v>74.099999999999994</v>
      </c>
      <c r="AM144" s="72">
        <v>66.5</v>
      </c>
      <c r="AN144" s="72">
        <v>72.7</v>
      </c>
      <c r="AT144" s="72">
        <f t="shared" si="31"/>
        <v>76.033333333333331</v>
      </c>
      <c r="AV144" s="59" t="s">
        <v>616</v>
      </c>
      <c r="BB144" s="73">
        <v>10.4</v>
      </c>
      <c r="BC144" s="73">
        <v>11.3</v>
      </c>
      <c r="BD144" s="73">
        <v>10.9</v>
      </c>
      <c r="BE144" s="73">
        <v>10.4</v>
      </c>
      <c r="BF144" s="73">
        <v>9.4</v>
      </c>
      <c r="BG144" s="73">
        <v>10.3</v>
      </c>
      <c r="BM144" s="73">
        <f t="shared" si="32"/>
        <v>10.450000000000001</v>
      </c>
      <c r="BO144" s="59" t="s">
        <v>616</v>
      </c>
      <c r="BT144" s="74"/>
      <c r="BU144" s="75">
        <v>0.8</v>
      </c>
      <c r="BV144" s="75">
        <v>0.9</v>
      </c>
      <c r="BW144" s="75">
        <v>1.1000000000000001</v>
      </c>
      <c r="BX144" s="75">
        <v>1</v>
      </c>
      <c r="BY144" s="75">
        <v>0.2</v>
      </c>
      <c r="BZ144" s="75">
        <v>0.4</v>
      </c>
      <c r="CF144" s="75">
        <f t="shared" si="33"/>
        <v>0.73333333333333339</v>
      </c>
    </row>
    <row r="145" spans="2:84" ht="12.75" customHeight="1" x14ac:dyDescent="0.25">
      <c r="B145" s="76">
        <v>3</v>
      </c>
      <c r="C145" s="59" t="s">
        <v>618</v>
      </c>
      <c r="D145" s="60" t="s">
        <v>619</v>
      </c>
      <c r="E145" s="60">
        <v>2010</v>
      </c>
      <c r="F145" s="77">
        <v>35.299999999999997</v>
      </c>
      <c r="G145" s="62">
        <v>64.7</v>
      </c>
      <c r="H145" s="63">
        <v>3.8</v>
      </c>
      <c r="I145" s="64"/>
      <c r="J145" s="65" t="s">
        <v>618</v>
      </c>
      <c r="P145" s="66">
        <v>5.584644672858265</v>
      </c>
      <c r="Q145" s="66">
        <v>3.9624899241932421</v>
      </c>
      <c r="R145" s="66">
        <v>3.0340039193664454</v>
      </c>
      <c r="S145" s="66">
        <v>2.604471088787407</v>
      </c>
      <c r="T145" s="66">
        <v>2.4269734911821845</v>
      </c>
      <c r="U145" s="66">
        <v>2.9280358899553502</v>
      </c>
      <c r="V145" s="66">
        <v>3.5429234268459737</v>
      </c>
      <c r="Z145" s="66">
        <v>3.5429234268459737</v>
      </c>
      <c r="AA145" s="66">
        <f t="shared" si="30"/>
        <v>3.4533082300043549</v>
      </c>
      <c r="AC145" s="67" t="s">
        <v>619</v>
      </c>
      <c r="AI145" s="66">
        <f>VLOOKUP($B145,$AB$198:$AN$204,8,FALSE)</f>
        <v>128.9834964234991</v>
      </c>
      <c r="AJ145" s="66">
        <f>VLOOKUP($B145,$AB$198:$AN$204,9,FALSE)</f>
        <v>140.08513617162512</v>
      </c>
      <c r="AK145" s="66">
        <f>VLOOKUP($B145,$AB$198:$AN$204,10,FALSE)</f>
        <v>159.45976537422837</v>
      </c>
      <c r="AL145" s="66">
        <f>VLOOKUP($B145,$AB$198:$AN$204,11,FALSE)</f>
        <v>176.08231767394884</v>
      </c>
      <c r="AM145" s="66">
        <f>VLOOKUP($B145,$AB$198:$AN$204,12,FALSE)</f>
        <v>179.91973269843069</v>
      </c>
      <c r="AN145" s="66">
        <f>VLOOKUP($B145,$AB$198:$AN$204,13,FALSE)</f>
        <v>163.73758550252111</v>
      </c>
      <c r="AT145" s="66">
        <f t="shared" si="31"/>
        <v>158.04467230737555</v>
      </c>
      <c r="AV145" s="59" t="s">
        <v>618</v>
      </c>
      <c r="BB145" s="68">
        <f>VLOOKUP($B145,$AU$198:$BH$204,8,FALSE)</f>
        <v>15.896096812126734</v>
      </c>
      <c r="BC145" s="68">
        <f>VLOOKUP($B145,$AU$198:$BH$204,9,FALSE)</f>
        <v>15.574506119519162</v>
      </c>
      <c r="BD145" s="68">
        <f>VLOOKUP($B145,$AU$198:$BH$204,10,FALSE)</f>
        <v>15.053685490252553</v>
      </c>
      <c r="BE145" s="68">
        <f>VLOOKUP($B145,$AU$198:$BH$204,11,FALSE)</f>
        <v>14.526883451785674</v>
      </c>
      <c r="BF145" s="68">
        <f>VLOOKUP($B145,$AU$198:$BH$204,12,FALSE)</f>
        <v>14.663359386876838</v>
      </c>
      <c r="BG145" s="68">
        <f>VLOOKUP($B145,$AU$198:$BH$204,13,FALSE)</f>
        <v>15.454370304742046</v>
      </c>
      <c r="BM145" s="68">
        <f t="shared" si="32"/>
        <v>15.1948169275505</v>
      </c>
      <c r="BO145" s="59" t="s">
        <v>618</v>
      </c>
      <c r="BT145" s="74"/>
      <c r="BU145" s="69">
        <f>VLOOKUP($B145,$BN$198:$BZ$204,8,FALSE)</f>
        <v>1.5948707163335805</v>
      </c>
      <c r="BV145" s="69">
        <f>VLOOKUP($B145,$BN$198:$BZ$204,9,FALSE)</f>
        <v>1.9470251257359674</v>
      </c>
      <c r="BW145" s="69">
        <f>VLOOKUP($B145,$BN$198:$BZ$204,10,FALSE)</f>
        <v>2.1255980960882401</v>
      </c>
      <c r="BX145" s="69">
        <f>VLOOKUP($B145,$BN$198:$BZ$204,11,FALSE)</f>
        <v>2.0468362458386125</v>
      </c>
      <c r="BY145" s="69">
        <f>VLOOKUP($B145,$BN$198:$BZ$204,12,FALSE)</f>
        <v>1.9140404691321369</v>
      </c>
      <c r="BZ145" s="69">
        <f>VLOOKUP($B145,$BN$198:$BZ$204,13,FALSE)</f>
        <v>1.7004174496949338</v>
      </c>
      <c r="CF145" s="69">
        <f t="shared" si="33"/>
        <v>1.8881313504705786</v>
      </c>
    </row>
    <row r="146" spans="2:84" ht="12.75" customHeight="1" x14ac:dyDescent="0.25">
      <c r="B146" s="76">
        <v>4</v>
      </c>
      <c r="C146" s="59" t="s">
        <v>620</v>
      </c>
      <c r="D146" s="60" t="s">
        <v>621</v>
      </c>
      <c r="E146" s="60">
        <v>2010</v>
      </c>
      <c r="F146" s="77">
        <v>47</v>
      </c>
      <c r="G146" s="62">
        <v>53</v>
      </c>
      <c r="H146" s="63">
        <v>2.8</v>
      </c>
      <c r="I146" s="64"/>
      <c r="J146" s="65" t="s">
        <v>620</v>
      </c>
      <c r="P146" s="66">
        <v>14.02222222222222</v>
      </c>
      <c r="Q146" s="66">
        <v>11.930374904361134</v>
      </c>
      <c r="R146" s="66">
        <v>9.2577029027354598</v>
      </c>
      <c r="S146" s="66">
        <v>7.8242517155789182</v>
      </c>
      <c r="T146" s="66">
        <v>6.5840245506868422</v>
      </c>
      <c r="U146" s="66">
        <v>7.3444444444444441</v>
      </c>
      <c r="V146" s="66">
        <v>6.58</v>
      </c>
      <c r="Z146" s="66">
        <v>6.58</v>
      </c>
      <c r="AA146" s="66">
        <f t="shared" si="30"/>
        <v>8.7653775925036275</v>
      </c>
      <c r="AC146" s="67" t="s">
        <v>621</v>
      </c>
      <c r="AI146" s="66">
        <f>VLOOKUP($B146,$AB$198:$AN$204,8,FALSE)</f>
        <v>79.341861538879385</v>
      </c>
      <c r="AJ146" s="66">
        <f>VLOOKUP($B146,$AB$198:$AN$204,9,FALSE)</f>
        <v>88.50619591554171</v>
      </c>
      <c r="AK146" s="66">
        <f>VLOOKUP($B146,$AB$198:$AN$204,10,FALSE)</f>
        <v>90.69473658368932</v>
      </c>
      <c r="AL146" s="66">
        <f>VLOOKUP($B146,$AB$198:$AN$204,11,FALSE)</f>
        <v>86.039752929996837</v>
      </c>
      <c r="AM146" s="66">
        <f>VLOOKUP($B146,$AB$198:$AN$204,12,FALSE)</f>
        <v>90.63333333333334</v>
      </c>
      <c r="AN146" s="66">
        <f>VLOOKUP($B146,$AB$198:$AN$204,13,FALSE)</f>
        <v>79.016666666666666</v>
      </c>
      <c r="AT146" s="66">
        <f t="shared" si="31"/>
        <v>85.70542449468455</v>
      </c>
      <c r="AV146" s="59" t="s">
        <v>620</v>
      </c>
      <c r="BB146" s="68">
        <f>VLOOKUP($B146,$AU$198:$BH$204,8,FALSE)</f>
        <v>15.783333333333331</v>
      </c>
      <c r="BC146" s="68">
        <f>VLOOKUP($B146,$AU$198:$BH$204,9,FALSE)</f>
        <v>16.96777777777778</v>
      </c>
      <c r="BD146" s="68">
        <f>VLOOKUP($B146,$AU$198:$BH$204,10,FALSE)</f>
        <v>18.087777777777777</v>
      </c>
      <c r="BE146" s="68">
        <f>VLOOKUP($B146,$AU$198:$BH$204,11,FALSE)</f>
        <v>15.511111111111111</v>
      </c>
      <c r="BF146" s="68">
        <f>VLOOKUP($B146,$AU$198:$BH$204,12,FALSE)</f>
        <v>14.228888888888889</v>
      </c>
      <c r="BG146" s="68">
        <f>VLOOKUP($B146,$AU$198:$BH$204,13,FALSE)</f>
        <v>15.466666666666669</v>
      </c>
      <c r="BM146" s="68">
        <f t="shared" si="32"/>
        <v>16.007592592592591</v>
      </c>
      <c r="BO146" s="59" t="s">
        <v>620</v>
      </c>
      <c r="BT146" s="74"/>
      <c r="BU146" s="69">
        <f>VLOOKUP($B146,$BN$198:$BZ$204,8,FALSE)</f>
        <v>1.3611111111111112</v>
      </c>
      <c r="BV146" s="69">
        <f>VLOOKUP($B146,$BN$198:$BZ$204,9,FALSE)</f>
        <v>1.7591101065276993</v>
      </c>
      <c r="BW146" s="69">
        <f>VLOOKUP($B146,$BN$198:$BZ$204,10,FALSE)</f>
        <v>1.8948899098974377</v>
      </c>
      <c r="BX146" s="69">
        <f>VLOOKUP($B146,$BN$198:$BZ$204,11,FALSE)</f>
        <v>1.8022222222222222</v>
      </c>
      <c r="BY146" s="69">
        <f>VLOOKUP($B146,$BN$198:$BZ$204,12,FALSE)</f>
        <v>1.6577777777777776</v>
      </c>
      <c r="BZ146" s="69">
        <f>VLOOKUP($B146,$BN$198:$BZ$204,13,FALSE)</f>
        <v>1.53</v>
      </c>
      <c r="CF146" s="69">
        <f t="shared" si="33"/>
        <v>1.6675185212560413</v>
      </c>
    </row>
    <row r="147" spans="2:84" ht="12.75" customHeight="1" x14ac:dyDescent="0.25">
      <c r="B147" s="58">
        <v>2</v>
      </c>
      <c r="C147" s="59" t="s">
        <v>622</v>
      </c>
      <c r="D147" s="60" t="s">
        <v>623</v>
      </c>
      <c r="E147" s="60">
        <v>2010</v>
      </c>
      <c r="F147" s="77">
        <v>74.3</v>
      </c>
      <c r="G147" s="62">
        <v>25.7</v>
      </c>
      <c r="H147" s="63">
        <v>3.3</v>
      </c>
      <c r="I147" s="64"/>
      <c r="J147" s="65" t="s">
        <v>622</v>
      </c>
      <c r="P147" s="70">
        <v>8.1</v>
      </c>
      <c r="Q147" s="71">
        <v>2.61</v>
      </c>
      <c r="R147" s="71">
        <v>2.81</v>
      </c>
      <c r="S147" s="71">
        <v>4</v>
      </c>
      <c r="T147" s="71">
        <v>6.52</v>
      </c>
      <c r="U147" s="71">
        <v>15.3</v>
      </c>
      <c r="V147" s="71">
        <v>17.5</v>
      </c>
      <c r="Z147" s="71">
        <v>17.5</v>
      </c>
      <c r="AA147" s="70">
        <f t="shared" si="30"/>
        <v>9.2925000000000004</v>
      </c>
      <c r="AC147" s="67" t="s">
        <v>623</v>
      </c>
      <c r="AI147" s="72">
        <v>16.13810095394529</v>
      </c>
      <c r="AJ147" s="72">
        <v>45.589403973509931</v>
      </c>
      <c r="AK147" s="72">
        <v>51.368747268465178</v>
      </c>
      <c r="AL147" s="72">
        <v>61.602809046783022</v>
      </c>
      <c r="AM147" s="72">
        <v>60.329402034308075</v>
      </c>
      <c r="AN147" s="72">
        <v>47.873958333333341</v>
      </c>
      <c r="AT147" s="72">
        <f t="shared" si="31"/>
        <v>47.150403601724143</v>
      </c>
      <c r="AV147" s="59" t="s">
        <v>622</v>
      </c>
      <c r="BB147" s="73">
        <v>20.6</v>
      </c>
      <c r="BC147" s="73">
        <v>21.1</v>
      </c>
      <c r="BD147" s="73">
        <v>18.100000000000001</v>
      </c>
      <c r="BE147" s="73">
        <v>13.8</v>
      </c>
      <c r="BF147" s="73">
        <v>13.8</v>
      </c>
      <c r="BG147" s="73">
        <v>13.7</v>
      </c>
      <c r="BM147" s="73">
        <f t="shared" si="32"/>
        <v>16.850000000000001</v>
      </c>
      <c r="BO147" s="59" t="s">
        <v>622</v>
      </c>
      <c r="BT147" s="74"/>
      <c r="BU147" s="75">
        <v>2.5</v>
      </c>
      <c r="BV147" s="75">
        <v>1.9</v>
      </c>
      <c r="BW147" s="75">
        <v>1.7</v>
      </c>
      <c r="BX147" s="75">
        <v>1.3</v>
      </c>
      <c r="BY147" s="75">
        <v>1.6</v>
      </c>
      <c r="BZ147" s="75">
        <v>0.3</v>
      </c>
      <c r="CF147" s="75">
        <f t="shared" si="33"/>
        <v>1.55</v>
      </c>
    </row>
    <row r="148" spans="2:84" ht="12.75" customHeight="1" x14ac:dyDescent="0.25">
      <c r="B148" s="58">
        <v>2</v>
      </c>
      <c r="C148" s="59" t="s">
        <v>624</v>
      </c>
      <c r="D148" s="60" t="s">
        <v>625</v>
      </c>
      <c r="E148" s="60">
        <v>2010</v>
      </c>
      <c r="F148" s="77">
        <v>74.7</v>
      </c>
      <c r="G148" s="62">
        <v>25.3</v>
      </c>
      <c r="H148" s="63">
        <v>3.8</v>
      </c>
      <c r="I148" s="64"/>
      <c r="J148" s="65" t="s">
        <v>624</v>
      </c>
      <c r="P148" s="70">
        <v>3.8</v>
      </c>
      <c r="Q148" s="71">
        <v>2.6</v>
      </c>
      <c r="R148" s="71">
        <v>2.4</v>
      </c>
      <c r="S148" s="71">
        <v>2.5</v>
      </c>
      <c r="T148" s="71">
        <v>3.6</v>
      </c>
      <c r="U148" s="71">
        <v>9.6999999999999993</v>
      </c>
      <c r="V148" s="71">
        <v>8.8000000000000007</v>
      </c>
      <c r="Z148" s="71">
        <v>8.8000000000000007</v>
      </c>
      <c r="AA148" s="70">
        <f t="shared" si="30"/>
        <v>5.2750000000000004</v>
      </c>
      <c r="AC148" s="67" t="s">
        <v>625</v>
      </c>
      <c r="AI148" s="72">
        <v>139.5</v>
      </c>
      <c r="AJ148" s="72">
        <v>156.30000000000001</v>
      </c>
      <c r="AK148" s="72">
        <v>159.30000000000001</v>
      </c>
      <c r="AL148" s="72">
        <v>144</v>
      </c>
      <c r="AM148" s="72">
        <v>118.4</v>
      </c>
      <c r="AN148" s="72">
        <v>91</v>
      </c>
      <c r="AT148" s="72">
        <f t="shared" si="31"/>
        <v>134.75</v>
      </c>
      <c r="AV148" s="59" t="s">
        <v>624</v>
      </c>
      <c r="BB148" s="73">
        <v>17.03</v>
      </c>
      <c r="BC148" s="73">
        <v>15.981</v>
      </c>
      <c r="BD148" s="73">
        <v>14.904</v>
      </c>
      <c r="BE148" s="73">
        <v>15.5</v>
      </c>
      <c r="BF148" s="73">
        <v>16.8</v>
      </c>
      <c r="BG148" s="73">
        <v>20.9</v>
      </c>
      <c r="BM148" s="73">
        <f t="shared" si="32"/>
        <v>16.852500000000003</v>
      </c>
      <c r="BO148" s="59" t="s">
        <v>624</v>
      </c>
      <c r="BT148" s="74"/>
      <c r="BU148" s="75">
        <v>2.8507174497650398</v>
      </c>
      <c r="BV148" s="75">
        <v>3.1833730887806539</v>
      </c>
      <c r="BW148" s="75">
        <v>3.3</v>
      </c>
      <c r="BX148" s="75">
        <v>3</v>
      </c>
      <c r="BY148" s="75">
        <v>1.8</v>
      </c>
      <c r="BZ148" s="75">
        <v>0.7</v>
      </c>
      <c r="CF148" s="75">
        <f t="shared" si="33"/>
        <v>2.4723484230909492</v>
      </c>
    </row>
    <row r="149" spans="2:84" ht="12.75" customHeight="1" x14ac:dyDescent="0.25">
      <c r="B149" s="76">
        <v>6</v>
      </c>
      <c r="C149" s="59" t="s">
        <v>626</v>
      </c>
      <c r="D149" s="60" t="s">
        <v>627</v>
      </c>
      <c r="E149" s="60">
        <v>2010</v>
      </c>
      <c r="F149" s="61">
        <v>77.165714285714287</v>
      </c>
      <c r="G149" s="62" t="s">
        <v>355</v>
      </c>
      <c r="H149" s="63" t="s">
        <v>355</v>
      </c>
      <c r="I149" s="64"/>
      <c r="J149" s="65" t="s">
        <v>626</v>
      </c>
      <c r="P149" s="70">
        <v>31</v>
      </c>
      <c r="Q149" s="71">
        <v>29</v>
      </c>
      <c r="R149" s="71">
        <v>25</v>
      </c>
      <c r="S149" s="71">
        <v>18.100000000000001</v>
      </c>
      <c r="T149" s="71">
        <v>12.6</v>
      </c>
      <c r="U149" s="71">
        <v>13.1</v>
      </c>
      <c r="V149" s="71">
        <v>12.5</v>
      </c>
      <c r="Z149" s="71">
        <v>12.5</v>
      </c>
      <c r="AA149" s="70">
        <f t="shared" si="30"/>
        <v>19.224999999999998</v>
      </c>
      <c r="AC149" s="67" t="s">
        <v>627</v>
      </c>
      <c r="AI149" s="72">
        <v>55.1</v>
      </c>
      <c r="AJ149" s="72">
        <v>48.8</v>
      </c>
      <c r="AK149" s="72">
        <v>83.5</v>
      </c>
      <c r="AL149" s="72">
        <v>67</v>
      </c>
      <c r="AM149" s="72">
        <v>66.3</v>
      </c>
      <c r="AN149" s="72">
        <v>65.900000000000006</v>
      </c>
      <c r="AT149" s="72">
        <f t="shared" si="31"/>
        <v>64.433333333333337</v>
      </c>
      <c r="AV149" s="59" t="s">
        <v>626</v>
      </c>
      <c r="BB149" s="73">
        <v>14</v>
      </c>
      <c r="BC149" s="73">
        <v>14</v>
      </c>
      <c r="BD149" s="73">
        <v>13.7</v>
      </c>
      <c r="BE149" s="73">
        <v>16.600000000000001</v>
      </c>
      <c r="BF149" s="73">
        <v>15.9</v>
      </c>
      <c r="BG149" s="73">
        <v>20.5</v>
      </c>
      <c r="BM149" s="73">
        <f t="shared" si="32"/>
        <v>15.783333333333333</v>
      </c>
      <c r="BO149" s="59" t="s">
        <v>626</v>
      </c>
      <c r="BT149" s="74"/>
      <c r="BU149" s="75">
        <v>1.8</v>
      </c>
      <c r="BV149" s="75">
        <v>0.9</v>
      </c>
      <c r="BW149" s="75">
        <v>2.4</v>
      </c>
      <c r="BX149" s="75">
        <v>1.5</v>
      </c>
      <c r="BY149" s="75">
        <v>2.4</v>
      </c>
      <c r="BZ149" s="75">
        <v>1</v>
      </c>
      <c r="CF149" s="75">
        <f t="shared" si="33"/>
        <v>1.6666666666666667</v>
      </c>
    </row>
    <row r="150" spans="2:84" ht="12.75" customHeight="1" x14ac:dyDescent="0.25">
      <c r="B150" s="76">
        <v>1</v>
      </c>
      <c r="C150" s="59" t="s">
        <v>628</v>
      </c>
      <c r="D150" s="60" t="s">
        <v>629</v>
      </c>
      <c r="E150" s="60">
        <v>2010</v>
      </c>
      <c r="F150" s="77">
        <v>85.4</v>
      </c>
      <c r="G150" s="62">
        <v>14.6</v>
      </c>
      <c r="H150" s="63">
        <v>2.5</v>
      </c>
      <c r="I150" s="64"/>
      <c r="J150" s="65" t="s">
        <v>628</v>
      </c>
      <c r="P150" s="66">
        <v>10.951448940605555</v>
      </c>
      <c r="Q150" s="66">
        <v>8.9659352564169783</v>
      </c>
      <c r="R150" s="66">
        <v>7.5764805003373485</v>
      </c>
      <c r="S150" s="66">
        <v>6.9766808385753336</v>
      </c>
      <c r="T150" s="66">
        <v>6.028398498646701</v>
      </c>
      <c r="U150" s="66">
        <v>5.1511144935422388</v>
      </c>
      <c r="V150" s="66">
        <v>7.19</v>
      </c>
      <c r="Z150" s="66">
        <v>7.19</v>
      </c>
      <c r="AA150" s="66">
        <f t="shared" si="30"/>
        <v>7.5037573160155189</v>
      </c>
      <c r="AC150" s="67" t="s">
        <v>629</v>
      </c>
      <c r="AI150" s="66">
        <f>VLOOKUP($B150,$AB$198:$AN$204,8,FALSE)</f>
        <v>62.267766724334649</v>
      </c>
      <c r="AJ150" s="66">
        <f>VLOOKUP($B150,$AB$198:$AN$204,9,FALSE)</f>
        <v>58.416201756290228</v>
      </c>
      <c r="AK150" s="66">
        <f>VLOOKUP($B150,$AB$198:$AN$204,10,FALSE)</f>
        <v>65.401431372790213</v>
      </c>
      <c r="AL150" s="66">
        <f>VLOOKUP($B150,$AB$198:$AN$204,11,FALSE)</f>
        <v>71.775804261946988</v>
      </c>
      <c r="AM150" s="66">
        <f>VLOOKUP($B150,$AB$198:$AN$204,12,FALSE)</f>
        <v>85.024999999999991</v>
      </c>
      <c r="AN150" s="66">
        <f>VLOOKUP($B150,$AB$198:$AN$204,13,FALSE)</f>
        <v>106.17999999999999</v>
      </c>
      <c r="AT150" s="66">
        <f t="shared" si="31"/>
        <v>74.84436735256034</v>
      </c>
      <c r="AV150" s="59" t="s">
        <v>628</v>
      </c>
      <c r="BB150" s="68">
        <f>VLOOKUP($B150,$AU$198:$BH$204,8,FALSE)</f>
        <v>11.270393306464786</v>
      </c>
      <c r="BC150" s="68">
        <f>VLOOKUP($B150,$AU$198:$BH$204,9,FALSE)</f>
        <v>12.218846153846155</v>
      </c>
      <c r="BD150" s="68">
        <f>VLOOKUP($B150,$AU$198:$BH$204,10,FALSE)</f>
        <v>12.689038461538463</v>
      </c>
      <c r="BE150" s="68">
        <f>VLOOKUP($B150,$AU$198:$BH$204,11,FALSE)</f>
        <v>12.925000000000001</v>
      </c>
      <c r="BF150" s="68">
        <f>VLOOKUP($B150,$AU$198:$BH$204,12,FALSE)</f>
        <v>13.27</v>
      </c>
      <c r="BG150" s="68">
        <f>VLOOKUP($B150,$AU$198:$BH$204,13,FALSE)</f>
        <v>14.116666666666667</v>
      </c>
      <c r="BM150" s="68">
        <f t="shared" si="32"/>
        <v>12.748324098086011</v>
      </c>
      <c r="BO150" s="59" t="s">
        <v>628</v>
      </c>
      <c r="BT150" s="74"/>
      <c r="BU150" s="69">
        <f>VLOOKUP($B150,$BN$198:$BZ$204,8,FALSE)</f>
        <v>1.1095149831589846</v>
      </c>
      <c r="BV150" s="69">
        <f>VLOOKUP($B150,$BN$198:$BZ$204,9,FALSE)</f>
        <v>1.2860560376080794</v>
      </c>
      <c r="BW150" s="69">
        <f>VLOOKUP($B150,$BN$198:$BZ$204,10,FALSE)</f>
        <v>1.0562499999999999</v>
      </c>
      <c r="BX150" s="69">
        <f>VLOOKUP($B150,$BN$198:$BZ$204,11,FALSE)</f>
        <v>1.2375</v>
      </c>
      <c r="BY150" s="69">
        <f>VLOOKUP($B150,$BN$198:$BZ$204,12,FALSE)</f>
        <v>1.2124999999999999</v>
      </c>
      <c r="BZ150" s="69">
        <f>VLOOKUP($B150,$BN$198:$BZ$204,13,FALSE)</f>
        <v>1.3316666666666668</v>
      </c>
      <c r="CF150" s="69">
        <f t="shared" si="33"/>
        <v>1.2055812812389552</v>
      </c>
    </row>
    <row r="151" spans="2:84" ht="12.75" customHeight="1" x14ac:dyDescent="0.25">
      <c r="B151" s="76">
        <v>6</v>
      </c>
      <c r="C151" s="59" t="s">
        <v>630</v>
      </c>
      <c r="D151" s="60" t="s">
        <v>631</v>
      </c>
      <c r="E151" s="60">
        <v>2010</v>
      </c>
      <c r="F151" s="61">
        <v>77.165714285714287</v>
      </c>
      <c r="G151" s="62" t="s">
        <v>355</v>
      </c>
      <c r="H151" s="63" t="s">
        <v>355</v>
      </c>
      <c r="I151" s="64"/>
      <c r="J151" s="65" t="s">
        <v>630</v>
      </c>
      <c r="P151" s="66">
        <v>12.639230769230769</v>
      </c>
      <c r="Q151" s="66">
        <v>12.165410295921369</v>
      </c>
      <c r="R151" s="66">
        <v>10.59847453234358</v>
      </c>
      <c r="S151" s="66">
        <v>9.472707780057064</v>
      </c>
      <c r="T151" s="66">
        <v>7.9803674992915017</v>
      </c>
      <c r="U151" s="66">
        <v>8.8942099137723467</v>
      </c>
      <c r="V151" s="66">
        <v>9.5068542417657511</v>
      </c>
      <c r="Z151" s="66">
        <v>9.5068542417657511</v>
      </c>
      <c r="AA151" s="66">
        <f t="shared" si="30"/>
        <v>10.095513659268518</v>
      </c>
      <c r="AC151" s="67" t="s">
        <v>631</v>
      </c>
      <c r="AI151" s="66">
        <f>VLOOKUP($B151,$AB$198:$AN$204,8,FALSE)</f>
        <v>75.888644067796605</v>
      </c>
      <c r="AJ151" s="66">
        <f>VLOOKUP($B151,$AB$198:$AN$204,9,FALSE)</f>
        <v>80.455696202531627</v>
      </c>
      <c r="AK151" s="66">
        <f>VLOOKUP($B151,$AB$198:$AN$204,10,FALSE)</f>
        <v>79.335945945945952</v>
      </c>
      <c r="AL151" s="66">
        <f>VLOOKUP($B151,$AB$198:$AN$204,11,FALSE)</f>
        <v>70.762500000000003</v>
      </c>
      <c r="AM151" s="66">
        <f>VLOOKUP($B151,$AB$198:$AN$204,12,FALSE)</f>
        <v>76.45</v>
      </c>
      <c r="AN151" s="66">
        <f>VLOOKUP($B151,$AB$198:$AN$204,13,FALSE)</f>
        <v>67.424999999999997</v>
      </c>
      <c r="AT151" s="66">
        <f t="shared" si="31"/>
        <v>75.05296436937904</v>
      </c>
      <c r="AV151" s="59" t="s">
        <v>630</v>
      </c>
      <c r="BB151" s="68">
        <f>VLOOKUP($B151,$AU$198:$BH$204,8,FALSE)</f>
        <v>18.156923076923078</v>
      </c>
      <c r="BC151" s="68">
        <f>VLOOKUP($B151,$AU$198:$BH$204,9,FALSE)</f>
        <v>17.862307692307695</v>
      </c>
      <c r="BD151" s="68">
        <f>VLOOKUP($B151,$AU$198:$BH$204,10,FALSE)</f>
        <v>17.588461538461537</v>
      </c>
      <c r="BE151" s="68">
        <f>VLOOKUP($B151,$AU$198:$BH$204,11,FALSE)</f>
        <v>17.724615384615387</v>
      </c>
      <c r="BF151" s="68">
        <f>VLOOKUP($B151,$AU$198:$BH$204,12,FALSE)</f>
        <v>18.493846153846153</v>
      </c>
      <c r="BG151" s="68">
        <f>VLOOKUP($B151,$AU$198:$BH$204,13,FALSE)</f>
        <v>19.346363636363638</v>
      </c>
      <c r="BM151" s="68">
        <f t="shared" si="32"/>
        <v>18.195419580419578</v>
      </c>
      <c r="BO151" s="59" t="s">
        <v>630</v>
      </c>
      <c r="BT151" s="74"/>
      <c r="BU151" s="69">
        <f>VLOOKUP($B151,$BN$198:$BZ$204,8,FALSE)</f>
        <v>3.2984615384615386</v>
      </c>
      <c r="BV151" s="69">
        <f>VLOOKUP($B151,$BN$198:$BZ$204,9,FALSE)</f>
        <v>2.7469230769230766</v>
      </c>
      <c r="BW151" s="69">
        <f>VLOOKUP($B151,$BN$198:$BZ$204,10,FALSE)</f>
        <v>2.7653846153846158</v>
      </c>
      <c r="BX151" s="69">
        <f>VLOOKUP($B151,$BN$198:$BZ$204,11,FALSE)</f>
        <v>2.525384615384616</v>
      </c>
      <c r="BY151" s="69">
        <f>VLOOKUP($B151,$BN$198:$BZ$204,12,FALSE)</f>
        <v>2.9269230769230767</v>
      </c>
      <c r="BZ151" s="69">
        <f>VLOOKUP($B151,$BN$198:$BZ$204,13,FALSE)</f>
        <v>2.36</v>
      </c>
      <c r="CF151" s="69">
        <f t="shared" si="33"/>
        <v>2.7705128205128204</v>
      </c>
    </row>
    <row r="152" spans="2:84" ht="12.75" customHeight="1" x14ac:dyDescent="0.25">
      <c r="B152" s="76">
        <v>4</v>
      </c>
      <c r="C152" s="59" t="s">
        <v>632</v>
      </c>
      <c r="D152" s="60" t="s">
        <v>633</v>
      </c>
      <c r="E152" s="60">
        <v>2010</v>
      </c>
      <c r="F152" s="77">
        <v>63.2</v>
      </c>
      <c r="G152" s="62">
        <v>36.799999999999997</v>
      </c>
      <c r="H152" s="63">
        <v>1.5</v>
      </c>
      <c r="I152" s="64"/>
      <c r="J152" s="65" t="s">
        <v>632</v>
      </c>
      <c r="P152" s="70">
        <v>2.8</v>
      </c>
      <c r="Q152" s="71">
        <v>1.9</v>
      </c>
      <c r="R152" s="71">
        <v>2</v>
      </c>
      <c r="S152" s="71">
        <v>2.1</v>
      </c>
      <c r="T152" s="71">
        <v>1.4</v>
      </c>
      <c r="U152" s="71">
        <v>3.3</v>
      </c>
      <c r="V152" s="71" t="s">
        <v>355</v>
      </c>
      <c r="Z152" s="71" t="s">
        <v>355</v>
      </c>
      <c r="AA152" s="70">
        <f t="shared" si="30"/>
        <v>2.25</v>
      </c>
      <c r="AC152" s="67" t="s">
        <v>633</v>
      </c>
      <c r="AI152" s="72">
        <v>175.4</v>
      </c>
      <c r="AJ152" s="72">
        <v>202.8</v>
      </c>
      <c r="AK152" s="72">
        <v>182.3</v>
      </c>
      <c r="AL152" s="72">
        <v>142.9</v>
      </c>
      <c r="AM152" s="72">
        <v>153.30000000000001</v>
      </c>
      <c r="AN152" s="72" t="s">
        <v>380</v>
      </c>
      <c r="AT152" s="72">
        <f t="shared" si="31"/>
        <v>171.34</v>
      </c>
      <c r="AV152" s="59" t="s">
        <v>632</v>
      </c>
      <c r="BB152" s="73">
        <v>17.8</v>
      </c>
      <c r="BC152" s="73">
        <v>17.8</v>
      </c>
      <c r="BD152" s="73">
        <v>21.9</v>
      </c>
      <c r="BE152" s="73">
        <v>20.6</v>
      </c>
      <c r="BF152" s="73">
        <v>16</v>
      </c>
      <c r="BG152" s="73" t="s">
        <v>380</v>
      </c>
      <c r="BM152" s="73">
        <f t="shared" si="32"/>
        <v>18.82</v>
      </c>
      <c r="BO152" s="59" t="s">
        <v>632</v>
      </c>
      <c r="BT152" s="74"/>
      <c r="BU152" s="75">
        <v>2.4</v>
      </c>
      <c r="BV152" s="75">
        <v>3.4</v>
      </c>
      <c r="BW152" s="75">
        <v>4</v>
      </c>
      <c r="BX152" s="75">
        <v>2.8</v>
      </c>
      <c r="BY152" s="75">
        <v>2.2999999999999998</v>
      </c>
      <c r="BZ152" s="75">
        <v>1.95</v>
      </c>
      <c r="CF152" s="75">
        <f t="shared" si="33"/>
        <v>2.8083333333333336</v>
      </c>
    </row>
    <row r="153" spans="2:84" ht="12.75" customHeight="1" x14ac:dyDescent="0.25">
      <c r="B153" s="76">
        <v>6</v>
      </c>
      <c r="C153" s="59" t="s">
        <v>634</v>
      </c>
      <c r="D153" s="60" t="s">
        <v>635</v>
      </c>
      <c r="E153" s="60">
        <v>2010</v>
      </c>
      <c r="F153" s="77">
        <v>68</v>
      </c>
      <c r="G153" s="62">
        <v>32</v>
      </c>
      <c r="H153" s="63">
        <v>3</v>
      </c>
      <c r="I153" s="64"/>
      <c r="J153" s="65" t="s">
        <v>634</v>
      </c>
      <c r="P153" s="70">
        <v>12.6</v>
      </c>
      <c r="Q153" s="71">
        <v>11.9</v>
      </c>
      <c r="R153" s="71">
        <v>16.8</v>
      </c>
      <c r="S153" s="71">
        <v>18.600000000000001</v>
      </c>
      <c r="T153" s="71">
        <v>19.100000000000001</v>
      </c>
      <c r="U153" s="71">
        <v>18.7</v>
      </c>
      <c r="V153" s="71" t="s">
        <v>355</v>
      </c>
      <c r="Z153" s="71" t="s">
        <v>355</v>
      </c>
      <c r="AA153" s="70">
        <f t="shared" si="30"/>
        <v>16.283333333333335</v>
      </c>
      <c r="AC153" s="67" t="s">
        <v>635</v>
      </c>
      <c r="AI153" s="72">
        <v>75.7</v>
      </c>
      <c r="AJ153" s="72">
        <v>75.400000000000006</v>
      </c>
      <c r="AK153" s="72">
        <v>52</v>
      </c>
      <c r="AL153" s="72">
        <v>53.8</v>
      </c>
      <c r="AM153" s="72">
        <v>51.5</v>
      </c>
      <c r="AN153" s="72">
        <v>50.5</v>
      </c>
      <c r="AT153" s="72">
        <f t="shared" si="31"/>
        <v>59.81666666666667</v>
      </c>
      <c r="AV153" s="59" t="s">
        <v>634</v>
      </c>
      <c r="BB153" s="73">
        <v>11.9</v>
      </c>
      <c r="BC153" s="73">
        <v>11.1</v>
      </c>
      <c r="BD153" s="73">
        <v>13.1</v>
      </c>
      <c r="BE153" s="73">
        <v>13.6</v>
      </c>
      <c r="BF153" s="73">
        <v>13.9</v>
      </c>
      <c r="BG153" s="73">
        <v>15.9</v>
      </c>
      <c r="BM153" s="73">
        <f t="shared" si="32"/>
        <v>13.25</v>
      </c>
      <c r="BO153" s="59" t="s">
        <v>634</v>
      </c>
      <c r="BT153" s="74"/>
      <c r="BU153" s="75">
        <v>1.8</v>
      </c>
      <c r="BV153" s="75">
        <v>1.6</v>
      </c>
      <c r="BW153" s="75">
        <v>1.6</v>
      </c>
      <c r="BX153" s="75">
        <v>1.6</v>
      </c>
      <c r="BY153" s="75">
        <v>1.4</v>
      </c>
      <c r="BZ153" s="75" t="s">
        <v>380</v>
      </c>
      <c r="CF153" s="75">
        <f t="shared" si="33"/>
        <v>1.6</v>
      </c>
    </row>
    <row r="154" spans="2:84" ht="12.75" customHeight="1" x14ac:dyDescent="0.25">
      <c r="B154" s="58">
        <v>2</v>
      </c>
      <c r="C154" s="59" t="s">
        <v>636</v>
      </c>
      <c r="D154" s="60" t="s">
        <v>637</v>
      </c>
      <c r="E154" s="60">
        <v>2010</v>
      </c>
      <c r="F154" s="77">
        <v>70.5</v>
      </c>
      <c r="G154" s="62">
        <v>29.5</v>
      </c>
      <c r="H154" s="63">
        <v>2.7</v>
      </c>
      <c r="I154" s="64"/>
      <c r="J154" s="65" t="s">
        <v>636</v>
      </c>
      <c r="P154" s="66">
        <v>6.5470230297727472</v>
      </c>
      <c r="Q154" s="66">
        <v>4.866104606691894</v>
      </c>
      <c r="R154" s="66">
        <v>4.0793587535733469</v>
      </c>
      <c r="S154" s="66">
        <v>3.4682894030301306</v>
      </c>
      <c r="T154" s="66">
        <v>5.324434274292706</v>
      </c>
      <c r="U154" s="66">
        <v>11.791266704541009</v>
      </c>
      <c r="V154" s="66">
        <v>13.204792520432788</v>
      </c>
      <c r="Z154" s="66">
        <v>13.204792520432788</v>
      </c>
      <c r="AA154" s="66">
        <f t="shared" si="30"/>
        <v>7.8107577265959263</v>
      </c>
      <c r="AC154" s="67" t="s">
        <v>637</v>
      </c>
      <c r="AI154" s="72" t="s">
        <v>380</v>
      </c>
      <c r="AJ154" s="72" t="s">
        <v>380</v>
      </c>
      <c r="AK154" s="72" t="s">
        <v>380</v>
      </c>
      <c r="AL154" s="72" t="s">
        <v>380</v>
      </c>
      <c r="AM154" s="72">
        <v>187.79</v>
      </c>
      <c r="AN154" s="72">
        <v>152.94</v>
      </c>
      <c r="AT154" s="72">
        <f t="shared" si="31"/>
        <v>170.36500000000001</v>
      </c>
      <c r="AV154" s="59" t="s">
        <v>636</v>
      </c>
      <c r="BB154" s="73">
        <v>27.9</v>
      </c>
      <c r="BC154" s="73">
        <v>26</v>
      </c>
      <c r="BD154" s="73">
        <v>24.7</v>
      </c>
      <c r="BE154" s="73">
        <v>27.9</v>
      </c>
      <c r="BF154" s="73">
        <v>21.9</v>
      </c>
      <c r="BG154" s="73">
        <v>21.2</v>
      </c>
      <c r="BM154" s="73">
        <f t="shared" si="32"/>
        <v>24.933333333333334</v>
      </c>
      <c r="BO154" s="59" t="s">
        <v>636</v>
      </c>
      <c r="BT154" s="74"/>
      <c r="BU154" s="75">
        <v>-1.2</v>
      </c>
      <c r="BV154" s="75">
        <v>1.1000000000000001</v>
      </c>
      <c r="BW154" s="75">
        <v>1.7</v>
      </c>
      <c r="BX154" s="75">
        <v>1.7</v>
      </c>
      <c r="BY154" s="75">
        <v>2.1</v>
      </c>
      <c r="BZ154" s="75">
        <v>1</v>
      </c>
      <c r="CF154" s="75">
        <f t="shared" si="33"/>
        <v>1.0666666666666667</v>
      </c>
    </row>
    <row r="155" spans="2:84" ht="12.75" customHeight="1" x14ac:dyDescent="0.25">
      <c r="B155" s="76">
        <v>6</v>
      </c>
      <c r="C155" s="59" t="s">
        <v>638</v>
      </c>
      <c r="D155" s="60" t="s">
        <v>639</v>
      </c>
      <c r="E155" s="60">
        <v>2010</v>
      </c>
      <c r="F155" s="61">
        <v>77.165714285714287</v>
      </c>
      <c r="G155" s="62" t="s">
        <v>355</v>
      </c>
      <c r="H155" s="63" t="s">
        <v>355</v>
      </c>
      <c r="I155" s="64"/>
      <c r="J155" s="65" t="s">
        <v>638</v>
      </c>
      <c r="P155" s="66">
        <v>12.639230769230769</v>
      </c>
      <c r="Q155" s="66">
        <v>12.165410295921369</v>
      </c>
      <c r="R155" s="66">
        <v>10.59847453234358</v>
      </c>
      <c r="S155" s="66">
        <v>9.472707780057064</v>
      </c>
      <c r="T155" s="66">
        <v>7.9803674992915017</v>
      </c>
      <c r="U155" s="66">
        <v>8.8942099137723467</v>
      </c>
      <c r="V155" s="66">
        <v>9.5068542417657511</v>
      </c>
      <c r="Z155" s="66">
        <v>9.5068542417657511</v>
      </c>
      <c r="AA155" s="66">
        <f t="shared" si="30"/>
        <v>10.095513659268518</v>
      </c>
      <c r="AC155" s="67" t="s">
        <v>639</v>
      </c>
      <c r="AI155" s="66">
        <f>VLOOKUP($B155,$AB$198:$AN$204,8,FALSE)</f>
        <v>75.888644067796605</v>
      </c>
      <c r="AJ155" s="66">
        <f>VLOOKUP($B155,$AB$198:$AN$204,9,FALSE)</f>
        <v>80.455696202531627</v>
      </c>
      <c r="AK155" s="66">
        <f>VLOOKUP($B155,$AB$198:$AN$204,10,FALSE)</f>
        <v>79.335945945945952</v>
      </c>
      <c r="AL155" s="66">
        <f>VLOOKUP($B155,$AB$198:$AN$204,11,FALSE)</f>
        <v>70.762500000000003</v>
      </c>
      <c r="AM155" s="66">
        <f>VLOOKUP($B155,$AB$198:$AN$204,12,FALSE)</f>
        <v>76.45</v>
      </c>
      <c r="AN155" s="66">
        <f>VLOOKUP($B155,$AB$198:$AN$204,13,FALSE)</f>
        <v>67.424999999999997</v>
      </c>
      <c r="AT155" s="66">
        <f t="shared" si="31"/>
        <v>75.05296436937904</v>
      </c>
      <c r="AV155" s="59" t="s">
        <v>638</v>
      </c>
      <c r="BB155" s="68">
        <f>VLOOKUP($B155,$AU$198:$BH$204,8,FALSE)</f>
        <v>18.156923076923078</v>
      </c>
      <c r="BC155" s="68">
        <f>VLOOKUP($B155,$AU$198:$BH$204,9,FALSE)</f>
        <v>17.862307692307695</v>
      </c>
      <c r="BD155" s="68">
        <f>VLOOKUP($B155,$AU$198:$BH$204,10,FALSE)</f>
        <v>17.588461538461537</v>
      </c>
      <c r="BE155" s="68">
        <f>VLOOKUP($B155,$AU$198:$BH$204,11,FALSE)</f>
        <v>17.724615384615387</v>
      </c>
      <c r="BF155" s="68">
        <f>VLOOKUP($B155,$AU$198:$BH$204,12,FALSE)</f>
        <v>18.493846153846153</v>
      </c>
      <c r="BG155" s="68">
        <f>VLOOKUP($B155,$AU$198:$BH$204,13,FALSE)</f>
        <v>19.346363636363638</v>
      </c>
      <c r="BM155" s="68">
        <f t="shared" si="32"/>
        <v>18.195419580419578</v>
      </c>
      <c r="BO155" s="59" t="s">
        <v>638</v>
      </c>
      <c r="BT155" s="74"/>
      <c r="BU155" s="69">
        <f>VLOOKUP($B155,$BN$198:$BZ$204,8,FALSE)</f>
        <v>3.2984615384615386</v>
      </c>
      <c r="BV155" s="69">
        <f>VLOOKUP($B155,$BN$198:$BZ$204,9,FALSE)</f>
        <v>2.7469230769230766</v>
      </c>
      <c r="BW155" s="69">
        <f>VLOOKUP($B155,$BN$198:$BZ$204,10,FALSE)</f>
        <v>2.7653846153846158</v>
      </c>
      <c r="BX155" s="69">
        <f>VLOOKUP($B155,$BN$198:$BZ$204,11,FALSE)</f>
        <v>2.525384615384616</v>
      </c>
      <c r="BY155" s="69">
        <f>VLOOKUP($B155,$BN$198:$BZ$204,12,FALSE)</f>
        <v>2.9269230769230767</v>
      </c>
      <c r="BZ155" s="69">
        <f>VLOOKUP($B155,$BN$198:$BZ$204,13,FALSE)</f>
        <v>2.36</v>
      </c>
      <c r="CF155" s="69">
        <f t="shared" si="33"/>
        <v>2.7705128205128204</v>
      </c>
    </row>
    <row r="156" spans="2:84" ht="12.75" customHeight="1" x14ac:dyDescent="0.25">
      <c r="B156" s="76">
        <v>6</v>
      </c>
      <c r="C156" s="59" t="s">
        <v>640</v>
      </c>
      <c r="D156" s="60" t="s">
        <v>641</v>
      </c>
      <c r="E156" s="60">
        <v>2010</v>
      </c>
      <c r="F156" s="77">
        <v>91.6</v>
      </c>
      <c r="G156" s="62">
        <v>8.4</v>
      </c>
      <c r="H156" s="63">
        <v>2.6</v>
      </c>
      <c r="I156" s="64"/>
      <c r="J156" s="65" t="s">
        <v>640</v>
      </c>
      <c r="P156" s="70">
        <v>16.5</v>
      </c>
      <c r="Q156" s="71">
        <v>26.8</v>
      </c>
      <c r="R156" s="71">
        <v>26.846932351169535</v>
      </c>
      <c r="S156" s="71">
        <v>31.7</v>
      </c>
      <c r="T156" s="71">
        <v>17.899999999999999</v>
      </c>
      <c r="U156" s="71">
        <v>16.535499158575213</v>
      </c>
      <c r="V156" s="71">
        <v>16.008389586289535</v>
      </c>
      <c r="Z156" s="71">
        <v>16.008389586289535</v>
      </c>
      <c r="AA156" s="70">
        <f t="shared" si="30"/>
        <v>21.037401335290475</v>
      </c>
      <c r="AC156" s="67" t="s">
        <v>641</v>
      </c>
      <c r="AI156" s="72">
        <v>43.1</v>
      </c>
      <c r="AJ156" s="72">
        <v>10.3</v>
      </c>
      <c r="AK156" s="72">
        <v>59.7</v>
      </c>
      <c r="AL156" s="72">
        <v>44.5</v>
      </c>
      <c r="AM156" s="72">
        <v>54.4</v>
      </c>
      <c r="AN156" s="72">
        <v>35.799999999999997</v>
      </c>
      <c r="AT156" s="72">
        <f t="shared" si="31"/>
        <v>41.300000000000004</v>
      </c>
      <c r="AV156" s="59" t="s">
        <v>640</v>
      </c>
      <c r="BB156" s="73">
        <v>38.1</v>
      </c>
      <c r="BC156" s="73">
        <v>35.700000000000003</v>
      </c>
      <c r="BD156" s="73">
        <v>33.299999999999997</v>
      </c>
      <c r="BE156" s="73">
        <v>35</v>
      </c>
      <c r="BF156" s="73">
        <v>43.5</v>
      </c>
      <c r="BG156" s="73">
        <v>36.200000000000003</v>
      </c>
      <c r="BM156" s="73">
        <f t="shared" si="32"/>
        <v>36.966666666666669</v>
      </c>
      <c r="BO156" s="59" t="s">
        <v>640</v>
      </c>
      <c r="BT156" s="74"/>
      <c r="BU156" s="75">
        <v>9.9</v>
      </c>
      <c r="BV156" s="75">
        <v>8.1</v>
      </c>
      <c r="BW156" s="75">
        <v>5.84</v>
      </c>
      <c r="BX156" s="75">
        <v>3.1</v>
      </c>
      <c r="BY156" s="75">
        <v>2.2000000000000002</v>
      </c>
      <c r="BZ156" s="75">
        <v>1</v>
      </c>
      <c r="CF156" s="75">
        <f t="shared" si="33"/>
        <v>5.0233333333333334</v>
      </c>
    </row>
    <row r="157" spans="2:84" ht="12.75" customHeight="1" x14ac:dyDescent="0.25">
      <c r="B157" s="76">
        <v>5</v>
      </c>
      <c r="C157" s="59" t="s">
        <v>642</v>
      </c>
      <c r="D157" s="60" t="s">
        <v>643</v>
      </c>
      <c r="E157" s="60">
        <v>2010</v>
      </c>
      <c r="F157" s="77">
        <v>8.7000000000000028</v>
      </c>
      <c r="G157" s="62">
        <v>91.3</v>
      </c>
      <c r="H157" s="63">
        <v>0.8</v>
      </c>
      <c r="I157" s="64"/>
      <c r="J157" s="65" t="s">
        <v>642</v>
      </c>
      <c r="P157" s="70">
        <v>5</v>
      </c>
      <c r="Q157" s="71">
        <v>3.8</v>
      </c>
      <c r="R157" s="71">
        <v>2.8</v>
      </c>
      <c r="S157" s="71">
        <v>1.5</v>
      </c>
      <c r="T157" s="71">
        <v>1.7</v>
      </c>
      <c r="U157" s="71">
        <v>2.2999999999999998</v>
      </c>
      <c r="V157" s="71" t="s">
        <v>355</v>
      </c>
      <c r="Z157" s="71" t="s">
        <v>355</v>
      </c>
      <c r="AA157" s="70">
        <f t="shared" si="30"/>
        <v>2.85</v>
      </c>
      <c r="AC157" s="67" t="s">
        <v>643</v>
      </c>
      <c r="AI157" s="72">
        <v>73.599999999999994</v>
      </c>
      <c r="AJ157" s="72">
        <v>78.7</v>
      </c>
      <c r="AK157" s="72">
        <v>89.5</v>
      </c>
      <c r="AL157" s="72">
        <v>115.6</v>
      </c>
      <c r="AM157" s="72">
        <v>109.1</v>
      </c>
      <c r="AN157" s="72">
        <v>91</v>
      </c>
      <c r="AT157" s="72">
        <f t="shared" si="31"/>
        <v>92.916666666666671</v>
      </c>
      <c r="AV157" s="59" t="s">
        <v>642</v>
      </c>
      <c r="BB157" s="73">
        <v>16.2</v>
      </c>
      <c r="BC157" s="73">
        <v>15.8</v>
      </c>
      <c r="BD157" s="73">
        <v>15.4</v>
      </c>
      <c r="BE157" s="73">
        <v>13.5</v>
      </c>
      <c r="BF157" s="73">
        <v>14.7</v>
      </c>
      <c r="BG157" s="73">
        <v>16.5</v>
      </c>
      <c r="BM157" s="73">
        <f t="shared" si="32"/>
        <v>15.35</v>
      </c>
      <c r="BO157" s="59" t="s">
        <v>642</v>
      </c>
      <c r="BT157" s="74"/>
      <c r="BU157" s="75">
        <v>1.1499999999999999</v>
      </c>
      <c r="BV157" s="75">
        <v>1.1499999999999999</v>
      </c>
      <c r="BW157" s="75">
        <v>1.4</v>
      </c>
      <c r="BX157" s="75">
        <v>1.3</v>
      </c>
      <c r="BY157" s="75">
        <v>1</v>
      </c>
      <c r="BZ157" s="75">
        <v>1.1000000000000001</v>
      </c>
      <c r="CF157" s="75">
        <f t="shared" si="33"/>
        <v>1.1833333333333333</v>
      </c>
    </row>
    <row r="158" spans="2:84" ht="12.75" customHeight="1" x14ac:dyDescent="0.25">
      <c r="B158" s="76">
        <v>5</v>
      </c>
      <c r="C158" s="59" t="s">
        <v>644</v>
      </c>
      <c r="D158" s="60" t="s">
        <v>645</v>
      </c>
      <c r="E158" s="60">
        <v>2010</v>
      </c>
      <c r="F158" s="77">
        <v>44.7</v>
      </c>
      <c r="G158" s="62">
        <v>55.3</v>
      </c>
      <c r="H158" s="63">
        <v>4</v>
      </c>
      <c r="I158" s="64"/>
      <c r="J158" s="65" t="s">
        <v>644</v>
      </c>
      <c r="P158" s="70">
        <v>2.6</v>
      </c>
      <c r="Q158" s="71">
        <v>5.03</v>
      </c>
      <c r="R158" s="71">
        <v>3.2</v>
      </c>
      <c r="S158" s="71">
        <v>2.5</v>
      </c>
      <c r="T158" s="71">
        <v>2.5</v>
      </c>
      <c r="U158" s="71">
        <v>5.3</v>
      </c>
      <c r="V158" s="71">
        <v>5.8</v>
      </c>
      <c r="Z158" s="71">
        <v>5.8</v>
      </c>
      <c r="AA158" s="70">
        <f t="shared" si="30"/>
        <v>4.0912500000000005</v>
      </c>
      <c r="AC158" s="67" t="s">
        <v>645</v>
      </c>
      <c r="AI158" s="72">
        <v>86.36</v>
      </c>
      <c r="AJ158" s="72">
        <v>84</v>
      </c>
      <c r="AK158" s="72">
        <v>101.7</v>
      </c>
      <c r="AL158" s="72">
        <v>93.3</v>
      </c>
      <c r="AM158" s="72">
        <v>91.36</v>
      </c>
      <c r="AN158" s="72">
        <v>76.05</v>
      </c>
      <c r="AT158" s="72">
        <f t="shared" si="31"/>
        <v>88.795000000000002</v>
      </c>
      <c r="AV158" s="59" t="s">
        <v>644</v>
      </c>
      <c r="BB158" s="73">
        <v>18.7</v>
      </c>
      <c r="BC158" s="73">
        <v>14.8</v>
      </c>
      <c r="BD158" s="73">
        <v>13</v>
      </c>
      <c r="BE158" s="73">
        <v>12.8</v>
      </c>
      <c r="BF158" s="73">
        <v>11.09</v>
      </c>
      <c r="BG158" s="73">
        <v>12.34</v>
      </c>
      <c r="BM158" s="73">
        <f t="shared" si="32"/>
        <v>13.788333333333334</v>
      </c>
      <c r="BO158" s="59" t="s">
        <v>644</v>
      </c>
      <c r="BT158" s="74"/>
      <c r="BU158" s="75">
        <v>1.2</v>
      </c>
      <c r="BV158" s="75">
        <v>1.2</v>
      </c>
      <c r="BW158" s="75">
        <v>1.3</v>
      </c>
      <c r="BX158" s="75">
        <v>1</v>
      </c>
      <c r="BY158" s="75">
        <v>0.96</v>
      </c>
      <c r="BZ158" s="75">
        <v>0.66</v>
      </c>
      <c r="CF158" s="75">
        <f t="shared" si="33"/>
        <v>1.0533333333333335</v>
      </c>
    </row>
    <row r="159" spans="2:84" ht="12.75" customHeight="1" x14ac:dyDescent="0.25">
      <c r="B159" s="76">
        <v>5</v>
      </c>
      <c r="C159" s="59" t="s">
        <v>646</v>
      </c>
      <c r="D159" s="60" t="s">
        <v>647</v>
      </c>
      <c r="E159" s="60">
        <v>2010</v>
      </c>
      <c r="F159" s="77">
        <v>49.1</v>
      </c>
      <c r="G159" s="62">
        <v>50.9</v>
      </c>
      <c r="H159" s="63">
        <v>2</v>
      </c>
      <c r="I159" s="64"/>
      <c r="J159" s="65" t="s">
        <v>646</v>
      </c>
      <c r="P159" s="70">
        <v>3</v>
      </c>
      <c r="Q159" s="71">
        <v>2.5</v>
      </c>
      <c r="R159" s="71">
        <v>2.5</v>
      </c>
      <c r="S159" s="71">
        <v>1.78</v>
      </c>
      <c r="T159" s="71">
        <v>1.8</v>
      </c>
      <c r="U159" s="71">
        <v>2.2999999999999998</v>
      </c>
      <c r="V159" s="71">
        <v>2.5</v>
      </c>
      <c r="Z159" s="71">
        <v>2.5</v>
      </c>
      <c r="AA159" s="70">
        <f t="shared" si="30"/>
        <v>2.36</v>
      </c>
      <c r="AC159" s="67" t="s">
        <v>647</v>
      </c>
      <c r="AI159" s="72">
        <v>80.099999999999994</v>
      </c>
      <c r="AJ159" s="72">
        <v>80.599999999999994</v>
      </c>
      <c r="AK159" s="72">
        <v>84.3</v>
      </c>
      <c r="AL159" s="72">
        <v>86.4</v>
      </c>
      <c r="AM159" s="72">
        <v>79.3</v>
      </c>
      <c r="AN159" s="72">
        <v>76.400000000000006</v>
      </c>
      <c r="AT159" s="72">
        <f t="shared" si="31"/>
        <v>81.183333333333337</v>
      </c>
      <c r="AV159" s="59" t="s">
        <v>646</v>
      </c>
      <c r="BB159" s="73">
        <v>11.8</v>
      </c>
      <c r="BC159" s="73">
        <v>10.53</v>
      </c>
      <c r="BD159" s="73">
        <v>11</v>
      </c>
      <c r="BE159" s="73">
        <v>11.19</v>
      </c>
      <c r="BF159" s="73">
        <v>11.7</v>
      </c>
      <c r="BG159" s="73">
        <v>11.6</v>
      </c>
      <c r="BM159" s="73">
        <f t="shared" si="32"/>
        <v>11.303333333333333</v>
      </c>
      <c r="BO159" s="59" t="s">
        <v>646</v>
      </c>
      <c r="BT159" s="74"/>
      <c r="BU159" s="75">
        <v>1.1000000000000001</v>
      </c>
      <c r="BV159" s="75">
        <v>1</v>
      </c>
      <c r="BW159" s="75">
        <v>1.3</v>
      </c>
      <c r="BX159" s="75">
        <v>1.4</v>
      </c>
      <c r="BY159" s="75">
        <v>0.7</v>
      </c>
      <c r="BZ159" s="75">
        <v>0.5</v>
      </c>
      <c r="CF159" s="75">
        <f t="shared" si="33"/>
        <v>1.0000000000000002</v>
      </c>
    </row>
    <row r="160" spans="2:84" ht="12.75" customHeight="1" x14ac:dyDescent="0.25">
      <c r="B160" s="76">
        <v>1</v>
      </c>
      <c r="C160" s="59" t="s">
        <v>648</v>
      </c>
      <c r="D160" s="60" t="s">
        <v>649</v>
      </c>
      <c r="E160" s="60">
        <v>2010</v>
      </c>
      <c r="F160" s="77">
        <v>76.599999999999994</v>
      </c>
      <c r="G160" s="62">
        <v>23.4</v>
      </c>
      <c r="H160" s="63">
        <v>1</v>
      </c>
      <c r="I160" s="64"/>
      <c r="J160" s="65" t="s">
        <v>648</v>
      </c>
      <c r="P160" s="66">
        <v>10.951448940605555</v>
      </c>
      <c r="Q160" s="66">
        <v>8.9659352564169783</v>
      </c>
      <c r="R160" s="66">
        <v>7.5764805003373485</v>
      </c>
      <c r="S160" s="66">
        <v>6.9766808385753336</v>
      </c>
      <c r="T160" s="66">
        <v>6.028398498646701</v>
      </c>
      <c r="U160" s="66">
        <v>5.1511144935422388</v>
      </c>
      <c r="V160" s="66">
        <v>7.19</v>
      </c>
      <c r="Z160" s="66">
        <v>7.19</v>
      </c>
      <c r="AA160" s="66">
        <f t="shared" si="30"/>
        <v>7.5037573160155189</v>
      </c>
      <c r="AC160" s="67" t="s">
        <v>649</v>
      </c>
      <c r="AI160" s="66">
        <f>VLOOKUP($B160,$AB$198:$AN$204,8,FALSE)</f>
        <v>62.267766724334649</v>
      </c>
      <c r="AJ160" s="66">
        <f>VLOOKUP($B160,$AB$198:$AN$204,9,FALSE)</f>
        <v>58.416201756290228</v>
      </c>
      <c r="AK160" s="66">
        <f>VLOOKUP($B160,$AB$198:$AN$204,10,FALSE)</f>
        <v>65.401431372790213</v>
      </c>
      <c r="AL160" s="66">
        <f>VLOOKUP($B160,$AB$198:$AN$204,11,FALSE)</f>
        <v>71.775804261946988</v>
      </c>
      <c r="AM160" s="66">
        <f>VLOOKUP($B160,$AB$198:$AN$204,12,FALSE)</f>
        <v>85.024999999999991</v>
      </c>
      <c r="AN160" s="66">
        <f>VLOOKUP($B160,$AB$198:$AN$204,13,FALSE)</f>
        <v>106.17999999999999</v>
      </c>
      <c r="AT160" s="66">
        <f t="shared" si="31"/>
        <v>74.84436735256034</v>
      </c>
      <c r="AV160" s="59" t="s">
        <v>648</v>
      </c>
      <c r="BB160" s="68">
        <f>VLOOKUP($B160,$AU$198:$BH$204,8,FALSE)</f>
        <v>11.270393306464786</v>
      </c>
      <c r="BC160" s="68">
        <f>VLOOKUP($B160,$AU$198:$BH$204,9,FALSE)</f>
        <v>12.218846153846155</v>
      </c>
      <c r="BD160" s="68">
        <f>VLOOKUP($B160,$AU$198:$BH$204,10,FALSE)</f>
        <v>12.689038461538463</v>
      </c>
      <c r="BE160" s="68">
        <f>VLOOKUP($B160,$AU$198:$BH$204,11,FALSE)</f>
        <v>12.925000000000001</v>
      </c>
      <c r="BF160" s="68">
        <f>VLOOKUP($B160,$AU$198:$BH$204,12,FALSE)</f>
        <v>13.27</v>
      </c>
      <c r="BG160" s="68">
        <f>VLOOKUP($B160,$AU$198:$BH$204,13,FALSE)</f>
        <v>14.116666666666667</v>
      </c>
      <c r="BM160" s="68">
        <f t="shared" si="32"/>
        <v>12.748324098086011</v>
      </c>
      <c r="BO160" s="59" t="s">
        <v>648</v>
      </c>
      <c r="BT160" s="74"/>
      <c r="BU160" s="69">
        <f>VLOOKUP($B160,$BN$198:$BZ$204,8,FALSE)</f>
        <v>1.1095149831589846</v>
      </c>
      <c r="BV160" s="69">
        <f>VLOOKUP($B160,$BN$198:$BZ$204,9,FALSE)</f>
        <v>1.2860560376080794</v>
      </c>
      <c r="BW160" s="69">
        <f>VLOOKUP($B160,$BN$198:$BZ$204,10,FALSE)</f>
        <v>1.0562499999999999</v>
      </c>
      <c r="BX160" s="69">
        <f>VLOOKUP($B160,$BN$198:$BZ$204,11,FALSE)</f>
        <v>1.2375</v>
      </c>
      <c r="BY160" s="69">
        <f>VLOOKUP($B160,$BN$198:$BZ$204,12,FALSE)</f>
        <v>1.2124999999999999</v>
      </c>
      <c r="BZ160" s="69">
        <f>VLOOKUP($B160,$BN$198:$BZ$204,13,FALSE)</f>
        <v>1.3316666666666668</v>
      </c>
      <c r="CF160" s="69">
        <f t="shared" si="33"/>
        <v>1.2055812812389552</v>
      </c>
    </row>
    <row r="161" spans="2:84" ht="12.75" customHeight="1" x14ac:dyDescent="0.25">
      <c r="B161" s="76">
        <v>6</v>
      </c>
      <c r="C161" s="59" t="s">
        <v>650</v>
      </c>
      <c r="D161" s="60" t="s">
        <v>651</v>
      </c>
      <c r="E161" s="60">
        <v>2010</v>
      </c>
      <c r="F161" s="77">
        <v>65.599999999999994</v>
      </c>
      <c r="G161" s="62">
        <v>34.4</v>
      </c>
      <c r="H161" s="63">
        <v>2</v>
      </c>
      <c r="I161" s="64"/>
      <c r="J161" s="65" t="s">
        <v>650</v>
      </c>
      <c r="P161" s="70">
        <v>1.8</v>
      </c>
      <c r="Q161" s="71">
        <v>1.5</v>
      </c>
      <c r="R161" s="71">
        <v>1.1000000000000001</v>
      </c>
      <c r="S161" s="71">
        <v>1.4</v>
      </c>
      <c r="T161" s="71">
        <v>3.9</v>
      </c>
      <c r="U161" s="71">
        <v>5.94</v>
      </c>
      <c r="V161" s="71">
        <v>5.91</v>
      </c>
      <c r="Z161" s="71">
        <v>5.91</v>
      </c>
      <c r="AA161" s="70">
        <f t="shared" si="30"/>
        <v>3.4325000000000001</v>
      </c>
      <c r="AC161" s="67" t="s">
        <v>651</v>
      </c>
      <c r="AI161" s="72">
        <v>61.3</v>
      </c>
      <c r="AJ161" s="72">
        <v>64.3</v>
      </c>
      <c r="AK161" s="72" t="s">
        <v>380</v>
      </c>
      <c r="AL161" s="72" t="s">
        <v>380</v>
      </c>
      <c r="AM161" s="72" t="s">
        <v>380</v>
      </c>
      <c r="AN161" s="72" t="s">
        <v>380</v>
      </c>
      <c r="AT161" s="72">
        <f t="shared" si="31"/>
        <v>62.8</v>
      </c>
      <c r="AV161" s="59" t="s">
        <v>650</v>
      </c>
      <c r="BB161" s="73">
        <v>14</v>
      </c>
      <c r="BC161" s="73">
        <v>12.3</v>
      </c>
      <c r="BD161" s="73">
        <v>12.1</v>
      </c>
      <c r="BE161" s="73">
        <v>12.8</v>
      </c>
      <c r="BF161" s="73">
        <v>13</v>
      </c>
      <c r="BG161" s="73">
        <v>13.6</v>
      </c>
      <c r="BM161" s="73">
        <f t="shared" si="32"/>
        <v>12.966666666666667</v>
      </c>
      <c r="BO161" s="59" t="s">
        <v>650</v>
      </c>
      <c r="BT161" s="74"/>
      <c r="BU161" s="75">
        <v>1.3</v>
      </c>
      <c r="BV161" s="75">
        <v>1.2</v>
      </c>
      <c r="BW161" s="75">
        <v>1.4</v>
      </c>
      <c r="BX161" s="75">
        <v>1.37</v>
      </c>
      <c r="BY161" s="75">
        <v>2.1</v>
      </c>
      <c r="BZ161" s="75">
        <v>0.96</v>
      </c>
      <c r="CF161" s="75">
        <f t="shared" si="33"/>
        <v>1.388333333333333</v>
      </c>
    </row>
    <row r="162" spans="2:84" ht="12.75" customHeight="1" x14ac:dyDescent="0.25">
      <c r="B162" s="76">
        <v>5</v>
      </c>
      <c r="C162" s="59" t="s">
        <v>652</v>
      </c>
      <c r="D162" s="60" t="s">
        <v>653</v>
      </c>
      <c r="E162" s="60">
        <v>2010</v>
      </c>
      <c r="F162" s="77">
        <v>23.700000000000003</v>
      </c>
      <c r="G162" s="62">
        <v>76.3</v>
      </c>
      <c r="H162" s="63">
        <v>1</v>
      </c>
      <c r="I162" s="64"/>
      <c r="J162" s="65" t="s">
        <v>652</v>
      </c>
      <c r="P162" s="70">
        <v>0.79134527643803365</v>
      </c>
      <c r="Q162" s="71">
        <v>0.80086181615613217</v>
      </c>
      <c r="R162" s="71">
        <v>0.71982144859793595</v>
      </c>
      <c r="S162" s="71">
        <v>0.92322331885618047</v>
      </c>
      <c r="T162" s="71">
        <v>3.3722377082617569</v>
      </c>
      <c r="U162" s="71">
        <v>5.0999999999999996</v>
      </c>
      <c r="V162" s="71">
        <v>5.7</v>
      </c>
      <c r="Z162" s="71">
        <v>5.7</v>
      </c>
      <c r="AA162" s="70">
        <f t="shared" si="30"/>
        <v>2.8884361960387546</v>
      </c>
      <c r="AC162" s="67" t="s">
        <v>653</v>
      </c>
      <c r="AI162" s="72">
        <v>322.14080115920785</v>
      </c>
      <c r="AJ162" s="72">
        <v>255.51497373614373</v>
      </c>
      <c r="AK162" s="72">
        <v>272.24940397314401</v>
      </c>
      <c r="AL162" s="72">
        <v>214.59355610249978</v>
      </c>
      <c r="AM162" s="72">
        <v>70.760290388099605</v>
      </c>
      <c r="AN162" s="72">
        <v>58.346488488119718</v>
      </c>
      <c r="AT162" s="72">
        <f t="shared" si="31"/>
        <v>198.93425230786912</v>
      </c>
      <c r="AV162" s="59" t="s">
        <v>652</v>
      </c>
      <c r="BB162" s="73">
        <v>11</v>
      </c>
      <c r="BC162" s="73">
        <v>11</v>
      </c>
      <c r="BD162" s="73">
        <v>11.2</v>
      </c>
      <c r="BE162" s="73">
        <v>10.6</v>
      </c>
      <c r="BF162" s="73">
        <v>11.3</v>
      </c>
      <c r="BG162" s="73">
        <v>11.7</v>
      </c>
      <c r="BM162" s="73">
        <f t="shared" si="32"/>
        <v>11.133333333333335</v>
      </c>
      <c r="BO162" s="59" t="s">
        <v>652</v>
      </c>
      <c r="BT162" s="74"/>
      <c r="BU162" s="75">
        <v>0.83199999999999996</v>
      </c>
      <c r="BV162" s="75">
        <v>0.90300000000000002</v>
      </c>
      <c r="BW162" s="75">
        <v>1.0309999999999999</v>
      </c>
      <c r="BX162" s="75">
        <v>1.0529999999999999</v>
      </c>
      <c r="BY162" s="75">
        <v>0.74099999999999999</v>
      </c>
      <c r="BZ162" s="75">
        <v>0.71</v>
      </c>
      <c r="CF162" s="75">
        <f t="shared" si="33"/>
        <v>0.8783333333333333</v>
      </c>
    </row>
    <row r="163" spans="2:84" ht="12.75" customHeight="1" x14ac:dyDescent="0.25">
      <c r="B163" s="76">
        <v>1</v>
      </c>
      <c r="C163" s="59" t="s">
        <v>654</v>
      </c>
      <c r="D163" s="60" t="s">
        <v>655</v>
      </c>
      <c r="E163" s="60">
        <v>2010</v>
      </c>
      <c r="F163" s="77">
        <v>53</v>
      </c>
      <c r="G163" s="62">
        <v>47</v>
      </c>
      <c r="H163" s="63">
        <v>1.7</v>
      </c>
      <c r="I163" s="64"/>
      <c r="J163" s="65" t="s">
        <v>654</v>
      </c>
      <c r="P163" s="66">
        <v>10.951448940605555</v>
      </c>
      <c r="Q163" s="66">
        <v>8.9659352564169783</v>
      </c>
      <c r="R163" s="66">
        <v>7.5764805003373485</v>
      </c>
      <c r="S163" s="66">
        <v>6.9766808385753336</v>
      </c>
      <c r="T163" s="66">
        <v>6.028398498646701</v>
      </c>
      <c r="U163" s="66">
        <v>5.1511144935422388</v>
      </c>
      <c r="V163" s="66">
        <v>7.19</v>
      </c>
      <c r="Z163" s="66">
        <v>7.19</v>
      </c>
      <c r="AA163" s="66">
        <f t="shared" si="30"/>
        <v>7.5037573160155189</v>
      </c>
      <c r="AC163" s="67" t="s">
        <v>655</v>
      </c>
      <c r="AI163" s="66">
        <f t="shared" ref="AI163:AI168" si="34">VLOOKUP($B163,$AB$198:$AN$204,8,FALSE)</f>
        <v>62.267766724334649</v>
      </c>
      <c r="AJ163" s="66">
        <f t="shared" ref="AJ163:AJ168" si="35">VLOOKUP($B163,$AB$198:$AN$204,9,FALSE)</f>
        <v>58.416201756290228</v>
      </c>
      <c r="AK163" s="66">
        <f t="shared" ref="AK163:AK168" si="36">VLOOKUP($B163,$AB$198:$AN$204,10,FALSE)</f>
        <v>65.401431372790213</v>
      </c>
      <c r="AL163" s="66">
        <f t="shared" ref="AL163:AL168" si="37">VLOOKUP($B163,$AB$198:$AN$204,11,FALSE)</f>
        <v>71.775804261946988</v>
      </c>
      <c r="AM163" s="66">
        <f t="shared" ref="AM163:AM168" si="38">VLOOKUP($B163,$AB$198:$AN$204,12,FALSE)</f>
        <v>85.024999999999991</v>
      </c>
      <c r="AN163" s="66">
        <f t="shared" ref="AN163:AN168" si="39">VLOOKUP($B163,$AB$198:$AN$204,13,FALSE)</f>
        <v>106.17999999999999</v>
      </c>
      <c r="AT163" s="66">
        <f t="shared" si="31"/>
        <v>74.84436735256034</v>
      </c>
      <c r="AV163" s="59" t="s">
        <v>654</v>
      </c>
      <c r="BB163" s="68">
        <f t="shared" ref="BB163:BB168" si="40">VLOOKUP($B163,$AU$198:$BH$204,8,FALSE)</f>
        <v>11.270393306464786</v>
      </c>
      <c r="BC163" s="68">
        <f t="shared" ref="BC163:BC168" si="41">VLOOKUP($B163,$AU$198:$BH$204,9,FALSE)</f>
        <v>12.218846153846155</v>
      </c>
      <c r="BD163" s="68">
        <f t="shared" ref="BD163:BD168" si="42">VLOOKUP($B163,$AU$198:$BH$204,10,FALSE)</f>
        <v>12.689038461538463</v>
      </c>
      <c r="BE163" s="68">
        <f t="shared" ref="BE163:BE168" si="43">VLOOKUP($B163,$AU$198:$BH$204,11,FALSE)</f>
        <v>12.925000000000001</v>
      </c>
      <c r="BF163" s="68">
        <f t="shared" ref="BF163:BF168" si="44">VLOOKUP($B163,$AU$198:$BH$204,12,FALSE)</f>
        <v>13.27</v>
      </c>
      <c r="BG163" s="68">
        <f t="shared" ref="BG163:BG168" si="45">VLOOKUP($B163,$AU$198:$BH$204,13,FALSE)</f>
        <v>14.116666666666667</v>
      </c>
      <c r="BM163" s="68">
        <f t="shared" si="32"/>
        <v>12.748324098086011</v>
      </c>
      <c r="BO163" s="59" t="s">
        <v>654</v>
      </c>
      <c r="BT163" s="74"/>
      <c r="BU163" s="69">
        <f t="shared" ref="BU163:BU168" si="46">VLOOKUP($B163,$BN$198:$BZ$204,8,FALSE)</f>
        <v>1.1095149831589846</v>
      </c>
      <c r="BV163" s="69">
        <f t="shared" ref="BV163:BV168" si="47">VLOOKUP($B163,$BN$198:$BZ$204,9,FALSE)</f>
        <v>1.2860560376080794</v>
      </c>
      <c r="BW163" s="69">
        <f t="shared" ref="BW163:BW168" si="48">VLOOKUP($B163,$BN$198:$BZ$204,10,FALSE)</f>
        <v>1.0562499999999999</v>
      </c>
      <c r="BX163" s="69">
        <f t="shared" ref="BX163:BX168" si="49">VLOOKUP($B163,$BN$198:$BZ$204,11,FALSE)</f>
        <v>1.2375</v>
      </c>
      <c r="BY163" s="69">
        <f t="shared" ref="BY163:BY168" si="50">VLOOKUP($B163,$BN$198:$BZ$204,12,FALSE)</f>
        <v>1.2124999999999999</v>
      </c>
      <c r="BZ163" s="69">
        <f t="shared" ref="BZ163:BZ168" si="51">VLOOKUP($B163,$BN$198:$BZ$204,13,FALSE)</f>
        <v>1.3316666666666668</v>
      </c>
      <c r="CF163" s="69">
        <f t="shared" si="33"/>
        <v>1.2055812812389552</v>
      </c>
    </row>
    <row r="164" spans="2:84" ht="12.75" customHeight="1" x14ac:dyDescent="0.25">
      <c r="B164" s="76">
        <v>3</v>
      </c>
      <c r="C164" s="59" t="s">
        <v>656</v>
      </c>
      <c r="D164" s="60" t="s">
        <v>657</v>
      </c>
      <c r="E164" s="60">
        <v>2010</v>
      </c>
      <c r="F164" s="61">
        <v>67.23333333333332</v>
      </c>
      <c r="G164" s="62" t="s">
        <v>355</v>
      </c>
      <c r="H164" s="63" t="s">
        <v>355</v>
      </c>
      <c r="I164" s="64"/>
      <c r="J164" s="65" t="s">
        <v>656</v>
      </c>
      <c r="P164" s="66">
        <v>5.584644672858265</v>
      </c>
      <c r="Q164" s="66">
        <v>3.9624899241932421</v>
      </c>
      <c r="R164" s="66">
        <v>3.0340039193664454</v>
      </c>
      <c r="S164" s="66">
        <v>2.604471088787407</v>
      </c>
      <c r="T164" s="66">
        <v>2.4269734911821845</v>
      </c>
      <c r="U164" s="66">
        <v>2.9280358899553502</v>
      </c>
      <c r="V164" s="66">
        <v>3.5429234268459737</v>
      </c>
      <c r="Z164" s="66">
        <v>3.5429234268459737</v>
      </c>
      <c r="AA164" s="66">
        <f t="shared" si="30"/>
        <v>3.4533082300043549</v>
      </c>
      <c r="AC164" s="67" t="s">
        <v>657</v>
      </c>
      <c r="AI164" s="66">
        <f t="shared" si="34"/>
        <v>128.9834964234991</v>
      </c>
      <c r="AJ164" s="66">
        <f t="shared" si="35"/>
        <v>140.08513617162512</v>
      </c>
      <c r="AK164" s="66">
        <f t="shared" si="36"/>
        <v>159.45976537422837</v>
      </c>
      <c r="AL164" s="66">
        <f t="shared" si="37"/>
        <v>176.08231767394884</v>
      </c>
      <c r="AM164" s="66">
        <f t="shared" si="38"/>
        <v>179.91973269843069</v>
      </c>
      <c r="AN164" s="66">
        <f t="shared" si="39"/>
        <v>163.73758550252111</v>
      </c>
      <c r="AT164" s="66">
        <f t="shared" si="31"/>
        <v>158.04467230737555</v>
      </c>
      <c r="AV164" s="59" t="s">
        <v>656</v>
      </c>
      <c r="BB164" s="68">
        <f t="shared" si="40"/>
        <v>15.896096812126734</v>
      </c>
      <c r="BC164" s="68">
        <f t="shared" si="41"/>
        <v>15.574506119519162</v>
      </c>
      <c r="BD164" s="68">
        <f t="shared" si="42"/>
        <v>15.053685490252553</v>
      </c>
      <c r="BE164" s="68">
        <f t="shared" si="43"/>
        <v>14.526883451785674</v>
      </c>
      <c r="BF164" s="68">
        <f t="shared" si="44"/>
        <v>14.663359386876838</v>
      </c>
      <c r="BG164" s="68">
        <f t="shared" si="45"/>
        <v>15.454370304742046</v>
      </c>
      <c r="BM164" s="68">
        <f t="shared" si="32"/>
        <v>15.1948169275505</v>
      </c>
      <c r="BO164" s="59" t="s">
        <v>656</v>
      </c>
      <c r="BT164" s="74"/>
      <c r="BU164" s="69">
        <f t="shared" si="46"/>
        <v>1.5948707163335805</v>
      </c>
      <c r="BV164" s="69">
        <f t="shared" si="47"/>
        <v>1.9470251257359674</v>
      </c>
      <c r="BW164" s="69">
        <f t="shared" si="48"/>
        <v>2.1255980960882401</v>
      </c>
      <c r="BX164" s="69">
        <f t="shared" si="49"/>
        <v>2.0468362458386125</v>
      </c>
      <c r="BY164" s="69">
        <f t="shared" si="50"/>
        <v>1.9140404691321369</v>
      </c>
      <c r="BZ164" s="69">
        <f t="shared" si="51"/>
        <v>1.7004174496949338</v>
      </c>
      <c r="CF164" s="69">
        <f t="shared" si="33"/>
        <v>1.8881313504705786</v>
      </c>
    </row>
    <row r="165" spans="2:84" ht="12.75" customHeight="1" x14ac:dyDescent="0.25">
      <c r="B165" s="76">
        <v>3</v>
      </c>
      <c r="C165" s="59" t="s">
        <v>658</v>
      </c>
      <c r="D165" s="60" t="s">
        <v>659</v>
      </c>
      <c r="E165" s="60">
        <v>2010</v>
      </c>
      <c r="F165" s="77">
        <v>58.5</v>
      </c>
      <c r="G165" s="62">
        <v>41.5</v>
      </c>
      <c r="H165" s="63">
        <v>2</v>
      </c>
      <c r="I165" s="64"/>
      <c r="J165" s="65" t="s">
        <v>658</v>
      </c>
      <c r="P165" s="66">
        <v>5.584644672858265</v>
      </c>
      <c r="Q165" s="66">
        <v>3.9624899241932421</v>
      </c>
      <c r="R165" s="66">
        <v>3.0340039193664454</v>
      </c>
      <c r="S165" s="66">
        <v>2.604471088787407</v>
      </c>
      <c r="T165" s="66">
        <v>2.4269734911821845</v>
      </c>
      <c r="U165" s="66">
        <v>2.9280358899553502</v>
      </c>
      <c r="V165" s="66">
        <v>3.5429234268459737</v>
      </c>
      <c r="Z165" s="66">
        <v>3.5429234268459737</v>
      </c>
      <c r="AA165" s="66">
        <f t="shared" si="30"/>
        <v>3.4533082300043549</v>
      </c>
      <c r="AC165" s="67" t="s">
        <v>659</v>
      </c>
      <c r="AI165" s="66">
        <f t="shared" si="34"/>
        <v>128.9834964234991</v>
      </c>
      <c r="AJ165" s="66">
        <f t="shared" si="35"/>
        <v>140.08513617162512</v>
      </c>
      <c r="AK165" s="66">
        <f t="shared" si="36"/>
        <v>159.45976537422837</v>
      </c>
      <c r="AL165" s="66">
        <f t="shared" si="37"/>
        <v>176.08231767394884</v>
      </c>
      <c r="AM165" s="66">
        <f t="shared" si="38"/>
        <v>179.91973269843069</v>
      </c>
      <c r="AN165" s="66">
        <f t="shared" si="39"/>
        <v>163.73758550252111</v>
      </c>
      <c r="AT165" s="66">
        <f t="shared" si="31"/>
        <v>158.04467230737555</v>
      </c>
      <c r="AV165" s="59" t="s">
        <v>658</v>
      </c>
      <c r="BB165" s="68">
        <f t="shared" si="40"/>
        <v>15.896096812126734</v>
      </c>
      <c r="BC165" s="68">
        <f t="shared" si="41"/>
        <v>15.574506119519162</v>
      </c>
      <c r="BD165" s="68">
        <f t="shared" si="42"/>
        <v>15.053685490252553</v>
      </c>
      <c r="BE165" s="68">
        <f t="shared" si="43"/>
        <v>14.526883451785674</v>
      </c>
      <c r="BF165" s="68">
        <f t="shared" si="44"/>
        <v>14.663359386876838</v>
      </c>
      <c r="BG165" s="68">
        <f t="shared" si="45"/>
        <v>15.454370304742046</v>
      </c>
      <c r="BM165" s="68">
        <f t="shared" si="32"/>
        <v>15.1948169275505</v>
      </c>
      <c r="BO165" s="59" t="s">
        <v>658</v>
      </c>
      <c r="BT165" s="74"/>
      <c r="BU165" s="69">
        <f t="shared" si="46"/>
        <v>1.5948707163335805</v>
      </c>
      <c r="BV165" s="69">
        <f t="shared" si="47"/>
        <v>1.9470251257359674</v>
      </c>
      <c r="BW165" s="69">
        <f t="shared" si="48"/>
        <v>2.1255980960882401</v>
      </c>
      <c r="BX165" s="69">
        <f t="shared" si="49"/>
        <v>2.0468362458386125</v>
      </c>
      <c r="BY165" s="69">
        <f t="shared" si="50"/>
        <v>1.9140404691321369</v>
      </c>
      <c r="BZ165" s="69">
        <f t="shared" si="51"/>
        <v>1.7004174496949338</v>
      </c>
      <c r="CF165" s="69">
        <f t="shared" si="33"/>
        <v>1.8881313504705786</v>
      </c>
    </row>
    <row r="166" spans="2:84" ht="12.75" customHeight="1" x14ac:dyDescent="0.25">
      <c r="B166" s="76">
        <v>3</v>
      </c>
      <c r="C166" s="59" t="s">
        <v>660</v>
      </c>
      <c r="D166" s="60" t="s">
        <v>661</v>
      </c>
      <c r="E166" s="60">
        <v>2010</v>
      </c>
      <c r="F166" s="61">
        <v>67.23333333333332</v>
      </c>
      <c r="G166" s="62" t="s">
        <v>355</v>
      </c>
      <c r="H166" s="63" t="s">
        <v>355</v>
      </c>
      <c r="I166" s="64"/>
      <c r="J166" s="65" t="s">
        <v>660</v>
      </c>
      <c r="P166" s="66">
        <v>5.584644672858265</v>
      </c>
      <c r="Q166" s="66">
        <v>3.9624899241932421</v>
      </c>
      <c r="R166" s="66">
        <v>3.0340039193664454</v>
      </c>
      <c r="S166" s="66">
        <v>2.604471088787407</v>
      </c>
      <c r="T166" s="66">
        <v>2.4269734911821845</v>
      </c>
      <c r="U166" s="66">
        <v>2.9280358899553502</v>
      </c>
      <c r="V166" s="66">
        <v>3.5429234268459737</v>
      </c>
      <c r="Z166" s="66">
        <v>3.5429234268459737</v>
      </c>
      <c r="AA166" s="66">
        <f t="shared" si="30"/>
        <v>3.4533082300043549</v>
      </c>
      <c r="AC166" s="67" t="s">
        <v>661</v>
      </c>
      <c r="AI166" s="66">
        <f t="shared" si="34"/>
        <v>128.9834964234991</v>
      </c>
      <c r="AJ166" s="66">
        <f t="shared" si="35"/>
        <v>140.08513617162512</v>
      </c>
      <c r="AK166" s="66">
        <f t="shared" si="36"/>
        <v>159.45976537422837</v>
      </c>
      <c r="AL166" s="66">
        <f t="shared" si="37"/>
        <v>176.08231767394884</v>
      </c>
      <c r="AM166" s="66">
        <f t="shared" si="38"/>
        <v>179.91973269843069</v>
      </c>
      <c r="AN166" s="66">
        <f t="shared" si="39"/>
        <v>163.73758550252111</v>
      </c>
      <c r="AT166" s="66">
        <f t="shared" si="31"/>
        <v>158.04467230737555</v>
      </c>
      <c r="AV166" s="59" t="s">
        <v>660</v>
      </c>
      <c r="BB166" s="68">
        <f t="shared" si="40"/>
        <v>15.896096812126734</v>
      </c>
      <c r="BC166" s="68">
        <f t="shared" si="41"/>
        <v>15.574506119519162</v>
      </c>
      <c r="BD166" s="68">
        <f t="shared" si="42"/>
        <v>15.053685490252553</v>
      </c>
      <c r="BE166" s="68">
        <f t="shared" si="43"/>
        <v>14.526883451785674</v>
      </c>
      <c r="BF166" s="68">
        <f t="shared" si="44"/>
        <v>14.663359386876838</v>
      </c>
      <c r="BG166" s="68">
        <f t="shared" si="45"/>
        <v>15.454370304742046</v>
      </c>
      <c r="BM166" s="68">
        <f t="shared" si="32"/>
        <v>15.1948169275505</v>
      </c>
      <c r="BO166" s="59" t="s">
        <v>660</v>
      </c>
      <c r="BT166" s="74"/>
      <c r="BU166" s="69">
        <f t="shared" si="46"/>
        <v>1.5948707163335805</v>
      </c>
      <c r="BV166" s="69">
        <f t="shared" si="47"/>
        <v>1.9470251257359674</v>
      </c>
      <c r="BW166" s="69">
        <f t="shared" si="48"/>
        <v>2.1255980960882401</v>
      </c>
      <c r="BX166" s="69">
        <f t="shared" si="49"/>
        <v>2.0468362458386125</v>
      </c>
      <c r="BY166" s="69">
        <f t="shared" si="50"/>
        <v>1.9140404691321369</v>
      </c>
      <c r="BZ166" s="69">
        <f t="shared" si="51"/>
        <v>1.7004174496949338</v>
      </c>
      <c r="CF166" s="69">
        <f t="shared" si="33"/>
        <v>1.8881313504705786</v>
      </c>
    </row>
    <row r="167" spans="2:84" ht="12.75" customHeight="1" x14ac:dyDescent="0.25">
      <c r="B167" s="76">
        <v>6</v>
      </c>
      <c r="C167" s="59" t="s">
        <v>662</v>
      </c>
      <c r="D167" s="60" t="s">
        <v>663</v>
      </c>
      <c r="E167" s="60">
        <v>2010</v>
      </c>
      <c r="F167" s="61">
        <v>77.165714285714287</v>
      </c>
      <c r="G167" s="62" t="s">
        <v>355</v>
      </c>
      <c r="H167" s="63" t="s">
        <v>355</v>
      </c>
      <c r="I167" s="64"/>
      <c r="J167" s="65" t="s">
        <v>662</v>
      </c>
      <c r="P167" s="66">
        <v>12.639230769230769</v>
      </c>
      <c r="Q167" s="66">
        <v>12.165410295921369</v>
      </c>
      <c r="R167" s="66">
        <v>10.59847453234358</v>
      </c>
      <c r="S167" s="66">
        <v>9.472707780057064</v>
      </c>
      <c r="T167" s="66">
        <v>7.9803674992915017</v>
      </c>
      <c r="U167" s="66">
        <v>8.8942099137723467</v>
      </c>
      <c r="V167" s="66">
        <v>9.5068542417657511</v>
      </c>
      <c r="Z167" s="66">
        <v>9.5068542417657511</v>
      </c>
      <c r="AA167" s="66">
        <f t="shared" si="30"/>
        <v>10.095513659268518</v>
      </c>
      <c r="AC167" s="67" t="s">
        <v>663</v>
      </c>
      <c r="AI167" s="66">
        <f t="shared" si="34"/>
        <v>75.888644067796605</v>
      </c>
      <c r="AJ167" s="66">
        <f t="shared" si="35"/>
        <v>80.455696202531627</v>
      </c>
      <c r="AK167" s="66">
        <f t="shared" si="36"/>
        <v>79.335945945945952</v>
      </c>
      <c r="AL167" s="66">
        <f t="shared" si="37"/>
        <v>70.762500000000003</v>
      </c>
      <c r="AM167" s="66">
        <f t="shared" si="38"/>
        <v>76.45</v>
      </c>
      <c r="AN167" s="66">
        <f t="shared" si="39"/>
        <v>67.424999999999997</v>
      </c>
      <c r="AT167" s="66">
        <f t="shared" si="31"/>
        <v>75.05296436937904</v>
      </c>
      <c r="AV167" s="59" t="s">
        <v>662</v>
      </c>
      <c r="BB167" s="68">
        <f t="shared" si="40"/>
        <v>18.156923076923078</v>
      </c>
      <c r="BC167" s="68">
        <f t="shared" si="41"/>
        <v>17.862307692307695</v>
      </c>
      <c r="BD167" s="68">
        <f t="shared" si="42"/>
        <v>17.588461538461537</v>
      </c>
      <c r="BE167" s="68">
        <f t="shared" si="43"/>
        <v>17.724615384615387</v>
      </c>
      <c r="BF167" s="68">
        <f t="shared" si="44"/>
        <v>18.493846153846153</v>
      </c>
      <c r="BG167" s="68">
        <f t="shared" si="45"/>
        <v>19.346363636363638</v>
      </c>
      <c r="BM167" s="68">
        <f t="shared" si="32"/>
        <v>18.195419580419578</v>
      </c>
      <c r="BO167" s="59" t="s">
        <v>662</v>
      </c>
      <c r="BT167" s="74"/>
      <c r="BU167" s="69">
        <f t="shared" si="46"/>
        <v>3.2984615384615386</v>
      </c>
      <c r="BV167" s="69">
        <f t="shared" si="47"/>
        <v>2.7469230769230766</v>
      </c>
      <c r="BW167" s="69">
        <f t="shared" si="48"/>
        <v>2.7653846153846158</v>
      </c>
      <c r="BX167" s="69">
        <f t="shared" si="49"/>
        <v>2.525384615384616</v>
      </c>
      <c r="BY167" s="69">
        <f t="shared" si="50"/>
        <v>2.9269230769230767</v>
      </c>
      <c r="BZ167" s="69">
        <f t="shared" si="51"/>
        <v>2.36</v>
      </c>
      <c r="CF167" s="69">
        <f t="shared" si="33"/>
        <v>2.7705128205128204</v>
      </c>
    </row>
    <row r="168" spans="2:84" ht="12.75" customHeight="1" x14ac:dyDescent="0.25">
      <c r="B168" s="76">
        <v>3</v>
      </c>
      <c r="C168" s="59" t="s">
        <v>664</v>
      </c>
      <c r="D168" s="60" t="s">
        <v>665</v>
      </c>
      <c r="E168" s="60">
        <v>2010</v>
      </c>
      <c r="F168" s="77">
        <v>91.3</v>
      </c>
      <c r="G168" s="62">
        <v>8.6999999999999993</v>
      </c>
      <c r="H168" s="63">
        <v>5</v>
      </c>
      <c r="I168" s="64"/>
      <c r="J168" s="65" t="s">
        <v>664</v>
      </c>
      <c r="P168" s="66">
        <v>5.584644672858265</v>
      </c>
      <c r="Q168" s="66">
        <v>3.9624899241932421</v>
      </c>
      <c r="R168" s="66">
        <v>3.0340039193664454</v>
      </c>
      <c r="S168" s="66">
        <v>2.604471088787407</v>
      </c>
      <c r="T168" s="66">
        <v>2.4269734911821845</v>
      </c>
      <c r="U168" s="66">
        <v>2.9280358899553502</v>
      </c>
      <c r="V168" s="66">
        <v>3.5429234268459737</v>
      </c>
      <c r="Z168" s="66">
        <v>3.5429234268459737</v>
      </c>
      <c r="AA168" s="66">
        <f t="shared" si="30"/>
        <v>3.4533082300043549</v>
      </c>
      <c r="AC168" s="67" t="s">
        <v>665</v>
      </c>
      <c r="AI168" s="66">
        <f t="shared" si="34"/>
        <v>128.9834964234991</v>
      </c>
      <c r="AJ168" s="66">
        <f t="shared" si="35"/>
        <v>140.08513617162512</v>
      </c>
      <c r="AK168" s="66">
        <f t="shared" si="36"/>
        <v>159.45976537422837</v>
      </c>
      <c r="AL168" s="66">
        <f t="shared" si="37"/>
        <v>176.08231767394884</v>
      </c>
      <c r="AM168" s="66">
        <f t="shared" si="38"/>
        <v>179.91973269843069</v>
      </c>
      <c r="AN168" s="66">
        <f t="shared" si="39"/>
        <v>163.73758550252111</v>
      </c>
      <c r="AT168" s="66">
        <f t="shared" si="31"/>
        <v>158.04467230737555</v>
      </c>
      <c r="AV168" s="59" t="s">
        <v>664</v>
      </c>
      <c r="BB168" s="68">
        <f t="shared" si="40"/>
        <v>15.896096812126734</v>
      </c>
      <c r="BC168" s="68">
        <f t="shared" si="41"/>
        <v>15.574506119519162</v>
      </c>
      <c r="BD168" s="68">
        <f t="shared" si="42"/>
        <v>15.053685490252553</v>
      </c>
      <c r="BE168" s="68">
        <f t="shared" si="43"/>
        <v>14.526883451785674</v>
      </c>
      <c r="BF168" s="68">
        <f t="shared" si="44"/>
        <v>14.663359386876838</v>
      </c>
      <c r="BG168" s="68">
        <f t="shared" si="45"/>
        <v>15.454370304742046</v>
      </c>
      <c r="BM168" s="68">
        <f t="shared" si="32"/>
        <v>15.1948169275505</v>
      </c>
      <c r="BO168" s="59" t="s">
        <v>664</v>
      </c>
      <c r="BT168" s="74"/>
      <c r="BU168" s="69">
        <f t="shared" si="46"/>
        <v>1.5948707163335805</v>
      </c>
      <c r="BV168" s="69">
        <f t="shared" si="47"/>
        <v>1.9470251257359674</v>
      </c>
      <c r="BW168" s="69">
        <f t="shared" si="48"/>
        <v>2.1255980960882401</v>
      </c>
      <c r="BX168" s="69">
        <f t="shared" si="49"/>
        <v>2.0468362458386125</v>
      </c>
      <c r="BY168" s="69">
        <f t="shared" si="50"/>
        <v>1.9140404691321369</v>
      </c>
      <c r="BZ168" s="69">
        <f t="shared" si="51"/>
        <v>1.7004174496949338</v>
      </c>
      <c r="CF168" s="69">
        <f t="shared" si="33"/>
        <v>1.8881313504705786</v>
      </c>
    </row>
    <row r="169" spans="2:84" ht="12.75" customHeight="1" x14ac:dyDescent="0.25">
      <c r="B169" s="76">
        <v>6</v>
      </c>
      <c r="C169" s="59" t="s">
        <v>666</v>
      </c>
      <c r="D169" s="60" t="s">
        <v>667</v>
      </c>
      <c r="E169" s="60">
        <v>2010</v>
      </c>
      <c r="F169" s="77">
        <v>62.4</v>
      </c>
      <c r="G169" s="62">
        <v>37.6</v>
      </c>
      <c r="H169" s="63">
        <v>2</v>
      </c>
      <c r="I169" s="64"/>
      <c r="J169" s="65" t="s">
        <v>666</v>
      </c>
      <c r="P169" s="70">
        <v>7.2</v>
      </c>
      <c r="Q169" s="71">
        <v>7</v>
      </c>
      <c r="R169" s="71">
        <v>7.7</v>
      </c>
      <c r="S169" s="71">
        <v>7.5</v>
      </c>
      <c r="T169" s="71">
        <v>7.6</v>
      </c>
      <c r="U169" s="71">
        <v>8.1</v>
      </c>
      <c r="V169" s="71" t="s">
        <v>355</v>
      </c>
      <c r="Z169" s="71" t="s">
        <v>355</v>
      </c>
      <c r="AA169" s="70">
        <f t="shared" si="30"/>
        <v>7.5166666666666666</v>
      </c>
      <c r="AC169" s="67" t="s">
        <v>667</v>
      </c>
      <c r="AI169" s="72">
        <v>78</v>
      </c>
      <c r="AJ169" s="72">
        <v>78</v>
      </c>
      <c r="AK169" s="72">
        <v>76</v>
      </c>
      <c r="AL169" s="72">
        <v>77</v>
      </c>
      <c r="AM169" s="72">
        <v>75</v>
      </c>
      <c r="AN169" s="72">
        <v>76.3</v>
      </c>
      <c r="AT169" s="72">
        <f t="shared" si="31"/>
        <v>76.716666666666669</v>
      </c>
      <c r="AV169" s="59" t="s">
        <v>666</v>
      </c>
      <c r="BB169" s="73">
        <v>14</v>
      </c>
      <c r="BC169" s="73">
        <v>15</v>
      </c>
      <c r="BD169" s="73">
        <v>20</v>
      </c>
      <c r="BE169" s="73">
        <v>21</v>
      </c>
      <c r="BF169" s="73">
        <v>18</v>
      </c>
      <c r="BG169" s="73">
        <v>17.100000000000001</v>
      </c>
      <c r="BM169" s="73">
        <f t="shared" si="32"/>
        <v>17.516666666666666</v>
      </c>
      <c r="BO169" s="59" t="s">
        <v>666</v>
      </c>
      <c r="BT169" s="74"/>
      <c r="BU169" s="75">
        <v>3.5</v>
      </c>
      <c r="BV169" s="75">
        <v>2.7</v>
      </c>
      <c r="BW169" s="75">
        <v>2.9</v>
      </c>
      <c r="BX169" s="75">
        <v>1.9</v>
      </c>
      <c r="BY169" s="75">
        <v>4</v>
      </c>
      <c r="BZ169" s="75">
        <v>2.4</v>
      </c>
      <c r="CF169" s="75">
        <f t="shared" si="33"/>
        <v>2.9</v>
      </c>
    </row>
    <row r="170" spans="2:84" ht="12.75" customHeight="1" x14ac:dyDescent="0.25">
      <c r="B170" s="76">
        <v>5</v>
      </c>
      <c r="C170" s="59" t="s">
        <v>668</v>
      </c>
      <c r="D170" s="60" t="s">
        <v>669</v>
      </c>
      <c r="E170" s="60">
        <v>2010</v>
      </c>
      <c r="F170" s="77">
        <v>22.700000000000003</v>
      </c>
      <c r="G170" s="62">
        <v>77.3</v>
      </c>
      <c r="H170" s="63">
        <v>2</v>
      </c>
      <c r="I170" s="64"/>
      <c r="J170" s="65" t="s">
        <v>668</v>
      </c>
      <c r="P170" s="70">
        <v>1.0942985206253155</v>
      </c>
      <c r="Q170" s="71">
        <v>0.83670940640598845</v>
      </c>
      <c r="R170" s="71">
        <v>0.77007945651231757</v>
      </c>
      <c r="S170" s="71">
        <v>0.60834314771931541</v>
      </c>
      <c r="T170" s="71">
        <v>1</v>
      </c>
      <c r="U170" s="71">
        <v>1.99</v>
      </c>
      <c r="V170" s="71" t="s">
        <v>355</v>
      </c>
      <c r="Z170" s="71" t="s">
        <v>355</v>
      </c>
      <c r="AA170" s="70">
        <f t="shared" si="30"/>
        <v>1.0499050885438228</v>
      </c>
      <c r="AC170" s="67" t="s">
        <v>669</v>
      </c>
      <c r="AI170" s="72">
        <v>70.599999999999994</v>
      </c>
      <c r="AJ170" s="72">
        <v>73.599999999999994</v>
      </c>
      <c r="AK170" s="72">
        <v>58</v>
      </c>
      <c r="AL170" s="72">
        <v>60.4</v>
      </c>
      <c r="AM170" s="72">
        <v>47.1</v>
      </c>
      <c r="AN170" s="72">
        <v>51.3</v>
      </c>
      <c r="AT170" s="72">
        <f t="shared" si="31"/>
        <v>60.166666666666664</v>
      </c>
      <c r="AV170" s="59" t="s">
        <v>668</v>
      </c>
      <c r="BB170" s="73">
        <v>10.091549425371261</v>
      </c>
      <c r="BC170" s="73">
        <v>10.083776735117752</v>
      </c>
      <c r="BD170" s="73">
        <v>10.031712979032365</v>
      </c>
      <c r="BE170" s="73">
        <v>9.7735940962622596</v>
      </c>
      <c r="BF170" s="73">
        <v>10.24680668620814</v>
      </c>
      <c r="BG170" s="73">
        <v>12.7</v>
      </c>
      <c r="BM170" s="73">
        <f t="shared" si="32"/>
        <v>10.487906653665297</v>
      </c>
      <c r="BO170" s="59" t="s">
        <v>668</v>
      </c>
      <c r="BT170" s="74"/>
      <c r="BU170" s="75">
        <v>0.7</v>
      </c>
      <c r="BV170" s="75">
        <v>0.68</v>
      </c>
      <c r="BW170" s="75">
        <v>0.82</v>
      </c>
      <c r="BX170" s="75">
        <v>0.8</v>
      </c>
      <c r="BY170" s="75">
        <v>0.62</v>
      </c>
      <c r="BZ170" s="75" t="s">
        <v>380</v>
      </c>
      <c r="CF170" s="75">
        <f t="shared" si="33"/>
        <v>0.72399999999999998</v>
      </c>
    </row>
    <row r="171" spans="2:84" ht="12.75" customHeight="1" x14ac:dyDescent="0.25">
      <c r="B171" s="76">
        <v>5</v>
      </c>
      <c r="C171" s="59" t="s">
        <v>670</v>
      </c>
      <c r="D171" s="60" t="s">
        <v>671</v>
      </c>
      <c r="E171" s="60">
        <v>2010</v>
      </c>
      <c r="F171" s="77">
        <v>52.5</v>
      </c>
      <c r="G171" s="62">
        <v>47.5</v>
      </c>
      <c r="H171" s="63">
        <v>3</v>
      </c>
      <c r="I171" s="64"/>
      <c r="J171" s="65" t="s">
        <v>670</v>
      </c>
      <c r="P171" s="70">
        <v>0.88622464847564508</v>
      </c>
      <c r="Q171" s="71">
        <v>0.51867043306546701</v>
      </c>
      <c r="R171" s="71">
        <v>0.3</v>
      </c>
      <c r="S171" s="71">
        <v>0.3</v>
      </c>
      <c r="T171" s="71">
        <v>0.48</v>
      </c>
      <c r="U171" s="71">
        <v>0.4</v>
      </c>
      <c r="V171" s="71" t="s">
        <v>355</v>
      </c>
      <c r="Z171" s="71" t="s">
        <v>355</v>
      </c>
      <c r="AA171" s="70">
        <f t="shared" si="30"/>
        <v>0.48081584692351864</v>
      </c>
      <c r="AC171" s="67" t="s">
        <v>671</v>
      </c>
      <c r="AI171" s="72">
        <v>90.920904350723902</v>
      </c>
      <c r="AJ171" s="72">
        <v>115.99097685786083</v>
      </c>
      <c r="AK171" s="72">
        <v>122.58422759057824</v>
      </c>
      <c r="AL171" s="72">
        <v>124.02266373652657</v>
      </c>
      <c r="AM171" s="72">
        <v>78.099999999999994</v>
      </c>
      <c r="AN171" s="79">
        <v>100</v>
      </c>
      <c r="AT171" s="72">
        <f t="shared" si="31"/>
        <v>105.26979542261493</v>
      </c>
      <c r="AV171" s="59" t="s">
        <v>670</v>
      </c>
      <c r="BB171" s="73">
        <v>12.597825395361411</v>
      </c>
      <c r="BC171" s="73">
        <v>12.422688044417548</v>
      </c>
      <c r="BD171" s="73">
        <v>13.4</v>
      </c>
      <c r="BE171" s="73">
        <v>12.1</v>
      </c>
      <c r="BF171" s="73">
        <v>14.76</v>
      </c>
      <c r="BG171" s="73">
        <v>16.899999999999999</v>
      </c>
      <c r="BM171" s="73">
        <f t="shared" si="32"/>
        <v>13.69675223996316</v>
      </c>
      <c r="BO171" s="59" t="s">
        <v>670</v>
      </c>
      <c r="BT171" s="74"/>
      <c r="BU171" s="75">
        <v>0.7827128879873867</v>
      </c>
      <c r="BV171" s="75">
        <v>0.9297802970116783</v>
      </c>
      <c r="BW171" s="75">
        <v>0.9</v>
      </c>
      <c r="BX171" s="75">
        <v>0.7</v>
      </c>
      <c r="BY171" s="75">
        <v>0.28000000000000003</v>
      </c>
      <c r="BZ171" s="75">
        <v>0.2</v>
      </c>
      <c r="CF171" s="75">
        <f t="shared" si="33"/>
        <v>0.63208219749984418</v>
      </c>
    </row>
    <row r="172" spans="2:84" ht="12.75" customHeight="1" x14ac:dyDescent="0.25">
      <c r="B172" s="76">
        <v>4</v>
      </c>
      <c r="C172" s="59" t="s">
        <v>672</v>
      </c>
      <c r="D172" s="60" t="s">
        <v>673</v>
      </c>
      <c r="E172" s="60">
        <v>2010</v>
      </c>
      <c r="F172" s="77">
        <v>72.599999999999994</v>
      </c>
      <c r="G172" s="62">
        <v>27.4</v>
      </c>
      <c r="H172" s="63">
        <v>4.0999999999999996</v>
      </c>
      <c r="I172" s="64"/>
      <c r="J172" s="65" t="s">
        <v>672</v>
      </c>
      <c r="P172" s="66">
        <v>14.02222222222222</v>
      </c>
      <c r="Q172" s="66">
        <v>11.930374904361134</v>
      </c>
      <c r="R172" s="66">
        <v>9.2577029027354598</v>
      </c>
      <c r="S172" s="66">
        <v>7.8242517155789182</v>
      </c>
      <c r="T172" s="66">
        <v>6.5840245506868422</v>
      </c>
      <c r="U172" s="66">
        <v>7.3444444444444441</v>
      </c>
      <c r="V172" s="66">
        <v>6.58</v>
      </c>
      <c r="Z172" s="66">
        <v>6.58</v>
      </c>
      <c r="AA172" s="66">
        <f t="shared" si="30"/>
        <v>8.7653775925036275</v>
      </c>
      <c r="AC172" s="67" t="s">
        <v>673</v>
      </c>
      <c r="AI172" s="66">
        <f>VLOOKUP($B172,$AB$198:$AN$204,8,FALSE)</f>
        <v>79.341861538879385</v>
      </c>
      <c r="AJ172" s="66">
        <f>VLOOKUP($B172,$AB$198:$AN$204,9,FALSE)</f>
        <v>88.50619591554171</v>
      </c>
      <c r="AK172" s="66">
        <f>VLOOKUP($B172,$AB$198:$AN$204,10,FALSE)</f>
        <v>90.69473658368932</v>
      </c>
      <c r="AL172" s="66">
        <f>VLOOKUP($B172,$AB$198:$AN$204,11,FALSE)</f>
        <v>86.039752929996837</v>
      </c>
      <c r="AM172" s="66">
        <f>VLOOKUP($B172,$AB$198:$AN$204,12,FALSE)</f>
        <v>90.63333333333334</v>
      </c>
      <c r="AN172" s="66">
        <f>VLOOKUP($B172,$AB$198:$AN$204,13,FALSE)</f>
        <v>79.016666666666666</v>
      </c>
      <c r="AT172" s="66">
        <f t="shared" si="31"/>
        <v>85.70542449468455</v>
      </c>
      <c r="AV172" s="59" t="s">
        <v>672</v>
      </c>
      <c r="BB172" s="68">
        <f>VLOOKUP($B172,$AU$198:$BH$204,8,FALSE)</f>
        <v>15.783333333333331</v>
      </c>
      <c r="BC172" s="68">
        <f>VLOOKUP($B172,$AU$198:$BH$204,9,FALSE)</f>
        <v>16.96777777777778</v>
      </c>
      <c r="BD172" s="68">
        <f>VLOOKUP($B172,$AU$198:$BH$204,10,FALSE)</f>
        <v>18.087777777777777</v>
      </c>
      <c r="BE172" s="68">
        <f>VLOOKUP($B172,$AU$198:$BH$204,11,FALSE)</f>
        <v>15.511111111111111</v>
      </c>
      <c r="BF172" s="68">
        <f>VLOOKUP($B172,$AU$198:$BH$204,12,FALSE)</f>
        <v>14.228888888888889</v>
      </c>
      <c r="BG172" s="68">
        <f>VLOOKUP($B172,$AU$198:$BH$204,13,FALSE)</f>
        <v>15.466666666666669</v>
      </c>
      <c r="BM172" s="68">
        <f t="shared" si="32"/>
        <v>16.007592592592591</v>
      </c>
      <c r="BO172" s="59" t="s">
        <v>672</v>
      </c>
      <c r="BT172" s="74"/>
      <c r="BU172" s="69">
        <f>VLOOKUP($B172,$BN$198:$BZ$204,8,FALSE)</f>
        <v>1.3611111111111112</v>
      </c>
      <c r="BV172" s="69">
        <f>VLOOKUP($B172,$BN$198:$BZ$204,9,FALSE)</f>
        <v>1.7591101065276993</v>
      </c>
      <c r="BW172" s="69">
        <f>VLOOKUP($B172,$BN$198:$BZ$204,10,FALSE)</f>
        <v>1.8948899098974377</v>
      </c>
      <c r="BX172" s="69">
        <f>VLOOKUP($B172,$BN$198:$BZ$204,11,FALSE)</f>
        <v>1.8022222222222222</v>
      </c>
      <c r="BY172" s="69">
        <f>VLOOKUP($B172,$BN$198:$BZ$204,12,FALSE)</f>
        <v>1.6577777777777776</v>
      </c>
      <c r="BZ172" s="69">
        <f>VLOOKUP($B172,$BN$198:$BZ$204,13,FALSE)</f>
        <v>1.53</v>
      </c>
      <c r="CF172" s="69">
        <f t="shared" si="33"/>
        <v>1.6675185212560413</v>
      </c>
    </row>
    <row r="173" spans="2:84" ht="12.75" customHeight="1" x14ac:dyDescent="0.25">
      <c r="B173" s="76">
        <v>1</v>
      </c>
      <c r="C173" s="59" t="s">
        <v>674</v>
      </c>
      <c r="D173" s="60" t="s">
        <v>675</v>
      </c>
      <c r="E173" s="60">
        <v>2010</v>
      </c>
      <c r="F173" s="77">
        <v>17.799999999999997</v>
      </c>
      <c r="G173" s="62">
        <v>82.2</v>
      </c>
      <c r="H173" s="63">
        <v>1.9</v>
      </c>
      <c r="I173" s="64"/>
      <c r="J173" s="65" t="s">
        <v>674</v>
      </c>
      <c r="P173" s="66">
        <v>10.951448940605555</v>
      </c>
      <c r="Q173" s="66">
        <v>8.9659352564169783</v>
      </c>
      <c r="R173" s="66">
        <v>7.5764805003373485</v>
      </c>
      <c r="S173" s="66">
        <v>6.9766808385753336</v>
      </c>
      <c r="T173" s="66">
        <v>6.028398498646701</v>
      </c>
      <c r="U173" s="66">
        <v>5.1511144935422388</v>
      </c>
      <c r="V173" s="66">
        <v>7.19</v>
      </c>
      <c r="Z173" s="66">
        <v>7.19</v>
      </c>
      <c r="AA173" s="97">
        <f t="shared" si="30"/>
        <v>7.5037573160155189</v>
      </c>
      <c r="AC173" s="67" t="s">
        <v>675</v>
      </c>
      <c r="AI173" s="66">
        <f>VLOOKUP($B173,$AB$198:$AN$204,8,FALSE)</f>
        <v>62.267766724334649</v>
      </c>
      <c r="AJ173" s="66">
        <f>VLOOKUP($B173,$AB$198:$AN$204,9,FALSE)</f>
        <v>58.416201756290228</v>
      </c>
      <c r="AK173" s="66">
        <f>VLOOKUP($B173,$AB$198:$AN$204,10,FALSE)</f>
        <v>65.401431372790213</v>
      </c>
      <c r="AL173" s="66">
        <f>VLOOKUP($B173,$AB$198:$AN$204,11,FALSE)</f>
        <v>71.775804261946988</v>
      </c>
      <c r="AM173" s="66">
        <f>VLOOKUP($B173,$AB$198:$AN$204,12,FALSE)</f>
        <v>85.024999999999991</v>
      </c>
      <c r="AN173" s="66">
        <f>VLOOKUP($B173,$AB$198:$AN$204,13,FALSE)</f>
        <v>106.17999999999999</v>
      </c>
      <c r="AT173" s="66">
        <f t="shared" si="31"/>
        <v>74.84436735256034</v>
      </c>
      <c r="AV173" s="59" t="s">
        <v>674</v>
      </c>
      <c r="BB173" s="68">
        <f>VLOOKUP($B173,$AU$198:$BH$204,8,FALSE)</f>
        <v>11.270393306464786</v>
      </c>
      <c r="BC173" s="68">
        <f>VLOOKUP($B173,$AU$198:$BH$204,9,FALSE)</f>
        <v>12.218846153846155</v>
      </c>
      <c r="BD173" s="68">
        <f>VLOOKUP($B173,$AU$198:$BH$204,10,FALSE)</f>
        <v>12.689038461538463</v>
      </c>
      <c r="BE173" s="68">
        <f>VLOOKUP($B173,$AU$198:$BH$204,11,FALSE)</f>
        <v>12.925000000000001</v>
      </c>
      <c r="BF173" s="68">
        <f>VLOOKUP($B173,$AU$198:$BH$204,12,FALSE)</f>
        <v>13.27</v>
      </c>
      <c r="BG173" s="68">
        <f>VLOOKUP($B173,$AU$198:$BH$204,13,FALSE)</f>
        <v>14.116666666666667</v>
      </c>
      <c r="BM173" s="68">
        <f t="shared" si="32"/>
        <v>12.748324098086011</v>
      </c>
      <c r="BO173" s="59" t="s">
        <v>674</v>
      </c>
      <c r="BT173" s="74"/>
      <c r="BU173" s="69">
        <f>VLOOKUP($B173,$BN$198:$BZ$204,8,FALSE)</f>
        <v>1.1095149831589846</v>
      </c>
      <c r="BV173" s="69">
        <f>VLOOKUP($B173,$BN$198:$BZ$204,9,FALSE)</f>
        <v>1.2860560376080794</v>
      </c>
      <c r="BW173" s="69">
        <f>VLOOKUP($B173,$BN$198:$BZ$204,10,FALSE)</f>
        <v>1.0562499999999999</v>
      </c>
      <c r="BX173" s="69">
        <f>VLOOKUP($B173,$BN$198:$BZ$204,11,FALSE)</f>
        <v>1.2375</v>
      </c>
      <c r="BY173" s="69">
        <f>VLOOKUP($B173,$BN$198:$BZ$204,12,FALSE)</f>
        <v>1.2124999999999999</v>
      </c>
      <c r="BZ173" s="69">
        <f>VLOOKUP($B173,$BN$198:$BZ$204,13,FALSE)</f>
        <v>1.3316666666666668</v>
      </c>
      <c r="CF173" s="69">
        <f t="shared" si="33"/>
        <v>1.2055812812389552</v>
      </c>
    </row>
    <row r="174" spans="2:84" ht="12.75" customHeight="1" x14ac:dyDescent="0.25">
      <c r="B174" s="76">
        <v>2</v>
      </c>
      <c r="C174" s="59" t="s">
        <v>676</v>
      </c>
      <c r="D174" s="60" t="s">
        <v>677</v>
      </c>
      <c r="E174" s="60">
        <v>2010</v>
      </c>
      <c r="F174" s="77">
        <v>62.6</v>
      </c>
      <c r="G174" s="62">
        <v>37.4</v>
      </c>
      <c r="H174" s="63">
        <v>3</v>
      </c>
      <c r="I174" s="64"/>
      <c r="J174" s="65" t="s">
        <v>676</v>
      </c>
      <c r="P174" s="66">
        <v>6.5470230297727472</v>
      </c>
      <c r="Q174" s="66">
        <v>4.866104606691894</v>
      </c>
      <c r="R174" s="66">
        <v>4.0793587535733469</v>
      </c>
      <c r="S174" s="66">
        <v>3.4682894030301306</v>
      </c>
      <c r="T174" s="66">
        <v>5.324434274292706</v>
      </c>
      <c r="U174" s="66">
        <v>11.791266704541009</v>
      </c>
      <c r="V174" s="66">
        <v>13.204792520432788</v>
      </c>
      <c r="Z174" s="66">
        <v>13.204792520432788</v>
      </c>
      <c r="AA174" s="66">
        <f t="shared" si="30"/>
        <v>7.8107577265959263</v>
      </c>
      <c r="AC174" s="67" t="s">
        <v>677</v>
      </c>
      <c r="AI174" s="66">
        <f>VLOOKUP($B174,$AB$198:$AN$204,8,FALSE)</f>
        <v>81.617815617406805</v>
      </c>
      <c r="AJ174" s="66">
        <f>VLOOKUP($B174,$AB$198:$AN$204,9,FALSE)</f>
        <v>90.087240267752392</v>
      </c>
      <c r="AK174" s="66">
        <f>VLOOKUP($B174,$AB$198:$AN$204,10,FALSE)</f>
        <v>88.985721813757607</v>
      </c>
      <c r="AL174" s="66">
        <f>VLOOKUP($B174,$AB$198:$AN$204,11,FALSE)</f>
        <v>85.305718000035199</v>
      </c>
      <c r="AM174" s="66">
        <f>VLOOKUP($B174,$AB$198:$AN$204,12,FALSE)</f>
        <v>84.643872929029527</v>
      </c>
      <c r="AN174" s="66">
        <f>VLOOKUP($B174,$AB$198:$AN$204,13,FALSE)</f>
        <v>74.875500940663585</v>
      </c>
      <c r="AT174" s="66">
        <f t="shared" si="31"/>
        <v>84.252644928107514</v>
      </c>
      <c r="AV174" s="59" t="s">
        <v>676</v>
      </c>
      <c r="BB174" s="68">
        <f>VLOOKUP($B174,$AU$198:$BH$204,8,FALSE)</f>
        <v>21.020522134936851</v>
      </c>
      <c r="BC174" s="68">
        <f>VLOOKUP($B174,$AU$198:$BH$204,9,FALSE)</f>
        <v>19.450013274888473</v>
      </c>
      <c r="BD174" s="68">
        <f>VLOOKUP($B174,$AU$198:$BH$204,10,FALSE)</f>
        <v>18.667698962580744</v>
      </c>
      <c r="BE174" s="68">
        <f>VLOOKUP($B174,$AU$198:$BH$204,11,FALSE)</f>
        <v>17.474378499557432</v>
      </c>
      <c r="BF174" s="68">
        <f>VLOOKUP($B174,$AU$198:$BH$204,12,FALSE)</f>
        <v>17.117970453391717</v>
      </c>
      <c r="BG174" s="68">
        <f>VLOOKUP($B174,$AU$198:$BH$204,13,FALSE)</f>
        <v>16.94805594144432</v>
      </c>
      <c r="BM174" s="68">
        <f t="shared" si="32"/>
        <v>18.446439877799925</v>
      </c>
      <c r="BO174" s="59" t="s">
        <v>676</v>
      </c>
      <c r="BT174" s="74"/>
      <c r="BU174" s="69">
        <f>VLOOKUP($B174,$BN$198:$BZ$204,8,FALSE)</f>
        <v>1.5534520775941867</v>
      </c>
      <c r="BV174" s="69">
        <f>VLOOKUP($B174,$BN$198:$BZ$204,9,FALSE)</f>
        <v>1.7594268869112808</v>
      </c>
      <c r="BW174" s="69">
        <f>VLOOKUP($B174,$BN$198:$BZ$204,10,FALSE)</f>
        <v>1.9264064345990539</v>
      </c>
      <c r="BX174" s="69">
        <f>VLOOKUP($B174,$BN$198:$BZ$204,11,FALSE)</f>
        <v>1.9610645486104465</v>
      </c>
      <c r="BY174" s="69">
        <f>VLOOKUP($B174,$BN$198:$BZ$204,12,FALSE)</f>
        <v>1.1293177319334557</v>
      </c>
      <c r="BZ174" s="69">
        <f>VLOOKUP($B174,$BN$198:$BZ$204,13,FALSE)</f>
        <v>-1.4158844507992445</v>
      </c>
      <c r="CF174" s="69">
        <f t="shared" si="33"/>
        <v>1.1522972048081965</v>
      </c>
    </row>
    <row r="175" spans="2:84" ht="12.75" customHeight="1" x14ac:dyDescent="0.25">
      <c r="B175" s="76">
        <v>6</v>
      </c>
      <c r="C175" s="59" t="s">
        <v>678</v>
      </c>
      <c r="D175" s="60" t="s">
        <v>679</v>
      </c>
      <c r="E175" s="60">
        <v>2010</v>
      </c>
      <c r="F175" s="77">
        <v>78.099999999999994</v>
      </c>
      <c r="G175" s="62">
        <v>21.9</v>
      </c>
      <c r="H175" s="63">
        <v>3</v>
      </c>
      <c r="I175" s="64"/>
      <c r="J175" s="65" t="s">
        <v>678</v>
      </c>
      <c r="P175" s="66">
        <v>12.639230769230769</v>
      </c>
      <c r="Q175" s="66">
        <v>12.165410295921369</v>
      </c>
      <c r="R175" s="66">
        <v>10.59847453234358</v>
      </c>
      <c r="S175" s="66">
        <v>9.472707780057064</v>
      </c>
      <c r="T175" s="66">
        <v>7.9803674992915017</v>
      </c>
      <c r="U175" s="66">
        <v>8.8942099137723467</v>
      </c>
      <c r="V175" s="66">
        <v>9.5068542417657511</v>
      </c>
      <c r="Z175" s="66">
        <v>9.5068542417657511</v>
      </c>
      <c r="AA175" s="66">
        <f t="shared" si="30"/>
        <v>10.095513659268518</v>
      </c>
      <c r="AC175" s="67" t="s">
        <v>679</v>
      </c>
      <c r="AI175" s="66">
        <f>VLOOKUP($B175,$AB$198:$AN$204,8,FALSE)</f>
        <v>75.888644067796605</v>
      </c>
      <c r="AJ175" s="66">
        <f>VLOOKUP($B175,$AB$198:$AN$204,9,FALSE)</f>
        <v>80.455696202531627</v>
      </c>
      <c r="AK175" s="66">
        <f>VLOOKUP($B175,$AB$198:$AN$204,10,FALSE)</f>
        <v>79.335945945945952</v>
      </c>
      <c r="AL175" s="66">
        <f>VLOOKUP($B175,$AB$198:$AN$204,11,FALSE)</f>
        <v>70.762500000000003</v>
      </c>
      <c r="AM175" s="66">
        <f>VLOOKUP($B175,$AB$198:$AN$204,12,FALSE)</f>
        <v>76.45</v>
      </c>
      <c r="AN175" s="66">
        <f>VLOOKUP($B175,$AB$198:$AN$204,13,FALSE)</f>
        <v>67.424999999999997</v>
      </c>
      <c r="AT175" s="66">
        <f t="shared" si="31"/>
        <v>75.05296436937904</v>
      </c>
      <c r="AV175" s="59" t="s">
        <v>678</v>
      </c>
      <c r="BB175" s="68">
        <f>VLOOKUP($B175,$AU$198:$BH$204,8,FALSE)</f>
        <v>18.156923076923078</v>
      </c>
      <c r="BC175" s="68">
        <f>VLOOKUP($B175,$AU$198:$BH$204,9,FALSE)</f>
        <v>17.862307692307695</v>
      </c>
      <c r="BD175" s="68">
        <f>VLOOKUP($B175,$AU$198:$BH$204,10,FALSE)</f>
        <v>17.588461538461537</v>
      </c>
      <c r="BE175" s="68">
        <f>VLOOKUP($B175,$AU$198:$BH$204,11,FALSE)</f>
        <v>17.724615384615387</v>
      </c>
      <c r="BF175" s="68">
        <f>VLOOKUP($B175,$AU$198:$BH$204,12,FALSE)</f>
        <v>18.493846153846153</v>
      </c>
      <c r="BG175" s="68">
        <f>VLOOKUP($B175,$AU$198:$BH$204,13,FALSE)</f>
        <v>19.346363636363638</v>
      </c>
      <c r="BM175" s="68">
        <f t="shared" si="32"/>
        <v>18.195419580419578</v>
      </c>
      <c r="BO175" s="59" t="s">
        <v>678</v>
      </c>
      <c r="BT175" s="74"/>
      <c r="BU175" s="69">
        <f>VLOOKUP($B175,$BN$198:$BZ$204,8,FALSE)</f>
        <v>3.2984615384615386</v>
      </c>
      <c r="BV175" s="69">
        <f>VLOOKUP($B175,$BN$198:$BZ$204,9,FALSE)</f>
        <v>2.7469230769230766</v>
      </c>
      <c r="BW175" s="69">
        <f>VLOOKUP($B175,$BN$198:$BZ$204,10,FALSE)</f>
        <v>2.7653846153846158</v>
      </c>
      <c r="BX175" s="69">
        <f>VLOOKUP($B175,$BN$198:$BZ$204,11,FALSE)</f>
        <v>2.525384615384616</v>
      </c>
      <c r="BY175" s="69">
        <f>VLOOKUP($B175,$BN$198:$BZ$204,12,FALSE)</f>
        <v>2.9269230769230767</v>
      </c>
      <c r="BZ175" s="69">
        <f>VLOOKUP($B175,$BN$198:$BZ$204,13,FALSE)</f>
        <v>2.36</v>
      </c>
      <c r="CF175" s="69">
        <f t="shared" si="33"/>
        <v>2.7705128205128204</v>
      </c>
    </row>
    <row r="176" spans="2:84" ht="12.75" customHeight="1" x14ac:dyDescent="0.25">
      <c r="B176" s="76">
        <v>1</v>
      </c>
      <c r="C176" s="59" t="s">
        <v>680</v>
      </c>
      <c r="D176" s="60" t="s">
        <v>681</v>
      </c>
      <c r="E176" s="60">
        <v>2010</v>
      </c>
      <c r="F176" s="77">
        <v>56.5</v>
      </c>
      <c r="G176" s="62">
        <v>43.5</v>
      </c>
      <c r="H176" s="63">
        <v>2.7</v>
      </c>
      <c r="I176" s="64"/>
      <c r="J176" s="65" t="s">
        <v>680</v>
      </c>
      <c r="P176" s="70">
        <v>11.94</v>
      </c>
      <c r="Q176" s="71">
        <v>9.06</v>
      </c>
      <c r="R176" s="71">
        <v>8.07</v>
      </c>
      <c r="S176" s="71">
        <v>7.8596311981231501</v>
      </c>
      <c r="T176" s="71">
        <v>5.7</v>
      </c>
      <c r="U176" s="71">
        <v>5.3</v>
      </c>
      <c r="V176" s="71">
        <v>4.97</v>
      </c>
      <c r="Z176" s="71">
        <v>4.97</v>
      </c>
      <c r="AA176" s="70">
        <f t="shared" si="30"/>
        <v>7.2337038997653931</v>
      </c>
      <c r="AC176" s="67" t="s">
        <v>681</v>
      </c>
      <c r="AI176" s="72">
        <v>79.757188498402556</v>
      </c>
      <c r="AJ176" s="72">
        <v>83.720506513619384</v>
      </c>
      <c r="AK176" s="72">
        <v>82.685652130920602</v>
      </c>
      <c r="AL176" s="72">
        <v>86.5</v>
      </c>
      <c r="AM176" s="72">
        <v>97.9</v>
      </c>
      <c r="AN176" s="72" t="s">
        <v>380</v>
      </c>
      <c r="AT176" s="72">
        <f t="shared" si="31"/>
        <v>86.112669428588518</v>
      </c>
      <c r="AV176" s="59" t="s">
        <v>680</v>
      </c>
      <c r="BB176" s="73">
        <v>12.4</v>
      </c>
      <c r="BC176" s="73">
        <v>13.22</v>
      </c>
      <c r="BD176" s="73">
        <v>13.6</v>
      </c>
      <c r="BE176" s="73">
        <v>14.8</v>
      </c>
      <c r="BF176" s="73">
        <v>13.8</v>
      </c>
      <c r="BG176" s="73" t="s">
        <v>380</v>
      </c>
      <c r="BM176" s="73">
        <f t="shared" si="32"/>
        <v>13.563999999999998</v>
      </c>
      <c r="BO176" s="59" t="s">
        <v>680</v>
      </c>
      <c r="BT176" s="74"/>
      <c r="BU176" s="75">
        <v>1.2058634550154654</v>
      </c>
      <c r="BV176" s="75">
        <v>1.3628072752236089</v>
      </c>
      <c r="BW176" s="75">
        <v>0.77</v>
      </c>
      <c r="BX176" s="75">
        <v>0.1</v>
      </c>
      <c r="BY176" s="75">
        <v>1</v>
      </c>
      <c r="BZ176" s="75" t="s">
        <v>380</v>
      </c>
      <c r="CF176" s="75">
        <f t="shared" si="33"/>
        <v>0.88773414604781498</v>
      </c>
    </row>
    <row r="177" spans="2:84" ht="12.75" customHeight="1" x14ac:dyDescent="0.25">
      <c r="B177" s="76">
        <v>1</v>
      </c>
      <c r="C177" s="59" t="s">
        <v>682</v>
      </c>
      <c r="D177" s="60" t="s">
        <v>683</v>
      </c>
      <c r="E177" s="60">
        <v>2010</v>
      </c>
      <c r="F177" s="61">
        <v>71.713636363636368</v>
      </c>
      <c r="G177" s="62" t="s">
        <v>355</v>
      </c>
      <c r="H177" s="63" t="s">
        <v>355</v>
      </c>
      <c r="I177" s="64"/>
      <c r="J177" s="65" t="s">
        <v>682</v>
      </c>
      <c r="P177" s="66">
        <v>10.951448940605555</v>
      </c>
      <c r="Q177" s="66">
        <v>8.9659352564169783</v>
      </c>
      <c r="R177" s="66">
        <v>7.5764805003373485</v>
      </c>
      <c r="S177" s="66">
        <v>6.9766808385753336</v>
      </c>
      <c r="T177" s="66">
        <v>6.028398498646701</v>
      </c>
      <c r="U177" s="66">
        <v>5.1511144935422388</v>
      </c>
      <c r="V177" s="66">
        <v>7.19</v>
      </c>
      <c r="Z177" s="66">
        <v>7.19</v>
      </c>
      <c r="AA177" s="66">
        <f t="shared" si="30"/>
        <v>7.5037573160155189</v>
      </c>
      <c r="AC177" s="67" t="s">
        <v>683</v>
      </c>
      <c r="AI177" s="66">
        <f>VLOOKUP($B177,$AB$198:$AN$204,8,FALSE)</f>
        <v>62.267766724334649</v>
      </c>
      <c r="AJ177" s="66">
        <f>VLOOKUP($B177,$AB$198:$AN$204,9,FALSE)</f>
        <v>58.416201756290228</v>
      </c>
      <c r="AK177" s="66">
        <f>VLOOKUP($B177,$AB$198:$AN$204,10,FALSE)</f>
        <v>65.401431372790213</v>
      </c>
      <c r="AL177" s="66">
        <f>VLOOKUP($B177,$AB$198:$AN$204,11,FALSE)</f>
        <v>71.775804261946988</v>
      </c>
      <c r="AM177" s="66">
        <f>VLOOKUP($B177,$AB$198:$AN$204,12,FALSE)</f>
        <v>85.024999999999991</v>
      </c>
      <c r="AN177" s="66">
        <f>VLOOKUP($B177,$AB$198:$AN$204,13,FALSE)</f>
        <v>106.17999999999999</v>
      </c>
      <c r="AT177" s="66">
        <f t="shared" si="31"/>
        <v>74.84436735256034</v>
      </c>
      <c r="AV177" s="59" t="s">
        <v>682</v>
      </c>
      <c r="BB177" s="68">
        <f>VLOOKUP($B177,$AU$198:$BH$204,8,FALSE)</f>
        <v>11.270393306464786</v>
      </c>
      <c r="BC177" s="68">
        <f>VLOOKUP($B177,$AU$198:$BH$204,9,FALSE)</f>
        <v>12.218846153846155</v>
      </c>
      <c r="BD177" s="68">
        <f>VLOOKUP($B177,$AU$198:$BH$204,10,FALSE)</f>
        <v>12.689038461538463</v>
      </c>
      <c r="BE177" s="68">
        <f>VLOOKUP($B177,$AU$198:$BH$204,11,FALSE)</f>
        <v>12.925000000000001</v>
      </c>
      <c r="BF177" s="68">
        <f>VLOOKUP($B177,$AU$198:$BH$204,12,FALSE)</f>
        <v>13.27</v>
      </c>
      <c r="BG177" s="68">
        <f>VLOOKUP($B177,$AU$198:$BH$204,13,FALSE)</f>
        <v>14.116666666666667</v>
      </c>
      <c r="BM177" s="68">
        <f t="shared" si="32"/>
        <v>12.748324098086011</v>
      </c>
      <c r="BO177" s="59" t="s">
        <v>682</v>
      </c>
      <c r="BT177" s="74"/>
      <c r="BU177" s="69">
        <f>VLOOKUP($B177,$BN$198:$BZ$204,8,FALSE)</f>
        <v>1.1095149831589846</v>
      </c>
      <c r="BV177" s="69">
        <f>VLOOKUP($B177,$BN$198:$BZ$204,9,FALSE)</f>
        <v>1.2860560376080794</v>
      </c>
      <c r="BW177" s="69">
        <f>VLOOKUP($B177,$BN$198:$BZ$204,10,FALSE)</f>
        <v>1.0562499999999999</v>
      </c>
      <c r="BX177" s="69">
        <f>VLOOKUP($B177,$BN$198:$BZ$204,11,FALSE)</f>
        <v>1.2375</v>
      </c>
      <c r="BY177" s="69">
        <f>VLOOKUP($B177,$BN$198:$BZ$204,12,FALSE)</f>
        <v>1.2124999999999999</v>
      </c>
      <c r="BZ177" s="69">
        <f>VLOOKUP($B177,$BN$198:$BZ$204,13,FALSE)</f>
        <v>1.3316666666666668</v>
      </c>
      <c r="CF177" s="69">
        <f t="shared" si="33"/>
        <v>1.2055812812389552</v>
      </c>
    </row>
    <row r="178" spans="2:84" ht="12.75" customHeight="1" x14ac:dyDescent="0.25">
      <c r="B178" s="76">
        <v>6</v>
      </c>
      <c r="C178" s="59" t="s">
        <v>684</v>
      </c>
      <c r="D178" s="60" t="s">
        <v>685</v>
      </c>
      <c r="E178" s="60">
        <v>2010</v>
      </c>
      <c r="F178" s="77">
        <v>69.400000000000006</v>
      </c>
      <c r="G178" s="62">
        <v>30.6</v>
      </c>
      <c r="H178" s="63">
        <v>3</v>
      </c>
      <c r="I178" s="64"/>
      <c r="J178" s="65" t="s">
        <v>684</v>
      </c>
      <c r="P178" s="66">
        <v>12.639230769230769</v>
      </c>
      <c r="Q178" s="66">
        <v>12.165410295921369</v>
      </c>
      <c r="R178" s="66">
        <v>10.59847453234358</v>
      </c>
      <c r="S178" s="66">
        <v>9.472707780057064</v>
      </c>
      <c r="T178" s="66">
        <v>7.9803674992915017</v>
      </c>
      <c r="U178" s="66">
        <v>8.8942099137723467</v>
      </c>
      <c r="V178" s="66">
        <v>9.5068542417657511</v>
      </c>
      <c r="Z178" s="66">
        <v>9.5068542417657511</v>
      </c>
      <c r="AA178" s="66">
        <f t="shared" si="30"/>
        <v>10.095513659268518</v>
      </c>
      <c r="AC178" s="67" t="s">
        <v>685</v>
      </c>
      <c r="AI178" s="66">
        <f>VLOOKUP($B178,$AB$198:$AN$204,8,FALSE)</f>
        <v>75.888644067796605</v>
      </c>
      <c r="AJ178" s="66">
        <f>VLOOKUP($B178,$AB$198:$AN$204,9,FALSE)</f>
        <v>80.455696202531627</v>
      </c>
      <c r="AK178" s="66">
        <f>VLOOKUP($B178,$AB$198:$AN$204,10,FALSE)</f>
        <v>79.335945945945952</v>
      </c>
      <c r="AL178" s="66">
        <f>VLOOKUP($B178,$AB$198:$AN$204,11,FALSE)</f>
        <v>70.762500000000003</v>
      </c>
      <c r="AM178" s="66">
        <f>VLOOKUP($B178,$AB$198:$AN$204,12,FALSE)</f>
        <v>76.45</v>
      </c>
      <c r="AN178" s="66">
        <f>VLOOKUP($B178,$AB$198:$AN$204,13,FALSE)</f>
        <v>67.424999999999997</v>
      </c>
      <c r="AT178" s="66">
        <f t="shared" si="31"/>
        <v>75.05296436937904</v>
      </c>
      <c r="AV178" s="59" t="s">
        <v>684</v>
      </c>
      <c r="BB178" s="68">
        <f>VLOOKUP($B178,$AU$198:$BH$204,8,FALSE)</f>
        <v>18.156923076923078</v>
      </c>
      <c r="BC178" s="68">
        <f>VLOOKUP($B178,$AU$198:$BH$204,9,FALSE)</f>
        <v>17.862307692307695</v>
      </c>
      <c r="BD178" s="68">
        <f>VLOOKUP($B178,$AU$198:$BH$204,10,FALSE)</f>
        <v>17.588461538461537</v>
      </c>
      <c r="BE178" s="68">
        <f>VLOOKUP($B178,$AU$198:$BH$204,11,FALSE)</f>
        <v>17.724615384615387</v>
      </c>
      <c r="BF178" s="68">
        <f>VLOOKUP($B178,$AU$198:$BH$204,12,FALSE)</f>
        <v>18.493846153846153</v>
      </c>
      <c r="BG178" s="68">
        <f>VLOOKUP($B178,$AU$198:$BH$204,13,FALSE)</f>
        <v>19.346363636363638</v>
      </c>
      <c r="BM178" s="68">
        <f t="shared" si="32"/>
        <v>18.195419580419578</v>
      </c>
      <c r="BO178" s="59" t="s">
        <v>684</v>
      </c>
      <c r="BT178" s="74"/>
      <c r="BU178" s="69">
        <f>VLOOKUP($B178,$BN$198:$BZ$204,8,FALSE)</f>
        <v>3.2984615384615386</v>
      </c>
      <c r="BV178" s="69">
        <f>VLOOKUP($B178,$BN$198:$BZ$204,9,FALSE)</f>
        <v>2.7469230769230766</v>
      </c>
      <c r="BW178" s="69">
        <f>VLOOKUP($B178,$BN$198:$BZ$204,10,FALSE)</f>
        <v>2.7653846153846158</v>
      </c>
      <c r="BX178" s="69">
        <f>VLOOKUP($B178,$BN$198:$BZ$204,11,FALSE)</f>
        <v>2.525384615384616</v>
      </c>
      <c r="BY178" s="69">
        <f>VLOOKUP($B178,$BN$198:$BZ$204,12,FALSE)</f>
        <v>2.9269230769230767</v>
      </c>
      <c r="BZ178" s="69">
        <f>VLOOKUP($B178,$BN$198:$BZ$204,13,FALSE)</f>
        <v>2.36</v>
      </c>
      <c r="CF178" s="69">
        <f t="shared" si="33"/>
        <v>2.7705128205128204</v>
      </c>
    </row>
    <row r="179" spans="2:84" ht="12.75" customHeight="1" x14ac:dyDescent="0.25">
      <c r="B179" s="76">
        <v>1</v>
      </c>
      <c r="C179" s="59" t="s">
        <v>686</v>
      </c>
      <c r="D179" s="60" t="s">
        <v>687</v>
      </c>
      <c r="E179" s="60">
        <v>2010</v>
      </c>
      <c r="F179" s="77">
        <v>74.7</v>
      </c>
      <c r="G179" s="62">
        <v>25.3</v>
      </c>
      <c r="H179" s="63">
        <v>2.7</v>
      </c>
      <c r="I179" s="64"/>
      <c r="J179" s="65" t="s">
        <v>686</v>
      </c>
      <c r="P179" s="66">
        <v>10.951448940605555</v>
      </c>
      <c r="Q179" s="66">
        <v>8.9659352564169783</v>
      </c>
      <c r="R179" s="66">
        <v>7.5764805003373485</v>
      </c>
      <c r="S179" s="66">
        <v>6.9766808385753336</v>
      </c>
      <c r="T179" s="66">
        <v>6.028398498646701</v>
      </c>
      <c r="U179" s="66">
        <v>5.1511144935422388</v>
      </c>
      <c r="V179" s="66">
        <v>7.19</v>
      </c>
      <c r="Z179" s="66">
        <v>7.19</v>
      </c>
      <c r="AA179" s="66">
        <f t="shared" si="30"/>
        <v>7.5037573160155189</v>
      </c>
      <c r="AC179" s="67" t="s">
        <v>687</v>
      </c>
      <c r="AI179" s="66">
        <f>VLOOKUP($B179,$AB$198:$AN$204,8,FALSE)</f>
        <v>62.267766724334649</v>
      </c>
      <c r="AJ179" s="66">
        <f>VLOOKUP($B179,$AB$198:$AN$204,9,FALSE)</f>
        <v>58.416201756290228</v>
      </c>
      <c r="AK179" s="66">
        <f>VLOOKUP($B179,$AB$198:$AN$204,10,FALSE)</f>
        <v>65.401431372790213</v>
      </c>
      <c r="AL179" s="66">
        <f>VLOOKUP($B179,$AB$198:$AN$204,11,FALSE)</f>
        <v>71.775804261946988</v>
      </c>
      <c r="AM179" s="66">
        <f>VLOOKUP($B179,$AB$198:$AN$204,12,FALSE)</f>
        <v>85.024999999999991</v>
      </c>
      <c r="AN179" s="66">
        <f>VLOOKUP($B179,$AB$198:$AN$204,13,FALSE)</f>
        <v>106.17999999999999</v>
      </c>
      <c r="AT179" s="66">
        <f t="shared" si="31"/>
        <v>74.84436735256034</v>
      </c>
      <c r="AV179" s="59" t="s">
        <v>686</v>
      </c>
      <c r="BB179" s="68">
        <f>VLOOKUP($B179,$AU$198:$BH$204,8,FALSE)</f>
        <v>11.270393306464786</v>
      </c>
      <c r="BC179" s="68">
        <f>VLOOKUP($B179,$AU$198:$BH$204,9,FALSE)</f>
        <v>12.218846153846155</v>
      </c>
      <c r="BD179" s="68">
        <f>VLOOKUP($B179,$AU$198:$BH$204,10,FALSE)</f>
        <v>12.689038461538463</v>
      </c>
      <c r="BE179" s="68">
        <f>VLOOKUP($B179,$AU$198:$BH$204,11,FALSE)</f>
        <v>12.925000000000001</v>
      </c>
      <c r="BF179" s="68">
        <f>VLOOKUP($B179,$AU$198:$BH$204,12,FALSE)</f>
        <v>13.27</v>
      </c>
      <c r="BG179" s="68">
        <f>VLOOKUP($B179,$AU$198:$BH$204,13,FALSE)</f>
        <v>14.116666666666667</v>
      </c>
      <c r="BM179" s="68">
        <f t="shared" si="32"/>
        <v>12.748324098086011</v>
      </c>
      <c r="BO179" s="59" t="s">
        <v>686</v>
      </c>
      <c r="BT179" s="74"/>
      <c r="BU179" s="69">
        <f>VLOOKUP($B179,$BN$198:$BZ$204,8,FALSE)</f>
        <v>1.1095149831589846</v>
      </c>
      <c r="BV179" s="69">
        <f>VLOOKUP($B179,$BN$198:$BZ$204,9,FALSE)</f>
        <v>1.2860560376080794</v>
      </c>
      <c r="BW179" s="69">
        <f>VLOOKUP($B179,$BN$198:$BZ$204,10,FALSE)</f>
        <v>1.0562499999999999</v>
      </c>
      <c r="BX179" s="69">
        <f>VLOOKUP($B179,$BN$198:$BZ$204,11,FALSE)</f>
        <v>1.2375</v>
      </c>
      <c r="BY179" s="69">
        <f>VLOOKUP($B179,$BN$198:$BZ$204,12,FALSE)</f>
        <v>1.2124999999999999</v>
      </c>
      <c r="BZ179" s="69">
        <f>VLOOKUP($B179,$BN$198:$BZ$204,13,FALSE)</f>
        <v>1.3316666666666668</v>
      </c>
      <c r="CF179" s="69">
        <f t="shared" si="33"/>
        <v>1.2055812812389552</v>
      </c>
    </row>
    <row r="180" spans="2:84" ht="12.75" customHeight="1" x14ac:dyDescent="0.25">
      <c r="B180" s="76">
        <v>3</v>
      </c>
      <c r="C180" s="59" t="s">
        <v>688</v>
      </c>
      <c r="D180" s="60" t="s">
        <v>689</v>
      </c>
      <c r="E180" s="60">
        <v>2010</v>
      </c>
      <c r="F180" s="61">
        <v>67.23333333333332</v>
      </c>
      <c r="G180" s="62" t="s">
        <v>355</v>
      </c>
      <c r="H180" s="63" t="s">
        <v>355</v>
      </c>
      <c r="I180" s="64"/>
      <c r="J180" s="65" t="s">
        <v>688</v>
      </c>
      <c r="P180" s="66">
        <v>5.584644672858265</v>
      </c>
      <c r="Q180" s="66">
        <v>3.9624899241932421</v>
      </c>
      <c r="R180" s="66">
        <v>3.0340039193664454</v>
      </c>
      <c r="S180" s="66">
        <v>2.604471088787407</v>
      </c>
      <c r="T180" s="66">
        <v>2.4269734911821845</v>
      </c>
      <c r="U180" s="66">
        <v>2.9280358899553502</v>
      </c>
      <c r="V180" s="66">
        <v>3.5429234268459737</v>
      </c>
      <c r="Z180" s="66">
        <v>3.5429234268459737</v>
      </c>
      <c r="AA180" s="66">
        <f t="shared" si="30"/>
        <v>3.4533082300043549</v>
      </c>
      <c r="AC180" s="67" t="s">
        <v>689</v>
      </c>
      <c r="AI180" s="66">
        <f>VLOOKUP($B180,$AB$198:$AN$204,8,FALSE)</f>
        <v>128.9834964234991</v>
      </c>
      <c r="AJ180" s="66">
        <f>VLOOKUP($B180,$AB$198:$AN$204,9,FALSE)</f>
        <v>140.08513617162512</v>
      </c>
      <c r="AK180" s="66">
        <f>VLOOKUP($B180,$AB$198:$AN$204,10,FALSE)</f>
        <v>159.45976537422837</v>
      </c>
      <c r="AL180" s="66">
        <f>VLOOKUP($B180,$AB$198:$AN$204,11,FALSE)</f>
        <v>176.08231767394884</v>
      </c>
      <c r="AM180" s="66">
        <f>VLOOKUP($B180,$AB$198:$AN$204,12,FALSE)</f>
        <v>179.91973269843069</v>
      </c>
      <c r="AN180" s="66">
        <f>VLOOKUP($B180,$AB$198:$AN$204,13,FALSE)</f>
        <v>163.73758550252111</v>
      </c>
      <c r="AT180" s="66">
        <f t="shared" si="31"/>
        <v>158.04467230737555</v>
      </c>
      <c r="AV180" s="59" t="s">
        <v>688</v>
      </c>
      <c r="BB180" s="68">
        <f>VLOOKUP($B180,$AU$198:$BH$204,8,FALSE)</f>
        <v>15.896096812126734</v>
      </c>
      <c r="BC180" s="68">
        <f>VLOOKUP($B180,$AU$198:$BH$204,9,FALSE)</f>
        <v>15.574506119519162</v>
      </c>
      <c r="BD180" s="68">
        <f>VLOOKUP($B180,$AU$198:$BH$204,10,FALSE)</f>
        <v>15.053685490252553</v>
      </c>
      <c r="BE180" s="68">
        <f>VLOOKUP($B180,$AU$198:$BH$204,11,FALSE)</f>
        <v>14.526883451785674</v>
      </c>
      <c r="BF180" s="68">
        <f>VLOOKUP($B180,$AU$198:$BH$204,12,FALSE)</f>
        <v>14.663359386876838</v>
      </c>
      <c r="BG180" s="68">
        <f>VLOOKUP($B180,$AU$198:$BH$204,13,FALSE)</f>
        <v>15.454370304742046</v>
      </c>
      <c r="BM180" s="68">
        <f t="shared" si="32"/>
        <v>15.1948169275505</v>
      </c>
      <c r="BO180" s="59" t="s">
        <v>688</v>
      </c>
      <c r="BT180" s="74"/>
      <c r="BU180" s="69">
        <f>VLOOKUP($B180,$BN$198:$BZ$204,8,FALSE)</f>
        <v>1.5948707163335805</v>
      </c>
      <c r="BV180" s="69">
        <f>VLOOKUP($B180,$BN$198:$BZ$204,9,FALSE)</f>
        <v>1.9470251257359674</v>
      </c>
      <c r="BW180" s="69">
        <f>VLOOKUP($B180,$BN$198:$BZ$204,10,FALSE)</f>
        <v>2.1255980960882401</v>
      </c>
      <c r="BX180" s="69">
        <f>VLOOKUP($B180,$BN$198:$BZ$204,11,FALSE)</f>
        <v>2.0468362458386125</v>
      </c>
      <c r="BY180" s="69">
        <f>VLOOKUP($B180,$BN$198:$BZ$204,12,FALSE)</f>
        <v>1.9140404691321369</v>
      </c>
      <c r="BZ180" s="69">
        <f>VLOOKUP($B180,$BN$198:$BZ$204,13,FALSE)</f>
        <v>1.7004174496949338</v>
      </c>
      <c r="CF180" s="69">
        <f t="shared" si="33"/>
        <v>1.8881313504705786</v>
      </c>
    </row>
    <row r="181" spans="2:84" ht="12.75" customHeight="1" x14ac:dyDescent="0.25">
      <c r="B181" s="76">
        <v>4</v>
      </c>
      <c r="C181" s="59" t="s">
        <v>690</v>
      </c>
      <c r="D181" s="60" t="s">
        <v>691</v>
      </c>
      <c r="E181" s="60">
        <v>2010</v>
      </c>
      <c r="F181" s="77">
        <v>48.3</v>
      </c>
      <c r="G181" s="62">
        <v>51.7</v>
      </c>
      <c r="H181" s="63">
        <v>1.3</v>
      </c>
      <c r="I181" s="64"/>
      <c r="J181" s="65" t="s">
        <v>690</v>
      </c>
      <c r="P181" s="70">
        <v>23.6</v>
      </c>
      <c r="Q181" s="71">
        <v>20.9</v>
      </c>
      <c r="R181" s="71">
        <v>19.3</v>
      </c>
      <c r="S181" s="71">
        <v>17.600000000000001</v>
      </c>
      <c r="T181" s="71">
        <v>15.5</v>
      </c>
      <c r="U181" s="71">
        <v>13.2</v>
      </c>
      <c r="V181" s="71">
        <v>13.2</v>
      </c>
      <c r="Z181" s="71">
        <v>13.2</v>
      </c>
      <c r="AA181" s="70">
        <f t="shared" si="30"/>
        <v>17.0625</v>
      </c>
      <c r="AC181" s="67" t="s">
        <v>691</v>
      </c>
      <c r="AI181" s="72">
        <v>45.1</v>
      </c>
      <c r="AJ181" s="72">
        <v>46.8</v>
      </c>
      <c r="AK181" s="72">
        <v>49</v>
      </c>
      <c r="AL181" s="72">
        <v>53.2</v>
      </c>
      <c r="AM181" s="72">
        <v>56.8</v>
      </c>
      <c r="AN181" s="72" t="s">
        <v>380</v>
      </c>
      <c r="AT181" s="72">
        <f t="shared" si="31"/>
        <v>50.180000000000007</v>
      </c>
      <c r="AV181" s="59" t="s">
        <v>690</v>
      </c>
      <c r="BB181" s="73">
        <v>11.6</v>
      </c>
      <c r="BC181" s="73">
        <v>12.4</v>
      </c>
      <c r="BD181" s="73">
        <v>11.8</v>
      </c>
      <c r="BE181" s="73">
        <v>11.6</v>
      </c>
      <c r="BF181" s="73">
        <v>11.7</v>
      </c>
      <c r="BG181" s="73" t="s">
        <v>380</v>
      </c>
      <c r="BM181" s="73">
        <f t="shared" si="32"/>
        <v>11.819999999999999</v>
      </c>
      <c r="BO181" s="59" t="s">
        <v>690</v>
      </c>
      <c r="BT181" s="74"/>
      <c r="BU181" s="75">
        <v>0.5</v>
      </c>
      <c r="BV181" s="75">
        <v>0.6</v>
      </c>
      <c r="BW181" s="75">
        <v>0.7</v>
      </c>
      <c r="BX181" s="75">
        <v>0.9</v>
      </c>
      <c r="BY181" s="75">
        <v>1</v>
      </c>
      <c r="BZ181" s="75" t="s">
        <v>380</v>
      </c>
      <c r="CF181" s="75">
        <f t="shared" si="33"/>
        <v>0.74</v>
      </c>
    </row>
    <row r="182" spans="2:84" ht="12.75" customHeight="1" x14ac:dyDescent="0.25">
      <c r="B182" s="58">
        <v>2</v>
      </c>
      <c r="C182" s="59" t="s">
        <v>692</v>
      </c>
      <c r="D182" s="60" t="s">
        <v>693</v>
      </c>
      <c r="E182" s="60">
        <v>2010</v>
      </c>
      <c r="F182" s="77">
        <v>78.900000000000006</v>
      </c>
      <c r="G182" s="62">
        <v>21.1</v>
      </c>
      <c r="H182" s="63">
        <v>3.3</v>
      </c>
      <c r="I182" s="64"/>
      <c r="J182" s="65" t="s">
        <v>692</v>
      </c>
      <c r="P182" s="70">
        <v>6.54</v>
      </c>
      <c r="Q182" s="71">
        <v>4.9920081836199737</v>
      </c>
      <c r="R182" s="71">
        <v>3.9043413535963323</v>
      </c>
      <c r="S182" s="71">
        <v>3.6219959666125146</v>
      </c>
      <c r="T182" s="71">
        <v>3.8245179550681052</v>
      </c>
      <c r="U182" s="71">
        <v>5.565927446570611</v>
      </c>
      <c r="V182" s="71">
        <v>4.8777489973642405</v>
      </c>
      <c r="Z182" s="71">
        <v>4.8777489973642405</v>
      </c>
      <c r="AA182" s="70">
        <f t="shared" si="30"/>
        <v>4.7755361125245024</v>
      </c>
      <c r="AC182" s="67" t="s">
        <v>693</v>
      </c>
      <c r="AI182" s="72">
        <v>88.05</v>
      </c>
      <c r="AJ182" s="72">
        <v>88.68</v>
      </c>
      <c r="AK182" s="72">
        <v>89.65</v>
      </c>
      <c r="AL182" s="72">
        <v>86.77</v>
      </c>
      <c r="AM182" s="72">
        <v>79.790000000000006</v>
      </c>
      <c r="AN182" s="72">
        <v>81.95</v>
      </c>
      <c r="AT182" s="72">
        <f t="shared" si="31"/>
        <v>85.814999999999998</v>
      </c>
      <c r="AV182" s="59" t="s">
        <v>692</v>
      </c>
      <c r="BB182" s="73">
        <v>28.24</v>
      </c>
      <c r="BC182" s="73">
        <v>23.73</v>
      </c>
      <c r="BD182" s="73">
        <v>21.9</v>
      </c>
      <c r="BE182" s="73">
        <v>18.940000000000001</v>
      </c>
      <c r="BF182" s="73">
        <v>18</v>
      </c>
      <c r="BG182" s="73">
        <v>20.37</v>
      </c>
      <c r="BM182" s="73">
        <f t="shared" si="32"/>
        <v>21.863333333333333</v>
      </c>
      <c r="BO182" s="59" t="s">
        <v>692</v>
      </c>
      <c r="BT182" s="74"/>
      <c r="BU182" s="75">
        <v>2.11</v>
      </c>
      <c r="BV182" s="75">
        <v>1.47</v>
      </c>
      <c r="BW182" s="75">
        <v>2.27</v>
      </c>
      <c r="BX182" s="75">
        <v>2.5499999999999998</v>
      </c>
      <c r="BY182" s="75">
        <v>1.83</v>
      </c>
      <c r="BZ182" s="75">
        <v>2.5499999999999998</v>
      </c>
      <c r="CF182" s="75">
        <f t="shared" si="33"/>
        <v>2.1299999999999994</v>
      </c>
    </row>
    <row r="183" spans="2:84" ht="12.75" customHeight="1" x14ac:dyDescent="0.25">
      <c r="B183" s="76">
        <v>6</v>
      </c>
      <c r="C183" s="59" t="s">
        <v>694</v>
      </c>
      <c r="D183" s="60" t="s">
        <v>695</v>
      </c>
      <c r="E183" s="60">
        <v>2010</v>
      </c>
      <c r="F183" s="77">
        <v>60.3</v>
      </c>
      <c r="G183" s="62">
        <v>39.700000000000003</v>
      </c>
      <c r="H183" s="63">
        <v>2.2000000000000002</v>
      </c>
      <c r="I183" s="64"/>
      <c r="J183" s="65" t="s">
        <v>694</v>
      </c>
      <c r="P183" s="70">
        <v>2.19</v>
      </c>
      <c r="Q183" s="71">
        <v>2.3160133890649357</v>
      </c>
      <c r="R183" s="71">
        <v>2.9472474300972586</v>
      </c>
      <c r="S183" s="71">
        <v>4.1081810172889872</v>
      </c>
      <c r="T183" s="71">
        <v>2.1967869610594444</v>
      </c>
      <c r="U183" s="71">
        <v>4.1958754913704244</v>
      </c>
      <c r="V183" s="71">
        <v>3.6695901060707281</v>
      </c>
      <c r="Z183" s="71">
        <v>3.6695901060707281</v>
      </c>
      <c r="AA183" s="70">
        <f t="shared" si="30"/>
        <v>3.1616605626278131</v>
      </c>
      <c r="AC183" s="67" t="s">
        <v>695</v>
      </c>
      <c r="AI183" s="72">
        <v>97.8</v>
      </c>
      <c r="AJ183" s="72">
        <v>103.8</v>
      </c>
      <c r="AK183" s="72">
        <v>74.400000000000006</v>
      </c>
      <c r="AL183" s="72">
        <v>71.8</v>
      </c>
      <c r="AM183" s="72">
        <v>120.3</v>
      </c>
      <c r="AN183" s="72">
        <v>71.900000000000006</v>
      </c>
      <c r="AT183" s="72">
        <f t="shared" si="31"/>
        <v>90</v>
      </c>
      <c r="AV183" s="59" t="s">
        <v>694</v>
      </c>
      <c r="BB183" s="73">
        <v>20.49</v>
      </c>
      <c r="BC183" s="73">
        <v>18.309999999999999</v>
      </c>
      <c r="BD183" s="73">
        <v>18.02</v>
      </c>
      <c r="BE183" s="73">
        <v>19.46</v>
      </c>
      <c r="BF183" s="73">
        <v>20.7</v>
      </c>
      <c r="BG183" s="73">
        <v>21.1</v>
      </c>
      <c r="BM183" s="73">
        <f t="shared" si="32"/>
        <v>19.680000000000003</v>
      </c>
      <c r="BO183" s="59" t="s">
        <v>694</v>
      </c>
      <c r="BT183" s="74"/>
      <c r="BU183" s="75">
        <v>4.25</v>
      </c>
      <c r="BV183" s="75">
        <v>3.4</v>
      </c>
      <c r="BW183" s="75">
        <v>3.1</v>
      </c>
      <c r="BX183" s="75">
        <v>3.86</v>
      </c>
      <c r="BY183" s="75">
        <v>3.5</v>
      </c>
      <c r="BZ183" s="75">
        <v>3.2</v>
      </c>
      <c r="CF183" s="75">
        <f t="shared" si="33"/>
        <v>3.5516666666666663</v>
      </c>
    </row>
    <row r="184" spans="2:84" ht="12.75" customHeight="1" x14ac:dyDescent="0.25">
      <c r="B184" s="58">
        <v>2</v>
      </c>
      <c r="C184" s="59" t="s">
        <v>696</v>
      </c>
      <c r="D184" s="60" t="s">
        <v>697</v>
      </c>
      <c r="E184" s="60">
        <v>2010</v>
      </c>
      <c r="F184" s="77">
        <v>92.1</v>
      </c>
      <c r="G184" s="62">
        <v>7.9</v>
      </c>
      <c r="H184" s="63">
        <v>2.9</v>
      </c>
      <c r="I184" s="64"/>
      <c r="J184" s="65" t="s">
        <v>696</v>
      </c>
      <c r="P184" s="70">
        <v>30</v>
      </c>
      <c r="Q184" s="71">
        <v>19.600000000000001</v>
      </c>
      <c r="R184" s="71">
        <v>17.8</v>
      </c>
      <c r="S184" s="71">
        <v>13.2</v>
      </c>
      <c r="T184" s="71">
        <v>17.435071422242508</v>
      </c>
      <c r="U184" s="71">
        <v>40.200000000000003</v>
      </c>
      <c r="V184" s="71">
        <v>41.6</v>
      </c>
      <c r="Z184" s="71">
        <v>41.6</v>
      </c>
      <c r="AA184" s="70">
        <f t="shared" si="30"/>
        <v>27.679383927780314</v>
      </c>
      <c r="AC184" s="67" t="s">
        <v>697</v>
      </c>
      <c r="AI184" s="72">
        <v>21.1</v>
      </c>
      <c r="AJ184" s="72">
        <v>25</v>
      </c>
      <c r="AK184" s="72">
        <v>23.1</v>
      </c>
      <c r="AL184" s="72">
        <v>26.3</v>
      </c>
      <c r="AM184" s="72">
        <v>29.6210485848083</v>
      </c>
      <c r="AN184" s="72">
        <v>32.299999999999997</v>
      </c>
      <c r="AT184" s="72">
        <f t="shared" si="31"/>
        <v>26.236841430801388</v>
      </c>
      <c r="AV184" s="59" t="s">
        <v>696</v>
      </c>
      <c r="BB184" s="73">
        <v>16.8</v>
      </c>
      <c r="BC184" s="73">
        <v>15</v>
      </c>
      <c r="BD184" s="73">
        <v>14.2</v>
      </c>
      <c r="BE184" s="73">
        <v>13.9</v>
      </c>
      <c r="BF184" s="73">
        <v>14</v>
      </c>
      <c r="BG184" s="73">
        <v>15.6</v>
      </c>
      <c r="BM184" s="73">
        <f t="shared" si="32"/>
        <v>14.916666666666666</v>
      </c>
      <c r="BO184" s="59" t="s">
        <v>696</v>
      </c>
      <c r="BT184" s="74"/>
      <c r="BU184" s="75">
        <v>1.1000000000000001</v>
      </c>
      <c r="BV184" s="75">
        <v>1.3</v>
      </c>
      <c r="BW184" s="75">
        <v>1.6</v>
      </c>
      <c r="BX184" s="75">
        <v>1.5</v>
      </c>
      <c r="BY184" s="75">
        <v>1.03</v>
      </c>
      <c r="BZ184" s="75">
        <v>-3.19</v>
      </c>
      <c r="CF184" s="75">
        <f t="shared" si="33"/>
        <v>0.55666666666666675</v>
      </c>
    </row>
    <row r="185" spans="2:84" ht="12.75" customHeight="1" x14ac:dyDescent="0.25">
      <c r="B185" s="76">
        <v>4</v>
      </c>
      <c r="C185" s="59" t="s">
        <v>698</v>
      </c>
      <c r="D185" s="60" t="s">
        <v>699</v>
      </c>
      <c r="E185" s="60">
        <v>2010</v>
      </c>
      <c r="F185" s="77">
        <v>88.8</v>
      </c>
      <c r="G185" s="62">
        <v>11.2</v>
      </c>
      <c r="H185" s="63">
        <v>5.0999999999999996</v>
      </c>
      <c r="I185" s="64"/>
      <c r="J185" s="65" t="s">
        <v>698</v>
      </c>
      <c r="P185" s="70">
        <v>12.5</v>
      </c>
      <c r="Q185" s="71">
        <v>8.3000000000000007</v>
      </c>
      <c r="R185" s="71">
        <v>6.3</v>
      </c>
      <c r="S185" s="71">
        <v>2.9</v>
      </c>
      <c r="T185" s="71">
        <v>2.5</v>
      </c>
      <c r="U185" s="71">
        <v>4.8</v>
      </c>
      <c r="V185" s="71">
        <v>5.8</v>
      </c>
      <c r="Z185" s="71">
        <v>5.8</v>
      </c>
      <c r="AA185" s="70">
        <f t="shared" si="30"/>
        <v>6.1124999999999989</v>
      </c>
      <c r="AC185" s="67" t="s">
        <v>699</v>
      </c>
      <c r="AI185" s="72">
        <v>94.6</v>
      </c>
      <c r="AJ185" s="72">
        <v>95.7</v>
      </c>
      <c r="AK185" s="72">
        <v>98.2</v>
      </c>
      <c r="AL185" s="72">
        <v>100</v>
      </c>
      <c r="AM185" s="72">
        <v>101.5</v>
      </c>
      <c r="AN185" s="72">
        <v>79</v>
      </c>
      <c r="AT185" s="72">
        <f t="shared" si="31"/>
        <v>94.833333333333329</v>
      </c>
      <c r="AV185" s="59" t="s">
        <v>698</v>
      </c>
      <c r="BB185" s="73">
        <v>16.899999999999999</v>
      </c>
      <c r="BC185" s="73">
        <v>17</v>
      </c>
      <c r="BD185" s="73">
        <v>16.7</v>
      </c>
      <c r="BE185" s="73">
        <v>14.4</v>
      </c>
      <c r="BF185" s="73">
        <v>13.3</v>
      </c>
      <c r="BG185" s="73">
        <v>18.600000000000001</v>
      </c>
      <c r="BM185" s="73">
        <f t="shared" si="32"/>
        <v>16.150000000000002</v>
      </c>
      <c r="BO185" s="59" t="s">
        <v>698</v>
      </c>
      <c r="BT185" s="74"/>
      <c r="BU185" s="75">
        <v>2.1</v>
      </c>
      <c r="BV185" s="75">
        <v>2.7</v>
      </c>
      <c r="BW185" s="75">
        <v>2.2000000000000002</v>
      </c>
      <c r="BX185" s="75">
        <v>2</v>
      </c>
      <c r="BY185" s="75">
        <v>2.2000000000000002</v>
      </c>
      <c r="BZ185" s="75">
        <v>1.5</v>
      </c>
      <c r="CF185" s="75">
        <f t="shared" si="33"/>
        <v>2.1166666666666667</v>
      </c>
    </row>
    <row r="186" spans="2:84" ht="12.75" customHeight="1" x14ac:dyDescent="0.25">
      <c r="B186" s="76">
        <v>5</v>
      </c>
      <c r="C186" s="59" t="s">
        <v>700</v>
      </c>
      <c r="D186" s="60" t="s">
        <v>701</v>
      </c>
      <c r="E186" s="60">
        <v>2010</v>
      </c>
      <c r="F186" s="77">
        <v>11.400000000000006</v>
      </c>
      <c r="G186" s="62">
        <v>88.6</v>
      </c>
      <c r="H186" s="63">
        <v>1</v>
      </c>
      <c r="I186" s="64"/>
      <c r="J186" s="65" t="s">
        <v>700</v>
      </c>
      <c r="P186" s="70">
        <v>1.9</v>
      </c>
      <c r="Q186" s="71">
        <v>1</v>
      </c>
      <c r="R186" s="71">
        <v>0.9</v>
      </c>
      <c r="S186" s="71">
        <v>0.9</v>
      </c>
      <c r="T186" s="71">
        <v>1.6</v>
      </c>
      <c r="U186" s="71">
        <v>3.5</v>
      </c>
      <c r="V186" s="71" t="s">
        <v>355</v>
      </c>
      <c r="Z186" s="71" t="s">
        <v>355</v>
      </c>
      <c r="AA186" s="70">
        <f t="shared" si="30"/>
        <v>1.6333333333333335</v>
      </c>
      <c r="AC186" s="67" t="s">
        <v>701</v>
      </c>
      <c r="AI186" s="72">
        <v>61.513196927066275</v>
      </c>
      <c r="AJ186" s="72">
        <v>53.982807289995442</v>
      </c>
      <c r="AK186" s="72">
        <v>54.635590823018369</v>
      </c>
      <c r="AL186" s="72" t="s">
        <v>380</v>
      </c>
      <c r="AM186" s="72">
        <v>38.1</v>
      </c>
      <c r="AN186" s="72">
        <v>30.1</v>
      </c>
      <c r="AT186" s="72">
        <f t="shared" si="31"/>
        <v>47.666319008016011</v>
      </c>
      <c r="AV186" s="59" t="s">
        <v>700</v>
      </c>
      <c r="BB186" s="73">
        <v>12.7</v>
      </c>
      <c r="BC186" s="73">
        <v>12.8</v>
      </c>
      <c r="BD186" s="73">
        <v>12.9</v>
      </c>
      <c r="BE186" s="73">
        <v>12.6</v>
      </c>
      <c r="BF186" s="73">
        <v>12.9</v>
      </c>
      <c r="BG186" s="73">
        <v>13.26</v>
      </c>
      <c r="BM186" s="73">
        <f t="shared" si="32"/>
        <v>12.86</v>
      </c>
      <c r="BO186" s="59" t="s">
        <v>700</v>
      </c>
      <c r="BT186" s="74"/>
      <c r="BU186" s="75">
        <v>0.7</v>
      </c>
      <c r="BV186" s="75">
        <v>0.8</v>
      </c>
      <c r="BW186" s="75">
        <v>0.5</v>
      </c>
      <c r="BX186" s="75">
        <v>0.4</v>
      </c>
      <c r="BY186" s="75">
        <v>-0.4</v>
      </c>
      <c r="BZ186" s="75">
        <v>-0.1</v>
      </c>
      <c r="CF186" s="75">
        <f t="shared" si="33"/>
        <v>0.31666666666666665</v>
      </c>
    </row>
    <row r="187" spans="2:84" ht="12.75" customHeight="1" x14ac:dyDescent="0.25">
      <c r="B187" s="76">
        <v>5</v>
      </c>
      <c r="C187" s="59" t="s">
        <v>702</v>
      </c>
      <c r="D187" s="60" t="s">
        <v>703</v>
      </c>
      <c r="E187" s="60">
        <v>2010</v>
      </c>
      <c r="F187" s="77">
        <v>18.5</v>
      </c>
      <c r="G187" s="62">
        <v>81.5</v>
      </c>
      <c r="H187" s="63">
        <v>1.5</v>
      </c>
      <c r="I187" s="64"/>
      <c r="J187" s="65" t="s">
        <v>702</v>
      </c>
      <c r="P187" s="70">
        <v>0.8</v>
      </c>
      <c r="Q187" s="71">
        <v>0.74</v>
      </c>
      <c r="R187" s="71">
        <v>0.8</v>
      </c>
      <c r="S187" s="71">
        <v>1.42</v>
      </c>
      <c r="T187" s="71">
        <v>2.93</v>
      </c>
      <c r="U187" s="71">
        <v>5.4</v>
      </c>
      <c r="V187" s="71">
        <v>5.5</v>
      </c>
      <c r="Z187" s="71">
        <v>5.5</v>
      </c>
      <c r="AA187" s="70">
        <f t="shared" si="30"/>
        <v>2.88625</v>
      </c>
      <c r="AC187" s="67" t="s">
        <v>703</v>
      </c>
      <c r="AI187" s="72">
        <v>168.03</v>
      </c>
      <c r="AJ187" s="72">
        <v>154.81</v>
      </c>
      <c r="AK187" s="72">
        <v>134.84</v>
      </c>
      <c r="AL187" s="72">
        <v>91.69</v>
      </c>
      <c r="AM187" s="72">
        <v>75.290000000000006</v>
      </c>
      <c r="AN187" s="72">
        <v>60.08</v>
      </c>
      <c r="AT187" s="72">
        <f t="shared" si="31"/>
        <v>114.12333333333335</v>
      </c>
      <c r="AV187" s="59" t="s">
        <v>702</v>
      </c>
      <c r="BB187" s="73">
        <v>13.19</v>
      </c>
      <c r="BC187" s="73">
        <v>12.94</v>
      </c>
      <c r="BD187" s="73">
        <v>12.97</v>
      </c>
      <c r="BE187" s="73">
        <v>12.78</v>
      </c>
      <c r="BF187" s="73">
        <v>12.77</v>
      </c>
      <c r="BG187" s="73">
        <v>14.17</v>
      </c>
      <c r="BM187" s="73">
        <f t="shared" si="32"/>
        <v>13.136666666666668</v>
      </c>
      <c r="BO187" s="59" t="s">
        <v>702</v>
      </c>
      <c r="BT187" s="74"/>
      <c r="BU187" s="75">
        <v>1.28</v>
      </c>
      <c r="BV187" s="75">
        <v>1.28</v>
      </c>
      <c r="BW187" s="75">
        <v>1.28</v>
      </c>
      <c r="BX187" s="75">
        <v>0.81</v>
      </c>
      <c r="BY187" s="75">
        <v>0.04</v>
      </c>
      <c r="BZ187" s="75">
        <v>0.1</v>
      </c>
      <c r="CF187" s="75">
        <f t="shared" si="33"/>
        <v>0.79833333333333334</v>
      </c>
    </row>
    <row r="188" spans="2:84" ht="12.75" customHeight="1" x14ac:dyDescent="0.25">
      <c r="B188" s="58">
        <v>3</v>
      </c>
      <c r="C188" s="59" t="s">
        <v>704</v>
      </c>
      <c r="D188" s="60" t="s">
        <v>705</v>
      </c>
      <c r="E188" s="60">
        <v>2010</v>
      </c>
      <c r="F188" s="77">
        <v>60.3</v>
      </c>
      <c r="G188" s="62">
        <v>39.700000000000003</v>
      </c>
      <c r="H188" s="63">
        <v>2.1</v>
      </c>
      <c r="I188" s="64"/>
      <c r="J188" s="65" t="s">
        <v>704</v>
      </c>
      <c r="P188" s="70">
        <v>4.7386999735897914</v>
      </c>
      <c r="Q188" s="71">
        <v>3.5994830412306138</v>
      </c>
      <c r="R188" s="71">
        <v>1.8907931167420178</v>
      </c>
      <c r="S188" s="71">
        <v>1.07</v>
      </c>
      <c r="T188" s="71">
        <v>1</v>
      </c>
      <c r="U188" s="71">
        <v>1.02</v>
      </c>
      <c r="V188" s="71" t="s">
        <v>355</v>
      </c>
      <c r="Z188" s="71" t="s">
        <v>355</v>
      </c>
      <c r="AA188" s="70">
        <f t="shared" si="30"/>
        <v>2.2198293552604036</v>
      </c>
      <c r="AC188" s="67" t="s">
        <v>705</v>
      </c>
      <c r="AI188" s="72" t="s">
        <v>380</v>
      </c>
      <c r="AJ188" s="72">
        <v>220.8</v>
      </c>
      <c r="AK188" s="72">
        <v>410.6</v>
      </c>
      <c r="AL188" s="72">
        <v>666</v>
      </c>
      <c r="AM188" s="72">
        <v>806.8</v>
      </c>
      <c r="AN188" s="72">
        <v>685.4</v>
      </c>
      <c r="AT188" s="72">
        <f t="shared" si="31"/>
        <v>557.91999999999996</v>
      </c>
      <c r="AV188" s="59" t="s">
        <v>704</v>
      </c>
      <c r="BB188" s="73">
        <v>21.7</v>
      </c>
      <c r="BC188" s="73">
        <v>22.7</v>
      </c>
      <c r="BD188" s="73">
        <v>16.899999999999999</v>
      </c>
      <c r="BE188" s="73">
        <v>17.77</v>
      </c>
      <c r="BF188" s="73">
        <v>16.7</v>
      </c>
      <c r="BG188" s="73">
        <v>17</v>
      </c>
      <c r="BM188" s="73">
        <f t="shared" si="32"/>
        <v>18.794999999999998</v>
      </c>
      <c r="BO188" s="59" t="s">
        <v>704</v>
      </c>
      <c r="BT188" s="74"/>
      <c r="BU188" s="75">
        <v>-0.1</v>
      </c>
      <c r="BV188" s="75">
        <v>0.8</v>
      </c>
      <c r="BW188" s="75">
        <v>1</v>
      </c>
      <c r="BX188" s="75">
        <v>1.3</v>
      </c>
      <c r="BY188" s="75">
        <v>1</v>
      </c>
      <c r="BZ188" s="75">
        <v>1.3</v>
      </c>
      <c r="CF188" s="75">
        <f t="shared" si="33"/>
        <v>0.8833333333333333</v>
      </c>
    </row>
    <row r="189" spans="2:84" ht="12.75" customHeight="1" x14ac:dyDescent="0.25">
      <c r="B189" s="76">
        <v>2</v>
      </c>
      <c r="C189" s="59" t="s">
        <v>706</v>
      </c>
      <c r="D189" s="60" t="s">
        <v>707</v>
      </c>
      <c r="E189" s="60">
        <v>2010</v>
      </c>
      <c r="F189" s="77">
        <v>77.8</v>
      </c>
      <c r="G189" s="62">
        <v>22.2</v>
      </c>
      <c r="H189" s="63">
        <v>4</v>
      </c>
      <c r="I189" s="64"/>
      <c r="J189" s="65" t="s">
        <v>706</v>
      </c>
      <c r="P189" s="66">
        <v>6.5470230297727472</v>
      </c>
      <c r="Q189" s="66">
        <v>4.866104606691894</v>
      </c>
      <c r="R189" s="66">
        <v>4.0793587535733469</v>
      </c>
      <c r="S189" s="66">
        <v>3.4682894030301306</v>
      </c>
      <c r="T189" s="66">
        <v>5.324434274292706</v>
      </c>
      <c r="U189" s="66">
        <v>11.791266704541009</v>
      </c>
      <c r="V189" s="66">
        <v>13.204792520432788</v>
      </c>
      <c r="Z189" s="66">
        <v>13.204792520432788</v>
      </c>
      <c r="AA189" s="66">
        <f t="shared" si="30"/>
        <v>7.8107577265959263</v>
      </c>
      <c r="AC189" s="67" t="s">
        <v>707</v>
      </c>
      <c r="AI189" s="66">
        <f>VLOOKUP($B189,$AB$198:$AN$204,8,FALSE)</f>
        <v>81.617815617406805</v>
      </c>
      <c r="AJ189" s="66">
        <f>VLOOKUP($B189,$AB$198:$AN$204,9,FALSE)</f>
        <v>90.087240267752392</v>
      </c>
      <c r="AK189" s="66">
        <f>VLOOKUP($B189,$AB$198:$AN$204,10,FALSE)</f>
        <v>88.985721813757607</v>
      </c>
      <c r="AL189" s="66">
        <f>VLOOKUP($B189,$AB$198:$AN$204,11,FALSE)</f>
        <v>85.305718000035199</v>
      </c>
      <c r="AM189" s="66">
        <f>VLOOKUP($B189,$AB$198:$AN$204,12,FALSE)</f>
        <v>84.643872929029527</v>
      </c>
      <c r="AN189" s="66">
        <f>VLOOKUP($B189,$AB$198:$AN$204,13,FALSE)</f>
        <v>74.875500940663585</v>
      </c>
      <c r="AT189" s="66">
        <f t="shared" si="31"/>
        <v>84.252644928107514</v>
      </c>
      <c r="AV189" s="59" t="s">
        <v>706</v>
      </c>
      <c r="BB189" s="68">
        <f>VLOOKUP($B189,$AU$198:$BH$204,8,FALSE)</f>
        <v>21.020522134936851</v>
      </c>
      <c r="BC189" s="68">
        <f>VLOOKUP($B189,$AU$198:$BH$204,9,FALSE)</f>
        <v>19.450013274888473</v>
      </c>
      <c r="BD189" s="68">
        <f>VLOOKUP($B189,$AU$198:$BH$204,10,FALSE)</f>
        <v>18.667698962580744</v>
      </c>
      <c r="BE189" s="68">
        <f>VLOOKUP($B189,$AU$198:$BH$204,11,FALSE)</f>
        <v>17.474378499557432</v>
      </c>
      <c r="BF189" s="68">
        <f>VLOOKUP($B189,$AU$198:$BH$204,12,FALSE)</f>
        <v>17.117970453391717</v>
      </c>
      <c r="BG189" s="68">
        <f>VLOOKUP($B189,$AU$198:$BH$204,13,FALSE)</f>
        <v>16.94805594144432</v>
      </c>
      <c r="BM189" s="68">
        <f t="shared" si="32"/>
        <v>18.446439877799925</v>
      </c>
      <c r="BO189" s="59" t="s">
        <v>706</v>
      </c>
      <c r="BT189" s="74"/>
      <c r="BU189" s="69">
        <f>VLOOKUP($B189,$BN$198:$BZ$204,8,FALSE)</f>
        <v>1.5534520775941867</v>
      </c>
      <c r="BV189" s="69">
        <f>VLOOKUP($B189,$BN$198:$BZ$204,9,FALSE)</f>
        <v>1.7594268869112808</v>
      </c>
      <c r="BW189" s="69">
        <f>VLOOKUP($B189,$BN$198:$BZ$204,10,FALSE)</f>
        <v>1.9264064345990539</v>
      </c>
      <c r="BX189" s="69">
        <f>VLOOKUP($B189,$BN$198:$BZ$204,11,FALSE)</f>
        <v>1.9610645486104465</v>
      </c>
      <c r="BY189" s="69">
        <f>VLOOKUP($B189,$BN$198:$BZ$204,12,FALSE)</f>
        <v>1.1293177319334557</v>
      </c>
      <c r="BZ189" s="69">
        <f>VLOOKUP($B189,$BN$198:$BZ$204,13,FALSE)</f>
        <v>-1.4158844507992445</v>
      </c>
      <c r="CF189" s="69">
        <f t="shared" si="33"/>
        <v>1.1522972048081965</v>
      </c>
    </row>
    <row r="190" spans="2:84" ht="12.75" customHeight="1" x14ac:dyDescent="0.25">
      <c r="B190" s="76">
        <v>1</v>
      </c>
      <c r="C190" s="59" t="s">
        <v>708</v>
      </c>
      <c r="D190" s="60" t="s">
        <v>709</v>
      </c>
      <c r="E190" s="60">
        <v>2010</v>
      </c>
      <c r="F190" s="77">
        <v>57.3</v>
      </c>
      <c r="G190" s="62">
        <v>42.7</v>
      </c>
      <c r="H190" s="63">
        <v>2.6</v>
      </c>
      <c r="I190" s="64"/>
      <c r="J190" s="65" t="s">
        <v>708</v>
      </c>
      <c r="P190" s="66">
        <v>10.951448940605555</v>
      </c>
      <c r="Q190" s="66">
        <v>8.9659352564169783</v>
      </c>
      <c r="R190" s="66">
        <v>7.5764805003373485</v>
      </c>
      <c r="S190" s="66">
        <v>6.9766808385753336</v>
      </c>
      <c r="T190" s="66">
        <v>6.028398498646701</v>
      </c>
      <c r="U190" s="66">
        <v>5.1511144935422388</v>
      </c>
      <c r="V190" s="66">
        <v>7.19</v>
      </c>
      <c r="Z190" s="66">
        <v>7.19</v>
      </c>
      <c r="AA190" s="66">
        <f t="shared" si="30"/>
        <v>7.5037573160155189</v>
      </c>
      <c r="AC190" s="67" t="s">
        <v>709</v>
      </c>
      <c r="AI190" s="66">
        <f>VLOOKUP($B190,$AB$198:$AN$204,8,FALSE)</f>
        <v>62.267766724334649</v>
      </c>
      <c r="AJ190" s="66">
        <f>VLOOKUP($B190,$AB$198:$AN$204,9,FALSE)</f>
        <v>58.416201756290228</v>
      </c>
      <c r="AK190" s="66">
        <f>VLOOKUP($B190,$AB$198:$AN$204,10,FALSE)</f>
        <v>65.401431372790213</v>
      </c>
      <c r="AL190" s="66">
        <f>VLOOKUP($B190,$AB$198:$AN$204,11,FALSE)</f>
        <v>71.775804261946988</v>
      </c>
      <c r="AM190" s="66">
        <f>VLOOKUP($B190,$AB$198:$AN$204,12,FALSE)</f>
        <v>85.024999999999991</v>
      </c>
      <c r="AN190" s="66">
        <f>VLOOKUP($B190,$AB$198:$AN$204,13,FALSE)</f>
        <v>106.17999999999999</v>
      </c>
      <c r="AT190" s="66">
        <f t="shared" si="31"/>
        <v>74.84436735256034</v>
      </c>
      <c r="AV190" s="59" t="s">
        <v>708</v>
      </c>
      <c r="BB190" s="68">
        <f>VLOOKUP($B190,$AU$198:$BH$204,8,FALSE)</f>
        <v>11.270393306464786</v>
      </c>
      <c r="BC190" s="68">
        <f>VLOOKUP($B190,$AU$198:$BH$204,9,FALSE)</f>
        <v>12.218846153846155</v>
      </c>
      <c r="BD190" s="68">
        <f>VLOOKUP($B190,$AU$198:$BH$204,10,FALSE)</f>
        <v>12.689038461538463</v>
      </c>
      <c r="BE190" s="68">
        <f>VLOOKUP($B190,$AU$198:$BH$204,11,FALSE)</f>
        <v>12.925000000000001</v>
      </c>
      <c r="BF190" s="68">
        <f>VLOOKUP($B190,$AU$198:$BH$204,12,FALSE)</f>
        <v>13.27</v>
      </c>
      <c r="BG190" s="68">
        <f>VLOOKUP($B190,$AU$198:$BH$204,13,FALSE)</f>
        <v>14.116666666666667</v>
      </c>
      <c r="BM190" s="68">
        <f t="shared" si="32"/>
        <v>12.748324098086011</v>
      </c>
      <c r="BO190" s="59" t="s">
        <v>708</v>
      </c>
      <c r="BT190" s="74"/>
      <c r="BU190" s="69">
        <f>VLOOKUP($B190,$BN$198:$BZ$204,8,FALSE)</f>
        <v>1.1095149831589846</v>
      </c>
      <c r="BV190" s="69">
        <f>VLOOKUP($B190,$BN$198:$BZ$204,9,FALSE)</f>
        <v>1.2860560376080794</v>
      </c>
      <c r="BW190" s="69">
        <f>VLOOKUP($B190,$BN$198:$BZ$204,10,FALSE)</f>
        <v>1.0562499999999999</v>
      </c>
      <c r="BX190" s="69">
        <f>VLOOKUP($B190,$BN$198:$BZ$204,11,FALSE)</f>
        <v>1.2375</v>
      </c>
      <c r="BY190" s="69">
        <f>VLOOKUP($B190,$BN$198:$BZ$204,12,FALSE)</f>
        <v>1.2124999999999999</v>
      </c>
      <c r="BZ190" s="69">
        <f>VLOOKUP($B190,$BN$198:$BZ$204,13,FALSE)</f>
        <v>1.3316666666666668</v>
      </c>
      <c r="CF190" s="69">
        <f t="shared" si="33"/>
        <v>1.2055812812389552</v>
      </c>
    </row>
    <row r="191" spans="2:84" ht="12.75" customHeight="1" x14ac:dyDescent="0.25">
      <c r="B191" s="76">
        <v>3</v>
      </c>
      <c r="C191" s="59" t="s">
        <v>710</v>
      </c>
      <c r="D191" s="60" t="s">
        <v>711</v>
      </c>
      <c r="E191" s="60">
        <v>2010</v>
      </c>
      <c r="F191" s="77">
        <v>94.1</v>
      </c>
      <c r="G191" s="62">
        <v>5.9</v>
      </c>
      <c r="H191" s="63">
        <v>4</v>
      </c>
      <c r="I191" s="64"/>
      <c r="J191" s="65" t="s">
        <v>710</v>
      </c>
      <c r="P191" s="70">
        <v>2.843260135041894</v>
      </c>
      <c r="Q191" s="71">
        <v>1.2385738490933342</v>
      </c>
      <c r="R191" s="71">
        <v>1.06</v>
      </c>
      <c r="S191" s="71">
        <v>1.20011482512948</v>
      </c>
      <c r="T191" s="71">
        <v>1.8839199818602499</v>
      </c>
      <c r="U191" s="71">
        <v>2.5887477613479302</v>
      </c>
      <c r="V191" s="71" t="s">
        <v>355</v>
      </c>
      <c r="Z191" s="71" t="s">
        <v>355</v>
      </c>
      <c r="AA191" s="70">
        <f t="shared" si="30"/>
        <v>1.8024360920788149</v>
      </c>
      <c r="AC191" s="67" t="s">
        <v>711</v>
      </c>
      <c r="AI191" s="72">
        <v>130.19999999999999</v>
      </c>
      <c r="AJ191" s="72">
        <v>196.3</v>
      </c>
      <c r="AK191" s="72">
        <v>229.09</v>
      </c>
      <c r="AL191" s="72">
        <v>175.70331087480801</v>
      </c>
      <c r="AM191" s="72">
        <v>148.01193370303699</v>
      </c>
      <c r="AN191" s="72">
        <v>135.69540113941</v>
      </c>
      <c r="AT191" s="72">
        <f t="shared" si="31"/>
        <v>169.16677428620918</v>
      </c>
      <c r="AV191" s="59" t="s">
        <v>710</v>
      </c>
      <c r="BB191" s="73">
        <v>19.2</v>
      </c>
      <c r="BC191" s="73">
        <v>15.5</v>
      </c>
      <c r="BD191" s="73">
        <v>14.3</v>
      </c>
      <c r="BE191" s="73">
        <v>12.918446743536499</v>
      </c>
      <c r="BF191" s="73">
        <v>13.36</v>
      </c>
      <c r="BG191" s="73">
        <v>15.03</v>
      </c>
      <c r="BM191" s="73">
        <f t="shared" si="32"/>
        <v>15.051407790589417</v>
      </c>
      <c r="BO191" s="59" t="s">
        <v>710</v>
      </c>
      <c r="BT191" s="74"/>
      <c r="BU191" s="75">
        <v>5.89</v>
      </c>
      <c r="BV191" s="75">
        <v>3.6546818402806802</v>
      </c>
      <c r="BW191" s="75">
        <v>2.97</v>
      </c>
      <c r="BX191" s="75">
        <v>2.5455417136571801</v>
      </c>
      <c r="BY191" s="75">
        <v>2.4697066049266501</v>
      </c>
      <c r="BZ191" s="75">
        <v>1.86298650958384</v>
      </c>
      <c r="CF191" s="75">
        <f t="shared" si="33"/>
        <v>3.2321527780747252</v>
      </c>
    </row>
    <row r="192" spans="2:84" ht="12.75" customHeight="1" x14ac:dyDescent="0.25">
      <c r="B192" s="76">
        <v>1</v>
      </c>
      <c r="C192" s="59" t="s">
        <v>712</v>
      </c>
      <c r="D192" s="60" t="s">
        <v>713</v>
      </c>
      <c r="E192" s="60">
        <v>2010</v>
      </c>
      <c r="F192" s="77">
        <v>81.400000000000006</v>
      </c>
      <c r="G192" s="62">
        <v>18.600000000000001</v>
      </c>
      <c r="H192" s="63">
        <v>5</v>
      </c>
      <c r="I192" s="64"/>
      <c r="J192" s="65" t="s">
        <v>712</v>
      </c>
      <c r="P192" s="66">
        <v>10.951448940605555</v>
      </c>
      <c r="Q192" s="66">
        <v>8.9659352564169783</v>
      </c>
      <c r="R192" s="66">
        <v>7.5764805003373485</v>
      </c>
      <c r="S192" s="66">
        <v>6.9766808385753336</v>
      </c>
      <c r="T192" s="66">
        <v>6.028398498646701</v>
      </c>
      <c r="U192" s="66">
        <v>5.1511144935422388</v>
      </c>
      <c r="V192" s="66">
        <v>7.19</v>
      </c>
      <c r="Z192" s="66">
        <v>7.19</v>
      </c>
      <c r="AA192" s="66">
        <f t="shared" si="30"/>
        <v>7.5037573160155189</v>
      </c>
      <c r="AC192" s="67" t="s">
        <v>713</v>
      </c>
      <c r="AI192" s="66">
        <f>VLOOKUP($B192,$AB$198:$AN$204,8,FALSE)</f>
        <v>62.267766724334649</v>
      </c>
      <c r="AJ192" s="66">
        <f>VLOOKUP($B192,$AB$198:$AN$204,9,FALSE)</f>
        <v>58.416201756290228</v>
      </c>
      <c r="AK192" s="66">
        <f>VLOOKUP($B192,$AB$198:$AN$204,10,FALSE)</f>
        <v>65.401431372790213</v>
      </c>
      <c r="AL192" s="66">
        <f>VLOOKUP($B192,$AB$198:$AN$204,11,FALSE)</f>
        <v>71.775804261946988</v>
      </c>
      <c r="AM192" s="66">
        <f>VLOOKUP($B192,$AB$198:$AN$204,12,FALSE)</f>
        <v>85.024999999999991</v>
      </c>
      <c r="AN192" s="66">
        <f>VLOOKUP($B192,$AB$198:$AN$204,13,FALSE)</f>
        <v>106.17999999999999</v>
      </c>
      <c r="AT192" s="66">
        <f t="shared" si="31"/>
        <v>74.84436735256034</v>
      </c>
      <c r="AV192" s="59" t="s">
        <v>712</v>
      </c>
      <c r="BB192" s="68">
        <f>VLOOKUP($B192,$AU$198:$BH$204,8,FALSE)</f>
        <v>11.270393306464786</v>
      </c>
      <c r="BC192" s="68">
        <f>VLOOKUP($B192,$AU$198:$BH$204,9,FALSE)</f>
        <v>12.218846153846155</v>
      </c>
      <c r="BD192" s="68">
        <f>VLOOKUP($B192,$AU$198:$BH$204,10,FALSE)</f>
        <v>12.689038461538463</v>
      </c>
      <c r="BE192" s="68">
        <f>VLOOKUP($B192,$AU$198:$BH$204,11,FALSE)</f>
        <v>12.925000000000001</v>
      </c>
      <c r="BF192" s="68">
        <f>VLOOKUP($B192,$AU$198:$BH$204,12,FALSE)</f>
        <v>13.27</v>
      </c>
      <c r="BG192" s="68">
        <f>VLOOKUP($B192,$AU$198:$BH$204,13,FALSE)</f>
        <v>14.116666666666667</v>
      </c>
      <c r="BM192" s="68">
        <f t="shared" si="32"/>
        <v>12.748324098086011</v>
      </c>
      <c r="BO192" s="59" t="s">
        <v>712</v>
      </c>
      <c r="BT192" s="74"/>
      <c r="BU192" s="69">
        <f>VLOOKUP($B192,$BN$198:$BZ$204,8,FALSE)</f>
        <v>1.1095149831589846</v>
      </c>
      <c r="BV192" s="69">
        <f>VLOOKUP($B192,$BN$198:$BZ$204,9,FALSE)</f>
        <v>1.2860560376080794</v>
      </c>
      <c r="BW192" s="69">
        <f>VLOOKUP($B192,$BN$198:$BZ$204,10,FALSE)</f>
        <v>1.0562499999999999</v>
      </c>
      <c r="BX192" s="69">
        <f>VLOOKUP($B192,$BN$198:$BZ$204,11,FALSE)</f>
        <v>1.2375</v>
      </c>
      <c r="BY192" s="69">
        <f>VLOOKUP($B192,$BN$198:$BZ$204,12,FALSE)</f>
        <v>1.2124999999999999</v>
      </c>
      <c r="BZ192" s="69">
        <f>VLOOKUP($B192,$BN$198:$BZ$204,13,FALSE)</f>
        <v>1.3316666666666668</v>
      </c>
      <c r="CF192" s="69">
        <f t="shared" si="33"/>
        <v>1.2055812812389552</v>
      </c>
    </row>
    <row r="193" spans="1:84" ht="12.75" customHeight="1" x14ac:dyDescent="0.25">
      <c r="B193" s="76">
        <v>4</v>
      </c>
      <c r="C193" s="59" t="s">
        <v>714</v>
      </c>
      <c r="D193" s="60" t="s">
        <v>355</v>
      </c>
      <c r="E193" s="60">
        <v>2010</v>
      </c>
      <c r="F193" s="61">
        <v>65.8</v>
      </c>
      <c r="G193" s="62" t="s">
        <v>355</v>
      </c>
      <c r="H193" s="63" t="s">
        <v>355</v>
      </c>
      <c r="I193" s="64"/>
      <c r="J193" s="65" t="s">
        <v>714</v>
      </c>
      <c r="P193" s="66">
        <v>14.02222222222222</v>
      </c>
      <c r="Q193" s="66">
        <v>11.930374904361134</v>
      </c>
      <c r="R193" s="66">
        <v>9.2577029027354598</v>
      </c>
      <c r="S193" s="66">
        <v>7.8242517155789182</v>
      </c>
      <c r="T193" s="66">
        <v>6.5840245506868422</v>
      </c>
      <c r="U193" s="66">
        <v>7.3444444444444441</v>
      </c>
      <c r="V193" s="66">
        <v>6.58</v>
      </c>
      <c r="Z193" s="66">
        <v>6.58</v>
      </c>
      <c r="AA193" s="66">
        <f t="shared" si="30"/>
        <v>8.7653775925036275</v>
      </c>
      <c r="AC193" s="67" t="s">
        <v>355</v>
      </c>
      <c r="AI193" s="66">
        <f>VLOOKUP($B193,$AB$198:$AN$204,8,FALSE)</f>
        <v>79.341861538879385</v>
      </c>
      <c r="AJ193" s="66">
        <f>VLOOKUP($B193,$AB$198:$AN$204,9,FALSE)</f>
        <v>88.50619591554171</v>
      </c>
      <c r="AK193" s="66">
        <f>VLOOKUP($B193,$AB$198:$AN$204,10,FALSE)</f>
        <v>90.69473658368932</v>
      </c>
      <c r="AL193" s="66">
        <f>VLOOKUP($B193,$AB$198:$AN$204,11,FALSE)</f>
        <v>86.039752929996837</v>
      </c>
      <c r="AM193" s="66">
        <f>VLOOKUP($B193,$AB$198:$AN$204,12,FALSE)</f>
        <v>90.63333333333334</v>
      </c>
      <c r="AN193" s="66">
        <f>VLOOKUP($B193,$AB$198:$AN$204,13,FALSE)</f>
        <v>79.016666666666666</v>
      </c>
      <c r="AT193" s="66">
        <f t="shared" si="31"/>
        <v>85.70542449468455</v>
      </c>
      <c r="AV193" s="59" t="s">
        <v>714</v>
      </c>
      <c r="BB193" s="68">
        <f>VLOOKUP($B193,$AU$198:$BH$204,8,FALSE)</f>
        <v>15.783333333333331</v>
      </c>
      <c r="BC193" s="68">
        <f>VLOOKUP($B193,$AU$198:$BH$204,9,FALSE)</f>
        <v>16.96777777777778</v>
      </c>
      <c r="BD193" s="68">
        <f>VLOOKUP($B193,$AU$198:$BH$204,10,FALSE)</f>
        <v>18.087777777777777</v>
      </c>
      <c r="BE193" s="68">
        <f>VLOOKUP($B193,$AU$198:$BH$204,11,FALSE)</f>
        <v>15.511111111111111</v>
      </c>
      <c r="BF193" s="68">
        <f>VLOOKUP($B193,$AU$198:$BH$204,12,FALSE)</f>
        <v>14.228888888888889</v>
      </c>
      <c r="BG193" s="68">
        <f>VLOOKUP($B193,$AU$198:$BH$204,13,FALSE)</f>
        <v>15.466666666666669</v>
      </c>
      <c r="BM193" s="68">
        <f t="shared" si="32"/>
        <v>16.007592592592591</v>
      </c>
      <c r="BO193" s="59" t="s">
        <v>714</v>
      </c>
      <c r="BT193" s="74"/>
      <c r="BU193" s="69">
        <f>VLOOKUP($B193,$BN$198:$BZ$204,8,FALSE)</f>
        <v>1.3611111111111112</v>
      </c>
      <c r="BV193" s="69">
        <f>VLOOKUP($B193,$BN$198:$BZ$204,9,FALSE)</f>
        <v>1.7591101065276993</v>
      </c>
      <c r="BW193" s="69">
        <f>VLOOKUP($B193,$BN$198:$BZ$204,10,FALSE)</f>
        <v>1.8948899098974377</v>
      </c>
      <c r="BX193" s="69">
        <f>VLOOKUP($B193,$BN$198:$BZ$204,11,FALSE)</f>
        <v>1.8022222222222222</v>
      </c>
      <c r="BY193" s="69">
        <f>VLOOKUP($B193,$BN$198:$BZ$204,12,FALSE)</f>
        <v>1.6577777777777776</v>
      </c>
      <c r="BZ193" s="69">
        <f>VLOOKUP($B193,$BN$198:$BZ$204,13,FALSE)</f>
        <v>1.53</v>
      </c>
      <c r="CF193" s="69">
        <f t="shared" si="33"/>
        <v>1.6675185212560413</v>
      </c>
    </row>
    <row r="194" spans="1:84" ht="12.75" customHeight="1" x14ac:dyDescent="0.25">
      <c r="B194" s="76">
        <v>4</v>
      </c>
      <c r="C194" s="59" t="s">
        <v>715</v>
      </c>
      <c r="D194" s="60" t="s">
        <v>716</v>
      </c>
      <c r="E194" s="60">
        <v>2010</v>
      </c>
      <c r="F194" s="77">
        <v>71.400000000000006</v>
      </c>
      <c r="G194" s="62">
        <v>28.6</v>
      </c>
      <c r="H194" s="63">
        <v>3</v>
      </c>
      <c r="I194" s="64"/>
      <c r="J194" s="65" t="s">
        <v>715</v>
      </c>
      <c r="P194" s="66">
        <v>14.02222222222222</v>
      </c>
      <c r="Q194" s="66">
        <v>11.930374904361134</v>
      </c>
      <c r="R194" s="66">
        <v>9.2577029027354598</v>
      </c>
      <c r="S194" s="66">
        <v>7.8242517155789182</v>
      </c>
      <c r="T194" s="66">
        <v>6.5840245506868422</v>
      </c>
      <c r="U194" s="66">
        <v>7.3444444444444441</v>
      </c>
      <c r="V194" s="66">
        <v>6.58</v>
      </c>
      <c r="Z194" s="66">
        <v>6.58</v>
      </c>
      <c r="AA194" s="66">
        <f t="shared" si="30"/>
        <v>8.7653775925036275</v>
      </c>
      <c r="AC194" s="67" t="s">
        <v>716</v>
      </c>
      <c r="AI194" s="66">
        <f>VLOOKUP($B194,$AB$198:$AN$204,8,FALSE)</f>
        <v>79.341861538879385</v>
      </c>
      <c r="AJ194" s="66">
        <f>VLOOKUP($B194,$AB$198:$AN$204,9,FALSE)</f>
        <v>88.50619591554171</v>
      </c>
      <c r="AK194" s="66">
        <f>VLOOKUP($B194,$AB$198:$AN$204,10,FALSE)</f>
        <v>90.69473658368932</v>
      </c>
      <c r="AL194" s="66">
        <f>VLOOKUP($B194,$AB$198:$AN$204,11,FALSE)</f>
        <v>86.039752929996837</v>
      </c>
      <c r="AM194" s="66">
        <f>VLOOKUP($B194,$AB$198:$AN$204,12,FALSE)</f>
        <v>90.63333333333334</v>
      </c>
      <c r="AN194" s="66">
        <f>VLOOKUP($B194,$AB$198:$AN$204,13,FALSE)</f>
        <v>79.016666666666666</v>
      </c>
      <c r="AT194" s="66">
        <f t="shared" si="31"/>
        <v>85.70542449468455</v>
      </c>
      <c r="AV194" s="59" t="s">
        <v>715</v>
      </c>
      <c r="BB194" s="68">
        <f>VLOOKUP($B194,$AU$198:$BH$204,8,FALSE)</f>
        <v>15.783333333333331</v>
      </c>
      <c r="BC194" s="68">
        <f>VLOOKUP($B194,$AU$198:$BH$204,9,FALSE)</f>
        <v>16.96777777777778</v>
      </c>
      <c r="BD194" s="68">
        <f>VLOOKUP($B194,$AU$198:$BH$204,10,FALSE)</f>
        <v>18.087777777777777</v>
      </c>
      <c r="BE194" s="68">
        <f>VLOOKUP($B194,$AU$198:$BH$204,11,FALSE)</f>
        <v>15.511111111111111</v>
      </c>
      <c r="BF194" s="68">
        <f>VLOOKUP($B194,$AU$198:$BH$204,12,FALSE)</f>
        <v>14.228888888888889</v>
      </c>
      <c r="BG194" s="68">
        <f>VLOOKUP($B194,$AU$198:$BH$204,13,FALSE)</f>
        <v>15.466666666666669</v>
      </c>
      <c r="BM194" s="68">
        <f t="shared" si="32"/>
        <v>16.007592592592591</v>
      </c>
      <c r="BO194" s="59" t="s">
        <v>715</v>
      </c>
      <c r="BT194" s="74"/>
      <c r="BU194" s="69">
        <f>VLOOKUP($B194,$BN$198:$BZ$204,8,FALSE)</f>
        <v>1.3611111111111112</v>
      </c>
      <c r="BV194" s="69">
        <f>VLOOKUP($B194,$BN$198:$BZ$204,9,FALSE)</f>
        <v>1.7591101065276993</v>
      </c>
      <c r="BW194" s="69">
        <f>VLOOKUP($B194,$BN$198:$BZ$204,10,FALSE)</f>
        <v>1.8948899098974377</v>
      </c>
      <c r="BX194" s="69">
        <f>VLOOKUP($B194,$BN$198:$BZ$204,11,FALSE)</f>
        <v>1.8022222222222222</v>
      </c>
      <c r="BY194" s="69">
        <f>VLOOKUP($B194,$BN$198:$BZ$204,12,FALSE)</f>
        <v>1.6577777777777776</v>
      </c>
      <c r="BZ194" s="69">
        <f>VLOOKUP($B194,$BN$198:$BZ$204,13,FALSE)</f>
        <v>1.53</v>
      </c>
      <c r="CF194" s="69">
        <f t="shared" si="33"/>
        <v>1.6675185212560413</v>
      </c>
    </row>
    <row r="195" spans="1:84" ht="12.75" customHeight="1" x14ac:dyDescent="0.25">
      <c r="B195" s="76">
        <v>6</v>
      </c>
      <c r="C195" s="59" t="s">
        <v>717</v>
      </c>
      <c r="D195" s="60" t="s">
        <v>718</v>
      </c>
      <c r="E195" s="60">
        <v>2010</v>
      </c>
      <c r="F195" s="77">
        <v>72.8</v>
      </c>
      <c r="G195" s="62">
        <v>27.2</v>
      </c>
      <c r="H195" s="63">
        <v>2.7</v>
      </c>
      <c r="I195" s="64"/>
      <c r="J195" s="65" t="s">
        <v>717</v>
      </c>
      <c r="P195" s="66">
        <v>12.639230769230769</v>
      </c>
      <c r="Q195" s="66">
        <v>12.165410295921369</v>
      </c>
      <c r="R195" s="66">
        <v>10.59847453234358</v>
      </c>
      <c r="S195" s="66">
        <v>9.472707780057064</v>
      </c>
      <c r="T195" s="66">
        <v>7.9803674992915017</v>
      </c>
      <c r="U195" s="66">
        <v>8.8942099137723467</v>
      </c>
      <c r="V195" s="66">
        <v>9.5068542417657511</v>
      </c>
      <c r="Z195" s="66">
        <v>9.5068542417657511</v>
      </c>
      <c r="AA195" s="66">
        <f t="shared" si="30"/>
        <v>10.095513659268518</v>
      </c>
      <c r="AC195" s="67" t="s">
        <v>718</v>
      </c>
      <c r="AI195" s="66">
        <f>VLOOKUP($B195,$AB$198:$AN$204,8,FALSE)</f>
        <v>75.888644067796605</v>
      </c>
      <c r="AJ195" s="66">
        <f>VLOOKUP($B195,$AB$198:$AN$204,9,FALSE)</f>
        <v>80.455696202531627</v>
      </c>
      <c r="AK195" s="66">
        <f>VLOOKUP($B195,$AB$198:$AN$204,10,FALSE)</f>
        <v>79.335945945945952</v>
      </c>
      <c r="AL195" s="66">
        <f>VLOOKUP($B195,$AB$198:$AN$204,11,FALSE)</f>
        <v>70.762500000000003</v>
      </c>
      <c r="AM195" s="66">
        <f>VLOOKUP($B195,$AB$198:$AN$204,12,FALSE)</f>
        <v>76.45</v>
      </c>
      <c r="AN195" s="66">
        <f>VLOOKUP($B195,$AB$198:$AN$204,13,FALSE)</f>
        <v>67.424999999999997</v>
      </c>
      <c r="AT195" s="66">
        <f t="shared" si="31"/>
        <v>75.05296436937904</v>
      </c>
      <c r="AV195" s="59" t="s">
        <v>717</v>
      </c>
      <c r="BB195" s="68">
        <f>VLOOKUP($B195,$AU$198:$BH$204,8,FALSE)</f>
        <v>18.156923076923078</v>
      </c>
      <c r="BC195" s="68">
        <f>VLOOKUP($B195,$AU$198:$BH$204,9,FALSE)</f>
        <v>17.862307692307695</v>
      </c>
      <c r="BD195" s="68">
        <f>VLOOKUP($B195,$AU$198:$BH$204,10,FALSE)</f>
        <v>17.588461538461537</v>
      </c>
      <c r="BE195" s="68">
        <f>VLOOKUP($B195,$AU$198:$BH$204,11,FALSE)</f>
        <v>17.724615384615387</v>
      </c>
      <c r="BF195" s="68">
        <f>VLOOKUP($B195,$AU$198:$BH$204,12,FALSE)</f>
        <v>18.493846153846153</v>
      </c>
      <c r="BG195" s="68">
        <f>VLOOKUP($B195,$AU$198:$BH$204,13,FALSE)</f>
        <v>19.346363636363638</v>
      </c>
      <c r="BM195" s="68">
        <f t="shared" si="32"/>
        <v>18.195419580419578</v>
      </c>
      <c r="BO195" s="59" t="s">
        <v>717</v>
      </c>
      <c r="BT195" s="74"/>
      <c r="BU195" s="69">
        <f>VLOOKUP($B195,$BN$198:$BZ$204,8,FALSE)</f>
        <v>3.2984615384615386</v>
      </c>
      <c r="BV195" s="69">
        <f>VLOOKUP($B195,$BN$198:$BZ$204,9,FALSE)</f>
        <v>2.7469230769230766</v>
      </c>
      <c r="BW195" s="69">
        <f>VLOOKUP($B195,$BN$198:$BZ$204,10,FALSE)</f>
        <v>2.7653846153846158</v>
      </c>
      <c r="BX195" s="69">
        <f>VLOOKUP($B195,$BN$198:$BZ$204,11,FALSE)</f>
        <v>2.525384615384616</v>
      </c>
      <c r="BY195" s="69">
        <f>VLOOKUP($B195,$BN$198:$BZ$204,12,FALSE)</f>
        <v>2.9269230769230767</v>
      </c>
      <c r="BZ195" s="69">
        <f>VLOOKUP($B195,$BN$198:$BZ$204,13,FALSE)</f>
        <v>2.36</v>
      </c>
      <c r="CF195" s="69">
        <f t="shared" si="33"/>
        <v>2.7705128205128204</v>
      </c>
    </row>
    <row r="196" spans="1:84" ht="12.75" customHeight="1" x14ac:dyDescent="0.25">
      <c r="B196" s="98">
        <v>6</v>
      </c>
      <c r="C196" s="59" t="s">
        <v>719</v>
      </c>
      <c r="D196" s="60" t="s">
        <v>720</v>
      </c>
      <c r="E196" s="60">
        <v>2010</v>
      </c>
      <c r="F196" s="77">
        <v>99.8</v>
      </c>
      <c r="G196" s="62">
        <v>0.2</v>
      </c>
      <c r="H196" s="63">
        <v>3.3</v>
      </c>
      <c r="I196" s="64"/>
      <c r="J196" s="99" t="s">
        <v>719</v>
      </c>
      <c r="P196" s="66">
        <v>12.639230769230769</v>
      </c>
      <c r="Q196" s="66">
        <v>12.165410295921369</v>
      </c>
      <c r="R196" s="66">
        <v>10.59847453234358</v>
      </c>
      <c r="S196" s="66">
        <v>9.472707780057064</v>
      </c>
      <c r="T196" s="66">
        <v>7.9803674992915017</v>
      </c>
      <c r="U196" s="66">
        <v>8.8942099137723467</v>
      </c>
      <c r="V196" s="66">
        <v>9.5068542417657511</v>
      </c>
      <c r="Z196" s="66">
        <v>9.5068542417657511</v>
      </c>
      <c r="AA196" s="66">
        <f t="shared" si="30"/>
        <v>10.095513659268518</v>
      </c>
      <c r="AC196" s="100" t="s">
        <v>720</v>
      </c>
      <c r="AI196" s="66">
        <f>VLOOKUP($B196,$AB$198:$AN$204,8,FALSE)</f>
        <v>75.888644067796605</v>
      </c>
      <c r="AJ196" s="66">
        <f>VLOOKUP($B196,$AB$198:$AN$204,9,FALSE)</f>
        <v>80.455696202531627</v>
      </c>
      <c r="AK196" s="66">
        <f>VLOOKUP($B196,$AB$198:$AN$204,10,FALSE)</f>
        <v>79.335945945945952</v>
      </c>
      <c r="AL196" s="66">
        <f>VLOOKUP($B196,$AB$198:$AN$204,11,FALSE)</f>
        <v>70.762500000000003</v>
      </c>
      <c r="AM196" s="66">
        <f>VLOOKUP($B196,$AB$198:$AN$204,12,FALSE)</f>
        <v>76.45</v>
      </c>
      <c r="AN196" s="66">
        <f>VLOOKUP($B196,$AB$198:$AN$204,13,FALSE)</f>
        <v>67.424999999999997</v>
      </c>
      <c r="AT196" s="66">
        <f t="shared" si="31"/>
        <v>75.05296436937904</v>
      </c>
      <c r="AV196" s="59" t="s">
        <v>719</v>
      </c>
      <c r="BB196" s="68">
        <f>VLOOKUP($B196,$AU$198:$BH$204,8,FALSE)</f>
        <v>18.156923076923078</v>
      </c>
      <c r="BC196" s="68">
        <f>VLOOKUP($B196,$AU$198:$BH$204,9,FALSE)</f>
        <v>17.862307692307695</v>
      </c>
      <c r="BD196" s="68">
        <f>VLOOKUP($B196,$AU$198:$BH$204,10,FALSE)</f>
        <v>17.588461538461537</v>
      </c>
      <c r="BE196" s="68">
        <f>VLOOKUP($B196,$AU$198:$BH$204,11,FALSE)</f>
        <v>17.724615384615387</v>
      </c>
      <c r="BF196" s="68">
        <f>VLOOKUP($B196,$AU$198:$BH$204,12,FALSE)</f>
        <v>18.493846153846153</v>
      </c>
      <c r="BG196" s="68">
        <f>VLOOKUP($B196,$AU$198:$BH$204,13,FALSE)</f>
        <v>19.346363636363638</v>
      </c>
      <c r="BM196" s="68">
        <f t="shared" si="32"/>
        <v>18.195419580419578</v>
      </c>
      <c r="BO196" s="59" t="s">
        <v>719</v>
      </c>
      <c r="BT196" s="74"/>
      <c r="BU196" s="69">
        <f>VLOOKUP($B196,$BN$198:$BZ$204,8,FALSE)</f>
        <v>3.2984615384615386</v>
      </c>
      <c r="BV196" s="69">
        <f>VLOOKUP($B196,$BN$198:$BZ$204,9,FALSE)</f>
        <v>2.7469230769230766</v>
      </c>
      <c r="BW196" s="69">
        <f>VLOOKUP($B196,$BN$198:$BZ$204,10,FALSE)</f>
        <v>2.7653846153846158</v>
      </c>
      <c r="BX196" s="69">
        <f>VLOOKUP($B196,$BN$198:$BZ$204,11,FALSE)</f>
        <v>2.525384615384616</v>
      </c>
      <c r="BY196" s="69">
        <f>VLOOKUP($B196,$BN$198:$BZ$204,12,FALSE)</f>
        <v>2.9269230769230767</v>
      </c>
      <c r="BZ196" s="69">
        <f>VLOOKUP($B196,$BN$198:$BZ$204,13,FALSE)</f>
        <v>2.36</v>
      </c>
      <c r="CF196" s="69">
        <f t="shared" si="33"/>
        <v>2.7705128205128204</v>
      </c>
    </row>
    <row r="197" spans="1:84" ht="12.75" customHeight="1" x14ac:dyDescent="0.25">
      <c r="C197" s="74"/>
      <c r="D197" s="101"/>
      <c r="E197" s="101"/>
      <c r="F197" s="101"/>
      <c r="G197" s="101"/>
      <c r="H197" s="84"/>
      <c r="I197" s="64"/>
    </row>
    <row r="198" spans="1:84" s="22" customFormat="1" ht="12.75" customHeight="1" x14ac:dyDescent="0.25">
      <c r="A198" s="21"/>
      <c r="B198" s="47">
        <v>1</v>
      </c>
      <c r="C198" s="102" t="s">
        <v>721</v>
      </c>
      <c r="D198" s="103"/>
      <c r="E198" s="104">
        <v>2010</v>
      </c>
      <c r="F198" s="105">
        <v>71.713636363636368</v>
      </c>
      <c r="G198" s="106">
        <v>28.286363636363635</v>
      </c>
      <c r="H198" s="104">
        <v>2.7</v>
      </c>
      <c r="I198" s="107">
        <v>1</v>
      </c>
      <c r="J198" s="108" t="s">
        <v>721</v>
      </c>
      <c r="K198" s="27"/>
      <c r="L198" s="27"/>
      <c r="M198" s="27"/>
      <c r="N198" s="27"/>
      <c r="O198" s="27"/>
      <c r="P198" s="109">
        <v>10.951448940605555</v>
      </c>
      <c r="Q198" s="109">
        <v>8.9659352564169783</v>
      </c>
      <c r="R198" s="109">
        <v>7.5764805003373485</v>
      </c>
      <c r="S198" s="109">
        <v>6.9766808385753336</v>
      </c>
      <c r="T198" s="109">
        <v>6.028398498646701</v>
      </c>
      <c r="U198" s="109">
        <v>5.1511144935422388</v>
      </c>
      <c r="V198" s="109">
        <v>7.19</v>
      </c>
      <c r="W198" s="27"/>
      <c r="X198" s="110" t="s">
        <v>722</v>
      </c>
      <c r="Y198" s="27"/>
      <c r="Z198" s="27"/>
      <c r="AA198" s="27"/>
      <c r="AB198" s="21">
        <v>1</v>
      </c>
      <c r="AC198" s="108" t="s">
        <v>721</v>
      </c>
      <c r="AD198" s="27"/>
      <c r="AE198" s="27"/>
      <c r="AF198" s="27"/>
      <c r="AG198" s="27"/>
      <c r="AH198" s="27"/>
      <c r="AI198" s="111">
        <v>62.267766724334649</v>
      </c>
      <c r="AJ198" s="111">
        <v>58.416201756290228</v>
      </c>
      <c r="AK198" s="111">
        <v>65.401431372790213</v>
      </c>
      <c r="AL198" s="111">
        <v>71.775804261946988</v>
      </c>
      <c r="AM198" s="111">
        <v>85.024999999999991</v>
      </c>
      <c r="AN198" s="111">
        <v>106.17999999999999</v>
      </c>
      <c r="AO198" s="110"/>
      <c r="AP198" s="27"/>
      <c r="AQ198" s="110" t="s">
        <v>722</v>
      </c>
      <c r="AR198" s="27"/>
      <c r="AS198" s="27"/>
      <c r="AT198" s="27"/>
      <c r="AU198" s="21">
        <v>1</v>
      </c>
      <c r="AV198" s="108" t="s">
        <v>721</v>
      </c>
      <c r="AW198" s="27"/>
      <c r="AX198" s="27"/>
      <c r="AY198" s="27"/>
      <c r="AZ198" s="27"/>
      <c r="BA198" s="27"/>
      <c r="BB198" s="112">
        <v>11.270393306464786</v>
      </c>
      <c r="BC198" s="112">
        <v>12.218846153846155</v>
      </c>
      <c r="BD198" s="112">
        <v>12.689038461538463</v>
      </c>
      <c r="BE198" s="112">
        <v>12.925000000000001</v>
      </c>
      <c r="BF198" s="112">
        <v>13.27</v>
      </c>
      <c r="BG198" s="112">
        <v>14.116666666666667</v>
      </c>
      <c r="BH198" s="27"/>
      <c r="BI198" s="27"/>
      <c r="BJ198" s="110" t="s">
        <v>722</v>
      </c>
      <c r="BK198" s="27"/>
      <c r="BL198" s="27"/>
      <c r="BM198" s="27"/>
      <c r="BN198" s="21">
        <v>1</v>
      </c>
      <c r="BO198" s="108" t="s">
        <v>721</v>
      </c>
      <c r="BP198" s="27"/>
      <c r="BQ198" s="27"/>
      <c r="BR198" s="27"/>
      <c r="BS198" s="27"/>
      <c r="BT198" s="27"/>
      <c r="BU198" s="111">
        <v>1.1095149831589846</v>
      </c>
      <c r="BV198" s="111">
        <v>1.2860560376080794</v>
      </c>
      <c r="BW198" s="111">
        <v>1.0562499999999999</v>
      </c>
      <c r="BX198" s="111">
        <v>1.2375</v>
      </c>
      <c r="BY198" s="111">
        <v>1.2124999999999999</v>
      </c>
      <c r="BZ198" s="111">
        <v>1.3316666666666668</v>
      </c>
      <c r="CA198" s="27"/>
      <c r="CB198" s="27"/>
      <c r="CC198" s="110" t="s">
        <v>723</v>
      </c>
      <c r="CD198" s="27"/>
      <c r="CE198" s="27"/>
      <c r="CF198" s="27"/>
    </row>
    <row r="199" spans="1:84" s="22" customFormat="1" ht="12.75" customHeight="1" x14ac:dyDescent="0.25">
      <c r="A199" s="21"/>
      <c r="B199" s="47">
        <v>2</v>
      </c>
      <c r="C199" s="102" t="s">
        <v>724</v>
      </c>
      <c r="D199" s="103"/>
      <c r="E199" s="104">
        <v>2010</v>
      </c>
      <c r="F199" s="113">
        <v>67.74444444444444</v>
      </c>
      <c r="G199" s="106">
        <v>32.25555555555556</v>
      </c>
      <c r="H199" s="104">
        <v>2.9</v>
      </c>
      <c r="I199" s="107">
        <v>2</v>
      </c>
      <c r="J199" s="108" t="s">
        <v>724</v>
      </c>
      <c r="K199" s="27"/>
      <c r="L199" s="27"/>
      <c r="M199" s="27"/>
      <c r="N199" s="27"/>
      <c r="O199" s="27"/>
      <c r="P199" s="109">
        <v>6.5470230297727472</v>
      </c>
      <c r="Q199" s="109">
        <v>4.866104606691894</v>
      </c>
      <c r="R199" s="109">
        <v>4.0793587535733469</v>
      </c>
      <c r="S199" s="109">
        <v>3.4682894030301306</v>
      </c>
      <c r="T199" s="109">
        <v>5.324434274292706</v>
      </c>
      <c r="U199" s="109">
        <v>11.791266704541009</v>
      </c>
      <c r="V199" s="109">
        <v>13.204792520432788</v>
      </c>
      <c r="W199" s="27"/>
      <c r="X199" s="27"/>
      <c r="Y199" s="27"/>
      <c r="Z199" s="27"/>
      <c r="AA199" s="27"/>
      <c r="AB199" s="21">
        <v>2</v>
      </c>
      <c r="AC199" s="108" t="s">
        <v>724</v>
      </c>
      <c r="AD199" s="27"/>
      <c r="AE199" s="27"/>
      <c r="AF199" s="27"/>
      <c r="AG199" s="27"/>
      <c r="AH199" s="27"/>
      <c r="AI199" s="114">
        <v>81.617815617406805</v>
      </c>
      <c r="AJ199" s="114">
        <v>90.087240267752392</v>
      </c>
      <c r="AK199" s="114">
        <v>88.985721813757607</v>
      </c>
      <c r="AL199" s="114">
        <v>85.305718000035199</v>
      </c>
      <c r="AM199" s="114">
        <v>84.643872929029527</v>
      </c>
      <c r="AN199" s="114">
        <v>74.875500940663585</v>
      </c>
      <c r="AO199" s="27"/>
      <c r="AP199" s="27"/>
      <c r="AQ199" s="27"/>
      <c r="AR199" s="27"/>
      <c r="AS199" s="27"/>
      <c r="AT199" s="27"/>
      <c r="AU199" s="21">
        <v>2</v>
      </c>
      <c r="AV199" s="108" t="s">
        <v>724</v>
      </c>
      <c r="AW199" s="27"/>
      <c r="AX199" s="27"/>
      <c r="AY199" s="27"/>
      <c r="AZ199" s="27"/>
      <c r="BA199" s="27"/>
      <c r="BB199" s="115">
        <v>21.020522134936851</v>
      </c>
      <c r="BC199" s="115">
        <v>19.450013274888473</v>
      </c>
      <c r="BD199" s="115">
        <v>18.667698962580744</v>
      </c>
      <c r="BE199" s="115">
        <v>17.474378499557432</v>
      </c>
      <c r="BF199" s="115">
        <v>17.117970453391717</v>
      </c>
      <c r="BG199" s="115">
        <v>16.94805594144432</v>
      </c>
      <c r="BH199" s="27"/>
      <c r="BI199" s="27"/>
      <c r="BJ199" s="27"/>
      <c r="BK199" s="27"/>
      <c r="BL199" s="27"/>
      <c r="BM199" s="27"/>
      <c r="BN199" s="21">
        <v>2</v>
      </c>
      <c r="BO199" s="108" t="s">
        <v>724</v>
      </c>
      <c r="BP199" s="27"/>
      <c r="BQ199" s="27"/>
      <c r="BR199" s="27"/>
      <c r="BS199" s="27"/>
      <c r="BT199" s="27"/>
      <c r="BU199" s="114">
        <v>1.5534520775941867</v>
      </c>
      <c r="BV199" s="114">
        <v>1.7594268869112808</v>
      </c>
      <c r="BW199" s="114">
        <v>1.9264064345990539</v>
      </c>
      <c r="BX199" s="114">
        <v>1.9610645486104465</v>
      </c>
      <c r="BY199" s="114">
        <v>1.1293177319334557</v>
      </c>
      <c r="BZ199" s="114">
        <v>-1.4158844507992445</v>
      </c>
      <c r="CA199" s="27"/>
      <c r="CB199" s="27"/>
      <c r="CC199" s="27"/>
      <c r="CD199" s="27"/>
      <c r="CE199" s="27"/>
      <c r="CF199" s="27"/>
    </row>
    <row r="200" spans="1:84" s="22" customFormat="1" ht="12.75" customHeight="1" x14ac:dyDescent="0.25">
      <c r="A200" s="21"/>
      <c r="B200" s="47">
        <v>3</v>
      </c>
      <c r="C200" s="102" t="s">
        <v>725</v>
      </c>
      <c r="D200" s="103"/>
      <c r="E200" s="104">
        <v>2010</v>
      </c>
      <c r="F200" s="113">
        <v>67.23333333333332</v>
      </c>
      <c r="G200" s="106">
        <v>32.76666666666668</v>
      </c>
      <c r="H200" s="104">
        <v>3.3</v>
      </c>
      <c r="I200" s="107">
        <v>3</v>
      </c>
      <c r="J200" s="108" t="s">
        <v>725</v>
      </c>
      <c r="K200" s="27"/>
      <c r="L200" s="27"/>
      <c r="M200" s="27"/>
      <c r="N200" s="27"/>
      <c r="O200" s="27"/>
      <c r="P200" s="109">
        <v>5.584644672858265</v>
      </c>
      <c r="Q200" s="109">
        <v>3.9624899241932421</v>
      </c>
      <c r="R200" s="109">
        <v>3.0340039193664454</v>
      </c>
      <c r="S200" s="109">
        <v>2.604471088787407</v>
      </c>
      <c r="T200" s="109">
        <v>2.4269734911821845</v>
      </c>
      <c r="U200" s="109">
        <v>2.9280358899553502</v>
      </c>
      <c r="V200" s="111">
        <v>3.5429234268459737</v>
      </c>
      <c r="W200" s="27"/>
      <c r="X200" s="27"/>
      <c r="Y200" s="27"/>
      <c r="Z200" s="27"/>
      <c r="AA200" s="27"/>
      <c r="AB200" s="21">
        <v>3</v>
      </c>
      <c r="AC200" s="108" t="s">
        <v>725</v>
      </c>
      <c r="AD200" s="27"/>
      <c r="AE200" s="27"/>
      <c r="AF200" s="27"/>
      <c r="AG200" s="27"/>
      <c r="AH200" s="27"/>
      <c r="AI200" s="114">
        <v>128.9834964234991</v>
      </c>
      <c r="AJ200" s="114">
        <v>140.08513617162512</v>
      </c>
      <c r="AK200" s="114">
        <v>159.45976537422837</v>
      </c>
      <c r="AL200" s="114">
        <v>176.08231767394884</v>
      </c>
      <c r="AM200" s="114">
        <v>179.91973269843069</v>
      </c>
      <c r="AN200" s="114">
        <v>163.73758550252111</v>
      </c>
      <c r="AO200" s="27"/>
      <c r="AP200" s="27"/>
      <c r="AQ200" s="27"/>
      <c r="AR200" s="27"/>
      <c r="AS200" s="27"/>
      <c r="AT200" s="27"/>
      <c r="AU200" s="21">
        <v>3</v>
      </c>
      <c r="AV200" s="108" t="s">
        <v>725</v>
      </c>
      <c r="AW200" s="27"/>
      <c r="AX200" s="27"/>
      <c r="AY200" s="27"/>
      <c r="AZ200" s="27"/>
      <c r="BA200" s="27"/>
      <c r="BB200" s="115">
        <v>15.896096812126734</v>
      </c>
      <c r="BC200" s="115">
        <v>15.574506119519162</v>
      </c>
      <c r="BD200" s="115">
        <v>15.053685490252553</v>
      </c>
      <c r="BE200" s="115">
        <v>14.526883451785674</v>
      </c>
      <c r="BF200" s="115">
        <v>14.663359386876838</v>
      </c>
      <c r="BG200" s="115">
        <v>15.454370304742046</v>
      </c>
      <c r="BH200" s="27"/>
      <c r="BI200" s="27"/>
      <c r="BJ200" s="27"/>
      <c r="BK200" s="27"/>
      <c r="BL200" s="27"/>
      <c r="BM200" s="27"/>
      <c r="BN200" s="21">
        <v>3</v>
      </c>
      <c r="BO200" s="108" t="s">
        <v>725</v>
      </c>
      <c r="BP200" s="27"/>
      <c r="BQ200" s="27"/>
      <c r="BR200" s="27"/>
      <c r="BS200" s="27"/>
      <c r="BT200" s="27"/>
      <c r="BU200" s="114">
        <v>1.5948707163335805</v>
      </c>
      <c r="BV200" s="114">
        <v>1.9470251257359674</v>
      </c>
      <c r="BW200" s="114">
        <v>2.1255980960882401</v>
      </c>
      <c r="BX200" s="114">
        <v>2.0468362458386125</v>
      </c>
      <c r="BY200" s="114">
        <v>1.9140404691321369</v>
      </c>
      <c r="BZ200" s="114">
        <v>1.7004174496949338</v>
      </c>
      <c r="CA200" s="27"/>
      <c r="CB200" s="27"/>
      <c r="CC200" s="27"/>
      <c r="CD200" s="27"/>
      <c r="CE200" s="27"/>
      <c r="CF200" s="27"/>
    </row>
    <row r="201" spans="1:84" s="22" customFormat="1" ht="12.75" customHeight="1" x14ac:dyDescent="0.25">
      <c r="A201" s="21"/>
      <c r="B201" s="47">
        <v>4</v>
      </c>
      <c r="C201" s="102" t="s">
        <v>726</v>
      </c>
      <c r="D201" s="103"/>
      <c r="E201" s="104">
        <v>2010</v>
      </c>
      <c r="F201" s="113">
        <v>65.8</v>
      </c>
      <c r="G201" s="106">
        <v>34.200000000000003</v>
      </c>
      <c r="H201" s="104">
        <v>3.5</v>
      </c>
      <c r="I201" s="107">
        <v>4</v>
      </c>
      <c r="J201" s="108" t="s">
        <v>726</v>
      </c>
      <c r="K201" s="27"/>
      <c r="L201" s="27"/>
      <c r="M201" s="27"/>
      <c r="N201" s="27"/>
      <c r="O201" s="27"/>
      <c r="P201" s="109">
        <v>14.02222222222222</v>
      </c>
      <c r="Q201" s="109">
        <v>11.930374904361134</v>
      </c>
      <c r="R201" s="109">
        <v>9.2577029027354598</v>
      </c>
      <c r="S201" s="109">
        <v>7.8242517155789182</v>
      </c>
      <c r="T201" s="109">
        <v>6.5840245506868422</v>
      </c>
      <c r="U201" s="109">
        <v>7.3444444444444441</v>
      </c>
      <c r="V201" s="109">
        <v>6.58</v>
      </c>
      <c r="W201" s="27"/>
      <c r="X201" s="27"/>
      <c r="Y201" s="27"/>
      <c r="Z201" s="27"/>
      <c r="AA201" s="27"/>
      <c r="AB201" s="25">
        <v>4</v>
      </c>
      <c r="AC201" s="108" t="s">
        <v>726</v>
      </c>
      <c r="AD201" s="27"/>
      <c r="AE201" s="27"/>
      <c r="AF201" s="27"/>
      <c r="AG201" s="27"/>
      <c r="AH201" s="27"/>
      <c r="AI201" s="114">
        <v>79.341861538879385</v>
      </c>
      <c r="AJ201" s="114">
        <v>88.50619591554171</v>
      </c>
      <c r="AK201" s="114">
        <v>90.69473658368932</v>
      </c>
      <c r="AL201" s="114">
        <v>86.039752929996837</v>
      </c>
      <c r="AM201" s="114">
        <v>90.63333333333334</v>
      </c>
      <c r="AN201" s="114">
        <v>79.016666666666666</v>
      </c>
      <c r="AO201" s="27"/>
      <c r="AP201" s="27"/>
      <c r="AQ201" s="27"/>
      <c r="AR201" s="27"/>
      <c r="AS201" s="27"/>
      <c r="AT201" s="27"/>
      <c r="AU201" s="25">
        <v>4</v>
      </c>
      <c r="AV201" s="108" t="s">
        <v>726</v>
      </c>
      <c r="AW201" s="27"/>
      <c r="AX201" s="27"/>
      <c r="AY201" s="27"/>
      <c r="AZ201" s="27"/>
      <c r="BA201" s="27"/>
      <c r="BB201" s="115">
        <v>15.783333333333331</v>
      </c>
      <c r="BC201" s="115">
        <v>16.96777777777778</v>
      </c>
      <c r="BD201" s="115">
        <v>18.087777777777777</v>
      </c>
      <c r="BE201" s="115">
        <v>15.511111111111111</v>
      </c>
      <c r="BF201" s="115">
        <v>14.228888888888889</v>
      </c>
      <c r="BG201" s="115">
        <v>15.466666666666669</v>
      </c>
      <c r="BH201" s="27"/>
      <c r="BI201" s="27"/>
      <c r="BJ201" s="27"/>
      <c r="BK201" s="27"/>
      <c r="BL201" s="27"/>
      <c r="BM201" s="27"/>
      <c r="BN201" s="25">
        <v>4</v>
      </c>
      <c r="BO201" s="108" t="s">
        <v>726</v>
      </c>
      <c r="BP201" s="27"/>
      <c r="BQ201" s="27"/>
      <c r="BR201" s="27"/>
      <c r="BS201" s="27"/>
      <c r="BT201" s="27"/>
      <c r="BU201" s="114">
        <v>1.3611111111111112</v>
      </c>
      <c r="BV201" s="114">
        <v>1.7591101065276993</v>
      </c>
      <c r="BW201" s="114">
        <v>1.8948899098974377</v>
      </c>
      <c r="BX201" s="114">
        <v>1.8022222222222222</v>
      </c>
      <c r="BY201" s="114">
        <v>1.6577777777777776</v>
      </c>
      <c r="BZ201" s="114">
        <v>1.53</v>
      </c>
      <c r="CA201" s="27"/>
      <c r="CB201" s="27"/>
      <c r="CC201" s="27"/>
      <c r="CD201" s="27"/>
      <c r="CE201" s="27"/>
      <c r="CF201" s="27"/>
    </row>
    <row r="202" spans="1:84" s="22" customFormat="1" ht="12.75" customHeight="1" x14ac:dyDescent="0.25">
      <c r="A202" s="21"/>
      <c r="B202" s="47">
        <v>5</v>
      </c>
      <c r="C202" s="102" t="s">
        <v>727</v>
      </c>
      <c r="D202" s="103"/>
      <c r="E202" s="104">
        <v>2010</v>
      </c>
      <c r="F202" s="113">
        <v>28.303225806451621</v>
      </c>
      <c r="G202" s="106">
        <v>71.696774193548379</v>
      </c>
      <c r="H202" s="104">
        <v>1.7</v>
      </c>
      <c r="I202" s="107">
        <v>5</v>
      </c>
      <c r="J202" s="108" t="s">
        <v>727</v>
      </c>
      <c r="K202" s="27"/>
      <c r="L202" s="27"/>
      <c r="M202" s="27"/>
      <c r="N202" s="27"/>
      <c r="O202" s="27"/>
      <c r="P202" s="109">
        <v>2.4143507854253707</v>
      </c>
      <c r="Q202" s="109">
        <v>2.0582686500460241</v>
      </c>
      <c r="R202" s="109">
        <v>1.7318994690665552</v>
      </c>
      <c r="S202" s="109">
        <v>1.519708481407064</v>
      </c>
      <c r="T202" s="109">
        <v>2.0276465089870674</v>
      </c>
      <c r="U202" s="109">
        <v>5.3933078992297316</v>
      </c>
      <c r="V202" s="109">
        <v>4.5894958180573342</v>
      </c>
      <c r="W202" s="27"/>
      <c r="X202" s="27"/>
      <c r="Y202" s="27"/>
      <c r="Z202" s="27"/>
      <c r="AA202" s="27"/>
      <c r="AB202" s="25">
        <v>5</v>
      </c>
      <c r="AC202" s="108" t="s">
        <v>727</v>
      </c>
      <c r="AD202" s="27"/>
      <c r="AE202" s="27"/>
      <c r="AF202" s="27"/>
      <c r="AG202" s="27"/>
      <c r="AH202" s="27"/>
      <c r="AI202" s="114">
        <v>92.897933193103839</v>
      </c>
      <c r="AJ202" s="114">
        <v>91.027330710904693</v>
      </c>
      <c r="AK202" s="114">
        <v>93.198641148641926</v>
      </c>
      <c r="AL202" s="114">
        <v>91.369909561122711</v>
      </c>
      <c r="AM202" s="114">
        <v>69.403859855449028</v>
      </c>
      <c r="AN202" s="114">
        <v>62.07823623621681</v>
      </c>
      <c r="AO202" s="27"/>
      <c r="AP202" s="27"/>
      <c r="AQ202" s="27"/>
      <c r="AR202" s="27"/>
      <c r="AS202" s="27"/>
      <c r="AT202" s="27"/>
      <c r="AU202" s="25">
        <v>5</v>
      </c>
      <c r="AV202" s="108" t="s">
        <v>727</v>
      </c>
      <c r="AW202" s="27"/>
      <c r="AX202" s="27"/>
      <c r="AY202" s="27"/>
      <c r="AZ202" s="27"/>
      <c r="BA202" s="27"/>
      <c r="BB202" s="115">
        <v>13.258706396910066</v>
      </c>
      <c r="BC202" s="115">
        <v>12.795043217983102</v>
      </c>
      <c r="BD202" s="115">
        <v>12.783223765967742</v>
      </c>
      <c r="BE202" s="115">
        <v>12.26170519233661</v>
      </c>
      <c r="BF202" s="115">
        <v>12.540622469859557</v>
      </c>
      <c r="BG202" s="115">
        <v>13.606086956521736</v>
      </c>
      <c r="BH202" s="27"/>
      <c r="BI202" s="27"/>
      <c r="BJ202" s="27"/>
      <c r="BK202" s="27"/>
      <c r="BL202" s="27"/>
      <c r="BM202" s="27"/>
      <c r="BN202" s="25">
        <v>5</v>
      </c>
      <c r="BO202" s="108" t="s">
        <v>727</v>
      </c>
      <c r="BP202" s="27"/>
      <c r="BQ202" s="27"/>
      <c r="BR202" s="27"/>
      <c r="BS202" s="27"/>
      <c r="BT202" s="27"/>
      <c r="BU202" s="116">
        <v>0.88569317755419663</v>
      </c>
      <c r="BV202" s="116">
        <v>0.96349876527743306</v>
      </c>
      <c r="BW202" s="116">
        <v>1.0088473487454415</v>
      </c>
      <c r="BX202" s="116">
        <v>0.90879337392017734</v>
      </c>
      <c r="BY202" s="116">
        <v>0.34295652529629622</v>
      </c>
      <c r="BZ202" s="116">
        <v>0.48000000000000004</v>
      </c>
      <c r="CA202" s="27"/>
      <c r="CB202" s="27"/>
      <c r="CC202" s="27"/>
      <c r="CD202" s="27"/>
      <c r="CE202" s="27"/>
      <c r="CF202" s="27"/>
    </row>
    <row r="203" spans="1:84" s="22" customFormat="1" ht="12.75" customHeight="1" x14ac:dyDescent="0.25">
      <c r="A203" s="21"/>
      <c r="B203" s="47">
        <v>1</v>
      </c>
      <c r="C203" s="102" t="s">
        <v>728</v>
      </c>
      <c r="D203" s="103"/>
      <c r="E203" s="104">
        <v>2010</v>
      </c>
      <c r="F203" s="113">
        <v>71.713636363636368</v>
      </c>
      <c r="G203" s="106">
        <v>28.286363636363635</v>
      </c>
      <c r="H203" s="104">
        <v>4.5</v>
      </c>
      <c r="I203" s="107">
        <v>1</v>
      </c>
      <c r="J203" s="108" t="s">
        <v>728</v>
      </c>
      <c r="K203" s="27"/>
      <c r="L203" s="27"/>
      <c r="M203" s="27"/>
      <c r="N203" s="27"/>
      <c r="O203" s="27"/>
      <c r="P203" s="109">
        <v>10.951448940605555</v>
      </c>
      <c r="Q203" s="109">
        <v>8.9659352564169783</v>
      </c>
      <c r="R203" s="109">
        <v>7.5764805003373485</v>
      </c>
      <c r="S203" s="109">
        <v>6.9766808385753336</v>
      </c>
      <c r="T203" s="109">
        <v>6.028398498646701</v>
      </c>
      <c r="U203" s="109">
        <v>5.1511144935422388</v>
      </c>
      <c r="V203" s="109">
        <v>7.19</v>
      </c>
      <c r="W203" s="27"/>
      <c r="X203" s="110" t="s">
        <v>722</v>
      </c>
      <c r="Y203" s="27"/>
      <c r="Z203" s="27"/>
      <c r="AA203" s="27"/>
      <c r="AB203" s="25">
        <v>1</v>
      </c>
      <c r="AC203" s="108" t="s">
        <v>728</v>
      </c>
      <c r="AD203" s="27"/>
      <c r="AE203" s="27"/>
      <c r="AF203" s="27"/>
      <c r="AG203" s="27"/>
      <c r="AH203" s="27"/>
      <c r="AI203" s="111">
        <v>62.267766724334649</v>
      </c>
      <c r="AJ203" s="111">
        <v>58.416201756290228</v>
      </c>
      <c r="AK203" s="111">
        <v>65.401431372790213</v>
      </c>
      <c r="AL203" s="111">
        <v>71.775804261946988</v>
      </c>
      <c r="AM203" s="111">
        <v>85.024999999999991</v>
      </c>
      <c r="AN203" s="111">
        <v>106.17999999999999</v>
      </c>
      <c r="AO203" s="110"/>
      <c r="AP203" s="27"/>
      <c r="AQ203" s="110" t="s">
        <v>722</v>
      </c>
      <c r="AR203" s="27"/>
      <c r="AS203" s="27"/>
      <c r="AT203" s="27"/>
      <c r="AU203" s="25">
        <v>1</v>
      </c>
      <c r="AV203" s="108" t="s">
        <v>728</v>
      </c>
      <c r="AW203" s="27"/>
      <c r="AX203" s="27"/>
      <c r="AY203" s="27"/>
      <c r="AZ203" s="27"/>
      <c r="BA203" s="27"/>
      <c r="BB203" s="112">
        <v>11.270393306464786</v>
      </c>
      <c r="BC203" s="112">
        <v>12.218846153846155</v>
      </c>
      <c r="BD203" s="112">
        <v>12.689038461538463</v>
      </c>
      <c r="BE203" s="112">
        <v>12.925000000000001</v>
      </c>
      <c r="BF203" s="112">
        <v>13.27</v>
      </c>
      <c r="BG203" s="112">
        <v>14.116666666666667</v>
      </c>
      <c r="BH203" s="27"/>
      <c r="BI203" s="27"/>
      <c r="BJ203" s="110" t="s">
        <v>722</v>
      </c>
      <c r="BK203" s="27"/>
      <c r="BL203" s="27"/>
      <c r="BM203" s="27"/>
      <c r="BN203" s="25">
        <v>1</v>
      </c>
      <c r="BO203" s="108" t="s">
        <v>728</v>
      </c>
      <c r="BP203" s="27"/>
      <c r="BQ203" s="27"/>
      <c r="BR203" s="27"/>
      <c r="BS203" s="27"/>
      <c r="BT203" s="27"/>
      <c r="BU203" s="111">
        <v>1.1095149831589846</v>
      </c>
      <c r="BV203" s="111">
        <v>1.2860560376080794</v>
      </c>
      <c r="BW203" s="111">
        <v>1.0562499999999999</v>
      </c>
      <c r="BX203" s="111">
        <v>1.2375</v>
      </c>
      <c r="BY203" s="111">
        <v>1.2124999999999999</v>
      </c>
      <c r="BZ203" s="111">
        <v>1.3316666666666668</v>
      </c>
      <c r="CA203" s="27"/>
      <c r="CB203" s="27"/>
      <c r="CC203" s="110" t="s">
        <v>723</v>
      </c>
      <c r="CD203" s="27"/>
      <c r="CE203" s="27"/>
      <c r="CF203" s="27"/>
    </row>
    <row r="204" spans="1:84" s="22" customFormat="1" ht="12.75" customHeight="1" x14ac:dyDescent="0.25">
      <c r="A204" s="21"/>
      <c r="B204" s="47">
        <v>6</v>
      </c>
      <c r="C204" s="102" t="s">
        <v>729</v>
      </c>
      <c r="D204" s="103"/>
      <c r="E204" s="104">
        <v>2010</v>
      </c>
      <c r="F204" s="113">
        <v>77.165714285714287</v>
      </c>
      <c r="G204" s="106">
        <v>22.834285714285713</v>
      </c>
      <c r="H204" s="104">
        <v>3.4</v>
      </c>
      <c r="I204" s="107">
        <v>6</v>
      </c>
      <c r="J204" s="108" t="s">
        <v>729</v>
      </c>
      <c r="K204" s="27"/>
      <c r="L204" s="27"/>
      <c r="M204" s="27"/>
      <c r="N204" s="27"/>
      <c r="O204" s="27"/>
      <c r="P204" s="109">
        <v>12.639230769230769</v>
      </c>
      <c r="Q204" s="109">
        <v>12.165410295921369</v>
      </c>
      <c r="R204" s="109">
        <v>10.59847453234358</v>
      </c>
      <c r="S204" s="109">
        <v>9.472707780057064</v>
      </c>
      <c r="T204" s="109">
        <v>7.9803674992915017</v>
      </c>
      <c r="U204" s="109">
        <v>8.8942099137723467</v>
      </c>
      <c r="V204" s="109">
        <v>9.5068542417657511</v>
      </c>
      <c r="W204" s="27"/>
      <c r="X204" s="27"/>
      <c r="Y204" s="27"/>
      <c r="Z204" s="27"/>
      <c r="AA204" s="27"/>
      <c r="AB204" s="25">
        <v>6</v>
      </c>
      <c r="AC204" s="108" t="s">
        <v>729</v>
      </c>
      <c r="AD204" s="27"/>
      <c r="AE204" s="27"/>
      <c r="AF204" s="27"/>
      <c r="AG204" s="27"/>
      <c r="AH204" s="27"/>
      <c r="AI204" s="114">
        <v>75.888644067796605</v>
      </c>
      <c r="AJ204" s="114">
        <v>80.455696202531627</v>
      </c>
      <c r="AK204" s="114">
        <v>79.335945945945952</v>
      </c>
      <c r="AL204" s="114">
        <v>70.762500000000003</v>
      </c>
      <c r="AM204" s="114">
        <v>76.45</v>
      </c>
      <c r="AN204" s="114">
        <v>67.424999999999997</v>
      </c>
      <c r="AO204" s="27"/>
      <c r="AP204" s="27"/>
      <c r="AQ204" s="27"/>
      <c r="AR204" s="27"/>
      <c r="AS204" s="27"/>
      <c r="AT204" s="27"/>
      <c r="AU204" s="25">
        <v>6</v>
      </c>
      <c r="AV204" s="108" t="s">
        <v>729</v>
      </c>
      <c r="AW204" s="27"/>
      <c r="AX204" s="27"/>
      <c r="AY204" s="27"/>
      <c r="AZ204" s="27"/>
      <c r="BA204" s="27"/>
      <c r="BB204" s="115">
        <v>18.156923076923078</v>
      </c>
      <c r="BC204" s="115">
        <v>17.862307692307695</v>
      </c>
      <c r="BD204" s="115">
        <v>17.588461538461537</v>
      </c>
      <c r="BE204" s="115">
        <v>17.724615384615387</v>
      </c>
      <c r="BF204" s="115">
        <v>18.493846153846153</v>
      </c>
      <c r="BG204" s="115">
        <v>19.346363636363638</v>
      </c>
      <c r="BH204" s="27"/>
      <c r="BI204" s="27"/>
      <c r="BJ204" s="27"/>
      <c r="BK204" s="27"/>
      <c r="BL204" s="27"/>
      <c r="BM204" s="27"/>
      <c r="BN204" s="25">
        <v>6</v>
      </c>
      <c r="BO204" s="108" t="s">
        <v>729</v>
      </c>
      <c r="BP204" s="27"/>
      <c r="BQ204" s="27"/>
      <c r="BR204" s="27"/>
      <c r="BS204" s="27"/>
      <c r="BT204" s="27"/>
      <c r="BU204" s="114">
        <v>3.2984615384615386</v>
      </c>
      <c r="BV204" s="114">
        <v>2.7469230769230766</v>
      </c>
      <c r="BW204" s="114">
        <v>2.7653846153846158</v>
      </c>
      <c r="BX204" s="114">
        <v>2.525384615384616</v>
      </c>
      <c r="BY204" s="114">
        <v>2.9269230769230767</v>
      </c>
      <c r="BZ204" s="114">
        <v>2.36</v>
      </c>
      <c r="CA204" s="27"/>
      <c r="CB204" s="27"/>
      <c r="CC204" s="27"/>
      <c r="CD204" s="27"/>
      <c r="CE204" s="27"/>
      <c r="CF204" s="27"/>
    </row>
    <row r="205" spans="1:84" ht="12.75" customHeight="1" x14ac:dyDescent="0.25">
      <c r="U205" s="117"/>
      <c r="V205" s="117"/>
      <c r="BO205" s="18"/>
      <c r="BP205" s="18"/>
      <c r="BQ205" s="18"/>
      <c r="BR205" s="18"/>
      <c r="BS205" s="18"/>
      <c r="BT205" s="18"/>
      <c r="BU205" s="18"/>
      <c r="BV205" s="18"/>
      <c r="BW205" s="18"/>
      <c r="BX205" s="18"/>
      <c r="BY205" s="18"/>
      <c r="BZ205" s="18"/>
      <c r="CA205" s="18"/>
      <c r="CB205" s="18"/>
      <c r="CC205" s="18"/>
      <c r="CD205" s="18"/>
      <c r="CE205" s="18"/>
      <c r="CF205" s="18"/>
    </row>
    <row r="206" spans="1:84" ht="12.75" customHeight="1" x14ac:dyDescent="0.25"/>
    <row r="207" spans="1:84" ht="12.75" customHeight="1" x14ac:dyDescent="0.25">
      <c r="B207" s="599" t="s">
        <v>730</v>
      </c>
      <c r="C207" s="600"/>
      <c r="D207" s="600"/>
      <c r="E207" s="600"/>
      <c r="F207" s="600"/>
      <c r="G207" s="600"/>
      <c r="H207" s="601"/>
    </row>
    <row r="208" spans="1:84" ht="12.75" customHeight="1" x14ac:dyDescent="0.25"/>
    <row r="209" spans="2:35" ht="12.75" customHeight="1" x14ac:dyDescent="0.25"/>
    <row r="210" spans="2:35" ht="12.75" customHeight="1" x14ac:dyDescent="0.25">
      <c r="D210" s="118">
        <v>1989</v>
      </c>
      <c r="E210" s="118">
        <v>1990</v>
      </c>
      <c r="F210" s="118">
        <v>1991</v>
      </c>
      <c r="G210" s="118">
        <v>1992</v>
      </c>
      <c r="H210" s="118">
        <v>1993</v>
      </c>
      <c r="I210" s="118">
        <v>1994</v>
      </c>
      <c r="J210" s="118">
        <v>1995</v>
      </c>
      <c r="K210" s="118">
        <v>1996</v>
      </c>
      <c r="L210" s="118">
        <v>1997</v>
      </c>
      <c r="M210" s="118">
        <v>1998</v>
      </c>
      <c r="N210" s="118">
        <v>1999</v>
      </c>
      <c r="O210" s="118">
        <v>2000</v>
      </c>
      <c r="P210" s="118">
        <v>2001</v>
      </c>
      <c r="Q210" s="118">
        <v>2002</v>
      </c>
      <c r="R210" s="118">
        <v>2003</v>
      </c>
      <c r="S210" s="118">
        <v>2004</v>
      </c>
      <c r="T210" s="118">
        <v>2005</v>
      </c>
      <c r="U210" s="118">
        <v>2006</v>
      </c>
      <c r="V210" s="118">
        <v>2007</v>
      </c>
      <c r="W210" s="118">
        <v>2008</v>
      </c>
      <c r="X210" s="118">
        <v>2009</v>
      </c>
      <c r="Y210" s="118">
        <v>2010</v>
      </c>
      <c r="Z210" s="118">
        <v>2011</v>
      </c>
      <c r="AA210" s="118">
        <v>2012</v>
      </c>
      <c r="AB210" s="118">
        <v>2013</v>
      </c>
      <c r="AC210" s="118">
        <v>2014</v>
      </c>
      <c r="AD210" s="118">
        <v>2015</v>
      </c>
      <c r="AE210" s="118">
        <v>2016</v>
      </c>
      <c r="AF210" s="118">
        <v>2017</v>
      </c>
      <c r="AG210" s="118">
        <v>2018</v>
      </c>
      <c r="AH210" s="118">
        <v>2019</v>
      </c>
      <c r="AI210" s="118">
        <v>2020</v>
      </c>
    </row>
    <row r="211" spans="2:35" ht="12.75" customHeight="1" x14ac:dyDescent="0.25">
      <c r="B211" s="119" t="s">
        <v>731</v>
      </c>
      <c r="C211" s="120" t="s">
        <v>732</v>
      </c>
      <c r="D211" s="121"/>
      <c r="E211" s="121"/>
      <c r="F211" s="121"/>
      <c r="G211" s="121"/>
      <c r="H211" s="121"/>
      <c r="I211" s="121"/>
      <c r="J211" s="121"/>
      <c r="K211" s="121"/>
      <c r="L211" s="121"/>
      <c r="M211" s="121"/>
      <c r="N211" s="121"/>
      <c r="O211" s="121"/>
      <c r="P211" s="121"/>
      <c r="Q211" s="121"/>
      <c r="R211" s="121"/>
      <c r="S211" s="121"/>
      <c r="T211" s="121"/>
      <c r="U211" s="121"/>
      <c r="V211" s="121"/>
      <c r="W211" s="121"/>
      <c r="X211" s="122">
        <f>X218/W218-1</f>
        <v>3.0000000000000027E-2</v>
      </c>
      <c r="Y211" s="122">
        <f t="shared" ref="Y211:AI211" si="52">Y218/X218-1</f>
        <v>3.0000000000000027E-2</v>
      </c>
      <c r="Z211" s="122">
        <f t="shared" si="52"/>
        <v>3.0000000000000027E-2</v>
      </c>
      <c r="AA211" s="122">
        <f t="shared" si="52"/>
        <v>3.0000000000000027E-2</v>
      </c>
      <c r="AB211" s="122">
        <f t="shared" si="52"/>
        <v>3.0000000000000027E-2</v>
      </c>
      <c r="AC211" s="122">
        <f t="shared" si="52"/>
        <v>3.0000000000000027E-2</v>
      </c>
      <c r="AD211" s="122">
        <f t="shared" si="52"/>
        <v>3.0000000000000027E-2</v>
      </c>
      <c r="AE211" s="122">
        <f t="shared" si="52"/>
        <v>3.0000000000000027E-2</v>
      </c>
      <c r="AF211" s="122">
        <f t="shared" si="52"/>
        <v>3.0000000000000027E-2</v>
      </c>
      <c r="AG211" s="122">
        <f t="shared" si="52"/>
        <v>3.0000000000000027E-2</v>
      </c>
      <c r="AH211" s="122">
        <f t="shared" si="52"/>
        <v>3.0000000000000027E-2</v>
      </c>
      <c r="AI211" s="122">
        <f t="shared" si="52"/>
        <v>3.0000000000000027E-2</v>
      </c>
    </row>
    <row r="212" spans="2:35" ht="12.75" customHeight="1" x14ac:dyDescent="0.25">
      <c r="B212" s="119"/>
      <c r="C212" s="123" t="s">
        <v>733</v>
      </c>
      <c r="D212" s="124"/>
      <c r="E212" s="124"/>
      <c r="F212" s="124"/>
      <c r="G212" s="124"/>
      <c r="H212" s="124"/>
      <c r="I212" s="124"/>
      <c r="J212" s="124"/>
      <c r="K212" s="124"/>
      <c r="L212" s="124"/>
      <c r="M212" s="124"/>
      <c r="N212" s="124"/>
      <c r="O212" s="124"/>
      <c r="P212" s="124"/>
      <c r="Q212" s="124"/>
      <c r="R212" s="124"/>
      <c r="S212" s="124"/>
      <c r="T212" s="124"/>
      <c r="U212" s="124"/>
      <c r="V212" s="124"/>
      <c r="W212" s="124"/>
      <c r="X212" s="124"/>
      <c r="Y212" s="124"/>
      <c r="Z212" s="124"/>
      <c r="AA212" s="124"/>
      <c r="AB212" s="124"/>
      <c r="AC212" s="124"/>
      <c r="AD212" s="124"/>
      <c r="AE212" s="124"/>
      <c r="AF212" s="124"/>
      <c r="AG212" s="124"/>
      <c r="AH212" s="124"/>
      <c r="AI212" s="124"/>
    </row>
    <row r="213" spans="2:35" ht="12.75" customHeight="1" x14ac:dyDescent="0.25">
      <c r="B213" s="119" t="s">
        <v>731</v>
      </c>
      <c r="C213" s="120" t="s">
        <v>734</v>
      </c>
      <c r="D213" s="124"/>
      <c r="E213" s="124"/>
      <c r="F213" s="124"/>
      <c r="G213" s="124"/>
      <c r="H213" s="124"/>
      <c r="I213" s="124"/>
      <c r="J213" s="124"/>
      <c r="K213" s="124"/>
      <c r="L213" s="124"/>
      <c r="M213" s="124"/>
      <c r="N213" s="124"/>
      <c r="O213" s="124"/>
      <c r="P213" s="124"/>
      <c r="Q213" s="124"/>
      <c r="R213" s="124"/>
      <c r="S213" s="124"/>
      <c r="T213" s="124"/>
      <c r="U213" s="124"/>
      <c r="V213" s="124"/>
      <c r="W213" s="124"/>
      <c r="X213" s="124"/>
      <c r="Y213" s="124"/>
      <c r="Z213" s="124"/>
      <c r="AA213" s="124"/>
      <c r="AB213" s="124"/>
      <c r="AC213" s="124"/>
      <c r="AD213" s="124"/>
      <c r="AE213" s="124"/>
      <c r="AF213" s="124"/>
      <c r="AG213" s="124"/>
      <c r="AH213" s="124"/>
      <c r="AI213" s="124"/>
    </row>
    <row r="214" spans="2:35" ht="12.75" customHeight="1" x14ac:dyDescent="0.25">
      <c r="B214" s="119" t="s">
        <v>731</v>
      </c>
      <c r="C214" s="120" t="s">
        <v>735</v>
      </c>
      <c r="D214" s="124"/>
      <c r="E214" s="124"/>
      <c r="F214" s="124"/>
      <c r="G214" s="124"/>
      <c r="H214" s="124"/>
      <c r="I214" s="124"/>
      <c r="J214" s="124"/>
      <c r="K214" s="124"/>
      <c r="L214" s="124"/>
      <c r="M214" s="124"/>
      <c r="N214" s="124"/>
      <c r="O214" s="124"/>
      <c r="P214" s="124"/>
      <c r="Q214" s="124"/>
      <c r="R214" s="124"/>
      <c r="S214" s="124"/>
      <c r="T214" s="124"/>
      <c r="U214" s="124"/>
      <c r="V214" s="124"/>
      <c r="W214" s="124"/>
      <c r="X214" s="124"/>
      <c r="Y214" s="124"/>
      <c r="Z214" s="124"/>
      <c r="AA214" s="124"/>
      <c r="AB214" s="124"/>
      <c r="AC214" s="124"/>
      <c r="AD214" s="124"/>
      <c r="AE214" s="124"/>
      <c r="AF214" s="124"/>
      <c r="AG214" s="124"/>
      <c r="AH214" s="124"/>
      <c r="AI214" s="124"/>
    </row>
    <row r="215" spans="2:35" ht="12.75" customHeight="1" x14ac:dyDescent="0.25">
      <c r="B215" s="119" t="s">
        <v>731</v>
      </c>
      <c r="C215" s="120" t="s">
        <v>736</v>
      </c>
      <c r="D215" s="124"/>
      <c r="E215" s="124"/>
      <c r="F215" s="124"/>
      <c r="G215" s="124"/>
      <c r="H215" s="124"/>
      <c r="I215" s="124"/>
      <c r="J215" s="124"/>
      <c r="K215" s="124"/>
      <c r="L215" s="124"/>
      <c r="M215" s="124"/>
      <c r="N215" s="124"/>
      <c r="O215" s="124"/>
      <c r="P215" s="124"/>
      <c r="Q215" s="124"/>
      <c r="R215" s="124"/>
      <c r="S215" s="124"/>
      <c r="T215" s="124"/>
      <c r="U215" s="124"/>
      <c r="V215" s="124"/>
      <c r="W215" s="124"/>
      <c r="X215" s="124"/>
      <c r="Y215" s="124"/>
      <c r="Z215" s="124"/>
      <c r="AA215" s="124"/>
      <c r="AB215" s="124"/>
      <c r="AC215" s="124"/>
      <c r="AD215" s="124"/>
      <c r="AE215" s="124"/>
      <c r="AF215" s="124"/>
      <c r="AG215" s="124"/>
      <c r="AH215" s="124"/>
      <c r="AI215" s="124"/>
    </row>
    <row r="216" spans="2:35" ht="12.75" customHeight="1" x14ac:dyDescent="0.25">
      <c r="B216" s="119" t="s">
        <v>731</v>
      </c>
      <c r="C216" s="120" t="s">
        <v>737</v>
      </c>
      <c r="D216" s="124"/>
      <c r="E216" s="124"/>
      <c r="F216" s="124"/>
      <c r="G216" s="124"/>
      <c r="H216" s="124"/>
      <c r="I216" s="124"/>
      <c r="J216" s="124"/>
      <c r="K216" s="124"/>
      <c r="L216" s="124"/>
      <c r="M216" s="124"/>
      <c r="N216" s="124"/>
      <c r="O216" s="124"/>
      <c r="P216" s="124"/>
      <c r="Q216" s="124"/>
      <c r="R216" s="124"/>
      <c r="S216" s="124"/>
      <c r="T216" s="124"/>
      <c r="U216" s="124"/>
      <c r="V216" s="124"/>
      <c r="W216" s="124"/>
      <c r="X216" s="124"/>
      <c r="Y216" s="124"/>
      <c r="Z216" s="124"/>
      <c r="AA216" s="124"/>
      <c r="AB216" s="124"/>
      <c r="AC216" s="124"/>
      <c r="AD216" s="124"/>
      <c r="AE216" s="124"/>
      <c r="AF216" s="124"/>
      <c r="AG216" s="124"/>
      <c r="AH216" s="124"/>
      <c r="AI216" s="124"/>
    </row>
    <row r="217" spans="2:35" ht="12.75" customHeight="1" x14ac:dyDescent="0.25">
      <c r="B217" s="119" t="s">
        <v>731</v>
      </c>
      <c r="C217" s="120" t="s">
        <v>738</v>
      </c>
      <c r="D217" s="124"/>
      <c r="E217" s="124"/>
      <c r="F217" s="124"/>
      <c r="G217" s="124"/>
      <c r="H217" s="124"/>
      <c r="I217" s="124"/>
      <c r="J217" s="124"/>
      <c r="K217" s="124"/>
      <c r="L217" s="124"/>
      <c r="M217" s="124"/>
      <c r="N217" s="124"/>
      <c r="O217" s="124"/>
      <c r="P217" s="124"/>
      <c r="Q217" s="124"/>
      <c r="R217" s="124"/>
      <c r="S217" s="124"/>
      <c r="T217" s="124"/>
      <c r="U217" s="124"/>
      <c r="V217" s="124"/>
      <c r="W217" s="124"/>
      <c r="X217" s="124"/>
      <c r="Y217" s="124"/>
      <c r="Z217" s="124"/>
      <c r="AA217" s="124"/>
      <c r="AB217" s="124"/>
      <c r="AC217" s="124"/>
      <c r="AD217" s="124"/>
      <c r="AE217" s="124"/>
      <c r="AF217" s="124"/>
      <c r="AG217" s="124"/>
      <c r="AH217" s="124"/>
      <c r="AI217" s="124"/>
    </row>
    <row r="218" spans="2:35" ht="12.75" customHeight="1" x14ac:dyDescent="0.25">
      <c r="B218" s="125" t="s">
        <v>739</v>
      </c>
      <c r="C218" s="120" t="s">
        <v>740</v>
      </c>
      <c r="D218" s="121"/>
      <c r="E218" s="121"/>
      <c r="F218" s="121"/>
      <c r="G218" s="121"/>
      <c r="H218" s="121"/>
      <c r="I218" s="121"/>
      <c r="J218" s="121"/>
      <c r="K218" s="121"/>
      <c r="L218" s="121"/>
      <c r="M218" s="121"/>
      <c r="N218" s="121"/>
      <c r="O218" s="121"/>
      <c r="P218" s="121"/>
      <c r="Q218" s="121"/>
      <c r="R218" s="121"/>
      <c r="S218" s="121"/>
      <c r="T218" s="121"/>
      <c r="U218" s="121"/>
      <c r="V218" s="121"/>
      <c r="W218" s="121">
        <v>3667000000</v>
      </c>
      <c r="X218" s="121">
        <v>3777010000</v>
      </c>
      <c r="Y218" s="121">
        <v>3890320300</v>
      </c>
      <c r="Z218" s="121">
        <v>4007029909</v>
      </c>
      <c r="AA218" s="121">
        <v>4127240806.27</v>
      </c>
      <c r="AB218" s="121">
        <v>4251058030.4581003</v>
      </c>
      <c r="AC218" s="121">
        <v>4378589771.3718433</v>
      </c>
      <c r="AD218" s="121">
        <v>4509947464.5129986</v>
      </c>
      <c r="AE218" s="121">
        <v>4645245888.4483891</v>
      </c>
      <c r="AF218" s="121">
        <v>4784603265.101841</v>
      </c>
      <c r="AG218" s="121">
        <v>4928141363.0548964</v>
      </c>
      <c r="AH218" s="121">
        <v>5075985603.9465437</v>
      </c>
      <c r="AI218" s="121">
        <v>5228265172.0649405</v>
      </c>
    </row>
    <row r="219" spans="2:35" ht="12.75" customHeight="1" x14ac:dyDescent="0.25">
      <c r="B219" s="125" t="s">
        <v>739</v>
      </c>
      <c r="C219" s="123" t="s">
        <v>741</v>
      </c>
      <c r="D219" s="124"/>
      <c r="E219" s="124"/>
      <c r="F219" s="124"/>
      <c r="G219" s="124"/>
      <c r="H219" s="124"/>
      <c r="I219" s="124"/>
      <c r="J219" s="124"/>
      <c r="K219" s="124"/>
      <c r="L219" s="124"/>
      <c r="M219" s="124"/>
      <c r="N219" s="124"/>
      <c r="O219" s="124"/>
      <c r="P219" s="124"/>
      <c r="Q219" s="124"/>
      <c r="R219" s="124"/>
      <c r="S219" s="124"/>
      <c r="T219" s="124"/>
      <c r="U219" s="124"/>
      <c r="V219" s="124"/>
      <c r="W219" s="124"/>
      <c r="X219" s="124"/>
      <c r="Y219" s="124"/>
      <c r="Z219" s="124"/>
      <c r="AA219" s="124"/>
      <c r="AB219" s="124"/>
      <c r="AC219" s="124"/>
      <c r="AD219" s="124"/>
      <c r="AE219" s="124"/>
      <c r="AF219" s="124"/>
      <c r="AG219" s="124"/>
      <c r="AH219" s="124"/>
      <c r="AI219" s="124"/>
    </row>
    <row r="220" spans="2:35" ht="12.75" customHeight="1" x14ac:dyDescent="0.25">
      <c r="B220" s="119" t="s">
        <v>731</v>
      </c>
      <c r="C220" s="120" t="s">
        <v>742</v>
      </c>
      <c r="D220" s="124"/>
      <c r="E220" s="124"/>
      <c r="F220" s="124"/>
      <c r="G220" s="124"/>
      <c r="H220" s="124"/>
      <c r="I220" s="124"/>
      <c r="J220" s="124"/>
      <c r="K220" s="124"/>
      <c r="L220" s="124"/>
      <c r="M220" s="124"/>
      <c r="N220" s="124"/>
      <c r="O220" s="124"/>
      <c r="P220" s="124"/>
      <c r="Q220" s="124"/>
      <c r="R220" s="124"/>
      <c r="S220" s="124"/>
      <c r="T220" s="124"/>
      <c r="U220" s="124"/>
      <c r="V220" s="124"/>
      <c r="W220" s="124"/>
      <c r="X220" s="124"/>
      <c r="Y220" s="124"/>
      <c r="Z220" s="124"/>
      <c r="AA220" s="124"/>
      <c r="AB220" s="124"/>
      <c r="AC220" s="124"/>
      <c r="AD220" s="124"/>
      <c r="AE220" s="124"/>
      <c r="AF220" s="124"/>
      <c r="AG220" s="124"/>
      <c r="AH220" s="124"/>
      <c r="AI220" s="124"/>
    </row>
    <row r="221" spans="2:35" ht="12.75" customHeight="1" x14ac:dyDescent="0.25">
      <c r="B221" s="119" t="s">
        <v>731</v>
      </c>
      <c r="C221" s="120" t="s">
        <v>743</v>
      </c>
      <c r="D221" s="124"/>
      <c r="E221" s="124"/>
      <c r="F221" s="124"/>
      <c r="G221" s="124"/>
      <c r="H221" s="124"/>
      <c r="I221" s="124"/>
      <c r="J221" s="124"/>
      <c r="K221" s="124"/>
      <c r="L221" s="124"/>
      <c r="M221" s="124"/>
      <c r="N221" s="124"/>
      <c r="O221" s="124"/>
      <c r="P221" s="124"/>
      <c r="Q221" s="124"/>
      <c r="R221" s="124"/>
      <c r="S221" s="124"/>
      <c r="T221" s="124"/>
      <c r="U221" s="124"/>
      <c r="V221" s="124"/>
      <c r="W221" s="124"/>
      <c r="X221" s="124"/>
      <c r="Y221" s="124"/>
      <c r="Z221" s="124"/>
      <c r="AA221" s="124"/>
      <c r="AB221" s="124"/>
      <c r="AC221" s="124"/>
      <c r="AD221" s="124"/>
      <c r="AE221" s="124"/>
      <c r="AF221" s="124"/>
      <c r="AG221" s="124"/>
      <c r="AH221" s="124"/>
      <c r="AI221" s="124"/>
    </row>
    <row r="222" spans="2:35" ht="12.75" customHeight="1" x14ac:dyDescent="0.25">
      <c r="B222" s="119" t="s">
        <v>731</v>
      </c>
      <c r="C222" s="120" t="s">
        <v>744</v>
      </c>
      <c r="D222" s="124"/>
      <c r="E222" s="124"/>
      <c r="F222" s="124"/>
      <c r="G222" s="124"/>
      <c r="H222" s="124"/>
      <c r="I222" s="124"/>
      <c r="J222" s="124"/>
      <c r="K222" s="124"/>
      <c r="L222" s="124"/>
      <c r="M222" s="124"/>
      <c r="N222" s="124"/>
      <c r="O222" s="124"/>
      <c r="P222" s="124"/>
      <c r="Q222" s="124"/>
      <c r="R222" s="124"/>
      <c r="S222" s="124"/>
      <c r="T222" s="124"/>
      <c r="U222" s="124"/>
      <c r="V222" s="124"/>
      <c r="W222" s="124"/>
      <c r="X222" s="124"/>
      <c r="Y222" s="124"/>
      <c r="Z222" s="124"/>
      <c r="AA222" s="124"/>
      <c r="AB222" s="124"/>
      <c r="AC222" s="124"/>
      <c r="AD222" s="124"/>
      <c r="AE222" s="124"/>
      <c r="AF222" s="124"/>
      <c r="AG222" s="124"/>
      <c r="AH222" s="124"/>
      <c r="AI222" s="124"/>
    </row>
    <row r="223" spans="2:35" ht="12.75" customHeight="1" x14ac:dyDescent="0.25">
      <c r="B223" s="119" t="s">
        <v>731</v>
      </c>
      <c r="C223" s="120" t="s">
        <v>745</v>
      </c>
      <c r="D223" s="124"/>
      <c r="E223" s="124"/>
      <c r="F223" s="124"/>
      <c r="G223" s="124"/>
      <c r="H223" s="124"/>
      <c r="I223" s="124"/>
      <c r="J223" s="124"/>
      <c r="K223" s="124"/>
      <c r="L223" s="124"/>
      <c r="M223" s="124"/>
      <c r="N223" s="124"/>
      <c r="O223" s="124"/>
      <c r="P223" s="124"/>
      <c r="Q223" s="124"/>
      <c r="R223" s="124"/>
      <c r="S223" s="124"/>
      <c r="T223" s="124"/>
      <c r="U223" s="124"/>
      <c r="V223" s="124"/>
      <c r="W223" s="124"/>
      <c r="X223" s="124"/>
      <c r="Y223" s="124"/>
      <c r="Z223" s="124"/>
      <c r="AA223" s="124"/>
      <c r="AB223" s="124"/>
      <c r="AC223" s="124"/>
      <c r="AD223" s="124"/>
      <c r="AE223" s="124"/>
      <c r="AF223" s="124"/>
      <c r="AG223" s="124"/>
      <c r="AH223" s="124"/>
      <c r="AI223" s="124"/>
    </row>
    <row r="224" spans="2:35" ht="12.75" customHeight="1" x14ac:dyDescent="0.25">
      <c r="B224" s="119"/>
      <c r="C224" s="120" t="s">
        <v>746</v>
      </c>
      <c r="D224" s="124"/>
      <c r="E224" s="124"/>
      <c r="F224" s="124"/>
      <c r="G224" s="124"/>
      <c r="H224" s="124"/>
      <c r="I224" s="124"/>
      <c r="J224" s="124"/>
      <c r="K224" s="124"/>
      <c r="L224" s="124"/>
      <c r="M224" s="124"/>
      <c r="N224" s="124"/>
      <c r="O224" s="124"/>
      <c r="P224" s="124"/>
      <c r="Q224" s="124"/>
      <c r="R224" s="124"/>
      <c r="S224" s="124"/>
      <c r="T224" s="124"/>
      <c r="U224" s="124"/>
      <c r="V224" s="124"/>
      <c r="W224" s="124"/>
      <c r="X224" s="124"/>
      <c r="Y224" s="124"/>
      <c r="Z224" s="124"/>
      <c r="AA224" s="124"/>
      <c r="AB224" s="124"/>
      <c r="AC224" s="124"/>
      <c r="AD224" s="124"/>
      <c r="AE224" s="124"/>
      <c r="AF224" s="124"/>
      <c r="AG224" s="124"/>
      <c r="AH224" s="124"/>
      <c r="AI224" s="124"/>
    </row>
    <row r="225" spans="1:35" ht="12.75" customHeight="1" x14ac:dyDescent="0.25">
      <c r="B225" s="126" t="s">
        <v>747</v>
      </c>
      <c r="C225" s="120" t="s">
        <v>748</v>
      </c>
      <c r="D225" s="124"/>
      <c r="E225" s="124"/>
      <c r="F225" s="124"/>
      <c r="G225" s="124"/>
      <c r="H225" s="124"/>
      <c r="I225" s="124"/>
      <c r="J225" s="124"/>
      <c r="K225" s="124"/>
      <c r="L225" s="124"/>
      <c r="M225" s="124"/>
      <c r="N225" s="124"/>
      <c r="O225" s="124"/>
      <c r="P225" s="124"/>
      <c r="Q225" s="124"/>
      <c r="R225" s="124"/>
      <c r="S225" s="124"/>
      <c r="T225" s="124"/>
      <c r="U225" s="124"/>
      <c r="V225" s="124"/>
      <c r="W225" s="124"/>
      <c r="X225" s="124"/>
      <c r="Y225" s="124"/>
      <c r="Z225" s="124"/>
      <c r="AA225" s="124"/>
      <c r="AB225" s="124"/>
      <c r="AC225" s="124"/>
      <c r="AD225" s="124"/>
      <c r="AE225" s="124"/>
      <c r="AF225" s="124"/>
      <c r="AG225" s="124"/>
      <c r="AH225" s="124"/>
      <c r="AI225" s="124"/>
    </row>
    <row r="226" spans="1:35" ht="12.75" customHeight="1" x14ac:dyDescent="0.25">
      <c r="B226" s="126" t="s">
        <v>747</v>
      </c>
      <c r="C226" s="120" t="s">
        <v>749</v>
      </c>
      <c r="D226" s="124"/>
      <c r="E226" s="124"/>
      <c r="F226" s="124"/>
      <c r="G226" s="124"/>
      <c r="H226" s="124"/>
      <c r="I226" s="124"/>
      <c r="J226" s="124"/>
      <c r="K226" s="124"/>
      <c r="L226" s="124"/>
      <c r="M226" s="124"/>
      <c r="N226" s="124"/>
      <c r="O226" s="124"/>
      <c r="P226" s="124"/>
      <c r="Q226" s="124"/>
      <c r="R226" s="124"/>
      <c r="S226" s="124"/>
      <c r="T226" s="124"/>
      <c r="U226" s="124"/>
      <c r="V226" s="124"/>
      <c r="W226" s="124"/>
      <c r="X226" s="124"/>
      <c r="Y226" s="124"/>
      <c r="Z226" s="124"/>
      <c r="AA226" s="124"/>
      <c r="AB226" s="124"/>
      <c r="AC226" s="124"/>
      <c r="AD226" s="124"/>
      <c r="AE226" s="124"/>
      <c r="AF226" s="124"/>
      <c r="AG226" s="124"/>
      <c r="AH226" s="124"/>
      <c r="AI226" s="124"/>
    </row>
    <row r="227" spans="1:35" ht="12.75" customHeight="1" x14ac:dyDescent="0.25">
      <c r="B227" s="119" t="s">
        <v>731</v>
      </c>
      <c r="C227" s="120" t="s">
        <v>750</v>
      </c>
      <c r="D227" s="124"/>
      <c r="E227" s="124"/>
      <c r="F227" s="124"/>
      <c r="G227" s="124"/>
      <c r="H227" s="124"/>
      <c r="I227" s="124"/>
      <c r="J227" s="124"/>
      <c r="K227" s="124"/>
      <c r="L227" s="124"/>
      <c r="M227" s="124"/>
      <c r="N227" s="124"/>
      <c r="O227" s="124"/>
      <c r="P227" s="124"/>
      <c r="Q227" s="124"/>
      <c r="R227" s="124"/>
      <c r="S227" s="124"/>
      <c r="T227" s="124"/>
      <c r="U227" s="124"/>
      <c r="V227" s="124"/>
      <c r="W227" s="124"/>
      <c r="X227" s="124"/>
      <c r="Y227" s="124"/>
      <c r="Z227" s="124"/>
      <c r="AA227" s="124"/>
      <c r="AB227" s="124"/>
      <c r="AC227" s="124"/>
      <c r="AD227" s="124"/>
      <c r="AE227" s="124"/>
      <c r="AF227" s="124"/>
      <c r="AG227" s="124"/>
      <c r="AH227" s="124"/>
      <c r="AI227" s="124"/>
    </row>
    <row r="228" spans="1:35" ht="12.75" customHeight="1" x14ac:dyDescent="0.25">
      <c r="B228" s="119" t="s">
        <v>731</v>
      </c>
      <c r="C228" s="120" t="s">
        <v>751</v>
      </c>
      <c r="D228" s="124"/>
      <c r="E228" s="124"/>
      <c r="F228" s="124"/>
      <c r="G228" s="124"/>
      <c r="H228" s="124"/>
      <c r="I228" s="124"/>
      <c r="J228" s="124"/>
      <c r="K228" s="124"/>
      <c r="L228" s="124"/>
      <c r="M228" s="124"/>
      <c r="N228" s="124"/>
      <c r="O228" s="124"/>
      <c r="P228" s="124"/>
      <c r="Q228" s="124"/>
      <c r="R228" s="124"/>
      <c r="S228" s="124"/>
      <c r="T228" s="124"/>
      <c r="U228" s="124"/>
      <c r="V228" s="124"/>
      <c r="W228" s="124"/>
      <c r="X228" s="124"/>
      <c r="Y228" s="124"/>
      <c r="Z228" s="124"/>
      <c r="AA228" s="124"/>
      <c r="AB228" s="124"/>
      <c r="AC228" s="124"/>
      <c r="AD228" s="124"/>
      <c r="AE228" s="124"/>
      <c r="AF228" s="124"/>
      <c r="AG228" s="124"/>
      <c r="AH228" s="124"/>
      <c r="AI228" s="124"/>
    </row>
    <row r="229" spans="1:35" ht="12.75" customHeight="1" x14ac:dyDescent="0.25">
      <c r="B229" s="119" t="s">
        <v>731</v>
      </c>
      <c r="C229" s="120" t="s">
        <v>752</v>
      </c>
      <c r="D229" s="124"/>
      <c r="E229" s="124"/>
      <c r="F229" s="124"/>
      <c r="G229" s="124"/>
      <c r="H229" s="124"/>
      <c r="I229" s="124"/>
      <c r="J229" s="124"/>
      <c r="K229" s="124"/>
      <c r="L229" s="124"/>
      <c r="M229" s="12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row>
    <row r="230" spans="1:35" ht="12.75" customHeight="1" x14ac:dyDescent="0.25">
      <c r="B230" s="119" t="s">
        <v>731</v>
      </c>
      <c r="C230" s="120" t="s">
        <v>753</v>
      </c>
      <c r="D230" s="124"/>
      <c r="E230" s="124"/>
      <c r="F230" s="124"/>
      <c r="G230" s="124"/>
      <c r="H230" s="124"/>
      <c r="I230" s="124"/>
      <c r="J230" s="124"/>
      <c r="K230" s="124"/>
      <c r="L230" s="124"/>
      <c r="M230" s="12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row>
    <row r="231" spans="1:35" ht="12.75" customHeight="1" x14ac:dyDescent="0.25">
      <c r="B231" s="119" t="s">
        <v>731</v>
      </c>
      <c r="C231" s="120" t="s">
        <v>754</v>
      </c>
      <c r="D231" s="124"/>
      <c r="E231" s="124"/>
      <c r="F231" s="124"/>
      <c r="G231" s="124"/>
      <c r="H231" s="124"/>
      <c r="I231" s="124"/>
      <c r="J231" s="124"/>
      <c r="K231" s="124"/>
      <c r="L231" s="124"/>
      <c r="M231" s="124"/>
      <c r="N231" s="124"/>
      <c r="O231" s="124"/>
      <c r="P231" s="124"/>
      <c r="Q231" s="124"/>
      <c r="R231" s="124"/>
      <c r="S231" s="124"/>
      <c r="T231" s="124"/>
      <c r="U231" s="124"/>
      <c r="V231" s="124"/>
      <c r="W231" s="124"/>
      <c r="X231" s="124"/>
      <c r="Y231" s="124"/>
      <c r="Z231" s="124"/>
      <c r="AA231" s="124"/>
      <c r="AB231" s="124"/>
      <c r="AC231" s="124"/>
      <c r="AD231" s="124"/>
      <c r="AE231" s="124"/>
      <c r="AF231" s="124"/>
      <c r="AG231" s="124"/>
      <c r="AH231" s="124"/>
      <c r="AI231" s="124"/>
    </row>
    <row r="232" spans="1:35" ht="12.75" customHeight="1" x14ac:dyDescent="0.25">
      <c r="B232" s="119" t="s">
        <v>739</v>
      </c>
      <c r="C232" s="120" t="s">
        <v>755</v>
      </c>
      <c r="D232" s="124"/>
      <c r="E232" s="124"/>
      <c r="F232" s="124"/>
      <c r="G232" s="124"/>
      <c r="H232" s="124"/>
      <c r="I232" s="124"/>
      <c r="J232" s="124"/>
      <c r="K232" s="124"/>
      <c r="L232" s="124"/>
      <c r="M232" s="124"/>
      <c r="N232" s="124"/>
      <c r="O232" s="124"/>
      <c r="P232" s="124"/>
      <c r="Q232" s="124"/>
      <c r="R232" s="124"/>
      <c r="S232" s="124"/>
      <c r="T232" s="124"/>
      <c r="U232" s="124"/>
      <c r="V232" s="124"/>
      <c r="W232" s="124"/>
      <c r="X232" s="124"/>
      <c r="Y232" s="124"/>
      <c r="Z232" s="124"/>
      <c r="AA232" s="124"/>
      <c r="AB232" s="124"/>
      <c r="AC232" s="124"/>
      <c r="AD232" s="124"/>
      <c r="AE232" s="124"/>
      <c r="AF232" s="124"/>
      <c r="AG232" s="124"/>
      <c r="AH232" s="124"/>
      <c r="AI232" s="124"/>
    </row>
    <row r="233" spans="1:35" ht="12.75" customHeight="1" x14ac:dyDescent="0.25">
      <c r="B233" s="119" t="s">
        <v>739</v>
      </c>
      <c r="C233" s="123" t="s">
        <v>756</v>
      </c>
      <c r="D233" s="124"/>
      <c r="E233" s="124"/>
      <c r="F233" s="124"/>
      <c r="G233" s="124"/>
      <c r="H233" s="124"/>
      <c r="I233" s="124"/>
      <c r="J233" s="124"/>
      <c r="K233" s="124"/>
      <c r="L233" s="124"/>
      <c r="M233" s="124"/>
      <c r="N233" s="124"/>
      <c r="O233" s="124"/>
      <c r="P233" s="124"/>
      <c r="Q233" s="124"/>
      <c r="R233" s="124"/>
      <c r="S233" s="124"/>
      <c r="T233" s="124"/>
      <c r="U233" s="124"/>
      <c r="V233" s="124"/>
      <c r="W233" s="124"/>
      <c r="X233" s="124"/>
      <c r="Y233" s="124"/>
      <c r="Z233" s="124"/>
      <c r="AA233" s="124"/>
      <c r="AB233" s="124"/>
      <c r="AC233" s="124"/>
      <c r="AD233" s="124"/>
      <c r="AE233" s="124"/>
      <c r="AF233" s="124"/>
      <c r="AG233" s="124"/>
      <c r="AH233" s="124"/>
      <c r="AI233" s="124"/>
    </row>
    <row r="234" spans="1:35" ht="12.75" customHeight="1" x14ac:dyDescent="0.25">
      <c r="B234" s="119" t="s">
        <v>739</v>
      </c>
      <c r="C234" s="120" t="s">
        <v>757</v>
      </c>
      <c r="D234" s="124"/>
      <c r="E234" s="124"/>
      <c r="F234" s="124"/>
      <c r="G234" s="124"/>
      <c r="H234" s="124"/>
      <c r="I234" s="124"/>
      <c r="J234" s="124"/>
      <c r="K234" s="124"/>
      <c r="L234" s="124"/>
      <c r="M234" s="124"/>
      <c r="N234" s="124"/>
      <c r="O234" s="124"/>
      <c r="P234" s="124"/>
      <c r="Q234" s="124"/>
      <c r="R234" s="124"/>
      <c r="S234" s="124"/>
      <c r="T234" s="124"/>
      <c r="U234" s="124"/>
      <c r="V234" s="124"/>
      <c r="W234" s="124"/>
      <c r="X234" s="124"/>
      <c r="Y234" s="124"/>
      <c r="Z234" s="124"/>
      <c r="AA234" s="124"/>
      <c r="AB234" s="124"/>
      <c r="AC234" s="124"/>
      <c r="AD234" s="124"/>
      <c r="AE234" s="124"/>
      <c r="AF234" s="124"/>
      <c r="AG234" s="124"/>
      <c r="AH234" s="124"/>
      <c r="AI234" s="124"/>
    </row>
    <row r="235" spans="1:35" ht="12.75" customHeight="1" x14ac:dyDescent="0.25">
      <c r="B235" s="119" t="s">
        <v>731</v>
      </c>
      <c r="C235" s="120" t="s">
        <v>758</v>
      </c>
      <c r="D235" s="124"/>
      <c r="E235" s="124"/>
      <c r="F235" s="124"/>
      <c r="G235" s="124"/>
      <c r="H235" s="124"/>
      <c r="I235" s="124"/>
      <c r="J235" s="124"/>
      <c r="K235" s="124"/>
      <c r="L235" s="124"/>
      <c r="M235" s="124"/>
      <c r="N235" s="124"/>
      <c r="O235" s="124"/>
      <c r="P235" s="124"/>
      <c r="Q235" s="124"/>
      <c r="R235" s="124"/>
      <c r="S235" s="124"/>
      <c r="T235" s="124"/>
      <c r="U235" s="124"/>
      <c r="V235" s="124"/>
      <c r="W235" s="124"/>
      <c r="X235" s="124"/>
      <c r="Y235" s="124"/>
      <c r="Z235" s="124"/>
      <c r="AA235" s="124"/>
      <c r="AB235" s="124"/>
      <c r="AC235" s="124"/>
      <c r="AD235" s="124"/>
      <c r="AE235" s="124"/>
      <c r="AF235" s="124"/>
      <c r="AG235" s="124"/>
      <c r="AH235" s="124"/>
      <c r="AI235" s="124"/>
    </row>
    <row r="236" spans="1:35" ht="12.75" customHeight="1" x14ac:dyDescent="0.25">
      <c r="B236" s="119" t="s">
        <v>731</v>
      </c>
      <c r="C236" s="123" t="s">
        <v>759</v>
      </c>
      <c r="D236" s="124"/>
      <c r="E236" s="124"/>
      <c r="F236" s="124"/>
      <c r="G236" s="124"/>
      <c r="H236" s="124"/>
      <c r="I236" s="124"/>
      <c r="J236" s="124"/>
      <c r="K236" s="124"/>
      <c r="L236" s="124"/>
      <c r="M236" s="124"/>
      <c r="N236" s="124"/>
      <c r="O236" s="124"/>
      <c r="P236" s="124"/>
      <c r="Q236" s="124"/>
      <c r="R236" s="124"/>
      <c r="S236" s="124"/>
      <c r="T236" s="124"/>
      <c r="U236" s="124"/>
      <c r="V236" s="124"/>
      <c r="W236" s="124"/>
      <c r="X236" s="124"/>
      <c r="Y236" s="124"/>
      <c r="Z236" s="124"/>
      <c r="AA236" s="124"/>
      <c r="AB236" s="124"/>
      <c r="AC236" s="124"/>
      <c r="AD236" s="124"/>
      <c r="AE236" s="124"/>
      <c r="AF236" s="124"/>
      <c r="AG236" s="124"/>
      <c r="AH236" s="124"/>
      <c r="AI236" s="124"/>
    </row>
    <row r="237" spans="1:35" ht="12.75" customHeight="1" x14ac:dyDescent="0.25">
      <c r="B237" s="119" t="s">
        <v>731</v>
      </c>
      <c r="C237" s="120" t="s">
        <v>760</v>
      </c>
      <c r="D237" s="124"/>
      <c r="E237" s="124"/>
      <c r="F237" s="124"/>
      <c r="G237" s="124"/>
      <c r="H237" s="124"/>
      <c r="I237" s="124"/>
      <c r="J237" s="124"/>
      <c r="K237" s="124"/>
      <c r="L237" s="124"/>
      <c r="M237" s="124"/>
      <c r="N237" s="124"/>
      <c r="O237" s="124"/>
      <c r="P237" s="124"/>
      <c r="Q237" s="124"/>
      <c r="R237" s="124"/>
      <c r="S237" s="124"/>
      <c r="T237" s="124"/>
      <c r="U237" s="124"/>
      <c r="V237" s="124"/>
      <c r="W237" s="124"/>
      <c r="X237" s="124"/>
      <c r="Y237" s="124"/>
      <c r="Z237" s="124"/>
      <c r="AA237" s="124"/>
      <c r="AB237" s="124"/>
      <c r="AC237" s="124"/>
      <c r="AD237" s="124"/>
      <c r="AE237" s="124"/>
      <c r="AF237" s="124"/>
      <c r="AG237" s="124"/>
      <c r="AH237" s="124"/>
      <c r="AI237" s="124"/>
    </row>
    <row r="238" spans="1:35" ht="12.75" customHeight="1" x14ac:dyDescent="0.25">
      <c r="B238" s="119" t="s">
        <v>731</v>
      </c>
      <c r="C238" s="120" t="s">
        <v>761</v>
      </c>
      <c r="D238" s="124"/>
      <c r="E238" s="124"/>
      <c r="F238" s="124"/>
      <c r="G238" s="124"/>
      <c r="H238" s="124"/>
      <c r="I238" s="124"/>
      <c r="J238" s="124"/>
      <c r="K238" s="124"/>
      <c r="L238" s="124"/>
      <c r="M238" s="124"/>
      <c r="N238" s="124"/>
      <c r="O238" s="124"/>
      <c r="P238" s="124"/>
      <c r="Q238" s="124"/>
      <c r="R238" s="124"/>
      <c r="S238" s="124"/>
      <c r="T238" s="124"/>
      <c r="U238" s="124"/>
      <c r="V238" s="124"/>
      <c r="W238" s="124"/>
      <c r="X238" s="124"/>
      <c r="Y238" s="124"/>
      <c r="Z238" s="124"/>
      <c r="AA238" s="124"/>
      <c r="AB238" s="124"/>
      <c r="AC238" s="124"/>
      <c r="AD238" s="124"/>
      <c r="AE238" s="124"/>
      <c r="AF238" s="124"/>
      <c r="AG238" s="124"/>
      <c r="AH238" s="124"/>
      <c r="AI238" s="124"/>
    </row>
    <row r="239" spans="1:35" ht="12.75" customHeight="1" x14ac:dyDescent="0.25">
      <c r="B239" s="119" t="s">
        <v>739</v>
      </c>
      <c r="C239" s="120" t="s">
        <v>762</v>
      </c>
      <c r="D239" s="124"/>
      <c r="E239" s="124"/>
      <c r="F239" s="124"/>
      <c r="G239" s="124"/>
      <c r="H239" s="124"/>
      <c r="I239" s="124"/>
      <c r="J239" s="124"/>
      <c r="K239" s="124"/>
      <c r="L239" s="124"/>
      <c r="M239" s="124"/>
      <c r="N239" s="124"/>
      <c r="O239" s="124"/>
      <c r="P239" s="124"/>
      <c r="Q239" s="124"/>
      <c r="R239" s="124"/>
      <c r="S239" s="124"/>
      <c r="T239" s="124"/>
      <c r="U239" s="124"/>
      <c r="V239" s="124"/>
      <c r="W239" s="124"/>
      <c r="X239" s="124"/>
      <c r="Y239" s="124"/>
      <c r="Z239" s="124"/>
      <c r="AA239" s="124"/>
      <c r="AB239" s="124"/>
      <c r="AC239" s="124"/>
      <c r="AD239" s="124"/>
      <c r="AE239" s="124"/>
      <c r="AF239" s="124"/>
      <c r="AG239" s="124"/>
      <c r="AH239" s="124"/>
      <c r="AI239" s="124"/>
    </row>
    <row r="240" spans="1:35" s="8" customFormat="1" ht="12.75" customHeight="1" x14ac:dyDescent="0.25">
      <c r="A240" s="21"/>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row>
    <row r="241" spans="1:29" s="8" customFormat="1" ht="12.75" customHeight="1" x14ac:dyDescent="0.25">
      <c r="A241" s="21"/>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row>
    <row r="242" spans="1:29" s="8" customFormat="1" ht="12.75" customHeight="1" x14ac:dyDescent="0.25">
      <c r="A242" s="21"/>
      <c r="C242" s="128"/>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row>
    <row r="243" spans="1:29" ht="12.75" customHeight="1" x14ac:dyDescent="0.25"/>
    <row r="244" spans="1:29" ht="12.75" customHeight="1" x14ac:dyDescent="0.25"/>
    <row r="245" spans="1:29" ht="12.75" customHeight="1" x14ac:dyDescent="0.25"/>
    <row r="246" spans="1:29" ht="12.75" customHeight="1" x14ac:dyDescent="0.25"/>
    <row r="247" spans="1:29" ht="12.75" customHeight="1" x14ac:dyDescent="0.25"/>
    <row r="248" spans="1:29" ht="12.75" customHeight="1" x14ac:dyDescent="0.25"/>
    <row r="249" spans="1:29" ht="12.75" customHeight="1" x14ac:dyDescent="0.25"/>
    <row r="250" spans="1:29" ht="12.75" customHeight="1" x14ac:dyDescent="0.25"/>
    <row r="251" spans="1:29" ht="12.75" customHeight="1" x14ac:dyDescent="0.25"/>
    <row r="252" spans="1:29" ht="12.75" customHeight="1" x14ac:dyDescent="0.25"/>
    <row r="253" spans="1:29" ht="12.75" customHeight="1" x14ac:dyDescent="0.25"/>
    <row r="254" spans="1:29" ht="12.75" customHeight="1" x14ac:dyDescent="0.25"/>
    <row r="255" spans="1:29" ht="12.75" customHeight="1" x14ac:dyDescent="0.25"/>
    <row r="256" spans="1:29"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sheetData>
  <mergeCells count="12">
    <mergeCell ref="BU11:BW11"/>
    <mergeCell ref="BP3:BS3"/>
    <mergeCell ref="C4:H4"/>
    <mergeCell ref="B207:H207"/>
    <mergeCell ref="B1:H1"/>
    <mergeCell ref="C3:D3"/>
    <mergeCell ref="J3:N3"/>
    <mergeCell ref="AC3:AH3"/>
    <mergeCell ref="B11:D11"/>
    <mergeCell ref="P11:R11"/>
    <mergeCell ref="AJ11:AL11"/>
    <mergeCell ref="BD11:BF11"/>
  </mergeCells>
  <conditionalFormatting sqref="F13:F196">
    <cfRule type="colorScale" priority="12">
      <colorScale>
        <cfvo type="min"/>
        <cfvo type="percentile" val="50"/>
        <cfvo type="max"/>
        <color rgb="FF63BE7B"/>
        <color rgb="FFFFEB84"/>
        <color rgb="FFF8696B"/>
      </colorScale>
    </cfRule>
  </conditionalFormatting>
  <conditionalFormatting sqref="AN13:AN196">
    <cfRule type="iconSet" priority="11">
      <iconSet iconSet="5Rating">
        <cfvo type="percent" val="0"/>
        <cfvo type="percent" val="20"/>
        <cfvo type="percent" val="40"/>
        <cfvo type="percent" val="60"/>
        <cfvo type="percent" val="80"/>
      </iconSet>
    </cfRule>
  </conditionalFormatting>
  <conditionalFormatting sqref="BZ13:BZ196">
    <cfRule type="colorScale" priority="10">
      <colorScale>
        <cfvo type="min"/>
        <cfvo type="percentile" val="50"/>
        <cfvo type="max"/>
        <color rgb="FFF8696B"/>
        <color rgb="FFFFEB84"/>
        <color rgb="FF63BE7B"/>
      </colorScale>
    </cfRule>
  </conditionalFormatting>
  <conditionalFormatting sqref="BG13:BG196">
    <cfRule type="colorScale" priority="9">
      <colorScale>
        <cfvo type="min"/>
        <cfvo type="max"/>
        <color rgb="FFFFEF9C"/>
        <color rgb="FF63BE7B"/>
      </colorScale>
    </cfRule>
  </conditionalFormatting>
  <conditionalFormatting sqref="AA13:AA196">
    <cfRule type="colorScale" priority="7">
      <colorScale>
        <cfvo type="min"/>
        <cfvo type="percentile" val="50"/>
        <cfvo type="max"/>
        <color rgb="FF63BE7B"/>
        <color rgb="FFFFEB84"/>
        <color rgb="FFF8696B"/>
      </colorScale>
    </cfRule>
  </conditionalFormatting>
  <conditionalFormatting sqref="AT13:AT196">
    <cfRule type="iconSet" priority="8">
      <iconSet iconSet="5Rating">
        <cfvo type="percent" val="0"/>
        <cfvo type="percent" val="20"/>
        <cfvo type="percent" val="40"/>
        <cfvo type="percent" val="60"/>
        <cfvo type="percent" val="80"/>
      </iconSet>
    </cfRule>
  </conditionalFormatting>
  <conditionalFormatting sqref="BM13:BM196">
    <cfRule type="colorScale" priority="6">
      <colorScale>
        <cfvo type="min"/>
        <cfvo type="max"/>
        <color rgb="FFFFEF9C"/>
        <color rgb="FF63BE7B"/>
      </colorScale>
    </cfRule>
  </conditionalFormatting>
  <conditionalFormatting sqref="CF13:CF196">
    <cfRule type="colorScale" priority="5">
      <colorScale>
        <cfvo type="min"/>
        <cfvo type="percentile" val="50"/>
        <cfvo type="max"/>
        <color rgb="FFF8696B"/>
        <color rgb="FFFFEB84"/>
        <color rgb="FF63BE7B"/>
      </colorScale>
    </cfRule>
  </conditionalFormatting>
  <conditionalFormatting sqref="U13:U196">
    <cfRule type="colorScale" priority="4">
      <colorScale>
        <cfvo type="min"/>
        <cfvo type="percentile" val="50"/>
        <cfvo type="max"/>
        <color rgb="FF63BE7B"/>
        <color rgb="FFFFEB84"/>
        <color rgb="FFF8696B"/>
      </colorScale>
    </cfRule>
  </conditionalFormatting>
  <conditionalFormatting sqref="V13:V196">
    <cfRule type="colorScale" priority="3">
      <colorScale>
        <cfvo type="min"/>
        <cfvo type="percentile" val="50"/>
        <cfvo type="max"/>
        <color rgb="FF63BE7B"/>
        <color rgb="FFFFEB84"/>
        <color rgb="FFF8696B"/>
      </colorScale>
    </cfRule>
  </conditionalFormatting>
  <conditionalFormatting sqref="Z13:Z72 Z74:Z196">
    <cfRule type="colorScale" priority="2">
      <colorScale>
        <cfvo type="min"/>
        <cfvo type="percentile" val="50"/>
        <cfvo type="max"/>
        <color rgb="FF63BE7B"/>
        <color rgb="FFFFEB84"/>
        <color rgb="FFF8696B"/>
      </colorScale>
    </cfRule>
  </conditionalFormatting>
  <conditionalFormatting sqref="Z73">
    <cfRule type="colorScale" priority="1">
      <colorScale>
        <cfvo type="min"/>
        <cfvo type="percentile" val="50"/>
        <cfvo type="max"/>
        <color rgb="FF63BE7B"/>
        <color rgb="FFFFEB84"/>
        <color rgb="FFF8696B"/>
      </colorScale>
    </cfRule>
  </conditionalFormatting>
  <hyperlinks>
    <hyperlink ref="AC4" r:id="rId1" display="Source: GFSR"/>
    <hyperlink ref="AW4" r:id="rId2" display="Source: GFSR"/>
    <hyperlink ref="BP4" r:id="rId3" display="Source: IMF, Global Financial Stability Report (GFSR), Table 24"/>
    <hyperlink ref="J4" r:id="rId4" display="Source: GFSR"/>
    <hyperlink ref="C4:H4" r:id="rId5" display="Source: World Bank database based on Djankov/Hart/McLiesh &amp; Shleifer (2008), JoPE"/>
  </hyperlinks>
  <pageMargins left="0.7" right="0.7" top="0.75" bottom="0.75" header="0.3" footer="0.3"/>
  <drawing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V548"/>
  <sheetViews>
    <sheetView showGridLines="0" topLeftCell="A10" zoomScaleNormal="100" workbookViewId="0">
      <selection activeCell="J15" sqref="J15:K16"/>
    </sheetView>
  </sheetViews>
  <sheetFormatPr defaultColWidth="0" defaultRowHeight="15" zeroHeight="1" x14ac:dyDescent="0.25"/>
  <cols>
    <col min="1" max="1" width="2.85546875" style="500" customWidth="1"/>
    <col min="2" max="6" width="9.140625" style="233" customWidth="1"/>
    <col min="7" max="7" width="3.42578125" style="233" customWidth="1"/>
    <col min="8" max="17" width="14.28515625" style="233" customWidth="1"/>
    <col min="18" max="18" width="2.85546875" style="500" customWidth="1"/>
    <col min="19" max="16384" width="9.140625" style="233" hidden="1"/>
  </cols>
  <sheetData>
    <row r="1" spans="1:22" s="500" customFormat="1" ht="15.75" thickBot="1" x14ac:dyDescent="0.3"/>
    <row r="2" spans="1:22" x14ac:dyDescent="0.25">
      <c r="B2" s="620" t="s">
        <v>1407</v>
      </c>
      <c r="C2" s="621"/>
      <c r="D2" s="621"/>
      <c r="E2" s="621"/>
      <c r="F2" s="622"/>
      <c r="G2" s="276"/>
      <c r="H2" s="277"/>
      <c r="I2" s="277"/>
      <c r="J2" s="277"/>
      <c r="K2" s="277"/>
      <c r="L2" s="277"/>
      <c r="M2" s="277"/>
      <c r="N2" s="277"/>
      <c r="O2" s="277"/>
      <c r="P2" s="277"/>
      <c r="Q2" s="279"/>
      <c r="R2" s="230"/>
      <c r="S2" s="229"/>
      <c r="T2" s="229"/>
      <c r="U2" s="229"/>
      <c r="V2" s="229"/>
    </row>
    <row r="3" spans="1:22" x14ac:dyDescent="0.25">
      <c r="B3" s="623"/>
      <c r="C3" s="624"/>
      <c r="D3" s="624"/>
      <c r="E3" s="624"/>
      <c r="F3" s="625"/>
      <c r="G3" s="280"/>
      <c r="H3" s="231"/>
      <c r="I3" s="231"/>
      <c r="J3" s="231"/>
      <c r="K3" s="231"/>
      <c r="L3" s="231"/>
      <c r="M3" s="231"/>
      <c r="N3" s="231"/>
      <c r="O3" s="231"/>
      <c r="P3" s="231"/>
      <c r="Q3" s="281"/>
      <c r="R3" s="230"/>
      <c r="S3" s="229"/>
      <c r="T3" s="229"/>
      <c r="U3" s="229"/>
      <c r="V3" s="229"/>
    </row>
    <row r="4" spans="1:22" x14ac:dyDescent="0.25">
      <c r="B4" s="623"/>
      <c r="C4" s="624"/>
      <c r="D4" s="624"/>
      <c r="E4" s="624"/>
      <c r="F4" s="625"/>
      <c r="G4" s="280"/>
      <c r="H4" s="231"/>
      <c r="I4" s="231"/>
      <c r="J4" s="231"/>
      <c r="K4" s="231"/>
      <c r="L4" s="231"/>
      <c r="M4" s="231"/>
      <c r="N4" s="231"/>
      <c r="O4" s="231"/>
      <c r="P4" s="231"/>
      <c r="Q4" s="281"/>
      <c r="R4" s="230"/>
      <c r="S4" s="229"/>
      <c r="T4" s="229"/>
      <c r="U4" s="229"/>
      <c r="V4" s="229"/>
    </row>
    <row r="5" spans="1:22" x14ac:dyDescent="0.25">
      <c r="B5" s="623"/>
      <c r="C5" s="624"/>
      <c r="D5" s="624"/>
      <c r="E5" s="624"/>
      <c r="F5" s="625"/>
      <c r="G5" s="280"/>
      <c r="H5" s="231"/>
      <c r="I5" s="231"/>
      <c r="J5" s="231"/>
      <c r="K5" s="231"/>
      <c r="L5" s="231"/>
      <c r="M5" s="231"/>
      <c r="N5" s="231"/>
      <c r="O5" s="231"/>
      <c r="P5" s="231"/>
      <c r="Q5" s="281"/>
      <c r="R5" s="230"/>
      <c r="S5" s="229"/>
      <c r="T5" s="229"/>
      <c r="U5" s="229"/>
      <c r="V5" s="229"/>
    </row>
    <row r="6" spans="1:22" x14ac:dyDescent="0.25">
      <c r="B6" s="623"/>
      <c r="C6" s="624"/>
      <c r="D6" s="624"/>
      <c r="E6" s="624"/>
      <c r="F6" s="625"/>
      <c r="G6" s="280"/>
      <c r="H6" s="231"/>
      <c r="I6" s="231"/>
      <c r="J6" s="231"/>
      <c r="K6" s="231"/>
      <c r="L6" s="231"/>
      <c r="M6" s="231"/>
      <c r="N6" s="231"/>
      <c r="O6" s="231"/>
      <c r="P6" s="231"/>
      <c r="Q6" s="281"/>
      <c r="R6" s="230"/>
      <c r="S6" s="229"/>
      <c r="T6" s="229"/>
      <c r="U6" s="229"/>
      <c r="V6" s="229"/>
    </row>
    <row r="7" spans="1:22" x14ac:dyDescent="0.25">
      <c r="B7" s="623"/>
      <c r="C7" s="624"/>
      <c r="D7" s="624"/>
      <c r="E7" s="624"/>
      <c r="F7" s="625"/>
      <c r="G7" s="280"/>
      <c r="H7" s="231"/>
      <c r="I7" s="231"/>
      <c r="J7" s="231"/>
      <c r="K7" s="231"/>
      <c r="L7" s="231"/>
      <c r="M7" s="231"/>
      <c r="N7" s="231"/>
      <c r="O7" s="231"/>
      <c r="P7" s="231"/>
      <c r="Q7" s="281"/>
      <c r="R7" s="230"/>
      <c r="S7" s="229"/>
      <c r="T7" s="229"/>
      <c r="U7" s="229"/>
      <c r="V7" s="229"/>
    </row>
    <row r="8" spans="1:22" x14ac:dyDescent="0.25">
      <c r="B8" s="623"/>
      <c r="C8" s="624"/>
      <c r="D8" s="624"/>
      <c r="E8" s="624"/>
      <c r="F8" s="625"/>
      <c r="G8" s="280"/>
      <c r="H8" s="231"/>
      <c r="I8" s="231"/>
      <c r="J8" s="231"/>
      <c r="K8" s="231"/>
      <c r="L8" s="231"/>
      <c r="M8" s="231"/>
      <c r="N8" s="231"/>
      <c r="O8" s="231"/>
      <c r="P8" s="231"/>
      <c r="Q8" s="281"/>
      <c r="R8" s="230"/>
      <c r="S8" s="229"/>
      <c r="T8" s="229"/>
      <c r="U8" s="229"/>
      <c r="V8" s="229"/>
    </row>
    <row r="9" spans="1:22" ht="15.75" thickBot="1" x14ac:dyDescent="0.3">
      <c r="B9" s="626"/>
      <c r="C9" s="627"/>
      <c r="D9" s="627"/>
      <c r="E9" s="627"/>
      <c r="F9" s="628"/>
      <c r="G9" s="282"/>
      <c r="H9" s="283"/>
      <c r="I9" s="283"/>
      <c r="J9" s="283"/>
      <c r="K9" s="283"/>
      <c r="L9" s="283"/>
      <c r="M9" s="283"/>
      <c r="N9" s="283"/>
      <c r="O9" s="283"/>
      <c r="P9" s="283"/>
      <c r="Q9" s="285"/>
      <c r="R9" s="230"/>
      <c r="S9" s="229"/>
      <c r="T9" s="229"/>
      <c r="U9" s="229"/>
      <c r="V9" s="229"/>
    </row>
    <row r="10" spans="1:22" ht="15.75" thickBot="1" x14ac:dyDescent="0.3">
      <c r="B10" s="500"/>
      <c r="C10" s="500"/>
      <c r="D10" s="500"/>
      <c r="E10" s="500"/>
      <c r="F10" s="500"/>
      <c r="G10" s="500"/>
      <c r="H10" s="500"/>
      <c r="I10" s="500"/>
      <c r="J10" s="500"/>
      <c r="K10" s="500"/>
      <c r="L10" s="500"/>
      <c r="M10" s="500"/>
      <c r="N10" s="500"/>
      <c r="O10" s="500"/>
      <c r="P10" s="500"/>
      <c r="Q10" s="500"/>
    </row>
    <row r="11" spans="1:22" x14ac:dyDescent="0.25">
      <c r="B11" s="500"/>
      <c r="C11" s="500"/>
      <c r="D11" s="500"/>
      <c r="E11" s="500"/>
      <c r="F11" s="500"/>
      <c r="G11" s="500"/>
      <c r="H11" s="629" t="s">
        <v>1461</v>
      </c>
      <c r="I11" s="630"/>
      <c r="J11" s="630"/>
      <c r="K11" s="630"/>
      <c r="L11" s="630"/>
      <c r="M11" s="631"/>
      <c r="N11" s="500"/>
      <c r="O11" s="500"/>
      <c r="P11" s="500"/>
      <c r="Q11" s="500"/>
    </row>
    <row r="12" spans="1:22" x14ac:dyDescent="0.25">
      <c r="B12" s="500"/>
      <c r="C12" s="500"/>
      <c r="D12" s="500"/>
      <c r="E12" s="500"/>
      <c r="F12" s="500"/>
      <c r="G12" s="500"/>
      <c r="H12" s="632"/>
      <c r="I12" s="633"/>
      <c r="J12" s="633"/>
      <c r="K12" s="633"/>
      <c r="L12" s="633"/>
      <c r="M12" s="634"/>
      <c r="N12" s="500"/>
      <c r="O12" s="500"/>
      <c r="P12" s="500"/>
      <c r="Q12" s="500"/>
    </row>
    <row r="13" spans="1:22" x14ac:dyDescent="0.25">
      <c r="B13" s="500"/>
      <c r="C13" s="500"/>
      <c r="D13" s="500"/>
      <c r="E13" s="500"/>
      <c r="F13" s="500"/>
      <c r="G13" s="500"/>
      <c r="H13" s="632"/>
      <c r="I13" s="633"/>
      <c r="J13" s="633"/>
      <c r="K13" s="633"/>
      <c r="L13" s="633"/>
      <c r="M13" s="634"/>
      <c r="N13" s="500"/>
      <c r="O13" s="500"/>
      <c r="P13" s="500"/>
      <c r="Q13" s="500"/>
    </row>
    <row r="14" spans="1:22" customFormat="1" x14ac:dyDescent="0.25">
      <c r="A14" s="500"/>
      <c r="B14" s="500"/>
      <c r="C14" s="500"/>
      <c r="D14" s="500"/>
      <c r="E14" s="500"/>
      <c r="F14" s="500"/>
      <c r="G14" s="500"/>
      <c r="H14" s="463"/>
      <c r="I14" s="10"/>
      <c r="J14" s="10"/>
      <c r="K14" s="10"/>
      <c r="L14" s="10"/>
      <c r="M14" s="464"/>
      <c r="N14" s="500"/>
      <c r="O14" s="500"/>
      <c r="P14" s="500"/>
      <c r="Q14" s="500"/>
      <c r="R14" s="500"/>
    </row>
    <row r="15" spans="1:22" ht="15" customHeight="1" x14ac:dyDescent="0.25">
      <c r="B15" s="500"/>
      <c r="C15" s="500"/>
      <c r="D15" s="500"/>
      <c r="E15" s="500"/>
      <c r="F15" s="500"/>
      <c r="G15" s="500"/>
      <c r="H15" s="635" t="s">
        <v>1462</v>
      </c>
      <c r="I15" s="636"/>
      <c r="J15" s="637">
        <v>10</v>
      </c>
      <c r="K15" s="638"/>
      <c r="M15" s="464"/>
      <c r="N15" s="500"/>
      <c r="O15" s="500"/>
      <c r="P15" s="500"/>
      <c r="Q15" s="500"/>
    </row>
    <row r="16" spans="1:22" ht="15" customHeight="1" x14ac:dyDescent="0.25">
      <c r="B16" s="500"/>
      <c r="C16" s="500"/>
      <c r="D16" s="500"/>
      <c r="E16" s="500"/>
      <c r="F16" s="500"/>
      <c r="G16" s="500"/>
      <c r="H16" s="635"/>
      <c r="I16" s="636"/>
      <c r="J16" s="639"/>
      <c r="K16" s="640"/>
      <c r="M16" s="464"/>
      <c r="N16" s="500"/>
      <c r="O16" s="500"/>
      <c r="P16" s="500"/>
      <c r="Q16" s="500"/>
    </row>
    <row r="17" spans="1:18" x14ac:dyDescent="0.25">
      <c r="B17" s="500"/>
      <c r="C17" s="500"/>
      <c r="D17" s="500"/>
      <c r="E17" s="500"/>
      <c r="F17" s="500"/>
      <c r="G17" s="500"/>
      <c r="H17" s="463"/>
      <c r="I17" s="10"/>
      <c r="J17" s="10"/>
      <c r="K17" s="10"/>
      <c r="L17" s="10"/>
      <c r="M17" s="464"/>
      <c r="N17" s="500"/>
      <c r="O17" s="500"/>
      <c r="P17" s="500"/>
      <c r="Q17" s="500"/>
    </row>
    <row r="18" spans="1:18" ht="15.75" thickBot="1" x14ac:dyDescent="0.3">
      <c r="B18" s="500"/>
      <c r="C18" s="500"/>
      <c r="D18" s="500"/>
      <c r="E18" s="500"/>
      <c r="F18" s="500"/>
      <c r="G18" s="500"/>
      <c r="H18" s="465"/>
      <c r="I18" s="466"/>
      <c r="J18" s="466"/>
      <c r="K18" s="466"/>
      <c r="L18" s="466"/>
      <c r="M18" s="467"/>
      <c r="N18" s="500"/>
      <c r="O18" s="500"/>
      <c r="P18" s="500"/>
      <c r="Q18" s="500"/>
    </row>
    <row r="19" spans="1:18" x14ac:dyDescent="0.25">
      <c r="B19" s="500"/>
      <c r="C19" s="500"/>
      <c r="D19" s="500"/>
      <c r="E19" s="500"/>
      <c r="F19" s="500"/>
      <c r="G19" s="500"/>
      <c r="H19" s="500"/>
      <c r="I19" s="500"/>
      <c r="J19" s="500"/>
      <c r="K19" s="500"/>
      <c r="L19" s="500"/>
      <c r="M19" s="500"/>
      <c r="N19" s="500"/>
      <c r="O19" s="500"/>
      <c r="P19" s="500"/>
      <c r="Q19" s="500"/>
    </row>
    <row r="20" spans="1:18" x14ac:dyDescent="0.25">
      <c r="B20" s="500"/>
      <c r="C20" s="500"/>
      <c r="D20" s="500"/>
      <c r="E20" s="500"/>
      <c r="F20" s="500"/>
      <c r="G20" s="500"/>
      <c r="H20" s="500"/>
      <c r="I20" s="500"/>
      <c r="J20" s="500"/>
      <c r="K20" s="500"/>
      <c r="L20" s="500"/>
      <c r="M20" s="500"/>
      <c r="N20" s="500"/>
      <c r="O20" s="500"/>
      <c r="P20" s="500"/>
      <c r="Q20" s="500"/>
    </row>
    <row r="21" spans="1:18" customFormat="1" x14ac:dyDescent="0.25">
      <c r="A21" s="500"/>
      <c r="B21" s="500"/>
      <c r="C21" s="500"/>
      <c r="D21" s="500"/>
      <c r="E21" s="500"/>
      <c r="F21" s="500"/>
      <c r="G21" s="500"/>
      <c r="H21" s="582">
        <v>1</v>
      </c>
      <c r="I21" s="582">
        <v>2</v>
      </c>
      <c r="J21" s="582">
        <v>3</v>
      </c>
      <c r="K21" s="582">
        <v>4</v>
      </c>
      <c r="L21" s="582">
        <v>5</v>
      </c>
      <c r="M21" s="582">
        <v>6</v>
      </c>
      <c r="N21" s="582">
        <v>7</v>
      </c>
      <c r="O21" s="582">
        <v>8</v>
      </c>
      <c r="P21" s="582">
        <v>9</v>
      </c>
      <c r="Q21" s="582">
        <v>10</v>
      </c>
      <c r="R21" s="500"/>
    </row>
    <row r="22" spans="1:18" customFormat="1" ht="18.75" x14ac:dyDescent="0.3">
      <c r="A22" s="500"/>
      <c r="B22" s="221"/>
      <c r="C22" s="500"/>
      <c r="D22" s="500"/>
      <c r="E22" s="500"/>
      <c r="F22" s="500"/>
      <c r="G22" s="500"/>
      <c r="H22" s="500"/>
      <c r="I22" s="500"/>
      <c r="J22" s="500"/>
      <c r="K22" s="500"/>
      <c r="L22" s="500"/>
      <c r="M22" s="500"/>
      <c r="N22" s="500"/>
      <c r="O22" s="500"/>
      <c r="P22" s="500"/>
      <c r="Q22" s="500"/>
      <c r="R22" s="500"/>
    </row>
    <row r="23" spans="1:18" customFormat="1" x14ac:dyDescent="0.25">
      <c r="A23" s="500"/>
      <c r="B23" s="525" t="s">
        <v>1441</v>
      </c>
      <c r="C23" s="531"/>
      <c r="D23" s="532"/>
      <c r="E23" s="532"/>
      <c r="F23" s="532"/>
      <c r="G23" s="527"/>
      <c r="H23" s="502" t="str">
        <f>H106</f>
        <v>Basel I</v>
      </c>
      <c r="I23" s="506" t="str">
        <f t="shared" ref="I23:Q23" si="0">I106</f>
        <v>Standardized</v>
      </c>
      <c r="J23" s="506" t="str">
        <f t="shared" si="0"/>
        <v>Standardized</v>
      </c>
      <c r="K23" s="506" t="str">
        <f t="shared" si="0"/>
        <v>Standardized</v>
      </c>
      <c r="L23" s="506" t="str">
        <f t="shared" si="0"/>
        <v>IRB</v>
      </c>
      <c r="M23" s="506" t="str">
        <f t="shared" si="0"/>
        <v>Basel I</v>
      </c>
      <c r="N23" s="506" t="str">
        <f t="shared" si="0"/>
        <v>IRB</v>
      </c>
      <c r="O23" s="506" t="str">
        <f t="shared" si="0"/>
        <v>Standardized</v>
      </c>
      <c r="P23" s="506" t="str">
        <f t="shared" si="0"/>
        <v>IRB</v>
      </c>
      <c r="Q23" s="506" t="str">
        <f t="shared" si="0"/>
        <v>Standardized</v>
      </c>
      <c r="R23" s="500"/>
    </row>
    <row r="24" spans="1:18" customFormat="1" x14ac:dyDescent="0.25">
      <c r="A24" s="500"/>
      <c r="B24" s="219"/>
      <c r="C24" s="500"/>
      <c r="D24" s="500"/>
      <c r="E24" s="500"/>
      <c r="F24" s="500"/>
      <c r="G24" s="500"/>
      <c r="H24" s="500"/>
      <c r="I24" s="500"/>
      <c r="J24" s="500"/>
      <c r="K24" s="500"/>
      <c r="L24" s="500"/>
      <c r="M24" s="500"/>
      <c r="N24" s="500"/>
      <c r="O24" s="500"/>
      <c r="P24" s="500"/>
      <c r="Q24" s="500"/>
      <c r="R24" s="500"/>
    </row>
    <row r="25" spans="1:18" customFormat="1" x14ac:dyDescent="0.25">
      <c r="A25" s="500"/>
      <c r="B25" s="525" t="s">
        <v>5</v>
      </c>
      <c r="C25" s="531"/>
      <c r="D25" s="532"/>
      <c r="E25" s="532"/>
      <c r="F25" s="532"/>
      <c r="G25" s="527"/>
      <c r="H25" s="528">
        <v>11822.26</v>
      </c>
      <c r="I25" s="43">
        <v>5558.2475000000004</v>
      </c>
      <c r="J25" s="43">
        <v>2143.8057142857142</v>
      </c>
      <c r="K25" s="43">
        <v>5362.152</v>
      </c>
      <c r="L25" s="43">
        <v>2027.5766666666666</v>
      </c>
      <c r="M25" s="43">
        <v>2292.849044524804</v>
      </c>
      <c r="N25" s="43">
        <v>2586.44</v>
      </c>
      <c r="O25" s="43">
        <v>9331.0725000000002</v>
      </c>
      <c r="P25" s="43">
        <v>877.60993276693421</v>
      </c>
      <c r="Q25" s="43">
        <v>2576.1</v>
      </c>
      <c r="R25" s="500"/>
    </row>
    <row r="26" spans="1:18" customFormat="1" x14ac:dyDescent="0.25">
      <c r="A26" s="500"/>
      <c r="B26" s="219"/>
      <c r="C26" s="500"/>
      <c r="D26" s="500"/>
      <c r="E26" s="500"/>
      <c r="F26" s="500"/>
      <c r="G26" s="500"/>
      <c r="H26" s="216"/>
      <c r="I26" s="216"/>
      <c r="J26" s="216"/>
      <c r="K26" s="216"/>
      <c r="L26" s="216"/>
      <c r="M26" s="216"/>
      <c r="N26" s="216"/>
      <c r="O26" s="216"/>
      <c r="P26" s="216"/>
      <c r="Q26" s="216"/>
      <c r="R26" s="500"/>
    </row>
    <row r="27" spans="1:18" customFormat="1" x14ac:dyDescent="0.25">
      <c r="A27" s="500"/>
      <c r="B27" s="11" t="s">
        <v>6</v>
      </c>
      <c r="C27" s="2"/>
      <c r="D27" s="2"/>
      <c r="E27" s="2"/>
      <c r="F27" s="2"/>
      <c r="G27" s="3"/>
      <c r="H27" s="528">
        <v>5380.06</v>
      </c>
      <c r="I27" s="43">
        <v>2250.3200000000002</v>
      </c>
      <c r="J27" s="43">
        <v>392.34285714285716</v>
      </c>
      <c r="K27" s="43">
        <v>1219.9839999999999</v>
      </c>
      <c r="L27" s="43">
        <v>927.94</v>
      </c>
      <c r="M27" s="43">
        <v>1695.007948448844</v>
      </c>
      <c r="N27" s="43">
        <v>1290.57</v>
      </c>
      <c r="O27" s="43">
        <v>4981.5550000000003</v>
      </c>
      <c r="P27" s="43">
        <v>593.07399961551027</v>
      </c>
      <c r="Q27" s="43">
        <v>1524.4</v>
      </c>
      <c r="R27" s="500"/>
    </row>
    <row r="28" spans="1:18" customFormat="1" x14ac:dyDescent="0.25">
      <c r="A28" s="500"/>
      <c r="B28" s="20" t="s">
        <v>7</v>
      </c>
      <c r="C28" s="4"/>
      <c r="D28" s="4"/>
      <c r="E28" s="4"/>
      <c r="F28" s="4"/>
      <c r="G28" s="257"/>
      <c r="H28" s="528">
        <v>4481.1549999999997</v>
      </c>
      <c r="I28" s="43">
        <v>2250.3200000000002</v>
      </c>
      <c r="J28" s="43">
        <v>364.96428571428572</v>
      </c>
      <c r="K28" s="43">
        <v>1227.3119999999999</v>
      </c>
      <c r="L28" s="43">
        <v>927.94</v>
      </c>
      <c r="M28" s="43">
        <v>1728.3230166590956</v>
      </c>
      <c r="N28" s="43">
        <v>1305.8599999999999</v>
      </c>
      <c r="O28" s="43">
        <v>4986.2624999999998</v>
      </c>
      <c r="P28" s="43">
        <v>599.21135941942532</v>
      </c>
      <c r="Q28" s="43">
        <v>1299.5</v>
      </c>
      <c r="R28" s="500"/>
    </row>
    <row r="29" spans="1:18" customFormat="1" x14ac:dyDescent="0.25">
      <c r="A29" s="500"/>
      <c r="B29" s="526" t="s">
        <v>8</v>
      </c>
      <c r="C29" s="259"/>
      <c r="D29" s="259"/>
      <c r="E29" s="259"/>
      <c r="F29" s="259"/>
      <c r="G29" s="260"/>
      <c r="H29" s="529">
        <v>898.90499999999997</v>
      </c>
      <c r="I29" s="507">
        <v>55</v>
      </c>
      <c r="J29" s="507">
        <v>31.431428571428572</v>
      </c>
      <c r="K29" s="507">
        <v>0</v>
      </c>
      <c r="L29" s="507">
        <v>0</v>
      </c>
      <c r="M29" s="507">
        <v>0</v>
      </c>
      <c r="N29" s="507">
        <v>0</v>
      </c>
      <c r="O29" s="507">
        <v>0</v>
      </c>
      <c r="P29" s="507">
        <v>0</v>
      </c>
      <c r="Q29" s="507">
        <v>224.9</v>
      </c>
      <c r="R29" s="500"/>
    </row>
    <row r="30" spans="1:18" customFormat="1" x14ac:dyDescent="0.25">
      <c r="A30" s="500"/>
      <c r="B30" s="500"/>
      <c r="C30" s="220"/>
      <c r="D30" s="500"/>
      <c r="E30" s="500"/>
      <c r="F30" s="500"/>
      <c r="G30" s="500"/>
      <c r="H30" s="216"/>
      <c r="I30" s="216"/>
      <c r="J30" s="216"/>
      <c r="K30" s="216"/>
      <c r="L30" s="216"/>
      <c r="M30" s="216"/>
      <c r="N30" s="216"/>
      <c r="O30" s="216"/>
      <c r="P30" s="216"/>
      <c r="Q30" s="216"/>
      <c r="R30" s="500"/>
    </row>
    <row r="31" spans="1:18" customFormat="1" x14ac:dyDescent="0.25">
      <c r="A31" s="500"/>
      <c r="B31" s="11" t="s">
        <v>9</v>
      </c>
      <c r="C31" s="537"/>
      <c r="D31" s="2"/>
      <c r="E31" s="2"/>
      <c r="F31" s="2"/>
      <c r="G31" s="3"/>
      <c r="H31" s="528">
        <v>303.27499999999998</v>
      </c>
      <c r="I31" s="43">
        <v>363.85250000000002</v>
      </c>
      <c r="J31" s="43">
        <v>80.812857142857141</v>
      </c>
      <c r="K31" s="43">
        <v>269.892</v>
      </c>
      <c r="L31" s="43">
        <v>35.313333333333333</v>
      </c>
      <c r="M31" s="43">
        <v>276.16779380321503</v>
      </c>
      <c r="N31" s="43">
        <v>0</v>
      </c>
      <c r="O31" s="43">
        <v>2970.3775000000001</v>
      </c>
      <c r="P31" s="43">
        <v>38.545217392841977</v>
      </c>
      <c r="Q31" s="43">
        <v>549.29999999999995</v>
      </c>
      <c r="R31" s="500"/>
    </row>
    <row r="32" spans="1:18" customFormat="1" x14ac:dyDescent="0.25">
      <c r="A32" s="500"/>
      <c r="B32" s="12" t="s">
        <v>10</v>
      </c>
      <c r="C32" s="530"/>
      <c r="D32" s="4"/>
      <c r="E32" s="4"/>
      <c r="F32" s="4"/>
      <c r="G32" s="257"/>
      <c r="H32" s="528">
        <v>111.73</v>
      </c>
      <c r="I32" s="43">
        <v>0</v>
      </c>
      <c r="J32" s="43">
        <v>10.454285714285714</v>
      </c>
      <c r="K32" s="43">
        <v>0</v>
      </c>
      <c r="L32" s="43">
        <v>0</v>
      </c>
      <c r="M32" s="43">
        <v>107.58397084526717</v>
      </c>
      <c r="N32" s="43">
        <v>207.84</v>
      </c>
      <c r="O32" s="43">
        <v>0</v>
      </c>
      <c r="P32" s="43">
        <v>0</v>
      </c>
      <c r="Q32" s="43">
        <v>0</v>
      </c>
      <c r="R32" s="500"/>
    </row>
    <row r="33" spans="1:21" customFormat="1" x14ac:dyDescent="0.25">
      <c r="A33" s="500"/>
      <c r="B33" s="12" t="s">
        <v>11</v>
      </c>
      <c r="C33" s="530"/>
      <c r="D33" s="4"/>
      <c r="E33" s="4"/>
      <c r="F33" s="4"/>
      <c r="G33" s="257"/>
      <c r="H33" s="528">
        <v>5207.125</v>
      </c>
      <c r="I33" s="43">
        <v>2112.395</v>
      </c>
      <c r="J33" s="43">
        <v>1471.3257142857142</v>
      </c>
      <c r="K33" s="43">
        <v>3736.5920000000001</v>
      </c>
      <c r="L33" s="43">
        <v>913.18</v>
      </c>
      <c r="M33" s="43">
        <v>168.02971203707159</v>
      </c>
      <c r="N33" s="43">
        <v>641.67999999999995</v>
      </c>
      <c r="O33" s="43">
        <v>691.3</v>
      </c>
      <c r="P33" s="43">
        <v>155.06227422952651</v>
      </c>
      <c r="Q33" s="43">
        <v>463</v>
      </c>
      <c r="R33" s="500"/>
    </row>
    <row r="34" spans="1:21" customFormat="1" x14ac:dyDescent="0.25">
      <c r="A34" s="500"/>
      <c r="B34" s="20" t="s">
        <v>12</v>
      </c>
      <c r="C34" s="530"/>
      <c r="D34" s="4"/>
      <c r="E34" s="4"/>
      <c r="F34" s="4"/>
      <c r="G34" s="257"/>
      <c r="H34" s="535">
        <v>2106.9050000000002</v>
      </c>
      <c r="I34" s="508">
        <v>1910.6724999999999</v>
      </c>
      <c r="J34" s="508">
        <v>592.42714285714283</v>
      </c>
      <c r="K34" s="508">
        <v>2049.8159999999998</v>
      </c>
      <c r="L34" s="508">
        <v>913.18</v>
      </c>
      <c r="M34" s="508">
        <v>168.02971203707159</v>
      </c>
      <c r="N34" s="508">
        <v>520.47</v>
      </c>
      <c r="O34" s="508">
        <v>691.3</v>
      </c>
      <c r="P34" s="508">
        <v>155.06227422952651</v>
      </c>
      <c r="Q34" s="508">
        <v>315.2</v>
      </c>
      <c r="R34" s="500"/>
    </row>
    <row r="35" spans="1:21" customFormat="1" x14ac:dyDescent="0.25">
      <c r="A35" s="500"/>
      <c r="B35" s="20" t="s">
        <v>13</v>
      </c>
      <c r="C35" s="530"/>
      <c r="D35" s="4"/>
      <c r="E35" s="4"/>
      <c r="F35" s="4"/>
      <c r="G35" s="257"/>
      <c r="H35" s="536">
        <v>251.47</v>
      </c>
      <c r="I35" s="509">
        <v>0</v>
      </c>
      <c r="J35" s="509">
        <v>3.9685714285714284</v>
      </c>
      <c r="K35" s="509">
        <v>0</v>
      </c>
      <c r="L35" s="509">
        <v>0</v>
      </c>
      <c r="M35" s="509">
        <v>0</v>
      </c>
      <c r="N35" s="509">
        <v>10.16</v>
      </c>
      <c r="O35" s="509">
        <v>68.727500000000006</v>
      </c>
      <c r="P35" s="509">
        <v>4.8848373949527737</v>
      </c>
      <c r="Q35" s="509">
        <v>0</v>
      </c>
      <c r="R35" s="500"/>
    </row>
    <row r="36" spans="1:21" customFormat="1" x14ac:dyDescent="0.25">
      <c r="A36" s="500"/>
      <c r="B36" s="20" t="s">
        <v>14</v>
      </c>
      <c r="C36" s="530"/>
      <c r="D36" s="4"/>
      <c r="E36" s="4"/>
      <c r="F36" s="4"/>
      <c r="G36" s="257"/>
      <c r="H36" s="536">
        <v>761.09</v>
      </c>
      <c r="I36" s="509">
        <v>474.83249999999998</v>
      </c>
      <c r="J36" s="509">
        <v>71.898571428571429</v>
      </c>
      <c r="K36" s="509">
        <v>897.66800000000001</v>
      </c>
      <c r="L36" s="509">
        <v>512.54999999999995</v>
      </c>
      <c r="M36" s="509">
        <v>0</v>
      </c>
      <c r="N36" s="509">
        <v>0</v>
      </c>
      <c r="O36" s="509">
        <v>0</v>
      </c>
      <c r="P36" s="509">
        <v>0</v>
      </c>
      <c r="Q36" s="509">
        <v>0</v>
      </c>
      <c r="R36" s="500"/>
    </row>
    <row r="37" spans="1:21" customFormat="1" x14ac:dyDescent="0.25">
      <c r="A37" s="500"/>
      <c r="B37" s="20" t="s">
        <v>15</v>
      </c>
      <c r="C37" s="530"/>
      <c r="D37" s="4"/>
      <c r="E37" s="4"/>
      <c r="F37" s="4"/>
      <c r="G37" s="257"/>
      <c r="H37" s="536">
        <v>1094.345</v>
      </c>
      <c r="I37" s="509">
        <v>1435.84</v>
      </c>
      <c r="J37" s="509">
        <v>516.55999999999995</v>
      </c>
      <c r="K37" s="509">
        <v>1152.1479999999999</v>
      </c>
      <c r="L37" s="509">
        <v>400.63</v>
      </c>
      <c r="M37" s="509">
        <v>168.02971203707159</v>
      </c>
      <c r="N37" s="509">
        <v>510.31</v>
      </c>
      <c r="O37" s="509">
        <v>622.57249999999999</v>
      </c>
      <c r="P37" s="509">
        <v>150.17743683457374</v>
      </c>
      <c r="Q37" s="509">
        <v>0</v>
      </c>
      <c r="R37" s="500"/>
      <c r="U37" s="10"/>
    </row>
    <row r="38" spans="1:21" customFormat="1" x14ac:dyDescent="0.25">
      <c r="A38" s="500"/>
      <c r="B38" s="20" t="s">
        <v>16</v>
      </c>
      <c r="C38" s="530"/>
      <c r="D38" s="4"/>
      <c r="E38" s="4"/>
      <c r="F38" s="4"/>
      <c r="G38" s="257"/>
      <c r="H38" s="535">
        <v>1254.43</v>
      </c>
      <c r="I38" s="508">
        <v>201.7225</v>
      </c>
      <c r="J38" s="508">
        <v>852.01428571428573</v>
      </c>
      <c r="K38" s="508">
        <v>1686.7760000000001</v>
      </c>
      <c r="L38" s="508">
        <v>0</v>
      </c>
      <c r="M38" s="508">
        <v>0</v>
      </c>
      <c r="N38" s="508">
        <v>0</v>
      </c>
      <c r="O38" s="508">
        <v>0</v>
      </c>
      <c r="P38" s="508">
        <v>0</v>
      </c>
      <c r="Q38" s="508">
        <v>0</v>
      </c>
      <c r="R38" s="500"/>
    </row>
    <row r="39" spans="1:21" customFormat="1" x14ac:dyDescent="0.25">
      <c r="A39" s="500"/>
      <c r="B39" s="20" t="s">
        <v>17</v>
      </c>
      <c r="C39" s="530"/>
      <c r="D39" s="4"/>
      <c r="E39" s="4"/>
      <c r="F39" s="4"/>
      <c r="G39" s="257"/>
      <c r="H39" s="536">
        <v>142.39500000000001</v>
      </c>
      <c r="I39" s="509">
        <v>0</v>
      </c>
      <c r="J39" s="509">
        <v>0</v>
      </c>
      <c r="K39" s="509">
        <v>0</v>
      </c>
      <c r="L39" s="509">
        <v>0</v>
      </c>
      <c r="M39" s="509">
        <v>0</v>
      </c>
      <c r="N39" s="509">
        <v>0</v>
      </c>
      <c r="O39" s="509">
        <v>0</v>
      </c>
      <c r="P39" s="509">
        <v>0</v>
      </c>
      <c r="Q39" s="509">
        <v>0</v>
      </c>
      <c r="R39" s="500"/>
    </row>
    <row r="40" spans="1:21" customFormat="1" x14ac:dyDescent="0.25">
      <c r="A40" s="500"/>
      <c r="B40" s="526" t="s">
        <v>18</v>
      </c>
      <c r="C40" s="538"/>
      <c r="D40" s="259"/>
      <c r="E40" s="259"/>
      <c r="F40" s="259"/>
      <c r="G40" s="260"/>
      <c r="H40" s="528">
        <v>1845.79</v>
      </c>
      <c r="I40" s="43">
        <v>0</v>
      </c>
      <c r="J40" s="43">
        <v>26.884285714285713</v>
      </c>
      <c r="K40" s="43">
        <v>0</v>
      </c>
      <c r="L40" s="43">
        <v>0</v>
      </c>
      <c r="M40" s="43">
        <v>0</v>
      </c>
      <c r="N40" s="43">
        <v>121.21</v>
      </c>
      <c r="O40" s="43">
        <v>0</v>
      </c>
      <c r="P40" s="43">
        <v>0</v>
      </c>
      <c r="Q40" s="43">
        <v>147.80000000000001</v>
      </c>
      <c r="R40" s="500"/>
    </row>
    <row r="41" spans="1:21" customFormat="1" x14ac:dyDescent="0.25">
      <c r="A41" s="500"/>
      <c r="B41" s="220"/>
      <c r="C41" s="220"/>
      <c r="D41" s="500"/>
      <c r="E41" s="500"/>
      <c r="F41" s="500"/>
      <c r="G41" s="500"/>
      <c r="H41" s="500"/>
      <c r="I41" s="500"/>
      <c r="J41" s="500"/>
      <c r="K41" s="500"/>
      <c r="L41" s="500"/>
      <c r="M41" s="500"/>
      <c r="N41" s="500"/>
      <c r="O41" s="500"/>
      <c r="P41" s="500"/>
      <c r="Q41" s="500"/>
      <c r="R41" s="500"/>
    </row>
    <row r="42" spans="1:21" customFormat="1" x14ac:dyDescent="0.25">
      <c r="A42" s="500"/>
      <c r="B42" s="14" t="s">
        <v>19</v>
      </c>
      <c r="C42" s="539"/>
      <c r="D42" s="15"/>
      <c r="E42" s="15"/>
      <c r="F42" s="15"/>
      <c r="G42" s="16"/>
      <c r="H42" s="536">
        <v>6923.5249999999996</v>
      </c>
      <c r="I42" s="509">
        <v>3580.7275</v>
      </c>
      <c r="J42" s="509">
        <v>1256.5728571428572</v>
      </c>
      <c r="K42" s="509">
        <v>0</v>
      </c>
      <c r="L42" s="509">
        <v>0</v>
      </c>
      <c r="M42" s="509">
        <v>0</v>
      </c>
      <c r="N42" s="509">
        <v>0</v>
      </c>
      <c r="O42" s="509">
        <v>0</v>
      </c>
      <c r="P42" s="509">
        <v>0</v>
      </c>
      <c r="Q42" s="509">
        <v>0</v>
      </c>
      <c r="R42" s="500"/>
    </row>
    <row r="43" spans="1:21" customFormat="1" x14ac:dyDescent="0.25">
      <c r="A43" s="500"/>
      <c r="B43" s="220"/>
      <c r="C43" s="220"/>
      <c r="D43" s="500"/>
      <c r="E43" s="500"/>
      <c r="F43" s="500"/>
      <c r="G43" s="500"/>
      <c r="H43" s="216"/>
      <c r="I43" s="216"/>
      <c r="J43" s="216"/>
      <c r="K43" s="216"/>
      <c r="L43" s="216"/>
      <c r="M43" s="216"/>
      <c r="N43" s="216"/>
      <c r="O43" s="216"/>
      <c r="P43" s="216"/>
      <c r="Q43" s="216"/>
      <c r="R43" s="500"/>
    </row>
    <row r="44" spans="1:21" customFormat="1" x14ac:dyDescent="0.25">
      <c r="A44" s="500"/>
      <c r="B44" s="14" t="s">
        <v>20</v>
      </c>
      <c r="C44" s="539"/>
      <c r="D44" s="15"/>
      <c r="E44" s="15"/>
      <c r="F44" s="15"/>
      <c r="G44" s="16"/>
      <c r="H44" s="536">
        <v>820.07</v>
      </c>
      <c r="I44" s="509">
        <v>831.68</v>
      </c>
      <c r="J44" s="509">
        <v>188.87</v>
      </c>
      <c r="K44" s="509">
        <v>135.684</v>
      </c>
      <c r="L44" s="509">
        <v>151.14333333333335</v>
      </c>
      <c r="M44" s="509">
        <v>46.059619390406006</v>
      </c>
      <c r="N44" s="509">
        <v>446.35</v>
      </c>
      <c r="O44" s="509">
        <v>687.84</v>
      </c>
      <c r="P44" s="509">
        <v>90.928441529055391</v>
      </c>
      <c r="Q44" s="509">
        <v>39.4</v>
      </c>
      <c r="R44" s="500"/>
    </row>
    <row r="45" spans="1:21" customFormat="1" x14ac:dyDescent="0.25">
      <c r="A45" s="500"/>
      <c r="B45" s="500"/>
      <c r="C45" s="500"/>
      <c r="D45" s="500"/>
      <c r="E45" s="500"/>
      <c r="F45" s="500"/>
      <c r="G45" s="500"/>
      <c r="H45" s="500"/>
      <c r="I45" s="500"/>
      <c r="J45" s="500"/>
      <c r="K45" s="500"/>
      <c r="L45" s="500"/>
      <c r="M45" s="500"/>
      <c r="N45" s="500"/>
      <c r="O45" s="500"/>
      <c r="P45" s="500"/>
      <c r="Q45" s="500"/>
      <c r="R45" s="500"/>
    </row>
    <row r="46" spans="1:21" customFormat="1" x14ac:dyDescent="0.25">
      <c r="A46" s="500"/>
      <c r="B46" s="525" t="s">
        <v>21</v>
      </c>
      <c r="C46" s="531"/>
      <c r="D46" s="532"/>
      <c r="E46" s="532"/>
      <c r="F46" s="532"/>
      <c r="G46" s="527"/>
      <c r="H46" s="528">
        <v>11143.955</v>
      </c>
      <c r="I46" s="43">
        <v>4979.7375000000002</v>
      </c>
      <c r="J46" s="43">
        <v>2089.5642857142857</v>
      </c>
      <c r="K46" s="43">
        <v>5167.62</v>
      </c>
      <c r="L46" s="43">
        <v>1858.6333333333334</v>
      </c>
      <c r="M46" s="43">
        <v>1994.5821635774523</v>
      </c>
      <c r="N46" s="43">
        <v>2291.4499999999998</v>
      </c>
      <c r="O46" s="43">
        <v>8782.56</v>
      </c>
      <c r="P46" s="43">
        <v>815.61480527462561</v>
      </c>
      <c r="Q46" s="43">
        <v>2253.6</v>
      </c>
      <c r="R46" s="500"/>
    </row>
    <row r="47" spans="1:21" customFormat="1" x14ac:dyDescent="0.25">
      <c r="A47" s="500"/>
      <c r="B47" s="220"/>
      <c r="C47" s="500"/>
      <c r="D47" s="500"/>
      <c r="E47" s="500"/>
      <c r="F47" s="500"/>
      <c r="G47" s="500"/>
      <c r="H47" s="500"/>
      <c r="I47" s="500"/>
      <c r="J47" s="500"/>
      <c r="K47" s="500"/>
      <c r="L47" s="500"/>
      <c r="M47" s="500"/>
      <c r="N47" s="500"/>
      <c r="O47" s="500"/>
      <c r="P47" s="500"/>
      <c r="Q47" s="500"/>
      <c r="R47" s="500"/>
    </row>
    <row r="48" spans="1:21" customFormat="1" x14ac:dyDescent="0.25">
      <c r="A48" s="500"/>
      <c r="B48" s="11" t="s">
        <v>22</v>
      </c>
      <c r="C48" s="2"/>
      <c r="D48" s="2"/>
      <c r="E48" s="2"/>
      <c r="F48" s="2"/>
      <c r="G48" s="3"/>
      <c r="H48" s="528">
        <v>5362.36</v>
      </c>
      <c r="I48" s="43">
        <v>2279.0275000000001</v>
      </c>
      <c r="J48" s="43">
        <v>491.74285714285713</v>
      </c>
      <c r="K48" s="43">
        <v>1641.9</v>
      </c>
      <c r="L48" s="43">
        <v>635.90666666666664</v>
      </c>
      <c r="M48" s="43">
        <v>1735.0924958392604</v>
      </c>
      <c r="N48" s="43">
        <v>1834.32</v>
      </c>
      <c r="O48" s="43">
        <v>0</v>
      </c>
      <c r="P48" s="43">
        <v>474.57610178391138</v>
      </c>
      <c r="Q48" s="43">
        <v>1456.5</v>
      </c>
      <c r="R48" s="500"/>
    </row>
    <row r="49" spans="1:18" customFormat="1" x14ac:dyDescent="0.25">
      <c r="A49" s="500"/>
      <c r="B49" s="20" t="s">
        <v>23</v>
      </c>
      <c r="C49" s="4"/>
      <c r="D49" s="4"/>
      <c r="E49" s="4"/>
      <c r="F49" s="4"/>
      <c r="G49" s="257"/>
      <c r="H49" s="528">
        <v>4738</v>
      </c>
      <c r="I49" s="43">
        <v>0</v>
      </c>
      <c r="J49" s="43">
        <v>0</v>
      </c>
      <c r="K49" s="43">
        <v>748</v>
      </c>
      <c r="L49" s="43">
        <v>86.11333333333333</v>
      </c>
      <c r="M49" s="43">
        <v>581.60884550623587</v>
      </c>
      <c r="N49" s="43">
        <v>0</v>
      </c>
      <c r="O49" s="43">
        <v>7727.2550000000001</v>
      </c>
      <c r="P49" s="43">
        <v>211.4814502954483</v>
      </c>
      <c r="Q49" s="43">
        <v>1378.6</v>
      </c>
      <c r="R49" s="500"/>
    </row>
    <row r="50" spans="1:18" customFormat="1" x14ac:dyDescent="0.25">
      <c r="A50" s="500"/>
      <c r="B50" s="20" t="s">
        <v>24</v>
      </c>
      <c r="C50" s="4"/>
      <c r="D50" s="4"/>
      <c r="E50" s="4"/>
      <c r="F50" s="4"/>
      <c r="G50" s="257"/>
      <c r="H50" s="528">
        <v>624.36</v>
      </c>
      <c r="I50" s="43">
        <v>0</v>
      </c>
      <c r="J50" s="43">
        <v>0</v>
      </c>
      <c r="K50" s="43">
        <v>0</v>
      </c>
      <c r="L50" s="43">
        <v>0</v>
      </c>
      <c r="M50" s="43">
        <v>102.97307364311069</v>
      </c>
      <c r="N50" s="43">
        <v>0</v>
      </c>
      <c r="O50" s="43">
        <v>465.38499999999999</v>
      </c>
      <c r="P50" s="43">
        <v>35.506690808137257</v>
      </c>
      <c r="Q50" s="43">
        <v>189.8</v>
      </c>
      <c r="R50" s="500"/>
    </row>
    <row r="51" spans="1:18" customFormat="1" x14ac:dyDescent="0.25">
      <c r="A51" s="500"/>
      <c r="B51" s="20" t="s">
        <v>25</v>
      </c>
      <c r="C51" s="4"/>
      <c r="D51" s="4"/>
      <c r="E51" s="4"/>
      <c r="F51" s="4"/>
      <c r="G51" s="257"/>
      <c r="H51" s="528">
        <v>1057.17</v>
      </c>
      <c r="I51" s="43">
        <v>0</v>
      </c>
      <c r="J51" s="43">
        <v>0</v>
      </c>
      <c r="K51" s="43">
        <v>896</v>
      </c>
      <c r="L51" s="43">
        <v>549.79666666666662</v>
      </c>
      <c r="M51" s="43">
        <v>1153.4836503330246</v>
      </c>
      <c r="N51" s="43">
        <v>0</v>
      </c>
      <c r="O51" s="43">
        <v>0</v>
      </c>
      <c r="P51" s="43">
        <v>263.09465148846306</v>
      </c>
      <c r="Q51" s="43">
        <v>1055.7000000000003</v>
      </c>
      <c r="R51" s="500"/>
    </row>
    <row r="52" spans="1:18" customFormat="1" x14ac:dyDescent="0.25">
      <c r="A52" s="500"/>
      <c r="B52" s="526" t="s">
        <v>26</v>
      </c>
      <c r="C52" s="259"/>
      <c r="D52" s="259"/>
      <c r="E52" s="259"/>
      <c r="F52" s="259"/>
      <c r="G52" s="260"/>
      <c r="H52" s="536">
        <v>0</v>
      </c>
      <c r="I52" s="509">
        <v>0</v>
      </c>
      <c r="J52" s="509">
        <v>0</v>
      </c>
      <c r="K52" s="509">
        <v>0</v>
      </c>
      <c r="L52" s="509">
        <v>6.82</v>
      </c>
      <c r="M52" s="509">
        <v>0</v>
      </c>
      <c r="N52" s="509">
        <v>0</v>
      </c>
      <c r="O52" s="509">
        <v>0</v>
      </c>
      <c r="P52" s="509">
        <v>0</v>
      </c>
      <c r="Q52" s="509">
        <v>633.42000000000007</v>
      </c>
      <c r="R52" s="500"/>
    </row>
    <row r="53" spans="1:18" customFormat="1" x14ac:dyDescent="0.25">
      <c r="A53" s="500"/>
      <c r="B53" s="220"/>
      <c r="C53" s="500"/>
      <c r="D53" s="500"/>
      <c r="E53" s="500"/>
      <c r="F53" s="500"/>
      <c r="G53" s="500"/>
      <c r="H53" s="500"/>
      <c r="I53" s="500"/>
      <c r="J53" s="500"/>
      <c r="K53" s="500"/>
      <c r="L53" s="500"/>
      <c r="M53" s="500"/>
      <c r="N53" s="500"/>
      <c r="O53" s="500"/>
      <c r="P53" s="500"/>
      <c r="Q53" s="500"/>
      <c r="R53" s="500"/>
    </row>
    <row r="54" spans="1:18" customFormat="1" x14ac:dyDescent="0.25">
      <c r="A54" s="500"/>
      <c r="B54" s="11" t="s">
        <v>27</v>
      </c>
      <c r="C54" s="2"/>
      <c r="D54" s="2"/>
      <c r="E54" s="2"/>
      <c r="F54" s="2"/>
      <c r="G54" s="3"/>
      <c r="H54" s="535">
        <v>2979.34</v>
      </c>
      <c r="I54" s="508">
        <v>446.71</v>
      </c>
      <c r="J54" s="508">
        <v>1313.9271428571428</v>
      </c>
      <c r="K54" s="508">
        <v>2280.2600000000002</v>
      </c>
      <c r="L54" s="508">
        <v>1033.6266666666668</v>
      </c>
      <c r="M54" s="508">
        <v>0</v>
      </c>
      <c r="N54" s="508">
        <v>0</v>
      </c>
      <c r="O54" s="508">
        <v>33.884999999999998</v>
      </c>
      <c r="P54" s="508">
        <v>3.6276760141054791</v>
      </c>
      <c r="Q54" s="508">
        <v>230.5</v>
      </c>
      <c r="R54" s="500"/>
    </row>
    <row r="55" spans="1:18" customFormat="1" x14ac:dyDescent="0.25">
      <c r="A55" s="500"/>
      <c r="B55" s="20" t="s">
        <v>28</v>
      </c>
      <c r="C55" s="4"/>
      <c r="D55" s="4"/>
      <c r="E55" s="4"/>
      <c r="F55" s="4"/>
      <c r="G55" s="257"/>
      <c r="H55" s="536">
        <v>1741.11</v>
      </c>
      <c r="I55" s="509">
        <v>163.58000000000001</v>
      </c>
      <c r="J55" s="509">
        <v>197.17571428571429</v>
      </c>
      <c r="K55" s="509">
        <v>189.876</v>
      </c>
      <c r="L55" s="509">
        <v>0</v>
      </c>
      <c r="M55" s="509">
        <v>0</v>
      </c>
      <c r="N55" s="509">
        <v>0</v>
      </c>
      <c r="O55" s="509">
        <v>0</v>
      </c>
      <c r="P55" s="509">
        <v>0</v>
      </c>
      <c r="Q55" s="509">
        <v>0</v>
      </c>
      <c r="R55" s="500"/>
    </row>
    <row r="56" spans="1:18" customFormat="1" x14ac:dyDescent="0.25">
      <c r="A56" s="500"/>
      <c r="B56" s="20" t="s">
        <v>29</v>
      </c>
      <c r="C56" s="4"/>
      <c r="D56" s="4"/>
      <c r="E56" s="4"/>
      <c r="F56" s="4"/>
      <c r="G56" s="257"/>
      <c r="H56" s="536">
        <v>0</v>
      </c>
      <c r="I56" s="509">
        <v>173.81</v>
      </c>
      <c r="J56" s="509">
        <v>72.941428571428574</v>
      </c>
      <c r="K56" s="509">
        <v>450.61200000000002</v>
      </c>
      <c r="L56" s="509">
        <v>0</v>
      </c>
      <c r="M56" s="509">
        <v>0</v>
      </c>
      <c r="N56" s="509">
        <v>0</v>
      </c>
      <c r="O56" s="509">
        <v>0</v>
      </c>
      <c r="P56" s="509">
        <v>0</v>
      </c>
      <c r="Q56" s="509">
        <v>230.5</v>
      </c>
      <c r="R56" s="500"/>
    </row>
    <row r="57" spans="1:18" customFormat="1" x14ac:dyDescent="0.25">
      <c r="A57" s="500"/>
      <c r="B57" s="20" t="s">
        <v>30</v>
      </c>
      <c r="C57" s="4"/>
      <c r="D57" s="4"/>
      <c r="E57" s="4"/>
      <c r="F57" s="4"/>
      <c r="G57" s="257"/>
      <c r="H57" s="536">
        <v>1238.23</v>
      </c>
      <c r="I57" s="509">
        <v>109.32</v>
      </c>
      <c r="J57" s="509">
        <v>824.24714285714288</v>
      </c>
      <c r="K57" s="509">
        <v>1639.7719999999999</v>
      </c>
      <c r="L57" s="509">
        <v>0</v>
      </c>
      <c r="M57" s="509">
        <v>0</v>
      </c>
      <c r="N57" s="509">
        <v>0</v>
      </c>
      <c r="O57" s="509">
        <v>0</v>
      </c>
      <c r="P57" s="509">
        <v>0</v>
      </c>
      <c r="Q57" s="509">
        <v>0</v>
      </c>
      <c r="R57" s="500"/>
    </row>
    <row r="58" spans="1:18" customFormat="1" x14ac:dyDescent="0.25">
      <c r="A58" s="500"/>
      <c r="B58" s="526" t="s">
        <v>31</v>
      </c>
      <c r="C58" s="259"/>
      <c r="D58" s="259"/>
      <c r="E58" s="259"/>
      <c r="F58" s="259"/>
      <c r="G58" s="260"/>
      <c r="H58" s="536">
        <v>0</v>
      </c>
      <c r="I58" s="509">
        <v>0</v>
      </c>
      <c r="J58" s="509">
        <v>219.56285714285715</v>
      </c>
      <c r="K58" s="509">
        <v>0</v>
      </c>
      <c r="L58" s="509">
        <v>0</v>
      </c>
      <c r="M58" s="509">
        <v>0</v>
      </c>
      <c r="N58" s="509">
        <v>0</v>
      </c>
      <c r="O58" s="509">
        <v>0</v>
      </c>
      <c r="P58" s="509">
        <v>0</v>
      </c>
      <c r="Q58" s="509">
        <v>0</v>
      </c>
      <c r="R58" s="500"/>
    </row>
    <row r="59" spans="1:18" customFormat="1" x14ac:dyDescent="0.25">
      <c r="A59" s="500"/>
      <c r="B59" s="500"/>
      <c r="C59" s="500"/>
      <c r="D59" s="500"/>
      <c r="E59" s="500"/>
      <c r="F59" s="500"/>
      <c r="G59" s="500"/>
      <c r="H59" s="500"/>
      <c r="I59" s="500"/>
      <c r="J59" s="500"/>
      <c r="K59" s="500"/>
      <c r="L59" s="500"/>
      <c r="M59" s="500"/>
      <c r="N59" s="500"/>
      <c r="O59" s="500"/>
      <c r="P59" s="500"/>
      <c r="Q59" s="500"/>
      <c r="R59" s="500"/>
    </row>
    <row r="60" spans="1:18" customFormat="1" x14ac:dyDescent="0.25">
      <c r="A60" s="500"/>
      <c r="B60" s="11" t="s">
        <v>32</v>
      </c>
      <c r="C60" s="2"/>
      <c r="D60" s="2"/>
      <c r="E60" s="2"/>
      <c r="F60" s="2"/>
      <c r="G60" s="3"/>
      <c r="H60" s="536">
        <v>1171.4849999999999</v>
      </c>
      <c r="I60" s="509">
        <v>1096.3025</v>
      </c>
      <c r="J60" s="509">
        <v>187.65714285714284</v>
      </c>
      <c r="K60" s="509">
        <v>525.40800000000002</v>
      </c>
      <c r="L60" s="509">
        <v>189.1</v>
      </c>
      <c r="M60" s="509">
        <v>240.99236556799008</v>
      </c>
      <c r="N60" s="509">
        <v>262.72000000000003</v>
      </c>
      <c r="O60" s="509">
        <v>0</v>
      </c>
      <c r="P60" s="509">
        <v>307.5</v>
      </c>
      <c r="Q60" s="509">
        <v>195.7</v>
      </c>
      <c r="R60" s="500"/>
    </row>
    <row r="61" spans="1:18" customFormat="1" x14ac:dyDescent="0.25">
      <c r="A61" s="500"/>
      <c r="B61" s="258" t="s">
        <v>33</v>
      </c>
      <c r="C61" s="259"/>
      <c r="D61" s="259"/>
      <c r="E61" s="259"/>
      <c r="F61" s="259"/>
      <c r="G61" s="260"/>
      <c r="H61" s="536">
        <v>1667.5799999999995</v>
      </c>
      <c r="I61" s="509">
        <v>1157.5975000000005</v>
      </c>
      <c r="J61" s="509">
        <v>96.237142857142857</v>
      </c>
      <c r="K61" s="509">
        <v>750.53200000000049</v>
      </c>
      <c r="L61" s="509">
        <v>-2.2737367544323206E-13</v>
      </c>
      <c r="M61" s="509">
        <v>18.497365818077924</v>
      </c>
      <c r="N61" s="509">
        <v>235.67000000000021</v>
      </c>
      <c r="O61" s="509">
        <v>8738.4850000000006</v>
      </c>
      <c r="P61" s="509">
        <v>29.910934697171047</v>
      </c>
      <c r="Q61" s="509">
        <v>370.80000000000007</v>
      </c>
      <c r="R61" s="500"/>
    </row>
    <row r="62" spans="1:18" customFormat="1" x14ac:dyDescent="0.25">
      <c r="A62" s="500"/>
      <c r="B62" s="500"/>
      <c r="C62" s="500"/>
      <c r="D62" s="500"/>
      <c r="E62" s="500"/>
      <c r="F62" s="500"/>
      <c r="G62" s="500"/>
      <c r="H62" s="500"/>
      <c r="I62" s="500"/>
      <c r="J62" s="500"/>
      <c r="K62" s="500"/>
      <c r="L62" s="500"/>
      <c r="M62" s="500"/>
      <c r="N62" s="500"/>
      <c r="O62" s="500"/>
      <c r="P62" s="500"/>
      <c r="Q62" s="500"/>
      <c r="R62" s="500"/>
    </row>
    <row r="63" spans="1:18" customFormat="1" x14ac:dyDescent="0.25">
      <c r="A63" s="500"/>
      <c r="B63" s="14" t="s">
        <v>34</v>
      </c>
      <c r="C63" s="15"/>
      <c r="D63" s="15"/>
      <c r="E63" s="15"/>
      <c r="F63" s="15"/>
      <c r="G63" s="16"/>
      <c r="H63" s="536"/>
      <c r="I63" s="509"/>
      <c r="J63" s="509"/>
      <c r="K63" s="509"/>
      <c r="L63" s="509"/>
      <c r="M63" s="509"/>
      <c r="N63" s="509"/>
      <c r="O63" s="509"/>
      <c r="P63" s="509"/>
      <c r="Q63" s="509"/>
      <c r="R63" s="500"/>
    </row>
    <row r="64" spans="1:18" customFormat="1" x14ac:dyDescent="0.25">
      <c r="A64" s="500"/>
      <c r="B64" s="500"/>
      <c r="C64" s="500"/>
      <c r="D64" s="500"/>
      <c r="E64" s="500"/>
      <c r="F64" s="500"/>
      <c r="G64" s="500"/>
      <c r="H64" s="500"/>
      <c r="I64" s="500"/>
      <c r="J64" s="500"/>
      <c r="K64" s="500"/>
      <c r="L64" s="500"/>
      <c r="M64" s="500"/>
      <c r="N64" s="500"/>
      <c r="O64" s="500"/>
      <c r="P64" s="500"/>
      <c r="Q64" s="500"/>
      <c r="R64" s="500"/>
    </row>
    <row r="65" spans="1:18" customFormat="1" x14ac:dyDescent="0.25">
      <c r="A65" s="500"/>
      <c r="B65" s="525" t="s">
        <v>36</v>
      </c>
      <c r="C65" s="531"/>
      <c r="D65" s="532"/>
      <c r="E65" s="532"/>
      <c r="F65" s="532"/>
      <c r="G65" s="527"/>
      <c r="H65" s="528">
        <v>641.495</v>
      </c>
      <c r="I65" s="43">
        <v>578.61</v>
      </c>
      <c r="J65" s="43">
        <v>54.241428571428571</v>
      </c>
      <c r="K65" s="43">
        <v>164.05199999999999</v>
      </c>
      <c r="L65" s="43">
        <v>168.94333333333333</v>
      </c>
      <c r="M65" s="43">
        <v>298.26681729947546</v>
      </c>
      <c r="N65" s="43">
        <v>253.73</v>
      </c>
      <c r="O65" s="43">
        <v>558.70249999999999</v>
      </c>
      <c r="P65" s="43">
        <v>61.995220271746319</v>
      </c>
      <c r="Q65" s="43">
        <v>322.60000000000002</v>
      </c>
      <c r="R65" s="500"/>
    </row>
    <row r="66" spans="1:18" customFormat="1" x14ac:dyDescent="0.25">
      <c r="A66" s="500"/>
      <c r="B66" s="500"/>
      <c r="C66" s="500"/>
      <c r="D66" s="500"/>
      <c r="E66" s="500"/>
      <c r="F66" s="500"/>
      <c r="G66" s="500"/>
      <c r="H66" s="500"/>
      <c r="I66" s="500"/>
      <c r="J66" s="500"/>
      <c r="K66" s="500"/>
      <c r="L66" s="500"/>
      <c r="M66" s="500"/>
      <c r="N66" s="500"/>
      <c r="O66" s="500"/>
      <c r="P66" s="500"/>
      <c r="Q66" s="500"/>
      <c r="R66" s="500"/>
    </row>
    <row r="67" spans="1:18" customFormat="1" x14ac:dyDescent="0.25">
      <c r="A67" s="500"/>
      <c r="B67" s="11" t="s">
        <v>37</v>
      </c>
      <c r="C67" s="2"/>
      <c r="D67" s="2"/>
      <c r="E67" s="2"/>
      <c r="F67" s="2"/>
      <c r="G67" s="3"/>
      <c r="H67" s="535">
        <v>85.59</v>
      </c>
      <c r="I67" s="508">
        <v>414.85500000000002</v>
      </c>
      <c r="J67" s="508">
        <v>23.387142857142859</v>
      </c>
      <c r="K67" s="508">
        <v>0</v>
      </c>
      <c r="L67" s="508">
        <v>0</v>
      </c>
      <c r="M67" s="508">
        <v>151.93557974090996</v>
      </c>
      <c r="N67" s="508">
        <v>0</v>
      </c>
      <c r="O67" s="508">
        <v>399.6875</v>
      </c>
      <c r="P67" s="508">
        <v>60.464359549681348</v>
      </c>
      <c r="Q67" s="508">
        <v>43.8</v>
      </c>
      <c r="R67" s="500"/>
    </row>
    <row r="68" spans="1:18" customFormat="1" x14ac:dyDescent="0.25">
      <c r="A68" s="500"/>
      <c r="B68" s="12" t="s">
        <v>38</v>
      </c>
      <c r="C68" s="4"/>
      <c r="D68" s="4"/>
      <c r="E68" s="4"/>
      <c r="F68" s="4"/>
      <c r="G68" s="257"/>
      <c r="H68" s="535">
        <v>434.06</v>
      </c>
      <c r="I68" s="508">
        <v>178.08250000000001</v>
      </c>
      <c r="J68" s="508">
        <v>34.365714285714283</v>
      </c>
      <c r="K68" s="508">
        <v>0</v>
      </c>
      <c r="L68" s="508">
        <v>0</v>
      </c>
      <c r="M68" s="508">
        <v>132.07104461155831</v>
      </c>
      <c r="N68" s="508">
        <v>0</v>
      </c>
      <c r="O68" s="508">
        <v>118.72750000000001</v>
      </c>
      <c r="P68" s="508">
        <v>0</v>
      </c>
      <c r="Q68" s="508">
        <v>241</v>
      </c>
      <c r="R68" s="500"/>
    </row>
    <row r="69" spans="1:18" customFormat="1" x14ac:dyDescent="0.25">
      <c r="A69" s="500"/>
      <c r="B69" s="12" t="s">
        <v>39</v>
      </c>
      <c r="C69" s="4"/>
      <c r="D69" s="4"/>
      <c r="E69" s="4"/>
      <c r="F69" s="4"/>
      <c r="G69" s="257"/>
      <c r="H69" s="535">
        <v>111.18</v>
      </c>
      <c r="I69" s="508">
        <v>0</v>
      </c>
      <c r="J69" s="508">
        <v>0</v>
      </c>
      <c r="K69" s="508">
        <v>0</v>
      </c>
      <c r="L69" s="508">
        <v>0</v>
      </c>
      <c r="M69" s="508">
        <v>0</v>
      </c>
      <c r="N69" s="508">
        <v>0</v>
      </c>
      <c r="O69" s="508">
        <v>0</v>
      </c>
      <c r="P69" s="508">
        <v>0</v>
      </c>
      <c r="Q69" s="508">
        <v>30.4</v>
      </c>
      <c r="R69" s="500"/>
    </row>
    <row r="70" spans="1:18" customFormat="1" x14ac:dyDescent="0.25">
      <c r="A70" s="500"/>
      <c r="B70" s="12" t="s">
        <v>40</v>
      </c>
      <c r="C70" s="4"/>
      <c r="D70" s="4"/>
      <c r="E70" s="4"/>
      <c r="F70" s="4"/>
      <c r="G70" s="257"/>
      <c r="H70" s="536"/>
      <c r="I70" s="509"/>
      <c r="J70" s="509"/>
      <c r="K70" s="509"/>
      <c r="L70" s="509"/>
      <c r="M70" s="509"/>
      <c r="N70" s="509"/>
      <c r="O70" s="509"/>
      <c r="P70" s="509"/>
      <c r="Q70" s="509"/>
      <c r="R70" s="500"/>
    </row>
    <row r="71" spans="1:18" customFormat="1" x14ac:dyDescent="0.25">
      <c r="A71" s="500"/>
      <c r="B71" s="258" t="s">
        <v>41</v>
      </c>
      <c r="C71" s="259"/>
      <c r="D71" s="259"/>
      <c r="E71" s="259"/>
      <c r="F71" s="259"/>
      <c r="G71" s="260"/>
      <c r="H71" s="536"/>
      <c r="I71" s="509"/>
      <c r="J71" s="509"/>
      <c r="K71" s="509"/>
      <c r="L71" s="509"/>
      <c r="M71" s="509"/>
      <c r="N71" s="509"/>
      <c r="O71" s="509"/>
      <c r="P71" s="509"/>
      <c r="Q71" s="509"/>
      <c r="R71" s="500"/>
    </row>
    <row r="72" spans="1:18" x14ac:dyDescent="0.25">
      <c r="B72" s="500"/>
      <c r="C72" s="500"/>
      <c r="D72" s="500"/>
      <c r="E72" s="500"/>
      <c r="F72" s="500"/>
      <c r="G72" s="500"/>
      <c r="H72" s="500"/>
      <c r="I72" s="500"/>
      <c r="J72" s="500"/>
      <c r="K72" s="500"/>
      <c r="L72" s="500"/>
      <c r="M72" s="500"/>
      <c r="N72" s="500"/>
      <c r="O72" s="500"/>
      <c r="P72" s="500"/>
      <c r="Q72" s="500"/>
    </row>
    <row r="73" spans="1:18" s="500" customFormat="1" ht="18.75" x14ac:dyDescent="0.3">
      <c r="B73" s="221" t="s">
        <v>42</v>
      </c>
      <c r="C73" s="220"/>
    </row>
    <row r="74" spans="1:18" s="500" customFormat="1" ht="18.75" x14ac:dyDescent="0.3">
      <c r="B74" s="221"/>
      <c r="C74" s="220"/>
    </row>
    <row r="75" spans="1:18" customFormat="1" x14ac:dyDescent="0.25">
      <c r="A75" s="500"/>
      <c r="B75" s="11" t="s">
        <v>43</v>
      </c>
      <c r="C75" s="2"/>
      <c r="D75" s="2"/>
      <c r="E75" s="2"/>
      <c r="F75" s="2"/>
      <c r="G75" s="3"/>
      <c r="H75" s="528">
        <v>354</v>
      </c>
      <c r="I75" s="43">
        <v>180</v>
      </c>
      <c r="J75" s="43">
        <v>17.798571428571428</v>
      </c>
      <c r="K75" s="43">
        <v>25.783999999999999</v>
      </c>
      <c r="L75" s="43">
        <v>50</v>
      </c>
      <c r="M75" s="43">
        <v>128.48940504129976</v>
      </c>
      <c r="N75" s="43">
        <v>44.55</v>
      </c>
      <c r="O75" s="43">
        <v>11.95</v>
      </c>
      <c r="P75" s="43">
        <v>45</v>
      </c>
      <c r="Q75" s="43">
        <v>54.1</v>
      </c>
      <c r="R75" s="500"/>
    </row>
    <row r="76" spans="1:18" customFormat="1" x14ac:dyDescent="0.25">
      <c r="A76" s="500"/>
      <c r="B76" s="20" t="s">
        <v>44</v>
      </c>
      <c r="C76" s="4"/>
      <c r="D76" s="4"/>
      <c r="E76" s="4"/>
      <c r="F76" s="4"/>
      <c r="G76" s="257"/>
      <c r="H76" s="535">
        <v>510.48</v>
      </c>
      <c r="I76" s="508">
        <v>300</v>
      </c>
      <c r="J76" s="508">
        <v>38.504285714285714</v>
      </c>
      <c r="K76" s="508">
        <v>0</v>
      </c>
      <c r="L76" s="508">
        <v>0</v>
      </c>
      <c r="M76" s="508">
        <v>0</v>
      </c>
      <c r="N76" s="508">
        <v>0</v>
      </c>
      <c r="O76" s="508">
        <v>0</v>
      </c>
      <c r="P76" s="508">
        <v>65</v>
      </c>
      <c r="Q76" s="508">
        <v>130.9</v>
      </c>
      <c r="R76" s="500"/>
    </row>
    <row r="77" spans="1:18" customFormat="1" x14ac:dyDescent="0.25">
      <c r="A77" s="500"/>
      <c r="B77" s="20" t="s">
        <v>45</v>
      </c>
      <c r="C77" s="4"/>
      <c r="D77" s="4"/>
      <c r="E77" s="4"/>
      <c r="F77" s="4"/>
      <c r="G77" s="257"/>
      <c r="H77" s="535">
        <v>106.83</v>
      </c>
      <c r="I77" s="508">
        <v>120</v>
      </c>
      <c r="J77" s="508">
        <v>20.705714285714286</v>
      </c>
      <c r="K77" s="508">
        <v>0</v>
      </c>
      <c r="L77" s="508">
        <v>0</v>
      </c>
      <c r="M77" s="508">
        <v>0</v>
      </c>
      <c r="N77" s="508">
        <v>0</v>
      </c>
      <c r="O77" s="508">
        <v>0</v>
      </c>
      <c r="P77" s="508">
        <v>20</v>
      </c>
      <c r="Q77" s="508">
        <v>76.8</v>
      </c>
      <c r="R77" s="500"/>
    </row>
    <row r="78" spans="1:18" customFormat="1" x14ac:dyDescent="0.25">
      <c r="A78" s="500"/>
      <c r="B78" s="12" t="s">
        <v>46</v>
      </c>
      <c r="C78" s="4"/>
      <c r="D78" s="4"/>
      <c r="E78" s="4"/>
      <c r="F78" s="4"/>
      <c r="G78" s="257"/>
      <c r="H78" s="528">
        <v>88.32</v>
      </c>
      <c r="I78" s="43">
        <v>100</v>
      </c>
      <c r="J78" s="43">
        <v>12.73</v>
      </c>
      <c r="K78" s="43">
        <v>70.847999999999999</v>
      </c>
      <c r="L78" s="43">
        <v>0</v>
      </c>
      <c r="M78" s="43">
        <v>29.337246138826014</v>
      </c>
      <c r="N78" s="43">
        <v>13.94</v>
      </c>
      <c r="O78" s="43">
        <v>5</v>
      </c>
      <c r="P78" s="43">
        <v>7.7146102448304497</v>
      </c>
      <c r="Q78" s="43">
        <v>39</v>
      </c>
      <c r="R78" s="500"/>
    </row>
    <row r="79" spans="1:18" customFormat="1" x14ac:dyDescent="0.25">
      <c r="A79" s="500"/>
      <c r="B79" s="20" t="s">
        <v>47</v>
      </c>
      <c r="C79" s="4"/>
      <c r="D79" s="4"/>
      <c r="E79" s="4"/>
      <c r="F79" s="4"/>
      <c r="G79" s="257"/>
      <c r="H79" s="536">
        <v>107.015</v>
      </c>
      <c r="I79" s="509">
        <v>130</v>
      </c>
      <c r="J79" s="509">
        <v>0</v>
      </c>
      <c r="K79" s="509">
        <v>0</v>
      </c>
      <c r="L79" s="509">
        <v>0</v>
      </c>
      <c r="M79" s="509">
        <v>0</v>
      </c>
      <c r="N79" s="509">
        <v>0</v>
      </c>
      <c r="O79" s="509">
        <v>4</v>
      </c>
      <c r="P79" s="509">
        <v>0</v>
      </c>
      <c r="Q79" s="509">
        <v>57.8</v>
      </c>
      <c r="R79" s="500"/>
    </row>
    <row r="80" spans="1:18" customFormat="1" x14ac:dyDescent="0.25">
      <c r="A80" s="500"/>
      <c r="B80" s="20" t="s">
        <v>48</v>
      </c>
      <c r="C80" s="4"/>
      <c r="D80" s="4"/>
      <c r="E80" s="4"/>
      <c r="F80" s="4"/>
      <c r="G80" s="257"/>
      <c r="H80" s="536">
        <v>18.695</v>
      </c>
      <c r="I80" s="509">
        <v>30</v>
      </c>
      <c r="J80" s="509">
        <v>0</v>
      </c>
      <c r="K80" s="509">
        <v>0</v>
      </c>
      <c r="L80" s="509">
        <v>0</v>
      </c>
      <c r="M80" s="509">
        <v>0</v>
      </c>
      <c r="N80" s="509">
        <v>0</v>
      </c>
      <c r="O80" s="509">
        <v>1</v>
      </c>
      <c r="P80" s="509">
        <v>0</v>
      </c>
      <c r="Q80" s="509">
        <v>18.8</v>
      </c>
      <c r="R80" s="500"/>
    </row>
    <row r="81" spans="1:18" customFormat="1" x14ac:dyDescent="0.25">
      <c r="A81" s="500"/>
      <c r="B81" s="12" t="s">
        <v>49</v>
      </c>
      <c r="C81" s="4"/>
      <c r="D81" s="4"/>
      <c r="E81" s="4"/>
      <c r="F81" s="4"/>
      <c r="G81" s="257"/>
      <c r="H81" s="535">
        <v>31.66</v>
      </c>
      <c r="I81" s="508">
        <v>0</v>
      </c>
      <c r="J81" s="508">
        <v>9.6642857142857146</v>
      </c>
      <c r="K81" s="508">
        <v>-1.296</v>
      </c>
      <c r="L81" s="508">
        <v>0</v>
      </c>
      <c r="M81" s="508">
        <v>-1.0779295371100306</v>
      </c>
      <c r="N81" s="508">
        <v>0</v>
      </c>
      <c r="O81" s="508">
        <v>0</v>
      </c>
      <c r="P81" s="508">
        <v>-2.9689420064290366</v>
      </c>
      <c r="Q81" s="508">
        <v>2.9</v>
      </c>
      <c r="R81" s="500"/>
    </row>
    <row r="82" spans="1:18" customFormat="1" x14ac:dyDescent="0.25">
      <c r="A82" s="500"/>
      <c r="B82" s="20" t="s">
        <v>50</v>
      </c>
      <c r="C82" s="4"/>
      <c r="D82" s="4"/>
      <c r="E82" s="4"/>
      <c r="F82" s="4"/>
      <c r="G82" s="257"/>
      <c r="H82" s="536">
        <v>49.314999999999998</v>
      </c>
      <c r="I82" s="509">
        <v>0</v>
      </c>
      <c r="J82" s="509">
        <v>0</v>
      </c>
      <c r="K82" s="509">
        <v>0</v>
      </c>
      <c r="L82" s="509">
        <v>0</v>
      </c>
      <c r="M82" s="509">
        <v>0</v>
      </c>
      <c r="N82" s="509">
        <v>0</v>
      </c>
      <c r="O82" s="509">
        <v>0</v>
      </c>
      <c r="P82" s="509">
        <v>0</v>
      </c>
      <c r="Q82" s="509">
        <v>0</v>
      </c>
      <c r="R82" s="500"/>
    </row>
    <row r="83" spans="1:18" customFormat="1" x14ac:dyDescent="0.25">
      <c r="A83" s="500"/>
      <c r="B83" s="20" t="s">
        <v>51</v>
      </c>
      <c r="C83" s="4"/>
      <c r="D83" s="4"/>
      <c r="E83" s="4"/>
      <c r="F83" s="4"/>
      <c r="G83" s="257"/>
      <c r="H83" s="536">
        <v>17.655000000000001</v>
      </c>
      <c r="I83" s="509">
        <v>0</v>
      </c>
      <c r="J83" s="509">
        <v>0</v>
      </c>
      <c r="K83" s="509">
        <v>0</v>
      </c>
      <c r="L83" s="509">
        <v>0</v>
      </c>
      <c r="M83" s="509">
        <v>0</v>
      </c>
      <c r="N83" s="509">
        <v>0</v>
      </c>
      <c r="O83" s="509">
        <v>0</v>
      </c>
      <c r="P83" s="509">
        <v>0</v>
      </c>
      <c r="Q83" s="509">
        <v>0</v>
      </c>
      <c r="R83" s="500"/>
    </row>
    <row r="84" spans="1:18" customFormat="1" x14ac:dyDescent="0.25">
      <c r="A84" s="500"/>
      <c r="B84" s="258" t="s">
        <v>52</v>
      </c>
      <c r="C84" s="259"/>
      <c r="D84" s="259"/>
      <c r="E84" s="259"/>
      <c r="F84" s="259"/>
      <c r="G84" s="260"/>
      <c r="H84" s="536">
        <v>7.2750000000000004</v>
      </c>
      <c r="I84" s="509">
        <v>19</v>
      </c>
      <c r="J84" s="509">
        <v>-0.26142857142857145</v>
      </c>
      <c r="K84" s="509">
        <v>2.3959999999999999</v>
      </c>
      <c r="L84" s="509">
        <v>0</v>
      </c>
      <c r="M84" s="509">
        <v>-0.9458687033876777</v>
      </c>
      <c r="N84" s="509">
        <v>7.54</v>
      </c>
      <c r="O84" s="509">
        <v>4.3274999999999997</v>
      </c>
      <c r="P84" s="509">
        <v>4.7827800134817755</v>
      </c>
      <c r="Q84" s="509">
        <v>35.9</v>
      </c>
      <c r="R84" s="500"/>
    </row>
    <row r="85" spans="1:18" customFormat="1" x14ac:dyDescent="0.25">
      <c r="A85" s="500"/>
      <c r="B85" s="500"/>
      <c r="C85" s="500"/>
      <c r="D85" s="500"/>
      <c r="E85" s="500"/>
      <c r="F85" s="500"/>
      <c r="G85" s="500"/>
      <c r="H85" s="500"/>
      <c r="I85" s="500"/>
      <c r="J85" s="500"/>
      <c r="K85" s="500"/>
      <c r="L85" s="500"/>
      <c r="M85" s="500"/>
      <c r="N85" s="500"/>
      <c r="O85" s="500"/>
      <c r="P85" s="500"/>
      <c r="Q85" s="500"/>
      <c r="R85" s="500"/>
    </row>
    <row r="86" spans="1:18" customFormat="1" x14ac:dyDescent="0.25">
      <c r="A86" s="500"/>
      <c r="B86" s="11" t="s">
        <v>53</v>
      </c>
      <c r="C86" s="2"/>
      <c r="D86" s="2"/>
      <c r="E86" s="2"/>
      <c r="F86" s="2"/>
      <c r="G86" s="3"/>
      <c r="H86" s="528">
        <v>481</v>
      </c>
      <c r="I86" s="43">
        <v>299.10750000000002</v>
      </c>
      <c r="J86" s="43">
        <v>39.931428571428569</v>
      </c>
      <c r="K86" s="43">
        <v>97.731999999999999</v>
      </c>
      <c r="L86" s="43">
        <v>50</v>
      </c>
      <c r="M86" s="43">
        <v>155.80285293962805</v>
      </c>
      <c r="N86" s="43">
        <v>66.03</v>
      </c>
      <c r="O86" s="43">
        <v>20</v>
      </c>
      <c r="P86" s="43">
        <v>55</v>
      </c>
      <c r="Q86" s="43">
        <v>131.9</v>
      </c>
      <c r="R86" s="500"/>
    </row>
    <row r="87" spans="1:18" customFormat="1" x14ac:dyDescent="0.25">
      <c r="A87" s="500"/>
      <c r="B87" s="258" t="s">
        <v>54</v>
      </c>
      <c r="C87" s="259"/>
      <c r="D87" s="259"/>
      <c r="E87" s="259"/>
      <c r="F87" s="259"/>
      <c r="G87" s="260"/>
      <c r="H87" s="528">
        <v>171.97499999999999</v>
      </c>
      <c r="I87" s="43">
        <v>166.7825</v>
      </c>
      <c r="J87" s="43">
        <v>28.742857142857144</v>
      </c>
      <c r="K87" s="43">
        <v>100.648</v>
      </c>
      <c r="L87" s="43">
        <v>22</v>
      </c>
      <c r="M87" s="43">
        <v>78.488722780607617</v>
      </c>
      <c r="N87" s="43">
        <v>26.04</v>
      </c>
      <c r="O87" s="43">
        <v>9.3825000000000003</v>
      </c>
      <c r="P87" s="43">
        <v>19.989329852660497</v>
      </c>
      <c r="Q87" s="43">
        <v>48.2</v>
      </c>
      <c r="R87" s="500"/>
    </row>
    <row r="88" spans="1:18" customFormat="1" x14ac:dyDescent="0.25">
      <c r="A88" s="500"/>
      <c r="B88" s="583"/>
      <c r="C88" s="583"/>
      <c r="D88" s="583"/>
      <c r="E88" s="583"/>
      <c r="F88" s="583"/>
      <c r="G88" s="583"/>
      <c r="H88" s="583"/>
      <c r="I88" s="583"/>
      <c r="J88" s="583"/>
      <c r="K88" s="583"/>
      <c r="L88" s="583"/>
      <c r="M88" s="583"/>
      <c r="N88" s="583"/>
      <c r="O88" s="583"/>
      <c r="P88" s="583"/>
      <c r="Q88" s="583"/>
      <c r="R88" s="500"/>
    </row>
    <row r="89" spans="1:18" customFormat="1" x14ac:dyDescent="0.25">
      <c r="A89" s="500"/>
      <c r="B89" s="11" t="s">
        <v>55</v>
      </c>
      <c r="C89" s="2"/>
      <c r="D89" s="2"/>
      <c r="E89" s="2"/>
      <c r="F89" s="2"/>
      <c r="G89" s="3"/>
      <c r="H89" s="528">
        <v>132.44</v>
      </c>
      <c r="I89" s="43">
        <v>81</v>
      </c>
      <c r="J89" s="43">
        <v>4.0528571428571425</v>
      </c>
      <c r="K89" s="43">
        <v>7.3280000000000003</v>
      </c>
      <c r="L89" s="43">
        <v>11</v>
      </c>
      <c r="M89" s="43">
        <v>33.315068210251624</v>
      </c>
      <c r="N89" s="43">
        <v>15.29</v>
      </c>
      <c r="O89" s="43">
        <v>4.7074999999999996</v>
      </c>
      <c r="P89" s="43">
        <v>6.1373598039150234</v>
      </c>
      <c r="Q89" s="43">
        <v>57.6</v>
      </c>
      <c r="R89" s="500"/>
    </row>
    <row r="90" spans="1:18" customFormat="1" x14ac:dyDescent="0.25">
      <c r="A90" s="500"/>
      <c r="B90" s="20" t="s">
        <v>56</v>
      </c>
      <c r="C90" s="4"/>
      <c r="D90" s="4"/>
      <c r="E90" s="4"/>
      <c r="F90" s="4"/>
      <c r="G90" s="257"/>
      <c r="H90" s="528">
        <v>132.44</v>
      </c>
      <c r="I90" s="43">
        <v>81</v>
      </c>
      <c r="J90" s="43">
        <v>3.7571428571428571</v>
      </c>
      <c r="K90" s="43">
        <v>7.3280000000000003</v>
      </c>
      <c r="L90" s="43">
        <v>10.743333333333334</v>
      </c>
      <c r="M90" s="43">
        <v>33.315068210251624</v>
      </c>
      <c r="N90" s="43">
        <v>15.29</v>
      </c>
      <c r="O90" s="43">
        <v>4.7074999999999996</v>
      </c>
      <c r="P90" s="43">
        <v>6.1373598039150234</v>
      </c>
      <c r="Q90" s="43">
        <v>57.6</v>
      </c>
      <c r="R90" s="500"/>
    </row>
    <row r="91" spans="1:18" customFormat="1" x14ac:dyDescent="0.25">
      <c r="A91" s="500"/>
      <c r="B91" s="12" t="s">
        <v>57</v>
      </c>
      <c r="C91" s="4"/>
      <c r="D91" s="4"/>
      <c r="E91" s="4"/>
      <c r="F91" s="4"/>
      <c r="G91" s="257"/>
      <c r="H91" s="528">
        <v>176.58499999999998</v>
      </c>
      <c r="I91" s="43">
        <v>51</v>
      </c>
      <c r="J91" s="43">
        <v>7.1357142857142826</v>
      </c>
      <c r="K91" s="43">
        <v>-10.243999999999996</v>
      </c>
      <c r="L91" s="43">
        <v>17.100000000000001</v>
      </c>
      <c r="M91" s="43">
        <v>43.999061948768812</v>
      </c>
      <c r="N91" s="43">
        <v>24.700000000000003</v>
      </c>
      <c r="O91" s="43">
        <v>6</v>
      </c>
      <c r="P91" s="43">
        <v>29</v>
      </c>
      <c r="Q91" s="43">
        <v>26.1</v>
      </c>
      <c r="R91" s="500"/>
    </row>
    <row r="92" spans="1:18" customFormat="1" x14ac:dyDescent="0.25">
      <c r="A92" s="500"/>
      <c r="B92" s="12" t="s">
        <v>58</v>
      </c>
      <c r="C92" s="4"/>
      <c r="D92" s="4"/>
      <c r="E92" s="4"/>
      <c r="F92" s="4"/>
      <c r="G92" s="257"/>
      <c r="H92" s="535"/>
      <c r="I92" s="508"/>
      <c r="J92" s="508"/>
      <c r="K92" s="508"/>
      <c r="L92" s="508"/>
      <c r="M92" s="508"/>
      <c r="N92" s="508"/>
      <c r="O92" s="508"/>
      <c r="P92" s="508"/>
      <c r="Q92" s="508"/>
      <c r="R92" s="500"/>
    </row>
    <row r="93" spans="1:18" customFormat="1" x14ac:dyDescent="0.25">
      <c r="A93" s="500"/>
      <c r="B93" s="258" t="s">
        <v>59</v>
      </c>
      <c r="C93" s="259"/>
      <c r="D93" s="259"/>
      <c r="E93" s="259"/>
      <c r="F93" s="259"/>
      <c r="G93" s="260"/>
      <c r="H93" s="535"/>
      <c r="I93" s="508"/>
      <c r="J93" s="508"/>
      <c r="K93" s="508"/>
      <c r="L93" s="508"/>
      <c r="M93" s="508"/>
      <c r="N93" s="508"/>
      <c r="O93" s="508"/>
      <c r="P93" s="508"/>
      <c r="Q93" s="508"/>
      <c r="R93" s="500"/>
    </row>
    <row r="94" spans="1:18" s="583" customFormat="1" x14ac:dyDescent="0.25"/>
    <row r="95" spans="1:18" customFormat="1" x14ac:dyDescent="0.25">
      <c r="A95" s="500"/>
      <c r="B95" s="11" t="s">
        <v>60</v>
      </c>
      <c r="C95" s="2"/>
      <c r="D95" s="2"/>
      <c r="E95" s="2"/>
      <c r="F95" s="2"/>
      <c r="G95" s="3"/>
      <c r="H95" s="528">
        <v>176.58499999999998</v>
      </c>
      <c r="I95" s="43">
        <v>51</v>
      </c>
      <c r="J95" s="43">
        <v>7.4314285714285715</v>
      </c>
      <c r="K95" s="43">
        <v>-10.244</v>
      </c>
      <c r="L95" s="43">
        <v>17.236666666666668</v>
      </c>
      <c r="M95" s="43">
        <v>43.999061948768812</v>
      </c>
      <c r="N95" s="43">
        <v>24.7</v>
      </c>
      <c r="O95" s="43">
        <v>6</v>
      </c>
      <c r="P95" s="43">
        <v>29</v>
      </c>
      <c r="Q95" s="43">
        <v>26.1</v>
      </c>
      <c r="R95" s="500"/>
    </row>
    <row r="96" spans="1:18" customFormat="1" x14ac:dyDescent="0.25">
      <c r="A96" s="500"/>
      <c r="B96" s="12" t="s">
        <v>61</v>
      </c>
      <c r="C96" s="4"/>
      <c r="D96" s="4"/>
      <c r="E96" s="4"/>
      <c r="F96" s="4"/>
      <c r="G96" s="257"/>
      <c r="H96" s="528">
        <v>46</v>
      </c>
      <c r="I96" s="43">
        <v>-4.79</v>
      </c>
      <c r="J96" s="43">
        <v>0.34857142857142859</v>
      </c>
      <c r="K96" s="43">
        <v>-1.772</v>
      </c>
      <c r="L96" s="43">
        <v>6</v>
      </c>
      <c r="M96" s="43">
        <v>10.951178672723472</v>
      </c>
      <c r="N96" s="43">
        <v>0</v>
      </c>
      <c r="O96" s="43">
        <v>0</v>
      </c>
      <c r="P96" s="43">
        <v>10</v>
      </c>
      <c r="Q96" s="43">
        <v>0.3</v>
      </c>
      <c r="R96" s="500"/>
    </row>
    <row r="97" spans="1:18" customFormat="1" x14ac:dyDescent="0.25">
      <c r="A97" s="500"/>
      <c r="B97" s="12" t="s">
        <v>62</v>
      </c>
      <c r="C97" s="4"/>
      <c r="D97" s="4"/>
      <c r="E97" s="4"/>
      <c r="F97" s="4"/>
      <c r="G97" s="257"/>
      <c r="H97" s="528">
        <v>130.58499999999998</v>
      </c>
      <c r="I97" s="43">
        <v>56</v>
      </c>
      <c r="J97" s="43">
        <v>7.0828571428571427</v>
      </c>
      <c r="K97" s="43">
        <v>-8.4719999999999995</v>
      </c>
      <c r="L97" s="43">
        <v>10.71</v>
      </c>
      <c r="M97" s="43">
        <v>33.04788327604534</v>
      </c>
      <c r="N97" s="43">
        <v>24.7</v>
      </c>
      <c r="O97" s="43">
        <v>6</v>
      </c>
      <c r="P97" s="43">
        <v>19</v>
      </c>
      <c r="Q97" s="43">
        <v>25.8</v>
      </c>
      <c r="R97" s="500"/>
    </row>
    <row r="98" spans="1:18" customFormat="1" x14ac:dyDescent="0.25">
      <c r="A98" s="500"/>
      <c r="B98" s="20" t="s">
        <v>63</v>
      </c>
      <c r="C98" s="4"/>
      <c r="D98" s="4"/>
      <c r="E98" s="4"/>
      <c r="F98" s="4"/>
      <c r="G98" s="257"/>
      <c r="H98" s="536">
        <v>71</v>
      </c>
      <c r="I98" s="509">
        <v>0</v>
      </c>
      <c r="J98" s="509">
        <v>7.0828571428571427</v>
      </c>
      <c r="K98" s="509">
        <v>0</v>
      </c>
      <c r="L98" s="509">
        <v>0</v>
      </c>
      <c r="M98" s="509">
        <v>3.9682919081673025</v>
      </c>
      <c r="N98" s="509">
        <v>0</v>
      </c>
      <c r="O98" s="509">
        <v>0</v>
      </c>
      <c r="P98" s="509">
        <v>5</v>
      </c>
      <c r="Q98" s="509">
        <v>29</v>
      </c>
      <c r="R98" s="500"/>
    </row>
    <row r="99" spans="1:18" customFormat="1" x14ac:dyDescent="0.25">
      <c r="A99" s="500"/>
      <c r="B99" s="20" t="s">
        <v>38</v>
      </c>
      <c r="C99" s="4"/>
      <c r="D99" s="4"/>
      <c r="E99" s="4"/>
      <c r="F99" s="4"/>
      <c r="G99" s="257"/>
      <c r="H99" s="536">
        <v>50</v>
      </c>
      <c r="I99" s="509">
        <v>0</v>
      </c>
      <c r="J99" s="509">
        <v>0</v>
      </c>
      <c r="K99" s="509">
        <v>0</v>
      </c>
      <c r="L99" s="509">
        <v>0</v>
      </c>
      <c r="M99" s="509">
        <v>0</v>
      </c>
      <c r="N99" s="509">
        <v>0</v>
      </c>
      <c r="O99" s="509">
        <v>0</v>
      </c>
      <c r="P99" s="509">
        <v>0</v>
      </c>
      <c r="Q99" s="509">
        <v>0</v>
      </c>
      <c r="R99" s="500"/>
    </row>
    <row r="100" spans="1:18" customFormat="1" x14ac:dyDescent="0.25">
      <c r="A100" s="500"/>
      <c r="B100" s="20" t="s">
        <v>64</v>
      </c>
      <c r="C100" s="4"/>
      <c r="D100" s="4"/>
      <c r="E100" s="4"/>
      <c r="F100" s="4"/>
      <c r="G100" s="257"/>
      <c r="H100" s="536">
        <v>10</v>
      </c>
      <c r="I100" s="509">
        <v>0</v>
      </c>
      <c r="J100" s="509">
        <v>2.1428571428571429E-2</v>
      </c>
      <c r="K100" s="509">
        <v>0</v>
      </c>
      <c r="L100" s="509">
        <v>0</v>
      </c>
      <c r="M100" s="509">
        <v>0</v>
      </c>
      <c r="N100" s="509">
        <v>0</v>
      </c>
      <c r="O100" s="509">
        <v>0</v>
      </c>
      <c r="P100" s="509">
        <v>0</v>
      </c>
      <c r="Q100" s="509">
        <v>0</v>
      </c>
      <c r="R100" s="500"/>
    </row>
    <row r="101" spans="1:18" customFormat="1" x14ac:dyDescent="0.25">
      <c r="A101" s="500"/>
      <c r="B101" s="12" t="s">
        <v>65</v>
      </c>
      <c r="C101" s="4"/>
      <c r="D101" s="4"/>
      <c r="E101" s="4"/>
      <c r="F101" s="4"/>
      <c r="G101" s="257"/>
      <c r="H101" s="536">
        <v>0</v>
      </c>
      <c r="I101" s="509">
        <v>0</v>
      </c>
      <c r="J101" s="509">
        <v>0</v>
      </c>
      <c r="K101" s="509">
        <v>0</v>
      </c>
      <c r="L101" s="509">
        <v>0</v>
      </c>
      <c r="M101" s="509">
        <v>0</v>
      </c>
      <c r="N101" s="509">
        <v>0</v>
      </c>
      <c r="O101" s="509">
        <v>0</v>
      </c>
      <c r="P101" s="509">
        <v>0</v>
      </c>
      <c r="Q101" s="509">
        <v>1.5</v>
      </c>
      <c r="R101" s="500"/>
    </row>
    <row r="102" spans="1:18" customFormat="1" x14ac:dyDescent="0.25">
      <c r="A102" s="500"/>
      <c r="B102" s="258" t="s">
        <v>66</v>
      </c>
      <c r="C102" s="259"/>
      <c r="D102" s="259"/>
      <c r="E102" s="259"/>
      <c r="F102" s="259"/>
      <c r="G102" s="260"/>
      <c r="H102" s="536">
        <v>121</v>
      </c>
      <c r="I102" s="509">
        <v>56</v>
      </c>
      <c r="J102" s="509">
        <v>7.0828571428571427</v>
      </c>
      <c r="K102" s="509">
        <v>-8.4719999999999995</v>
      </c>
      <c r="L102" s="509">
        <v>10.71</v>
      </c>
      <c r="M102" s="509">
        <v>33.04788327604534</v>
      </c>
      <c r="N102" s="509">
        <v>20.41</v>
      </c>
      <c r="O102" s="509">
        <v>6</v>
      </c>
      <c r="P102" s="509">
        <v>14</v>
      </c>
      <c r="Q102" s="509">
        <v>30.5</v>
      </c>
      <c r="R102" s="500"/>
    </row>
    <row r="103" spans="1:18" s="583" customFormat="1" x14ac:dyDescent="0.25"/>
    <row r="104" spans="1:18" s="583" customFormat="1" ht="18.75" x14ac:dyDescent="0.3">
      <c r="B104" s="584" t="s">
        <v>1442</v>
      </c>
    </row>
    <row r="105" spans="1:18" s="583" customFormat="1" x14ac:dyDescent="0.25"/>
    <row r="106" spans="1:18" customFormat="1" x14ac:dyDescent="0.25">
      <c r="A106" s="500"/>
      <c r="B106" s="11" t="s">
        <v>75</v>
      </c>
      <c r="C106" s="2"/>
      <c r="D106" s="2"/>
      <c r="E106" s="2"/>
      <c r="F106" s="2"/>
      <c r="G106" s="3"/>
      <c r="H106" s="501" t="s">
        <v>829</v>
      </c>
      <c r="I106" s="510" t="s">
        <v>1232</v>
      </c>
      <c r="J106" s="510" t="s">
        <v>1232</v>
      </c>
      <c r="K106" s="510" t="s">
        <v>1232</v>
      </c>
      <c r="L106" s="510" t="s">
        <v>854</v>
      </c>
      <c r="M106" s="510" t="s">
        <v>829</v>
      </c>
      <c r="N106" s="510" t="s">
        <v>854</v>
      </c>
      <c r="O106" s="510" t="s">
        <v>1232</v>
      </c>
      <c r="P106" s="510" t="s">
        <v>854</v>
      </c>
      <c r="Q106" s="510" t="s">
        <v>1232</v>
      </c>
      <c r="R106" s="500"/>
    </row>
    <row r="107" spans="1:18" customFormat="1" x14ac:dyDescent="0.25">
      <c r="A107" s="500"/>
      <c r="B107" s="12" t="s">
        <v>76</v>
      </c>
      <c r="C107" s="4"/>
      <c r="D107" s="4"/>
      <c r="E107" s="4"/>
      <c r="F107" s="4"/>
      <c r="G107" s="257"/>
      <c r="H107" s="540" t="s">
        <v>829</v>
      </c>
      <c r="I107" s="511" t="s">
        <v>1232</v>
      </c>
      <c r="J107" s="511" t="s">
        <v>1232</v>
      </c>
      <c r="K107" s="511" t="s">
        <v>1232</v>
      </c>
      <c r="L107" s="511" t="s">
        <v>1232</v>
      </c>
      <c r="M107" s="511" t="s">
        <v>869</v>
      </c>
      <c r="N107" s="511" t="s">
        <v>869</v>
      </c>
      <c r="O107" s="511" t="s">
        <v>1232</v>
      </c>
      <c r="P107" s="511" t="s">
        <v>869</v>
      </c>
      <c r="Q107" s="511" t="s">
        <v>1232</v>
      </c>
      <c r="R107" s="500"/>
    </row>
    <row r="108" spans="1:18" customFormat="1" x14ac:dyDescent="0.25">
      <c r="A108" s="500"/>
      <c r="B108" s="258" t="s">
        <v>77</v>
      </c>
      <c r="C108" s="259"/>
      <c r="D108" s="259"/>
      <c r="E108" s="259"/>
      <c r="F108" s="259"/>
      <c r="G108" s="260"/>
      <c r="H108" s="540" t="s">
        <v>829</v>
      </c>
      <c r="I108" s="511" t="s">
        <v>1232</v>
      </c>
      <c r="J108" s="511" t="s">
        <v>1232</v>
      </c>
      <c r="K108" s="511" t="s">
        <v>1232</v>
      </c>
      <c r="L108" s="511" t="s">
        <v>1232</v>
      </c>
      <c r="M108" s="511" t="s">
        <v>879</v>
      </c>
      <c r="N108" s="511" t="s">
        <v>879</v>
      </c>
      <c r="O108" s="511" t="s">
        <v>1232</v>
      </c>
      <c r="P108" s="511" t="s">
        <v>879</v>
      </c>
      <c r="Q108" s="511" t="s">
        <v>1232</v>
      </c>
      <c r="R108" s="500"/>
    </row>
    <row r="109" spans="1:18" s="583" customFormat="1" x14ac:dyDescent="0.25"/>
    <row r="110" spans="1:18" s="583" customFormat="1" x14ac:dyDescent="0.25"/>
    <row r="111" spans="1:18" s="583" customFormat="1" ht="18.75" x14ac:dyDescent="0.3">
      <c r="B111" s="584" t="s">
        <v>78</v>
      </c>
    </row>
    <row r="112" spans="1:18" s="583" customFormat="1" x14ac:dyDescent="0.25"/>
    <row r="113" spans="1:18" customFormat="1" x14ac:dyDescent="0.25">
      <c r="A113" s="500"/>
      <c r="B113" s="11" t="s">
        <v>79</v>
      </c>
      <c r="C113" s="2"/>
      <c r="D113" s="2"/>
      <c r="E113" s="2"/>
      <c r="F113" s="2"/>
      <c r="G113" s="3"/>
      <c r="H113" s="528">
        <v>778.64499999999998</v>
      </c>
      <c r="I113" s="43">
        <v>565.1925</v>
      </c>
      <c r="J113" s="43">
        <v>54.184285714285714</v>
      </c>
      <c r="K113" s="43">
        <v>164.05199999999999</v>
      </c>
      <c r="L113" s="43">
        <v>168.94333333333333</v>
      </c>
      <c r="M113" s="43">
        <v>298.26681729947546</v>
      </c>
      <c r="N113" s="43">
        <v>431.93548000000004</v>
      </c>
      <c r="O113" s="43">
        <v>558.70249999999999</v>
      </c>
      <c r="P113" s="43">
        <v>61.995220271746319</v>
      </c>
      <c r="Q113" s="43">
        <v>454.11818181818182</v>
      </c>
      <c r="R113" s="500"/>
    </row>
    <row r="114" spans="1:18" customFormat="1" x14ac:dyDescent="0.25">
      <c r="A114" s="500"/>
      <c r="B114" s="12" t="s">
        <v>80</v>
      </c>
      <c r="C114" s="4"/>
      <c r="D114" s="4"/>
      <c r="E114" s="4"/>
      <c r="F114" s="4"/>
      <c r="G114" s="257"/>
      <c r="H114" s="528">
        <v>610.78499999999997</v>
      </c>
      <c r="I114" s="43">
        <v>400.97</v>
      </c>
      <c r="J114" s="43">
        <v>49.151428571428575</v>
      </c>
      <c r="K114" s="43">
        <v>127.19199999999999</v>
      </c>
      <c r="L114" s="43"/>
      <c r="M114" s="43"/>
      <c r="N114" s="43">
        <v>338.82364000000001</v>
      </c>
      <c r="O114" s="43">
        <v>518.41499999999996</v>
      </c>
      <c r="P114" s="43"/>
      <c r="Q114" s="43">
        <v>315.54545454545456</v>
      </c>
      <c r="R114" s="500"/>
    </row>
    <row r="115" spans="1:18" customFormat="1" x14ac:dyDescent="0.25">
      <c r="A115" s="500"/>
      <c r="B115" s="12" t="s">
        <v>81</v>
      </c>
      <c r="C115" s="4"/>
      <c r="D115" s="4"/>
      <c r="E115" s="4"/>
      <c r="F115" s="4"/>
      <c r="G115" s="257"/>
      <c r="H115" s="528">
        <v>531.29999999999995</v>
      </c>
      <c r="I115" s="43">
        <v>300.98500000000001</v>
      </c>
      <c r="J115" s="43">
        <v>33.985714285714288</v>
      </c>
      <c r="K115" s="43"/>
      <c r="L115" s="43"/>
      <c r="M115" s="43"/>
      <c r="N115" s="43"/>
      <c r="O115" s="43"/>
      <c r="P115" s="43"/>
      <c r="Q115" s="43"/>
      <c r="R115" s="500"/>
    </row>
    <row r="116" spans="1:18" customFormat="1" x14ac:dyDescent="0.25">
      <c r="A116" s="500"/>
      <c r="B116" s="12" t="s">
        <v>82</v>
      </c>
      <c r="C116" s="4"/>
      <c r="D116" s="4"/>
      <c r="E116" s="4"/>
      <c r="F116" s="4"/>
      <c r="G116" s="257"/>
      <c r="H116" s="535">
        <v>167.86</v>
      </c>
      <c r="I116" s="508"/>
      <c r="J116" s="508">
        <v>5.0328571428571429</v>
      </c>
      <c r="K116" s="508"/>
      <c r="L116" s="508"/>
      <c r="M116" s="508"/>
      <c r="N116" s="508"/>
      <c r="O116" s="508"/>
      <c r="P116" s="508"/>
      <c r="Q116" s="508">
        <v>139.52727272727276</v>
      </c>
      <c r="R116" s="500"/>
    </row>
    <row r="117" spans="1:18" customFormat="1" x14ac:dyDescent="0.25">
      <c r="A117" s="500"/>
      <c r="B117" s="258" t="s">
        <v>83</v>
      </c>
      <c r="C117" s="259"/>
      <c r="D117" s="259"/>
      <c r="E117" s="259"/>
      <c r="F117" s="259"/>
      <c r="G117" s="260"/>
      <c r="H117" s="535"/>
      <c r="I117" s="508"/>
      <c r="J117" s="508"/>
      <c r="K117" s="508"/>
      <c r="L117" s="508"/>
      <c r="M117" s="508"/>
      <c r="N117" s="508"/>
      <c r="O117" s="508"/>
      <c r="P117" s="508"/>
      <c r="Q117" s="508"/>
      <c r="R117" s="500"/>
    </row>
    <row r="118" spans="1:18" s="583" customFormat="1" x14ac:dyDescent="0.25"/>
    <row r="119" spans="1:18" customFormat="1" x14ac:dyDescent="0.25">
      <c r="A119" s="500"/>
      <c r="B119" s="11" t="s">
        <v>84</v>
      </c>
      <c r="C119" s="2"/>
      <c r="D119" s="2"/>
      <c r="E119" s="2"/>
      <c r="F119" s="2"/>
      <c r="G119" s="3"/>
      <c r="H119" s="528">
        <v>5665.84</v>
      </c>
      <c r="I119" s="43">
        <v>3856.28125</v>
      </c>
      <c r="J119" s="43">
        <v>390.68</v>
      </c>
      <c r="K119" s="43">
        <v>806.39599999999996</v>
      </c>
      <c r="L119" s="43">
        <v>352.6692083333333</v>
      </c>
      <c r="M119" s="43">
        <v>2292.849044524804</v>
      </c>
      <c r="N119" s="43">
        <v>2586.44</v>
      </c>
      <c r="O119" s="43">
        <v>4655.854166666667</v>
      </c>
      <c r="P119" s="43">
        <v>563.5929115613302</v>
      </c>
      <c r="Q119" s="43">
        <v>2250.1909090909094</v>
      </c>
      <c r="R119" s="500"/>
    </row>
    <row r="120" spans="1:18" customFormat="1" x14ac:dyDescent="0.25">
      <c r="A120" s="500"/>
      <c r="B120" s="20" t="s">
        <v>85</v>
      </c>
      <c r="C120" s="4"/>
      <c r="D120" s="4"/>
      <c r="E120" s="4"/>
      <c r="F120" s="4"/>
      <c r="G120" s="257"/>
      <c r="H120" s="528">
        <v>4777.05</v>
      </c>
      <c r="I120" s="43">
        <v>3683.4240500000001</v>
      </c>
      <c r="J120" s="43">
        <v>305.2557142857143</v>
      </c>
      <c r="K120" s="43">
        <v>541.86</v>
      </c>
      <c r="L120" s="43">
        <v>343.26654166666663</v>
      </c>
      <c r="M120" s="43">
        <v>2178.2065922985635</v>
      </c>
      <c r="N120" s="43">
        <v>2535.8751999999999</v>
      </c>
      <c r="O120" s="43">
        <v>4403.2497666666668</v>
      </c>
      <c r="P120" s="43">
        <v>555.18046069049842</v>
      </c>
      <c r="Q120" s="43">
        <v>2102.3454545454547</v>
      </c>
      <c r="R120" s="500"/>
    </row>
    <row r="121" spans="1:18" customFormat="1" x14ac:dyDescent="0.25">
      <c r="A121" s="500"/>
      <c r="B121" s="20" t="s">
        <v>86</v>
      </c>
      <c r="C121" s="4"/>
      <c r="D121" s="4"/>
      <c r="E121" s="4"/>
      <c r="F121" s="4"/>
      <c r="G121" s="257"/>
      <c r="H121" s="528">
        <v>259.3</v>
      </c>
      <c r="I121" s="43">
        <v>125</v>
      </c>
      <c r="J121" s="43">
        <v>35.542857142857144</v>
      </c>
      <c r="K121" s="43">
        <v>51.856000000000002</v>
      </c>
      <c r="L121" s="43">
        <v>6.666666666666667</v>
      </c>
      <c r="M121" s="43">
        <v>45.856980890496082</v>
      </c>
      <c r="N121" s="43">
        <v>40</v>
      </c>
      <c r="O121" s="43">
        <v>250</v>
      </c>
      <c r="P121" s="43">
        <v>3.3333333333333335</v>
      </c>
      <c r="Q121" s="43">
        <v>12.027272727272729</v>
      </c>
      <c r="R121" s="500"/>
    </row>
    <row r="122" spans="1:18" customFormat="1" x14ac:dyDescent="0.25">
      <c r="A122" s="500"/>
      <c r="B122" s="20" t="s">
        <v>87</v>
      </c>
      <c r="C122" s="4"/>
      <c r="D122" s="4"/>
      <c r="E122" s="4"/>
      <c r="F122" s="4"/>
      <c r="G122" s="257"/>
      <c r="H122" s="528">
        <v>629.49</v>
      </c>
      <c r="I122" s="43">
        <v>47.857200000000006</v>
      </c>
      <c r="J122" s="43">
        <v>45.132857142857141</v>
      </c>
      <c r="K122" s="43">
        <v>184.57599999999999</v>
      </c>
      <c r="L122" s="43">
        <v>2.7360000000000002</v>
      </c>
      <c r="M122" s="43">
        <v>68.78547133574412</v>
      </c>
      <c r="N122" s="43">
        <v>10.5648</v>
      </c>
      <c r="O122" s="43">
        <v>2.6044</v>
      </c>
      <c r="P122" s="43">
        <v>5.0791175374984743</v>
      </c>
      <c r="Q122" s="43">
        <v>135.81818181818181</v>
      </c>
      <c r="R122" s="500"/>
    </row>
    <row r="123" spans="1:18" customFormat="1" x14ac:dyDescent="0.25">
      <c r="A123" s="500"/>
      <c r="B123" s="20" t="s">
        <v>88</v>
      </c>
      <c r="C123" s="4"/>
      <c r="D123" s="4"/>
      <c r="E123" s="4"/>
      <c r="F123" s="4"/>
      <c r="G123" s="257"/>
      <c r="H123" s="535"/>
      <c r="I123" s="508"/>
      <c r="J123" s="508">
        <v>4.7485714285714282</v>
      </c>
      <c r="K123" s="508">
        <v>28.103999999999999</v>
      </c>
      <c r="L123" s="508"/>
      <c r="M123" s="508">
        <v>0</v>
      </c>
      <c r="N123" s="508"/>
      <c r="O123" s="508"/>
      <c r="P123" s="508"/>
      <c r="Q123" s="508"/>
      <c r="R123" s="500"/>
    </row>
    <row r="124" spans="1:18" customFormat="1" x14ac:dyDescent="0.25">
      <c r="A124" s="500"/>
      <c r="B124" s="20" t="s">
        <v>89</v>
      </c>
      <c r="C124" s="4"/>
      <c r="D124" s="4"/>
      <c r="E124" s="4"/>
      <c r="F124" s="4"/>
      <c r="G124" s="257"/>
      <c r="H124" s="535"/>
      <c r="I124" s="508"/>
      <c r="J124" s="508"/>
      <c r="K124" s="508"/>
      <c r="L124" s="508"/>
      <c r="M124" s="508">
        <v>0</v>
      </c>
      <c r="N124" s="508"/>
      <c r="O124" s="508"/>
      <c r="P124" s="508"/>
      <c r="Q124" s="508"/>
      <c r="R124" s="500"/>
    </row>
    <row r="125" spans="1:18" customFormat="1" x14ac:dyDescent="0.25">
      <c r="A125" s="500"/>
      <c r="B125" s="258" t="s">
        <v>90</v>
      </c>
      <c r="C125" s="259"/>
      <c r="D125" s="259"/>
      <c r="E125" s="259"/>
      <c r="F125" s="259"/>
      <c r="G125" s="260"/>
      <c r="H125" s="535"/>
      <c r="I125" s="508"/>
      <c r="J125" s="508"/>
      <c r="K125" s="508"/>
      <c r="L125" s="508"/>
      <c r="M125" s="508">
        <v>0</v>
      </c>
      <c r="N125" s="508"/>
      <c r="O125" s="508"/>
      <c r="P125" s="508"/>
      <c r="Q125" s="508"/>
      <c r="R125" s="500"/>
    </row>
    <row r="126" spans="1:18" s="583" customFormat="1" x14ac:dyDescent="0.25"/>
    <row r="127" spans="1:18" customFormat="1" x14ac:dyDescent="0.25">
      <c r="A127" s="500"/>
      <c r="B127" s="11" t="s">
        <v>96</v>
      </c>
      <c r="C127" s="2"/>
      <c r="D127" s="2"/>
      <c r="E127" s="2"/>
      <c r="F127" s="2"/>
      <c r="G127" s="3"/>
      <c r="H127" s="536"/>
      <c r="I127" s="509"/>
      <c r="J127" s="509">
        <v>362.41071428571428</v>
      </c>
      <c r="K127" s="509"/>
      <c r="L127" s="509"/>
      <c r="M127" s="509">
        <v>0</v>
      </c>
      <c r="N127" s="509"/>
      <c r="O127" s="509"/>
      <c r="P127" s="509"/>
      <c r="Q127" s="509"/>
      <c r="R127" s="500"/>
    </row>
    <row r="128" spans="1:18" customFormat="1" x14ac:dyDescent="0.25">
      <c r="A128" s="500"/>
      <c r="B128" s="12" t="s">
        <v>97</v>
      </c>
      <c r="C128" s="4"/>
      <c r="D128" s="4"/>
      <c r="E128" s="4"/>
      <c r="F128" s="4"/>
      <c r="G128" s="257"/>
      <c r="H128" s="536"/>
      <c r="I128" s="509"/>
      <c r="J128" s="509">
        <v>28.992857142857144</v>
      </c>
      <c r="K128" s="509"/>
      <c r="L128" s="509"/>
      <c r="M128" s="509">
        <v>0</v>
      </c>
      <c r="N128" s="509"/>
      <c r="O128" s="509"/>
      <c r="P128" s="509"/>
      <c r="Q128" s="509"/>
      <c r="R128" s="500"/>
    </row>
    <row r="129" spans="1:18" customFormat="1" x14ac:dyDescent="0.25">
      <c r="A129" s="500"/>
      <c r="B129" s="20" t="s">
        <v>98</v>
      </c>
      <c r="C129" s="4"/>
      <c r="D129" s="4"/>
      <c r="E129" s="4"/>
      <c r="F129" s="4"/>
      <c r="G129" s="257"/>
      <c r="H129" s="536"/>
      <c r="I129" s="509"/>
      <c r="J129" s="509">
        <v>0.99980000000000002</v>
      </c>
      <c r="K129" s="509"/>
      <c r="L129" s="509"/>
      <c r="M129" s="509">
        <v>0</v>
      </c>
      <c r="N129" s="509"/>
      <c r="O129" s="509"/>
      <c r="P129" s="509"/>
      <c r="Q129" s="509"/>
      <c r="R129" s="500"/>
    </row>
    <row r="130" spans="1:18" customFormat="1" x14ac:dyDescent="0.25">
      <c r="A130" s="500"/>
      <c r="B130" s="20" t="s">
        <v>75</v>
      </c>
      <c r="C130" s="4"/>
      <c r="D130" s="4"/>
      <c r="E130" s="4"/>
      <c r="F130" s="4"/>
      <c r="G130" s="257"/>
      <c r="H130" s="536"/>
      <c r="I130" s="509"/>
      <c r="J130" s="509">
        <v>10.647142857142857</v>
      </c>
      <c r="K130" s="509"/>
      <c r="L130" s="509"/>
      <c r="M130" s="509">
        <v>0</v>
      </c>
      <c r="N130" s="509"/>
      <c r="O130" s="509"/>
      <c r="P130" s="509"/>
      <c r="Q130" s="509"/>
      <c r="R130" s="500"/>
    </row>
    <row r="131" spans="1:18" customFormat="1" x14ac:dyDescent="0.25">
      <c r="A131" s="500"/>
      <c r="B131" s="20" t="s">
        <v>76</v>
      </c>
      <c r="C131" s="4"/>
      <c r="D131" s="4"/>
      <c r="E131" s="4"/>
      <c r="F131" s="4"/>
      <c r="G131" s="257"/>
      <c r="H131" s="536"/>
      <c r="I131" s="509"/>
      <c r="J131" s="509">
        <v>17.87857142857143</v>
      </c>
      <c r="K131" s="509"/>
      <c r="L131" s="509"/>
      <c r="M131" s="509">
        <v>0</v>
      </c>
      <c r="N131" s="509"/>
      <c r="O131" s="509"/>
      <c r="P131" s="509"/>
      <c r="Q131" s="509"/>
      <c r="R131" s="500"/>
    </row>
    <row r="132" spans="1:18" customFormat="1" x14ac:dyDescent="0.25">
      <c r="A132" s="500"/>
      <c r="B132" s="20" t="s">
        <v>99</v>
      </c>
      <c r="C132" s="530"/>
      <c r="D132" s="4"/>
      <c r="E132" s="4"/>
      <c r="F132" s="4"/>
      <c r="G132" s="257"/>
      <c r="H132" s="536"/>
      <c r="I132" s="509"/>
      <c r="J132" s="509">
        <v>6.59</v>
      </c>
      <c r="K132" s="509"/>
      <c r="L132" s="509"/>
      <c r="M132" s="509">
        <v>0</v>
      </c>
      <c r="N132" s="509"/>
      <c r="O132" s="509"/>
      <c r="P132" s="509"/>
      <c r="Q132" s="509"/>
      <c r="R132" s="500"/>
    </row>
    <row r="133" spans="1:18" customFormat="1" x14ac:dyDescent="0.25">
      <c r="A133" s="500"/>
      <c r="B133" s="20" t="s">
        <v>100</v>
      </c>
      <c r="C133" s="530"/>
      <c r="D133" s="4"/>
      <c r="E133" s="4"/>
      <c r="F133" s="4"/>
      <c r="G133" s="257"/>
      <c r="H133" s="536"/>
      <c r="I133" s="509"/>
      <c r="J133" s="509">
        <v>11.288571428571428</v>
      </c>
      <c r="K133" s="509"/>
      <c r="L133" s="509"/>
      <c r="M133" s="509">
        <v>0</v>
      </c>
      <c r="N133" s="509"/>
      <c r="O133" s="509"/>
      <c r="P133" s="509"/>
      <c r="Q133" s="509"/>
      <c r="R133" s="500"/>
    </row>
    <row r="134" spans="1:18" customFormat="1" x14ac:dyDescent="0.25">
      <c r="A134" s="500"/>
      <c r="B134" s="20" t="s">
        <v>77</v>
      </c>
      <c r="C134" s="4"/>
      <c r="D134" s="4"/>
      <c r="E134" s="4"/>
      <c r="F134" s="4"/>
      <c r="G134" s="257"/>
      <c r="H134" s="536"/>
      <c r="I134" s="509"/>
      <c r="J134" s="509">
        <v>4.99</v>
      </c>
      <c r="K134" s="509"/>
      <c r="L134" s="509"/>
      <c r="M134" s="509">
        <v>0</v>
      </c>
      <c r="N134" s="509"/>
      <c r="O134" s="509"/>
      <c r="P134" s="509"/>
      <c r="Q134" s="509"/>
      <c r="R134" s="500"/>
    </row>
    <row r="135" spans="1:18" customFormat="1" x14ac:dyDescent="0.25">
      <c r="A135" s="500"/>
      <c r="B135" s="20" t="s">
        <v>101</v>
      </c>
      <c r="C135" s="4"/>
      <c r="D135" s="4"/>
      <c r="E135" s="4"/>
      <c r="F135" s="4"/>
      <c r="G135" s="257"/>
      <c r="H135" s="536"/>
      <c r="I135" s="509"/>
      <c r="J135" s="509">
        <v>-4.5228571428571431</v>
      </c>
      <c r="K135" s="509"/>
      <c r="L135" s="509"/>
      <c r="M135" s="509">
        <v>0</v>
      </c>
      <c r="N135" s="509"/>
      <c r="O135" s="509"/>
      <c r="P135" s="509"/>
      <c r="Q135" s="509"/>
      <c r="R135" s="500"/>
    </row>
    <row r="136" spans="1:18" customFormat="1" x14ac:dyDescent="0.25">
      <c r="A136" s="500"/>
      <c r="B136" s="526" t="s">
        <v>102</v>
      </c>
      <c r="C136" s="259"/>
      <c r="D136" s="259"/>
      <c r="E136" s="259"/>
      <c r="F136" s="259"/>
      <c r="G136" s="260"/>
      <c r="H136" s="536"/>
      <c r="I136" s="509"/>
      <c r="J136" s="509">
        <v>0.71571428571428575</v>
      </c>
      <c r="K136" s="509"/>
      <c r="L136" s="509"/>
      <c r="M136" s="509">
        <v>0</v>
      </c>
      <c r="N136" s="509"/>
      <c r="O136" s="509"/>
      <c r="P136" s="509"/>
      <c r="Q136" s="509"/>
      <c r="R136" s="500"/>
    </row>
    <row r="137" spans="1:18" s="583" customFormat="1" x14ac:dyDescent="0.25"/>
    <row r="138" spans="1:18" s="583" customFormat="1" ht="18.75" x14ac:dyDescent="0.3">
      <c r="B138" s="584" t="s">
        <v>1443</v>
      </c>
    </row>
    <row r="139" spans="1:18" s="583" customFormat="1" x14ac:dyDescent="0.25"/>
    <row r="140" spans="1:18" customFormat="1" x14ac:dyDescent="0.25">
      <c r="A140" s="500"/>
      <c r="B140" s="11" t="s">
        <v>104</v>
      </c>
      <c r="C140" s="2"/>
      <c r="D140" s="2"/>
      <c r="E140" s="2"/>
      <c r="F140" s="2"/>
      <c r="G140" s="3"/>
      <c r="H140" s="541">
        <v>0</v>
      </c>
      <c r="I140" s="512">
        <v>0</v>
      </c>
      <c r="J140" s="512">
        <v>0</v>
      </c>
      <c r="K140" s="512">
        <v>0</v>
      </c>
      <c r="L140" s="512">
        <v>0</v>
      </c>
      <c r="M140" s="512">
        <v>0</v>
      </c>
      <c r="N140" s="512">
        <v>0</v>
      </c>
      <c r="O140" s="512">
        <v>0</v>
      </c>
      <c r="P140" s="512">
        <v>0</v>
      </c>
      <c r="Q140" s="512">
        <v>0</v>
      </c>
      <c r="R140" s="500"/>
    </row>
    <row r="141" spans="1:18" customFormat="1" x14ac:dyDescent="0.25">
      <c r="A141" s="500"/>
      <c r="B141" s="12" t="s">
        <v>105</v>
      </c>
      <c r="C141" s="4"/>
      <c r="D141" s="4"/>
      <c r="E141" s="4"/>
      <c r="F141" s="4"/>
      <c r="G141" s="257"/>
      <c r="H141" s="541">
        <v>0</v>
      </c>
      <c r="I141" s="512">
        <v>0</v>
      </c>
      <c r="J141" s="512">
        <v>0</v>
      </c>
      <c r="K141" s="512">
        <v>0</v>
      </c>
      <c r="L141" s="512">
        <v>0</v>
      </c>
      <c r="M141" s="512">
        <v>0</v>
      </c>
      <c r="N141" s="512">
        <v>0</v>
      </c>
      <c r="O141" s="512">
        <v>0</v>
      </c>
      <c r="P141" s="512">
        <v>0</v>
      </c>
      <c r="Q141" s="512">
        <v>0</v>
      </c>
      <c r="R141" s="500"/>
    </row>
    <row r="142" spans="1:18" customFormat="1" x14ac:dyDescent="0.25">
      <c r="A142" s="500"/>
      <c r="B142" s="12" t="s">
        <v>106</v>
      </c>
      <c r="C142" s="4"/>
      <c r="D142" s="4"/>
      <c r="E142" s="4"/>
      <c r="F142" s="4"/>
      <c r="G142" s="257"/>
      <c r="H142" s="541">
        <v>0</v>
      </c>
      <c r="I142" s="512">
        <v>0</v>
      </c>
      <c r="J142" s="512">
        <v>0</v>
      </c>
      <c r="K142" s="512">
        <v>0</v>
      </c>
      <c r="L142" s="512">
        <v>0</v>
      </c>
      <c r="M142" s="512">
        <v>0</v>
      </c>
      <c r="N142" s="512">
        <v>0</v>
      </c>
      <c r="O142" s="512">
        <v>0</v>
      </c>
      <c r="P142" s="512">
        <v>0</v>
      </c>
      <c r="Q142" s="512">
        <v>0</v>
      </c>
      <c r="R142" s="500"/>
    </row>
    <row r="143" spans="1:18" customFormat="1" x14ac:dyDescent="0.25">
      <c r="A143" s="500"/>
      <c r="B143" s="258" t="s">
        <v>107</v>
      </c>
      <c r="C143" s="259"/>
      <c r="D143" s="259"/>
      <c r="E143" s="259"/>
      <c r="F143" s="259"/>
      <c r="G143" s="260"/>
      <c r="H143" s="541">
        <v>0</v>
      </c>
      <c r="I143" s="512">
        <v>0</v>
      </c>
      <c r="J143" s="512">
        <v>0</v>
      </c>
      <c r="K143" s="512">
        <v>0</v>
      </c>
      <c r="L143" s="512">
        <v>0</v>
      </c>
      <c r="M143" s="512">
        <v>0</v>
      </c>
      <c r="N143" s="512">
        <v>0</v>
      </c>
      <c r="O143" s="512">
        <v>0</v>
      </c>
      <c r="P143" s="512">
        <v>0</v>
      </c>
      <c r="Q143" s="512">
        <v>0</v>
      </c>
      <c r="R143" s="500"/>
    </row>
    <row r="144" spans="1:18" s="583" customFormat="1" x14ac:dyDescent="0.25"/>
    <row r="145" spans="1:18" s="583" customFormat="1" ht="18.75" x14ac:dyDescent="0.3">
      <c r="B145" s="584" t="s">
        <v>75</v>
      </c>
    </row>
    <row r="146" spans="1:18" s="583" customFormat="1" x14ac:dyDescent="0.25"/>
    <row r="147" spans="1:18" s="583" customFormat="1" x14ac:dyDescent="0.25">
      <c r="B147" s="585" t="s">
        <v>108</v>
      </c>
    </row>
    <row r="148" spans="1:18" s="583" customFormat="1" x14ac:dyDescent="0.25"/>
    <row r="149" spans="1:18" customFormat="1" x14ac:dyDescent="0.25">
      <c r="A149" s="500"/>
      <c r="B149" s="11" t="s">
        <v>109</v>
      </c>
      <c r="C149" s="2"/>
      <c r="D149" s="2"/>
      <c r="E149" s="2"/>
      <c r="F149" s="2"/>
      <c r="G149" s="3"/>
      <c r="H149" s="542">
        <f t="shared" ref="H149:Q149" si="1">SUM(H150,H153:H154)</f>
        <v>5380.0599999999995</v>
      </c>
      <c r="I149" s="513">
        <f t="shared" si="1"/>
        <v>2305.3200000000002</v>
      </c>
      <c r="J149" s="513">
        <f t="shared" si="1"/>
        <v>396.39571428571429</v>
      </c>
      <c r="K149" s="513">
        <f t="shared" si="1"/>
        <v>1227.3119999999999</v>
      </c>
      <c r="L149" s="513">
        <f t="shared" si="1"/>
        <v>927.94</v>
      </c>
      <c r="M149" s="513">
        <f>SUM(M150,M153:M154)</f>
        <v>1728.3230166590956</v>
      </c>
      <c r="N149" s="513">
        <f t="shared" si="1"/>
        <v>1305.8599999999999</v>
      </c>
      <c r="O149" s="513">
        <f t="shared" si="1"/>
        <v>4986.2624999999998</v>
      </c>
      <c r="P149" s="513">
        <f t="shared" si="1"/>
        <v>599.21135941942532</v>
      </c>
      <c r="Q149" s="513">
        <f t="shared" si="1"/>
        <v>1524.4</v>
      </c>
      <c r="R149" s="500"/>
    </row>
    <row r="150" spans="1:18" customFormat="1" x14ac:dyDescent="0.25">
      <c r="A150" s="500"/>
      <c r="B150" s="20" t="s">
        <v>110</v>
      </c>
      <c r="C150" s="530"/>
      <c r="D150" s="4"/>
      <c r="E150" s="4"/>
      <c r="F150" s="4"/>
      <c r="G150" s="257"/>
      <c r="H150" s="542">
        <f t="shared" ref="H150:Q150" si="2">H28</f>
        <v>4481.1549999999997</v>
      </c>
      <c r="I150" s="513">
        <f t="shared" si="2"/>
        <v>2250.3200000000002</v>
      </c>
      <c r="J150" s="513">
        <f t="shared" si="2"/>
        <v>364.96428571428572</v>
      </c>
      <c r="K150" s="513">
        <f t="shared" si="2"/>
        <v>1227.3119999999999</v>
      </c>
      <c r="L150" s="513">
        <f t="shared" si="2"/>
        <v>927.94</v>
      </c>
      <c r="M150" s="513">
        <f t="shared" si="2"/>
        <v>1728.3230166590956</v>
      </c>
      <c r="N150" s="513">
        <f t="shared" si="2"/>
        <v>1305.8599999999999</v>
      </c>
      <c r="O150" s="513">
        <f t="shared" si="2"/>
        <v>4986.2624999999998</v>
      </c>
      <c r="P150" s="513">
        <f t="shared" si="2"/>
        <v>599.21135941942532</v>
      </c>
      <c r="Q150" s="513">
        <f t="shared" si="2"/>
        <v>1299.5</v>
      </c>
      <c r="R150" s="500"/>
    </row>
    <row r="151" spans="1:18" customFormat="1" x14ac:dyDescent="0.25">
      <c r="A151" s="500"/>
      <c r="B151" s="20" t="s">
        <v>111</v>
      </c>
      <c r="C151" s="4"/>
      <c r="D151" s="4"/>
      <c r="E151" s="4"/>
      <c r="F151" s="4"/>
      <c r="G151" s="257"/>
      <c r="H151" s="543"/>
      <c r="I151" s="514"/>
      <c r="J151" s="514"/>
      <c r="K151" s="514"/>
      <c r="L151" s="514"/>
      <c r="M151" s="514">
        <v>0</v>
      </c>
      <c r="N151" s="514"/>
      <c r="O151" s="514"/>
      <c r="P151" s="514"/>
      <c r="Q151" s="514"/>
      <c r="R151" s="500"/>
    </row>
    <row r="152" spans="1:18" customFormat="1" x14ac:dyDescent="0.25">
      <c r="A152" s="500"/>
      <c r="B152" s="20" t="s">
        <v>112</v>
      </c>
      <c r="C152" s="4"/>
      <c r="D152" s="4"/>
      <c r="E152" s="4"/>
      <c r="F152" s="4"/>
      <c r="G152" s="257"/>
      <c r="H152" s="544"/>
      <c r="I152" s="515"/>
      <c r="J152" s="515"/>
      <c r="K152" s="515"/>
      <c r="L152" s="515"/>
      <c r="M152" s="515">
        <v>0</v>
      </c>
      <c r="N152" s="515"/>
      <c r="O152" s="515"/>
      <c r="P152" s="515"/>
      <c r="Q152" s="515"/>
      <c r="R152" s="500"/>
    </row>
    <row r="153" spans="1:18" customFormat="1" x14ac:dyDescent="0.25">
      <c r="A153" s="500"/>
      <c r="B153" s="20" t="s">
        <v>113</v>
      </c>
      <c r="C153" s="530"/>
      <c r="D153" s="4"/>
      <c r="E153" s="4"/>
      <c r="F153" s="4"/>
      <c r="G153" s="257"/>
      <c r="H153" s="542">
        <f t="shared" ref="H153:Q153" si="3">H29</f>
        <v>898.90499999999997</v>
      </c>
      <c r="I153" s="513">
        <f t="shared" si="3"/>
        <v>55</v>
      </c>
      <c r="J153" s="513">
        <f t="shared" si="3"/>
        <v>31.431428571428572</v>
      </c>
      <c r="K153" s="513">
        <f t="shared" si="3"/>
        <v>0</v>
      </c>
      <c r="L153" s="513">
        <f t="shared" si="3"/>
        <v>0</v>
      </c>
      <c r="M153" s="513">
        <f t="shared" si="3"/>
        <v>0</v>
      </c>
      <c r="N153" s="513">
        <f t="shared" si="3"/>
        <v>0</v>
      </c>
      <c r="O153" s="513">
        <f t="shared" si="3"/>
        <v>0</v>
      </c>
      <c r="P153" s="513">
        <f t="shared" si="3"/>
        <v>0</v>
      </c>
      <c r="Q153" s="513">
        <f t="shared" si="3"/>
        <v>224.9</v>
      </c>
      <c r="R153" s="500"/>
    </row>
    <row r="154" spans="1:18" customFormat="1" x14ac:dyDescent="0.25">
      <c r="A154" s="500"/>
      <c r="B154" s="526" t="s">
        <v>114</v>
      </c>
      <c r="C154" s="538"/>
      <c r="D154" s="259"/>
      <c r="E154" s="259"/>
      <c r="F154" s="259"/>
      <c r="G154" s="260"/>
      <c r="H154" s="543"/>
      <c r="I154" s="514"/>
      <c r="J154" s="514"/>
      <c r="K154" s="514"/>
      <c r="L154" s="514"/>
      <c r="M154" s="514">
        <v>0</v>
      </c>
      <c r="N154" s="514"/>
      <c r="O154" s="514"/>
      <c r="P154" s="514"/>
      <c r="Q154" s="514"/>
      <c r="R154" s="500"/>
    </row>
    <row r="155" spans="1:18" s="583" customFormat="1" x14ac:dyDescent="0.25">
      <c r="C155" s="586"/>
      <c r="H155" s="586"/>
      <c r="I155" s="586"/>
      <c r="J155" s="586"/>
      <c r="K155" s="586"/>
      <c r="L155" s="586"/>
      <c r="M155" s="586"/>
      <c r="N155" s="586"/>
      <c r="O155" s="586"/>
      <c r="P155" s="586"/>
      <c r="Q155" s="586"/>
    </row>
    <row r="156" spans="1:18" customFormat="1" x14ac:dyDescent="0.25">
      <c r="A156" s="500"/>
      <c r="B156" s="14" t="s">
        <v>115</v>
      </c>
      <c r="C156" s="539"/>
      <c r="D156" s="15"/>
      <c r="E156" s="15"/>
      <c r="F156" s="15"/>
      <c r="G156" s="16"/>
      <c r="H156" s="528">
        <v>259.3</v>
      </c>
      <c r="I156" s="43">
        <v>125</v>
      </c>
      <c r="J156" s="43">
        <v>35.542857142857144</v>
      </c>
      <c r="K156" s="43">
        <v>51.856000000000002</v>
      </c>
      <c r="L156" s="43">
        <v>6.666666666666667</v>
      </c>
      <c r="M156" s="43">
        <v>45.856980890496082</v>
      </c>
      <c r="N156" s="43">
        <v>40</v>
      </c>
      <c r="O156" s="43">
        <v>250</v>
      </c>
      <c r="P156" s="43">
        <v>3.3333333333333335</v>
      </c>
      <c r="Q156" s="43">
        <v>12.027272727272729</v>
      </c>
      <c r="R156" s="500"/>
    </row>
    <row r="157" spans="1:18" s="583" customFormat="1" x14ac:dyDescent="0.25">
      <c r="C157" s="586"/>
      <c r="H157" s="586"/>
      <c r="I157" s="586"/>
      <c r="J157" s="586"/>
      <c r="K157" s="586"/>
      <c r="L157" s="586"/>
      <c r="M157" s="586"/>
      <c r="N157" s="586"/>
      <c r="O157" s="586"/>
      <c r="P157" s="586"/>
      <c r="Q157" s="586"/>
    </row>
    <row r="158" spans="1:18" customFormat="1" x14ac:dyDescent="0.25">
      <c r="A158" s="500"/>
      <c r="B158" s="11" t="s">
        <v>116</v>
      </c>
      <c r="C158" s="537"/>
      <c r="D158" s="2"/>
      <c r="E158" s="2"/>
      <c r="F158" s="2"/>
      <c r="G158" s="3"/>
      <c r="H158" s="535">
        <v>3100.2200000000003</v>
      </c>
      <c r="I158" s="508">
        <v>201.7225</v>
      </c>
      <c r="J158" s="508">
        <v>878.89857142857147</v>
      </c>
      <c r="K158" s="508">
        <v>1686.7760000000001</v>
      </c>
      <c r="L158" s="508">
        <v>0</v>
      </c>
      <c r="M158" s="508">
        <v>0</v>
      </c>
      <c r="N158" s="508">
        <v>121.21</v>
      </c>
      <c r="O158" s="508">
        <v>0</v>
      </c>
      <c r="P158" s="508">
        <v>0</v>
      </c>
      <c r="Q158" s="508">
        <v>147.80000000000001</v>
      </c>
      <c r="R158" s="500"/>
    </row>
    <row r="159" spans="1:18" customFormat="1" x14ac:dyDescent="0.25">
      <c r="A159" s="500"/>
      <c r="B159" s="20" t="s">
        <v>1444</v>
      </c>
      <c r="C159" s="4"/>
      <c r="D159" s="4"/>
      <c r="E159" s="4"/>
      <c r="F159" s="4"/>
      <c r="G159" s="257"/>
      <c r="H159" s="542">
        <f t="shared" ref="H159:Q159" si="4">H38</f>
        <v>1254.43</v>
      </c>
      <c r="I159" s="513">
        <f t="shared" si="4"/>
        <v>201.7225</v>
      </c>
      <c r="J159" s="513">
        <f t="shared" si="4"/>
        <v>852.01428571428573</v>
      </c>
      <c r="K159" s="513">
        <f t="shared" si="4"/>
        <v>1686.7760000000001</v>
      </c>
      <c r="L159" s="513">
        <f t="shared" si="4"/>
        <v>0</v>
      </c>
      <c r="M159" s="513">
        <f t="shared" si="4"/>
        <v>0</v>
      </c>
      <c r="N159" s="513">
        <f t="shared" si="4"/>
        <v>0</v>
      </c>
      <c r="O159" s="513">
        <f t="shared" si="4"/>
        <v>0</v>
      </c>
      <c r="P159" s="513">
        <f t="shared" si="4"/>
        <v>0</v>
      </c>
      <c r="Q159" s="513">
        <f t="shared" si="4"/>
        <v>0</v>
      </c>
      <c r="R159" s="500"/>
    </row>
    <row r="160" spans="1:18" customFormat="1" x14ac:dyDescent="0.25">
      <c r="A160" s="500"/>
      <c r="B160" s="20" t="s">
        <v>17</v>
      </c>
      <c r="C160" s="4"/>
      <c r="D160" s="4"/>
      <c r="E160" s="4"/>
      <c r="F160" s="4"/>
      <c r="G160" s="257"/>
      <c r="H160" s="542">
        <f t="shared" ref="H160:Q160" si="5">H39</f>
        <v>142.39500000000001</v>
      </c>
      <c r="I160" s="513">
        <f t="shared" si="5"/>
        <v>0</v>
      </c>
      <c r="J160" s="513">
        <f t="shared" si="5"/>
        <v>0</v>
      </c>
      <c r="K160" s="513">
        <f t="shared" si="5"/>
        <v>0</v>
      </c>
      <c r="L160" s="513">
        <f t="shared" si="5"/>
        <v>0</v>
      </c>
      <c r="M160" s="513">
        <f t="shared" si="5"/>
        <v>0</v>
      </c>
      <c r="N160" s="513">
        <f t="shared" si="5"/>
        <v>0</v>
      </c>
      <c r="O160" s="513">
        <f t="shared" si="5"/>
        <v>0</v>
      </c>
      <c r="P160" s="513">
        <f t="shared" si="5"/>
        <v>0</v>
      </c>
      <c r="Q160" s="513">
        <f t="shared" si="5"/>
        <v>0</v>
      </c>
      <c r="R160" s="500"/>
    </row>
    <row r="161" spans="1:18" customFormat="1" x14ac:dyDescent="0.25">
      <c r="A161" s="500"/>
      <c r="B161" s="20" t="s">
        <v>117</v>
      </c>
      <c r="C161" s="4"/>
      <c r="D161" s="4"/>
      <c r="E161" s="4"/>
      <c r="F161" s="4"/>
      <c r="G161" s="257"/>
      <c r="H161" s="542">
        <f t="shared" ref="H161:Q161" si="6">H40</f>
        <v>1845.79</v>
      </c>
      <c r="I161" s="513">
        <f t="shared" si="6"/>
        <v>0</v>
      </c>
      <c r="J161" s="513">
        <f t="shared" si="6"/>
        <v>26.884285714285713</v>
      </c>
      <c r="K161" s="513">
        <f t="shared" si="6"/>
        <v>0</v>
      </c>
      <c r="L161" s="513">
        <f t="shared" si="6"/>
        <v>0</v>
      </c>
      <c r="M161" s="513">
        <f t="shared" si="6"/>
        <v>0</v>
      </c>
      <c r="N161" s="513">
        <f t="shared" si="6"/>
        <v>121.21</v>
      </c>
      <c r="O161" s="513">
        <f t="shared" si="6"/>
        <v>0</v>
      </c>
      <c r="P161" s="513">
        <f t="shared" si="6"/>
        <v>0</v>
      </c>
      <c r="Q161" s="513">
        <f t="shared" si="6"/>
        <v>147.80000000000001</v>
      </c>
      <c r="R161" s="500"/>
    </row>
    <row r="162" spans="1:18" customFormat="1" x14ac:dyDescent="0.25">
      <c r="A162" s="500"/>
      <c r="B162" s="258" t="s">
        <v>41</v>
      </c>
      <c r="C162" s="259"/>
      <c r="D162" s="259"/>
      <c r="E162" s="259"/>
      <c r="F162" s="259"/>
      <c r="G162" s="260"/>
      <c r="H162" s="535"/>
      <c r="I162" s="508"/>
      <c r="J162" s="508"/>
      <c r="K162" s="508"/>
      <c r="L162" s="508"/>
      <c r="M162" s="508"/>
      <c r="N162" s="508"/>
      <c r="O162" s="508"/>
      <c r="P162" s="508"/>
      <c r="Q162" s="508"/>
      <c r="R162" s="500"/>
    </row>
    <row r="163" spans="1:18" s="583" customFormat="1" x14ac:dyDescent="0.25">
      <c r="H163" s="587"/>
      <c r="I163" s="587"/>
      <c r="J163" s="587"/>
      <c r="K163" s="587"/>
      <c r="L163" s="587"/>
      <c r="M163" s="587"/>
      <c r="N163" s="587"/>
      <c r="O163" s="587"/>
      <c r="P163" s="587"/>
      <c r="Q163" s="587"/>
    </row>
    <row r="164" spans="1:18" customFormat="1" x14ac:dyDescent="0.25">
      <c r="A164" s="500"/>
      <c r="B164" s="14" t="s">
        <v>118</v>
      </c>
      <c r="C164" s="15"/>
      <c r="D164" s="15"/>
      <c r="E164" s="15"/>
      <c r="F164" s="15"/>
      <c r="G164" s="16"/>
      <c r="H164" s="528">
        <v>9638.4850000000006</v>
      </c>
      <c r="I164" s="43">
        <v>2632.0425</v>
      </c>
      <c r="J164" s="43">
        <v>1338.2157142857143</v>
      </c>
      <c r="K164" s="43">
        <v>2958.6160000000004</v>
      </c>
      <c r="L164" s="43">
        <v>934.60666666666668</v>
      </c>
      <c r="M164" s="43">
        <v>1740.8649293393401</v>
      </c>
      <c r="N164" s="43">
        <v>1451.78</v>
      </c>
      <c r="O164" s="43">
        <v>5231.5550000000003</v>
      </c>
      <c r="P164" s="43">
        <v>596.40733294884365</v>
      </c>
      <c r="Q164" s="43">
        <v>1909.1272727272728</v>
      </c>
      <c r="R164" s="500"/>
    </row>
    <row r="165" spans="1:18" s="583" customFormat="1" x14ac:dyDescent="0.25"/>
    <row r="166" spans="1:18" s="583" customFormat="1" x14ac:dyDescent="0.25">
      <c r="B166" s="585" t="s">
        <v>119</v>
      </c>
    </row>
    <row r="167" spans="1:18" s="583" customFormat="1" x14ac:dyDescent="0.25"/>
    <row r="168" spans="1:18" customFormat="1" x14ac:dyDescent="0.25">
      <c r="A168" s="500"/>
      <c r="B168" s="11" t="s">
        <v>120</v>
      </c>
      <c r="C168" s="2"/>
      <c r="D168" s="2"/>
      <c r="E168" s="2"/>
      <c r="F168" s="2"/>
      <c r="G168" s="3"/>
      <c r="H168" s="536">
        <v>33.445</v>
      </c>
      <c r="I168" s="509">
        <v>110.3775</v>
      </c>
      <c r="J168" s="509">
        <v>0</v>
      </c>
      <c r="K168" s="509">
        <v>60.999200000000002</v>
      </c>
      <c r="L168" s="509">
        <v>46.396999999999998</v>
      </c>
      <c r="M168" s="509">
        <v>84.750500000000017</v>
      </c>
      <c r="N168" s="509">
        <v>64.528500000000008</v>
      </c>
      <c r="O168" s="509">
        <v>249.07775000000001</v>
      </c>
      <c r="P168" s="509">
        <v>29.653333333333332</v>
      </c>
      <c r="Q168" s="509">
        <v>273.27272727272731</v>
      </c>
      <c r="R168" s="500"/>
    </row>
    <row r="169" spans="1:18" customFormat="1" x14ac:dyDescent="0.25">
      <c r="A169" s="500"/>
      <c r="B169" s="12" t="s">
        <v>121</v>
      </c>
      <c r="C169" s="4"/>
      <c r="D169" s="4"/>
      <c r="E169" s="4"/>
      <c r="F169" s="4"/>
      <c r="G169" s="257"/>
      <c r="H169" s="536">
        <v>0</v>
      </c>
      <c r="I169" s="509">
        <v>0</v>
      </c>
      <c r="J169" s="509">
        <v>13.674285714285714</v>
      </c>
      <c r="K169" s="509">
        <v>60.999200000000002</v>
      </c>
      <c r="L169" s="509">
        <v>46.396999999999998</v>
      </c>
      <c r="M169" s="509">
        <v>84.750500000000017</v>
      </c>
      <c r="N169" s="509">
        <v>64.528500000000008</v>
      </c>
      <c r="O169" s="509">
        <v>249.07775000000001</v>
      </c>
      <c r="P169" s="509">
        <v>29.653333333333332</v>
      </c>
      <c r="Q169" s="509">
        <v>0</v>
      </c>
      <c r="R169" s="500"/>
    </row>
    <row r="170" spans="1:18" customFormat="1" x14ac:dyDescent="0.25">
      <c r="A170" s="500"/>
      <c r="B170" s="12" t="s">
        <v>122</v>
      </c>
      <c r="C170" s="4"/>
      <c r="D170" s="4"/>
      <c r="E170" s="4"/>
      <c r="F170" s="4"/>
      <c r="G170" s="257"/>
      <c r="H170" s="536">
        <v>1729.1</v>
      </c>
      <c r="I170" s="509">
        <v>242.6225</v>
      </c>
      <c r="J170" s="509">
        <v>110.60428571428571</v>
      </c>
      <c r="K170" s="509">
        <v>182.99760000000001</v>
      </c>
      <c r="L170" s="509">
        <v>139.191</v>
      </c>
      <c r="M170" s="509">
        <v>254.25150000000002</v>
      </c>
      <c r="N170" s="509">
        <v>193.58550000000002</v>
      </c>
      <c r="O170" s="509">
        <v>747.23325000000011</v>
      </c>
      <c r="P170" s="509">
        <v>88.960000000000008</v>
      </c>
      <c r="Q170" s="509">
        <v>92.836363636363643</v>
      </c>
      <c r="R170" s="500"/>
    </row>
    <row r="171" spans="1:18" customFormat="1" x14ac:dyDescent="0.25">
      <c r="A171" s="500"/>
      <c r="B171" s="12" t="s">
        <v>123</v>
      </c>
      <c r="C171" s="4"/>
      <c r="D171" s="4"/>
      <c r="E171" s="4"/>
      <c r="F171" s="4"/>
      <c r="G171" s="257"/>
      <c r="H171" s="536">
        <v>2345.39</v>
      </c>
      <c r="I171" s="509">
        <v>449.23250000000002</v>
      </c>
      <c r="J171" s="509">
        <v>161.47714285714287</v>
      </c>
      <c r="K171" s="509">
        <v>658.79136000000005</v>
      </c>
      <c r="L171" s="509">
        <v>501.08759999999978</v>
      </c>
      <c r="M171" s="509">
        <v>915.30539999999996</v>
      </c>
      <c r="N171" s="509">
        <v>696.90779999999995</v>
      </c>
      <c r="O171" s="509">
        <v>2690.0397000000003</v>
      </c>
      <c r="P171" s="509">
        <v>320.25600000000003</v>
      </c>
      <c r="Q171" s="509">
        <v>706.40909090909076</v>
      </c>
      <c r="R171" s="500"/>
    </row>
    <row r="172" spans="1:18" customFormat="1" x14ac:dyDescent="0.25">
      <c r="A172" s="500"/>
      <c r="B172" s="12" t="s">
        <v>124</v>
      </c>
      <c r="C172" s="4"/>
      <c r="D172" s="4"/>
      <c r="E172" s="4"/>
      <c r="F172" s="4"/>
      <c r="G172" s="257"/>
      <c r="H172" s="528">
        <v>2171.0300000000002</v>
      </c>
      <c r="I172" s="43">
        <v>53</v>
      </c>
      <c r="J172" s="43">
        <v>138.01857142857142</v>
      </c>
      <c r="K172" s="43">
        <v>256.19664</v>
      </c>
      <c r="L172" s="43">
        <v>194.86739999999998</v>
      </c>
      <c r="M172" s="43">
        <v>355.95209999999997</v>
      </c>
      <c r="N172" s="43">
        <v>271.0197</v>
      </c>
      <c r="O172" s="43">
        <v>1046.12655</v>
      </c>
      <c r="P172" s="43">
        <v>124.544</v>
      </c>
      <c r="Q172" s="43">
        <v>500.15454545454543</v>
      </c>
      <c r="R172" s="500"/>
    </row>
    <row r="173" spans="1:18" customFormat="1" x14ac:dyDescent="0.25">
      <c r="A173" s="500"/>
      <c r="B173" s="12" t="s">
        <v>125</v>
      </c>
      <c r="C173" s="4"/>
      <c r="D173" s="4"/>
      <c r="E173" s="4"/>
      <c r="F173" s="4"/>
      <c r="G173" s="257"/>
      <c r="H173" s="528">
        <v>2171.0300000000002</v>
      </c>
      <c r="I173" s="43">
        <v>1182</v>
      </c>
      <c r="J173" s="43">
        <v>122.39285714285714</v>
      </c>
      <c r="K173" s="43">
        <v>109.79855999999999</v>
      </c>
      <c r="L173" s="43">
        <v>83.514599999999987</v>
      </c>
      <c r="M173" s="43">
        <v>152.55090000000001</v>
      </c>
      <c r="N173" s="43">
        <v>116.15129999999999</v>
      </c>
      <c r="O173" s="43">
        <v>448.33994999999993</v>
      </c>
      <c r="P173" s="43">
        <v>53.375999999999998</v>
      </c>
      <c r="Q173" s="43">
        <v>317.75454545454545</v>
      </c>
      <c r="R173" s="500"/>
    </row>
    <row r="174" spans="1:18" customFormat="1" x14ac:dyDescent="0.25">
      <c r="A174" s="500"/>
      <c r="B174" s="12" t="s">
        <v>126</v>
      </c>
      <c r="C174" s="4"/>
      <c r="D174" s="4"/>
      <c r="E174" s="4"/>
      <c r="F174" s="4"/>
      <c r="G174" s="257"/>
      <c r="H174" s="536">
        <v>0</v>
      </c>
      <c r="I174" s="509">
        <v>0</v>
      </c>
      <c r="J174" s="509">
        <v>27.722857142857144</v>
      </c>
      <c r="K174" s="509">
        <v>34.06</v>
      </c>
      <c r="L174" s="509">
        <v>0</v>
      </c>
      <c r="M174" s="509">
        <v>0</v>
      </c>
      <c r="N174" s="509">
        <v>0</v>
      </c>
      <c r="O174" s="509">
        <v>0</v>
      </c>
      <c r="P174" s="509">
        <v>0</v>
      </c>
      <c r="Q174" s="509">
        <v>0</v>
      </c>
      <c r="R174" s="500"/>
    </row>
    <row r="175" spans="1:18" customFormat="1" x14ac:dyDescent="0.25">
      <c r="A175" s="500"/>
      <c r="B175" s="12" t="s">
        <v>127</v>
      </c>
      <c r="C175" s="4"/>
      <c r="D175" s="4"/>
      <c r="E175" s="4"/>
      <c r="F175" s="4"/>
      <c r="G175" s="257"/>
      <c r="H175" s="536">
        <v>0</v>
      </c>
      <c r="I175" s="509">
        <v>0</v>
      </c>
      <c r="J175" s="509">
        <v>0</v>
      </c>
      <c r="K175" s="509">
        <v>0</v>
      </c>
      <c r="L175" s="509">
        <v>0</v>
      </c>
      <c r="M175" s="509">
        <v>0</v>
      </c>
      <c r="N175" s="509">
        <v>0</v>
      </c>
      <c r="O175" s="509">
        <v>0</v>
      </c>
      <c r="P175" s="509">
        <v>0</v>
      </c>
      <c r="Q175" s="509">
        <v>0</v>
      </c>
      <c r="R175" s="500"/>
    </row>
    <row r="176" spans="1:18" customFormat="1" x14ac:dyDescent="0.25">
      <c r="A176" s="500"/>
      <c r="B176" s="12" t="s">
        <v>30</v>
      </c>
      <c r="C176" s="4"/>
      <c r="D176" s="4"/>
      <c r="E176" s="4"/>
      <c r="F176" s="4"/>
      <c r="G176" s="257"/>
      <c r="H176" s="536">
        <v>0</v>
      </c>
      <c r="I176" s="509">
        <v>0</v>
      </c>
      <c r="J176" s="509">
        <v>0</v>
      </c>
      <c r="K176" s="509">
        <v>0</v>
      </c>
      <c r="L176" s="509">
        <v>0</v>
      </c>
      <c r="M176" s="509">
        <v>0</v>
      </c>
      <c r="N176" s="509">
        <v>0</v>
      </c>
      <c r="O176" s="509">
        <v>0</v>
      </c>
      <c r="P176" s="509">
        <v>0</v>
      </c>
      <c r="Q176" s="509">
        <v>0</v>
      </c>
      <c r="R176" s="500"/>
    </row>
    <row r="177" spans="1:18" customFormat="1" x14ac:dyDescent="0.25">
      <c r="A177" s="500"/>
      <c r="B177" s="12" t="s">
        <v>128</v>
      </c>
      <c r="C177" s="4"/>
      <c r="D177" s="4"/>
      <c r="E177" s="4"/>
      <c r="F177" s="4"/>
      <c r="G177" s="257"/>
      <c r="H177" s="536">
        <v>937.5</v>
      </c>
      <c r="I177" s="509">
        <v>564.17437500000005</v>
      </c>
      <c r="J177" s="509">
        <v>98.250742857142868</v>
      </c>
      <c r="K177" s="509">
        <v>126.19199999999999</v>
      </c>
      <c r="L177" s="509">
        <v>0</v>
      </c>
      <c r="M177" s="509">
        <v>0</v>
      </c>
      <c r="N177" s="509">
        <v>0</v>
      </c>
      <c r="O177" s="509">
        <v>0</v>
      </c>
      <c r="P177" s="509">
        <v>0</v>
      </c>
      <c r="Q177" s="509">
        <v>926.28409090909099</v>
      </c>
      <c r="R177" s="500"/>
    </row>
    <row r="178" spans="1:18" customFormat="1" x14ac:dyDescent="0.25">
      <c r="A178" s="500"/>
      <c r="B178" s="258" t="s">
        <v>118</v>
      </c>
      <c r="C178" s="259"/>
      <c r="D178" s="259"/>
      <c r="E178" s="259"/>
      <c r="F178" s="259"/>
      <c r="G178" s="260"/>
      <c r="H178" s="536">
        <v>9387.4950000000008</v>
      </c>
      <c r="I178" s="509">
        <v>2601.4068750000001</v>
      </c>
      <c r="J178" s="509">
        <v>672.14074285714287</v>
      </c>
      <c r="K178" s="509">
        <v>1490.0345599999998</v>
      </c>
      <c r="L178" s="509">
        <v>1011.4545999999997</v>
      </c>
      <c r="M178" s="509">
        <v>1847.5608999999999</v>
      </c>
      <c r="N178" s="509">
        <v>1406.7212999999999</v>
      </c>
      <c r="O178" s="509">
        <v>5429.8949499999999</v>
      </c>
      <c r="P178" s="509">
        <v>646.4426666666667</v>
      </c>
      <c r="Q178" s="509">
        <v>2816.7113636363638</v>
      </c>
      <c r="R178" s="500"/>
    </row>
    <row r="179" spans="1:18" s="583" customFormat="1" x14ac:dyDescent="0.25"/>
    <row r="180" spans="1:18" customFormat="1" x14ac:dyDescent="0.25">
      <c r="A180" s="500"/>
      <c r="B180" s="547" t="s">
        <v>129</v>
      </c>
      <c r="C180" s="548"/>
      <c r="D180" s="548"/>
      <c r="E180" s="548"/>
      <c r="F180" s="548"/>
      <c r="G180" s="549"/>
      <c r="H180" s="583"/>
      <c r="I180" s="583"/>
      <c r="J180" s="583"/>
      <c r="K180" s="583"/>
      <c r="L180" s="583"/>
      <c r="M180" s="583"/>
      <c r="N180" s="583"/>
      <c r="O180" s="583"/>
      <c r="P180" s="583"/>
      <c r="Q180" s="583"/>
      <c r="R180" s="500"/>
    </row>
    <row r="181" spans="1:18" customFormat="1" x14ac:dyDescent="0.25">
      <c r="A181" s="500"/>
      <c r="B181" s="19" t="s">
        <v>130</v>
      </c>
      <c r="C181" s="2"/>
      <c r="D181" s="2"/>
      <c r="E181" s="2" t="s">
        <v>895</v>
      </c>
      <c r="F181" s="2"/>
      <c r="G181" s="3"/>
      <c r="H181" s="528">
        <v>354.61500000000001</v>
      </c>
      <c r="I181" s="43">
        <v>89.367500000000007</v>
      </c>
      <c r="J181" s="43">
        <v>12.732857142857142</v>
      </c>
      <c r="K181" s="43">
        <v>7.2359999999999998</v>
      </c>
      <c r="L181" s="43">
        <v>45.910853333333328</v>
      </c>
      <c r="M181" s="43">
        <v>42.375198711221103</v>
      </c>
      <c r="N181" s="43">
        <v>37.42653</v>
      </c>
      <c r="O181" s="43">
        <v>58.284193499999994</v>
      </c>
      <c r="P181" s="43">
        <v>7.7296666666666658</v>
      </c>
      <c r="Q181" s="43">
        <v>85.936363636363637</v>
      </c>
      <c r="R181" s="500"/>
    </row>
    <row r="182" spans="1:18" customFormat="1" x14ac:dyDescent="0.25">
      <c r="A182" s="500"/>
      <c r="B182" s="20" t="s">
        <v>131</v>
      </c>
      <c r="C182" s="4"/>
      <c r="D182" s="4"/>
      <c r="E182" s="4" t="s">
        <v>895</v>
      </c>
      <c r="F182" s="4"/>
      <c r="G182" s="257"/>
      <c r="H182" s="535">
        <v>0</v>
      </c>
      <c r="I182" s="508">
        <v>0</v>
      </c>
      <c r="J182" s="508">
        <v>7.9714285714285715</v>
      </c>
      <c r="K182" s="508">
        <v>0</v>
      </c>
      <c r="L182" s="508">
        <v>0</v>
      </c>
      <c r="M182" s="508">
        <v>0</v>
      </c>
      <c r="N182" s="508">
        <v>0</v>
      </c>
      <c r="O182" s="508">
        <v>0</v>
      </c>
      <c r="P182" s="508">
        <v>0</v>
      </c>
      <c r="Q182" s="508">
        <v>0</v>
      </c>
      <c r="R182" s="500"/>
    </row>
    <row r="183" spans="1:18" customFormat="1" x14ac:dyDescent="0.25">
      <c r="A183" s="500"/>
      <c r="B183" s="20" t="s">
        <v>132</v>
      </c>
      <c r="C183" s="4"/>
      <c r="D183" s="4"/>
      <c r="E183" s="4" t="s">
        <v>895</v>
      </c>
      <c r="F183" s="4"/>
      <c r="G183" s="257"/>
      <c r="H183" s="535">
        <v>127.71</v>
      </c>
      <c r="I183" s="508">
        <v>93</v>
      </c>
      <c r="J183" s="508">
        <v>4.7626903410456931</v>
      </c>
      <c r="K183" s="508">
        <v>5.1159999999999997</v>
      </c>
      <c r="L183" s="508">
        <v>13.218218133333334</v>
      </c>
      <c r="M183" s="508">
        <v>0</v>
      </c>
      <c r="N183" s="508">
        <v>11.13</v>
      </c>
      <c r="O183" s="508">
        <v>0</v>
      </c>
      <c r="P183" s="508">
        <v>0</v>
      </c>
      <c r="Q183" s="508">
        <v>57.6</v>
      </c>
      <c r="R183" s="500"/>
    </row>
    <row r="184" spans="1:18" customFormat="1" x14ac:dyDescent="0.25">
      <c r="A184" s="500"/>
      <c r="B184" s="20" t="s">
        <v>133</v>
      </c>
      <c r="C184" s="4"/>
      <c r="D184" s="4"/>
      <c r="E184" s="4" t="s">
        <v>895</v>
      </c>
      <c r="F184" s="4"/>
      <c r="G184" s="257"/>
      <c r="H184" s="528">
        <v>132.44</v>
      </c>
      <c r="I184" s="43">
        <v>121.425</v>
      </c>
      <c r="J184" s="43">
        <v>4.0528571428571425</v>
      </c>
      <c r="K184" s="43">
        <v>7.3280000000000003</v>
      </c>
      <c r="L184" s="43">
        <v>0</v>
      </c>
      <c r="M184" s="43">
        <v>33.315068210251624</v>
      </c>
      <c r="N184" s="43">
        <v>15.29</v>
      </c>
      <c r="O184" s="43">
        <v>4.7074999999999996</v>
      </c>
      <c r="P184" s="43">
        <v>6.1373598039150234</v>
      </c>
      <c r="Q184" s="43">
        <v>57.6</v>
      </c>
      <c r="R184" s="500"/>
    </row>
    <row r="185" spans="1:18" customFormat="1" x14ac:dyDescent="0.25">
      <c r="A185" s="500"/>
      <c r="B185" s="526" t="s">
        <v>134</v>
      </c>
      <c r="C185" s="259"/>
      <c r="D185" s="259"/>
      <c r="E185" s="259" t="s">
        <v>895</v>
      </c>
      <c r="F185" s="259"/>
      <c r="G185" s="260"/>
      <c r="H185" s="535">
        <v>0</v>
      </c>
      <c r="I185" s="508">
        <v>84.22</v>
      </c>
      <c r="J185" s="508">
        <v>1.5085714285714287</v>
      </c>
      <c r="K185" s="508">
        <v>4.1520000000000001</v>
      </c>
      <c r="L185" s="508">
        <v>0</v>
      </c>
      <c r="M185" s="508">
        <v>0</v>
      </c>
      <c r="N185" s="508">
        <v>2.36</v>
      </c>
      <c r="O185" s="508">
        <v>0</v>
      </c>
      <c r="P185" s="508">
        <v>0</v>
      </c>
      <c r="Q185" s="508">
        <v>0</v>
      </c>
      <c r="R185" s="500"/>
    </row>
    <row r="186" spans="1:18" s="583" customFormat="1" x14ac:dyDescent="0.25">
      <c r="B186" s="586"/>
      <c r="E186" s="583" t="s">
        <v>895</v>
      </c>
    </row>
    <row r="187" spans="1:18" customFormat="1" ht="30" customHeight="1" x14ac:dyDescent="0.25">
      <c r="A187" s="500"/>
      <c r="B187" s="612" t="s">
        <v>135</v>
      </c>
      <c r="C187" s="613"/>
      <c r="D187" s="613"/>
      <c r="E187" s="613"/>
      <c r="F187" s="613"/>
      <c r="G187" s="614"/>
      <c r="H187" s="550">
        <f t="shared" ref="H187:Q187" si="7">IF(AND(H181&gt;0,H27&gt;0),H181/H27,"N/A")</f>
        <v>6.5912833685869671E-2</v>
      </c>
      <c r="I187" s="550">
        <f t="shared" si="7"/>
        <v>3.9713240783533006E-2</v>
      </c>
      <c r="J187" s="550">
        <f t="shared" si="7"/>
        <v>3.2453393533352748E-2</v>
      </c>
      <c r="K187" s="550">
        <f t="shared" si="7"/>
        <v>5.9312253275452791E-3</v>
      </c>
      <c r="L187" s="550">
        <f t="shared" si="7"/>
        <v>4.9476101184703025E-2</v>
      </c>
      <c r="M187" s="550">
        <f t="shared" si="7"/>
        <v>2.5000000000000001E-2</v>
      </c>
      <c r="N187" s="550">
        <f t="shared" si="7"/>
        <v>2.9000000000000001E-2</v>
      </c>
      <c r="O187" s="550">
        <f t="shared" si="7"/>
        <v>1.1699999999999999E-2</v>
      </c>
      <c r="P187" s="550">
        <f t="shared" si="7"/>
        <v>1.3033224642587276E-2</v>
      </c>
      <c r="Q187" s="550">
        <f t="shared" si="7"/>
        <v>5.6373893752534529E-2</v>
      </c>
      <c r="R187" s="500"/>
    </row>
    <row r="188" spans="1:18" customFormat="1" x14ac:dyDescent="0.25">
      <c r="A188" s="500"/>
      <c r="B188" s="20" t="s">
        <v>136</v>
      </c>
      <c r="C188" s="4"/>
      <c r="D188" s="4"/>
      <c r="E188" s="4"/>
      <c r="F188" s="4"/>
      <c r="G188" s="257"/>
      <c r="H188" s="550" t="str">
        <f t="shared" ref="H188:Q188" si="8">IF(AND(H182&gt;0,H27&gt;0),H182/H27,"N/A")</f>
        <v>N/A</v>
      </c>
      <c r="I188" s="516" t="str">
        <f t="shared" si="8"/>
        <v>N/A</v>
      </c>
      <c r="J188" s="516">
        <f t="shared" si="8"/>
        <v>2.0317506554034373E-2</v>
      </c>
      <c r="K188" s="516" t="str">
        <f t="shared" si="8"/>
        <v>N/A</v>
      </c>
      <c r="L188" s="516" t="str">
        <f t="shared" si="8"/>
        <v>N/A</v>
      </c>
      <c r="M188" s="516" t="str">
        <f t="shared" si="8"/>
        <v>N/A</v>
      </c>
      <c r="N188" s="516" t="str">
        <f t="shared" si="8"/>
        <v>N/A</v>
      </c>
      <c r="O188" s="516" t="str">
        <f t="shared" si="8"/>
        <v>N/A</v>
      </c>
      <c r="P188" s="516" t="str">
        <f t="shared" si="8"/>
        <v>N/A</v>
      </c>
      <c r="Q188" s="516" t="str">
        <f t="shared" si="8"/>
        <v>N/A</v>
      </c>
      <c r="R188" s="500"/>
    </row>
    <row r="189" spans="1:18" customFormat="1" x14ac:dyDescent="0.25">
      <c r="A189" s="500"/>
      <c r="B189" s="20" t="s">
        <v>137</v>
      </c>
      <c r="C189" s="4"/>
      <c r="D189" s="4"/>
      <c r="E189" s="4"/>
      <c r="F189" s="4"/>
      <c r="G189" s="257"/>
      <c r="H189" s="550">
        <f t="shared" ref="H189:Q189" si="9">IF(ISNUMBER(H183/H27),H183/H27,"N/A")</f>
        <v>2.3737653483418397E-2</v>
      </c>
      <c r="I189" s="516">
        <f t="shared" si="9"/>
        <v>4.1327455650751889E-2</v>
      </c>
      <c r="J189" s="516">
        <f t="shared" si="9"/>
        <v>1.2139102966545242E-2</v>
      </c>
      <c r="K189" s="516">
        <f t="shared" si="9"/>
        <v>4.1934976196409133E-3</v>
      </c>
      <c r="L189" s="516">
        <f t="shared" si="9"/>
        <v>1.4244690533152287E-2</v>
      </c>
      <c r="M189" s="516">
        <f t="shared" si="9"/>
        <v>0</v>
      </c>
      <c r="N189" s="516">
        <f t="shared" si="9"/>
        <v>8.6240963295288135E-3</v>
      </c>
      <c r="O189" s="516">
        <f t="shared" si="9"/>
        <v>0</v>
      </c>
      <c r="P189" s="516">
        <f t="shared" si="9"/>
        <v>0</v>
      </c>
      <c r="Q189" s="516">
        <f t="shared" si="9"/>
        <v>3.7785358173707685E-2</v>
      </c>
      <c r="R189" s="500"/>
    </row>
    <row r="190" spans="1:18" customFormat="1" x14ac:dyDescent="0.25">
      <c r="A190" s="500"/>
      <c r="B190" s="20" t="s">
        <v>138</v>
      </c>
      <c r="C190" s="4"/>
      <c r="D190" s="4"/>
      <c r="E190" s="4"/>
      <c r="F190" s="4"/>
      <c r="G190" s="257"/>
      <c r="H190" s="550">
        <f t="shared" ref="H190:Q190" si="10">IF(ISNUMBER(H184/H27),H184/H27,"N/A")</f>
        <v>2.4616825834656117E-2</v>
      </c>
      <c r="I190" s="516">
        <f t="shared" si="10"/>
        <v>5.3958992498844602E-2</v>
      </c>
      <c r="J190" s="516">
        <f t="shared" si="10"/>
        <v>1.0329886396737546E-2</v>
      </c>
      <c r="K190" s="516">
        <f t="shared" si="10"/>
        <v>6.0066361526052809E-3</v>
      </c>
      <c r="L190" s="516">
        <f t="shared" si="10"/>
        <v>0</v>
      </c>
      <c r="M190" s="516">
        <f t="shared" si="10"/>
        <v>1.9654815330358368E-2</v>
      </c>
      <c r="N190" s="516">
        <f t="shared" si="10"/>
        <v>1.184747824604632E-2</v>
      </c>
      <c r="O190" s="516">
        <f t="shared" si="10"/>
        <v>9.4498605355155152E-4</v>
      </c>
      <c r="P190" s="516">
        <f t="shared" si="10"/>
        <v>1.0348387904197237E-2</v>
      </c>
      <c r="Q190" s="516">
        <f t="shared" si="10"/>
        <v>3.7785358173707685E-2</v>
      </c>
      <c r="R190" s="500"/>
    </row>
    <row r="191" spans="1:18" customFormat="1" x14ac:dyDescent="0.25">
      <c r="A191" s="500"/>
      <c r="B191" s="526" t="s">
        <v>139</v>
      </c>
      <c r="C191" s="259"/>
      <c r="D191" s="259"/>
      <c r="E191" s="259"/>
      <c r="F191" s="259"/>
      <c r="G191" s="260"/>
      <c r="H191" s="550">
        <f t="shared" ref="H191:Q191" si="11">IF(ISNUMBER(H185/H27),H185/H27,"N/A")</f>
        <v>0</v>
      </c>
      <c r="I191" s="516">
        <f t="shared" si="11"/>
        <v>3.7425788332326064E-2</v>
      </c>
      <c r="J191" s="516">
        <f t="shared" si="11"/>
        <v>3.8450334983979027E-3</v>
      </c>
      <c r="K191" s="516">
        <f t="shared" si="11"/>
        <v>3.4033233222730795E-3</v>
      </c>
      <c r="L191" s="516">
        <f t="shared" si="11"/>
        <v>0</v>
      </c>
      <c r="M191" s="516">
        <f t="shared" si="11"/>
        <v>0</v>
      </c>
      <c r="N191" s="516">
        <f t="shared" si="11"/>
        <v>1.8286493564858939E-3</v>
      </c>
      <c r="O191" s="516">
        <f t="shared" si="11"/>
        <v>0</v>
      </c>
      <c r="P191" s="516">
        <f t="shared" si="11"/>
        <v>0</v>
      </c>
      <c r="Q191" s="516">
        <f t="shared" si="11"/>
        <v>0</v>
      </c>
      <c r="R191" s="500"/>
    </row>
    <row r="192" spans="1:18" s="583" customFormat="1" x14ac:dyDescent="0.25">
      <c r="B192" s="586"/>
      <c r="E192" s="583" t="s">
        <v>895</v>
      </c>
    </row>
    <row r="193" spans="1:18" customFormat="1" x14ac:dyDescent="0.25">
      <c r="A193" s="500"/>
      <c r="B193" s="19" t="s">
        <v>140</v>
      </c>
      <c r="C193" s="2"/>
      <c r="D193" s="2"/>
      <c r="E193" s="2"/>
      <c r="F193" s="2"/>
      <c r="G193" s="3"/>
      <c r="H193" s="551">
        <v>0.4</v>
      </c>
      <c r="I193" s="517">
        <v>0.4</v>
      </c>
      <c r="J193" s="517">
        <v>0.4</v>
      </c>
      <c r="K193" s="517">
        <v>0.4</v>
      </c>
      <c r="L193" s="517">
        <v>0.4</v>
      </c>
      <c r="M193" s="517">
        <v>0.4</v>
      </c>
      <c r="N193" s="517">
        <v>0.4</v>
      </c>
      <c r="O193" s="517">
        <v>0.4</v>
      </c>
      <c r="P193" s="517">
        <v>0.4</v>
      </c>
      <c r="Q193" s="517">
        <v>0.4</v>
      </c>
      <c r="R193" s="500"/>
    </row>
    <row r="194" spans="1:18" customFormat="1" x14ac:dyDescent="0.25">
      <c r="A194" s="500"/>
      <c r="B194" s="20" t="s">
        <v>141</v>
      </c>
      <c r="C194" s="4"/>
      <c r="D194" s="4"/>
      <c r="E194" s="4"/>
      <c r="F194" s="4"/>
      <c r="G194" s="257"/>
      <c r="H194" s="527">
        <v>0.75</v>
      </c>
      <c r="I194" s="18">
        <v>0.75</v>
      </c>
      <c r="J194" s="18">
        <v>0.75</v>
      </c>
      <c r="K194" s="18">
        <v>0.75</v>
      </c>
      <c r="L194" s="18">
        <v>0.75</v>
      </c>
      <c r="M194" s="18">
        <v>0.75</v>
      </c>
      <c r="N194" s="18">
        <v>0.75</v>
      </c>
      <c r="O194" s="18">
        <v>0.75</v>
      </c>
      <c r="P194" s="18">
        <v>0.75</v>
      </c>
      <c r="Q194" s="18">
        <v>0.75</v>
      </c>
      <c r="R194" s="500"/>
    </row>
    <row r="195" spans="1:18" customFormat="1" x14ac:dyDescent="0.25">
      <c r="A195" s="500"/>
      <c r="B195" s="526" t="s">
        <v>142</v>
      </c>
      <c r="C195" s="259"/>
      <c r="D195" s="259"/>
      <c r="E195" s="259"/>
      <c r="F195" s="259"/>
      <c r="G195" s="260"/>
      <c r="H195" s="541"/>
      <c r="I195" s="512"/>
      <c r="J195" s="512"/>
      <c r="K195" s="512"/>
      <c r="L195" s="512"/>
      <c r="M195" s="512">
        <v>0</v>
      </c>
      <c r="N195" s="512"/>
      <c r="O195" s="512"/>
      <c r="P195" s="512"/>
      <c r="Q195" s="512"/>
      <c r="R195" s="500"/>
    </row>
    <row r="196" spans="1:18" s="583" customFormat="1" x14ac:dyDescent="0.25"/>
    <row r="197" spans="1:18" s="583" customFormat="1" x14ac:dyDescent="0.25">
      <c r="B197" s="585" t="s">
        <v>143</v>
      </c>
    </row>
    <row r="198" spans="1:18" s="583" customFormat="1" x14ac:dyDescent="0.25"/>
    <row r="199" spans="1:18" customFormat="1" x14ac:dyDescent="0.25">
      <c r="A199" s="500"/>
      <c r="B199" s="11" t="s">
        <v>864</v>
      </c>
      <c r="C199" s="2"/>
      <c r="D199" s="2"/>
      <c r="E199" s="2"/>
      <c r="F199" s="2"/>
      <c r="G199" s="3"/>
      <c r="H199" s="536"/>
      <c r="I199" s="509"/>
      <c r="J199" s="509"/>
      <c r="K199" s="509"/>
      <c r="L199" s="509"/>
      <c r="M199" s="509">
        <v>0</v>
      </c>
      <c r="N199" s="509"/>
      <c r="O199" s="509"/>
      <c r="P199" s="509"/>
      <c r="Q199" s="509"/>
      <c r="R199" s="500"/>
    </row>
    <row r="200" spans="1:18" customFormat="1" x14ac:dyDescent="0.25">
      <c r="A200" s="500"/>
      <c r="B200" s="12" t="s">
        <v>875</v>
      </c>
      <c r="C200" s="4"/>
      <c r="D200" s="4"/>
      <c r="E200" s="4"/>
      <c r="F200" s="4"/>
      <c r="G200" s="257"/>
      <c r="H200" s="536"/>
      <c r="I200" s="509"/>
      <c r="J200" s="509"/>
      <c r="K200" s="509"/>
      <c r="L200" s="509"/>
      <c r="M200" s="509">
        <v>0</v>
      </c>
      <c r="N200" s="509"/>
      <c r="O200" s="509"/>
      <c r="P200" s="509"/>
      <c r="Q200" s="509"/>
      <c r="R200" s="500"/>
    </row>
    <row r="201" spans="1:18" customFormat="1" x14ac:dyDescent="0.25">
      <c r="A201" s="500"/>
      <c r="B201" s="12" t="s">
        <v>882</v>
      </c>
      <c r="C201" s="4"/>
      <c r="D201" s="4"/>
      <c r="E201" s="4"/>
      <c r="F201" s="4"/>
      <c r="G201" s="257"/>
      <c r="H201" s="536"/>
      <c r="I201" s="509"/>
      <c r="J201" s="509"/>
      <c r="K201" s="509"/>
      <c r="L201" s="509"/>
      <c r="M201" s="509">
        <v>0</v>
      </c>
      <c r="N201" s="509"/>
      <c r="O201" s="509"/>
      <c r="P201" s="509"/>
      <c r="Q201" s="509"/>
      <c r="R201" s="500"/>
    </row>
    <row r="202" spans="1:18" customFormat="1" x14ac:dyDescent="0.25">
      <c r="A202" s="500"/>
      <c r="B202" s="12" t="s">
        <v>884</v>
      </c>
      <c r="C202" s="4"/>
      <c r="D202" s="4"/>
      <c r="E202" s="4"/>
      <c r="F202" s="4"/>
      <c r="G202" s="257"/>
      <c r="H202" s="536"/>
      <c r="I202" s="509"/>
      <c r="J202" s="509"/>
      <c r="K202" s="509"/>
      <c r="L202" s="509"/>
      <c r="M202" s="509">
        <v>0</v>
      </c>
      <c r="N202" s="509"/>
      <c r="O202" s="509"/>
      <c r="P202" s="509"/>
      <c r="Q202" s="509"/>
      <c r="R202" s="500"/>
    </row>
    <row r="203" spans="1:18" customFormat="1" x14ac:dyDescent="0.25">
      <c r="A203" s="500"/>
      <c r="B203" s="258" t="s">
        <v>148</v>
      </c>
      <c r="C203" s="259"/>
      <c r="D203" s="259"/>
      <c r="E203" s="259"/>
      <c r="F203" s="259"/>
      <c r="G203" s="260"/>
      <c r="H203" s="536"/>
      <c r="I203" s="509"/>
      <c r="J203" s="509"/>
      <c r="K203" s="509"/>
      <c r="L203" s="509"/>
      <c r="M203" s="509">
        <v>0</v>
      </c>
      <c r="N203" s="509"/>
      <c r="O203" s="509"/>
      <c r="P203" s="509"/>
      <c r="Q203" s="509"/>
      <c r="R203" s="500"/>
    </row>
    <row r="204" spans="1:18" s="583" customFormat="1" x14ac:dyDescent="0.25">
      <c r="E204" s="583" t="s">
        <v>895</v>
      </c>
    </row>
    <row r="205" spans="1:18" customFormat="1" ht="30" customHeight="1" x14ac:dyDescent="0.25">
      <c r="A205" s="500"/>
      <c r="B205" s="615" t="s">
        <v>149</v>
      </c>
      <c r="C205" s="616"/>
      <c r="D205" s="616"/>
      <c r="E205" s="616"/>
      <c r="F205" s="616"/>
      <c r="G205" s="617"/>
      <c r="H205" s="536">
        <v>8.6470434099047949E-2</v>
      </c>
      <c r="I205" s="509"/>
      <c r="J205" s="509"/>
      <c r="K205" s="509"/>
      <c r="L205" s="509"/>
      <c r="M205" s="509"/>
      <c r="N205" s="509"/>
      <c r="O205" s="509"/>
      <c r="P205" s="509"/>
      <c r="Q205" s="509"/>
      <c r="R205" s="500"/>
    </row>
    <row r="206" spans="1:18" customFormat="1" x14ac:dyDescent="0.25">
      <c r="A206" s="500"/>
      <c r="B206" s="12" t="s">
        <v>150</v>
      </c>
      <c r="C206" s="4"/>
      <c r="D206" s="4"/>
      <c r="E206" s="4"/>
      <c r="F206" s="4"/>
      <c r="G206" s="257"/>
      <c r="H206" s="544">
        <v>20</v>
      </c>
      <c r="I206" s="515"/>
      <c r="J206" s="515"/>
      <c r="K206" s="515"/>
      <c r="L206" s="515"/>
      <c r="M206" s="515">
        <v>0</v>
      </c>
      <c r="N206" s="515"/>
      <c r="O206" s="515"/>
      <c r="P206" s="515"/>
      <c r="Q206" s="515"/>
      <c r="R206" s="500"/>
    </row>
    <row r="207" spans="1:18" customFormat="1" x14ac:dyDescent="0.25">
      <c r="A207" s="500"/>
      <c r="B207" s="258" t="s">
        <v>151</v>
      </c>
      <c r="C207" s="259"/>
      <c r="D207" s="259"/>
      <c r="E207" s="259"/>
      <c r="F207" s="259"/>
      <c r="G207" s="260"/>
      <c r="H207" s="552">
        <f>IF(H25*Input!$M$21&gt;0,(IF((H25*Input!$M$21*Input!$M$19/1000000)&gt;100000,Parameters!$M$146,IF(H25*Input!$M$21*Input!$M$19/1000000&gt;10000,Parameters!$M$146,IF((H25*Input!$M$21*Input!$M$19/1000000)&gt;1000,0.01,0.03)))),"")</f>
        <v>5.9999999999999995E-4</v>
      </c>
      <c r="I207" s="552">
        <f>IF(I25*Input!$M$21&gt;0,(IF((I25*Input!$M$21*Input!$M$19/1000000)&gt;100000,Parameters!$M$146,IF(I25*Input!$M$21*Input!$M$19/1000000&gt;10000,Parameters!$M$146,IF((I25*Input!$M$21*Input!$M$19/1000000)&gt;1000,0.01,0.03)))),"")</f>
        <v>0.01</v>
      </c>
      <c r="J207" s="552">
        <f>IF(J25*Input!$M$21&gt;0,(IF((J25*Input!$M$21*Input!$M$19/1000000)&gt;100000,Parameters!$M$146,IF(J25*Input!$M$21*Input!$M$19/1000000&gt;10000,Parameters!$M$146,IF((J25*Input!$M$21*Input!$M$19/1000000)&gt;1000,0.01,0.03)))),"")</f>
        <v>0.01</v>
      </c>
      <c r="K207" s="552">
        <f>IF(K25*Input!$M$21&gt;0,(IF((K25*Input!$M$21*Input!$M$19/1000000)&gt;100000,Parameters!$M$146,IF(K25*Input!$M$21*Input!$M$19/1000000&gt;10000,Parameters!$M$146,IF((K25*Input!$M$21*Input!$M$19/1000000)&gt;1000,0.01,0.03)))),"")</f>
        <v>0.01</v>
      </c>
      <c r="L207" s="552">
        <f>IF(L25*Input!$M$21&gt;0,(IF((L25*Input!$M$21*Input!$M$19/1000000)&gt;100000,Parameters!$M$146,IF(L25*Input!$M$21*Input!$M$19/1000000&gt;10000,Parameters!$M$146,IF((L25*Input!$M$21*Input!$M$19/1000000)&gt;1000,0.01,0.03)))),"")</f>
        <v>0.01</v>
      </c>
      <c r="M207" s="552">
        <f>IF(M25*Input!$M$21&gt;0,(IF((M25*Input!$M$21*Input!$M$19/1000000)&gt;100000,Parameters!$M$146,IF(M25*Input!$M$21*Input!$M$19/1000000&gt;10000,Parameters!$M$146,IF((M25*Input!$M$21*Input!$M$19/1000000)&gt;1000,0.01,0.03)))),"")</f>
        <v>0.01</v>
      </c>
      <c r="N207" s="552">
        <f>IF(N25*Input!$M$21&gt;0,(IF((N25*Input!$M$21*Input!$M$19/1000000)&gt;100000,Parameters!$M$146,IF(N25*Input!$M$21*Input!$M$19/1000000&gt;10000,Parameters!$M$146,IF((N25*Input!$M$21*Input!$M$19/1000000)&gt;1000,0.01,0.03)))),"")</f>
        <v>0.01</v>
      </c>
      <c r="O207" s="552">
        <f>IF(O25*Input!$M$21&gt;0,(IF((O25*Input!$M$21*Input!$M$19/1000000)&gt;100000,Parameters!$M$146,IF(O25*Input!$M$21*Input!$M$19/1000000&gt;10000,Parameters!$M$146,IF((O25*Input!$M$21*Input!$M$19/1000000)&gt;1000,0.01,0.03)))),"")</f>
        <v>0.01</v>
      </c>
      <c r="P207" s="552">
        <f>IF(P25*Input!$M$21&gt;0,(IF((P25*Input!$M$21*Input!$M$19/1000000)&gt;100000,Parameters!$M$146,IF(P25*Input!$M$21*Input!$M$19/1000000&gt;10000,Parameters!$M$146,IF((P25*Input!$M$21*Input!$M$19/1000000)&gt;1000,0.01,0.03)))),"")</f>
        <v>0.03</v>
      </c>
      <c r="Q207" s="552">
        <f>IF(Q25*Input!$M$21&gt;0,(IF((Q25*Input!$M$21*Input!$M$19/1000000)&gt;100000,Parameters!$M$146,IF(Q25*Input!$M$21*Input!$M$19/1000000&gt;10000,Parameters!$M$146,IF((Q25*Input!$M$21*Input!$M$19/1000000)&gt;1000,0.01,0.03)))),"")</f>
        <v>0.01</v>
      </c>
      <c r="R207" s="500"/>
    </row>
    <row r="208" spans="1:18" s="583" customFormat="1" x14ac:dyDescent="0.25"/>
    <row r="209" spans="1:18" s="583" customFormat="1" ht="18.75" x14ac:dyDescent="0.3">
      <c r="B209" s="584" t="s">
        <v>76</v>
      </c>
    </row>
    <row r="210" spans="1:18" s="583" customFormat="1" x14ac:dyDescent="0.25"/>
    <row r="211" spans="1:18" customFormat="1" x14ac:dyDescent="0.25">
      <c r="A211" s="500"/>
      <c r="B211" s="618" t="s">
        <v>116</v>
      </c>
      <c r="C211" s="619"/>
      <c r="D211" s="533"/>
      <c r="E211" s="533"/>
      <c r="F211" s="533"/>
      <c r="G211" s="534"/>
      <c r="H211" s="583"/>
      <c r="I211" s="583"/>
      <c r="J211" s="583"/>
      <c r="K211" s="583"/>
      <c r="L211" s="583"/>
      <c r="M211" s="583"/>
      <c r="N211" s="583"/>
      <c r="O211" s="583"/>
      <c r="P211" s="583"/>
      <c r="Q211" s="583"/>
      <c r="R211" s="500"/>
    </row>
    <row r="212" spans="1:18" customFormat="1" x14ac:dyDescent="0.25">
      <c r="A212" s="500"/>
      <c r="B212" s="19" t="s">
        <v>152</v>
      </c>
      <c r="C212" s="2"/>
      <c r="D212" s="2"/>
      <c r="E212" s="2"/>
      <c r="F212" s="2"/>
      <c r="G212" s="3"/>
      <c r="H212" s="535">
        <v>111.73</v>
      </c>
      <c r="I212" s="508">
        <v>0</v>
      </c>
      <c r="J212" s="508">
        <v>10.454285714285714</v>
      </c>
      <c r="K212" s="508">
        <v>0</v>
      </c>
      <c r="L212" s="508">
        <v>0</v>
      </c>
      <c r="M212" s="508">
        <v>107.58397084526717</v>
      </c>
      <c r="N212" s="508">
        <v>207.84</v>
      </c>
      <c r="O212" s="508">
        <v>0</v>
      </c>
      <c r="P212" s="508">
        <v>0</v>
      </c>
      <c r="Q212" s="508">
        <v>0</v>
      </c>
      <c r="R212" s="500"/>
    </row>
    <row r="213" spans="1:18" customFormat="1" x14ac:dyDescent="0.25">
      <c r="A213" s="500"/>
      <c r="B213" s="20" t="s">
        <v>153</v>
      </c>
      <c r="C213" s="4"/>
      <c r="D213" s="4"/>
      <c r="E213" s="4"/>
      <c r="F213" s="4"/>
      <c r="G213" s="257"/>
      <c r="H213" s="535">
        <v>251.47</v>
      </c>
      <c r="I213" s="508">
        <v>0</v>
      </c>
      <c r="J213" s="508">
        <v>3.9685714285714284</v>
      </c>
      <c r="K213" s="508">
        <v>0</v>
      </c>
      <c r="L213" s="508">
        <v>0</v>
      </c>
      <c r="M213" s="508">
        <v>0</v>
      </c>
      <c r="N213" s="508">
        <v>10.16</v>
      </c>
      <c r="O213" s="508">
        <v>68.727500000000006</v>
      </c>
      <c r="P213" s="508">
        <v>4.8848373949527737</v>
      </c>
      <c r="Q213" s="508">
        <v>1.7454545454545456</v>
      </c>
      <c r="R213" s="500"/>
    </row>
    <row r="214" spans="1:18" customFormat="1" x14ac:dyDescent="0.25">
      <c r="A214" s="500"/>
      <c r="B214" s="20" t="s">
        <v>154</v>
      </c>
      <c r="C214" s="4"/>
      <c r="D214" s="4"/>
      <c r="E214" s="4"/>
      <c r="F214" s="4"/>
      <c r="G214" s="257"/>
      <c r="H214" s="535">
        <v>1855.4349999999999</v>
      </c>
      <c r="I214" s="508">
        <v>1910.6724999999999</v>
      </c>
      <c r="J214" s="508">
        <v>588.45857142857142</v>
      </c>
      <c r="K214" s="508">
        <v>2049.8159999999998</v>
      </c>
      <c r="L214" s="508">
        <v>913.18</v>
      </c>
      <c r="M214" s="508">
        <v>168.02971203707159</v>
      </c>
      <c r="N214" s="508">
        <v>510.31</v>
      </c>
      <c r="O214" s="508">
        <v>622.57249999999999</v>
      </c>
      <c r="P214" s="508">
        <v>150.17743683457374</v>
      </c>
      <c r="Q214" s="508">
        <v>0</v>
      </c>
      <c r="R214" s="500"/>
    </row>
    <row r="215" spans="1:18" customFormat="1" x14ac:dyDescent="0.25">
      <c r="A215" s="500"/>
      <c r="B215" s="20" t="s">
        <v>155</v>
      </c>
      <c r="C215" s="4"/>
      <c r="D215" s="4"/>
      <c r="E215" s="4"/>
      <c r="F215" s="4"/>
      <c r="G215" s="257"/>
      <c r="H215" s="535">
        <v>0</v>
      </c>
      <c r="I215" s="508">
        <v>0</v>
      </c>
      <c r="J215" s="508">
        <v>0</v>
      </c>
      <c r="K215" s="508">
        <v>0</v>
      </c>
      <c r="L215" s="508">
        <v>0</v>
      </c>
      <c r="M215" s="508">
        <v>0</v>
      </c>
      <c r="N215" s="508">
        <v>0</v>
      </c>
      <c r="O215" s="508">
        <v>0</v>
      </c>
      <c r="P215" s="508">
        <v>0</v>
      </c>
      <c r="Q215" s="508">
        <v>0</v>
      </c>
      <c r="R215" s="500"/>
    </row>
    <row r="216" spans="1:18" customFormat="1" x14ac:dyDescent="0.25">
      <c r="A216" s="500"/>
      <c r="B216" s="20" t="s">
        <v>41</v>
      </c>
      <c r="C216" s="4"/>
      <c r="D216" s="4"/>
      <c r="E216" s="4"/>
      <c r="F216" s="4"/>
      <c r="G216" s="257"/>
      <c r="H216" s="535">
        <v>1254.43</v>
      </c>
      <c r="I216" s="508">
        <v>201.7225</v>
      </c>
      <c r="J216" s="508">
        <v>852.01428571428573</v>
      </c>
      <c r="K216" s="508">
        <v>1686.7760000000001</v>
      </c>
      <c r="L216" s="508">
        <v>0</v>
      </c>
      <c r="M216" s="508">
        <v>0</v>
      </c>
      <c r="N216" s="508">
        <v>0</v>
      </c>
      <c r="O216" s="508">
        <v>0</v>
      </c>
      <c r="P216" s="508">
        <v>0</v>
      </c>
      <c r="Q216" s="508">
        <v>0</v>
      </c>
      <c r="R216" s="500"/>
    </row>
    <row r="217" spans="1:18" x14ac:dyDescent="0.25">
      <c r="B217" s="20"/>
      <c r="C217" s="4"/>
      <c r="D217" s="4"/>
      <c r="E217" s="4"/>
      <c r="F217" s="4"/>
      <c r="G217" s="257"/>
      <c r="H217" s="535"/>
      <c r="I217" s="508"/>
      <c r="J217" s="508"/>
      <c r="K217" s="508"/>
      <c r="L217" s="508"/>
      <c r="M217" s="508"/>
      <c r="N217" s="508"/>
      <c r="O217" s="508"/>
      <c r="P217" s="508"/>
      <c r="Q217" s="508"/>
    </row>
    <row r="218" spans="1:18" x14ac:dyDescent="0.25">
      <c r="B218" s="20"/>
      <c r="C218" s="4"/>
      <c r="D218" s="4"/>
      <c r="E218" s="4"/>
      <c r="F218" s="4"/>
      <c r="G218" s="257"/>
      <c r="H218" s="535"/>
      <c r="I218" s="508"/>
      <c r="J218" s="508"/>
      <c r="K218" s="508"/>
      <c r="L218" s="508"/>
      <c r="M218" s="508"/>
      <c r="N218" s="508"/>
      <c r="O218" s="508"/>
      <c r="P218" s="508"/>
      <c r="Q218" s="508"/>
    </row>
    <row r="219" spans="1:18" x14ac:dyDescent="0.25">
      <c r="B219" s="20"/>
      <c r="C219" s="4"/>
      <c r="D219" s="4"/>
      <c r="E219" s="4"/>
      <c r="F219" s="4"/>
      <c r="G219" s="257"/>
      <c r="H219" s="535"/>
      <c r="I219" s="508"/>
      <c r="J219" s="508"/>
      <c r="K219" s="508"/>
      <c r="L219" s="508"/>
      <c r="M219" s="508"/>
      <c r="N219" s="508"/>
      <c r="O219" s="508"/>
      <c r="P219" s="508"/>
      <c r="Q219" s="508"/>
    </row>
    <row r="220" spans="1:18" x14ac:dyDescent="0.25">
      <c r="B220" s="20"/>
      <c r="C220" s="4"/>
      <c r="D220" s="4"/>
      <c r="E220" s="4"/>
      <c r="F220" s="4"/>
      <c r="G220" s="257"/>
      <c r="H220" s="535"/>
      <c r="I220" s="508"/>
      <c r="J220" s="508"/>
      <c r="K220" s="508"/>
      <c r="L220" s="508"/>
      <c r="M220" s="508"/>
      <c r="N220" s="508"/>
      <c r="O220" s="508"/>
      <c r="P220" s="508"/>
      <c r="Q220" s="508"/>
    </row>
    <row r="221" spans="1:18" x14ac:dyDescent="0.25">
      <c r="B221" s="526"/>
      <c r="C221" s="6"/>
      <c r="D221" s="6"/>
      <c r="E221" s="6"/>
      <c r="F221" s="6"/>
      <c r="G221" s="260"/>
      <c r="H221" s="535"/>
      <c r="I221" s="508"/>
      <c r="J221" s="508"/>
      <c r="K221" s="508"/>
      <c r="L221" s="508"/>
      <c r="M221" s="508"/>
      <c r="N221" s="508"/>
      <c r="O221" s="508"/>
      <c r="P221" s="508"/>
      <c r="Q221" s="508"/>
    </row>
    <row r="222" spans="1:18" s="583" customFormat="1" x14ac:dyDescent="0.25"/>
    <row r="223" spans="1:18" customFormat="1" x14ac:dyDescent="0.25">
      <c r="A223" s="500"/>
      <c r="B223" s="553" t="s">
        <v>1445</v>
      </c>
      <c r="C223" s="554"/>
      <c r="D223" s="533"/>
      <c r="E223" s="533"/>
      <c r="F223" s="533"/>
      <c r="G223" s="534"/>
      <c r="H223" s="583"/>
      <c r="I223" s="583"/>
      <c r="J223" s="583"/>
      <c r="K223" s="583"/>
      <c r="L223" s="583"/>
      <c r="M223" s="583"/>
      <c r="N223" s="583"/>
      <c r="O223" s="583"/>
      <c r="P223" s="583"/>
      <c r="Q223" s="583"/>
      <c r="R223" s="500"/>
    </row>
    <row r="224" spans="1:18" customFormat="1" x14ac:dyDescent="0.25">
      <c r="A224" s="500"/>
      <c r="B224" s="19" t="s">
        <v>152</v>
      </c>
      <c r="C224" s="2"/>
      <c r="D224" s="2"/>
      <c r="E224" s="2"/>
      <c r="F224" s="2"/>
      <c r="G224" s="3"/>
      <c r="H224" s="535">
        <v>0</v>
      </c>
      <c r="I224" s="508">
        <v>0</v>
      </c>
      <c r="J224" s="508">
        <v>0</v>
      </c>
      <c r="K224" s="508">
        <v>0</v>
      </c>
      <c r="L224" s="508">
        <v>0</v>
      </c>
      <c r="M224" s="508">
        <v>0</v>
      </c>
      <c r="N224" s="508">
        <v>0</v>
      </c>
      <c r="O224" s="508">
        <v>0</v>
      </c>
      <c r="P224" s="508">
        <v>0</v>
      </c>
      <c r="Q224" s="508">
        <v>0</v>
      </c>
      <c r="R224" s="500"/>
    </row>
    <row r="225" spans="1:18" customFormat="1" x14ac:dyDescent="0.25">
      <c r="A225" s="500"/>
      <c r="B225" s="20" t="s">
        <v>153</v>
      </c>
      <c r="C225" s="4"/>
      <c r="D225" s="4"/>
      <c r="E225" s="4"/>
      <c r="F225" s="4"/>
      <c r="G225" s="257"/>
      <c r="H225" s="535">
        <v>0</v>
      </c>
      <c r="I225" s="508">
        <v>0</v>
      </c>
      <c r="J225" s="508">
        <v>0</v>
      </c>
      <c r="K225" s="508">
        <v>0</v>
      </c>
      <c r="L225" s="508">
        <v>0</v>
      </c>
      <c r="M225" s="508">
        <v>0</v>
      </c>
      <c r="N225" s="508">
        <v>0</v>
      </c>
      <c r="O225" s="508">
        <v>0</v>
      </c>
      <c r="P225" s="508">
        <v>0</v>
      </c>
      <c r="Q225" s="508">
        <v>42.6</v>
      </c>
      <c r="R225" s="500"/>
    </row>
    <row r="226" spans="1:18" customFormat="1" x14ac:dyDescent="0.25">
      <c r="A226" s="500"/>
      <c r="B226" s="20" t="s">
        <v>154</v>
      </c>
      <c r="C226" s="4"/>
      <c r="D226" s="4"/>
      <c r="E226" s="4"/>
      <c r="F226" s="4"/>
      <c r="G226" s="257"/>
      <c r="H226" s="535">
        <v>0</v>
      </c>
      <c r="I226" s="508">
        <v>0</v>
      </c>
      <c r="J226" s="508">
        <v>0</v>
      </c>
      <c r="K226" s="508">
        <v>0</v>
      </c>
      <c r="L226" s="508">
        <v>0</v>
      </c>
      <c r="M226" s="508">
        <v>0</v>
      </c>
      <c r="N226" s="508">
        <v>0</v>
      </c>
      <c r="O226" s="508">
        <v>0</v>
      </c>
      <c r="P226" s="508">
        <v>0</v>
      </c>
      <c r="Q226" s="508">
        <v>41.045454545454547</v>
      </c>
      <c r="R226" s="500"/>
    </row>
    <row r="227" spans="1:18" customFormat="1" x14ac:dyDescent="0.25">
      <c r="A227" s="500"/>
      <c r="B227" s="20" t="s">
        <v>155</v>
      </c>
      <c r="C227" s="4"/>
      <c r="D227" s="4"/>
      <c r="E227" s="4"/>
      <c r="F227" s="4"/>
      <c r="G227" s="257"/>
      <c r="H227" s="535">
        <v>922.89499999999998</v>
      </c>
      <c r="I227" s="508">
        <v>0</v>
      </c>
      <c r="J227" s="508">
        <v>13.442142857142857</v>
      </c>
      <c r="K227" s="508">
        <v>0</v>
      </c>
      <c r="L227" s="508">
        <v>0</v>
      </c>
      <c r="M227" s="508">
        <v>0</v>
      </c>
      <c r="N227" s="508">
        <v>60.604999999999997</v>
      </c>
      <c r="O227" s="508">
        <v>0</v>
      </c>
      <c r="P227" s="508">
        <v>0</v>
      </c>
      <c r="Q227" s="508">
        <v>15.763636363636365</v>
      </c>
      <c r="R227" s="500"/>
    </row>
    <row r="228" spans="1:18" customFormat="1" x14ac:dyDescent="0.25">
      <c r="A228" s="500"/>
      <c r="B228" s="20" t="s">
        <v>41</v>
      </c>
      <c r="C228" s="4"/>
      <c r="D228" s="4"/>
      <c r="E228" s="4"/>
      <c r="F228" s="4"/>
      <c r="G228" s="257"/>
      <c r="H228" s="535">
        <v>0</v>
      </c>
      <c r="I228" s="508">
        <v>0</v>
      </c>
      <c r="J228" s="508">
        <v>0</v>
      </c>
      <c r="K228" s="508">
        <v>0</v>
      </c>
      <c r="L228" s="508">
        <v>0</v>
      </c>
      <c r="M228" s="508">
        <v>0</v>
      </c>
      <c r="N228" s="508">
        <v>0</v>
      </c>
      <c r="O228" s="508">
        <v>0</v>
      </c>
      <c r="P228" s="508">
        <v>0</v>
      </c>
      <c r="Q228" s="508">
        <v>9.4363636363636374</v>
      </c>
      <c r="R228" s="500"/>
    </row>
    <row r="229" spans="1:18" x14ac:dyDescent="0.25">
      <c r="B229" s="20"/>
      <c r="C229" s="4"/>
      <c r="D229" s="4"/>
      <c r="E229" s="4"/>
      <c r="F229" s="4"/>
      <c r="G229" s="257"/>
      <c r="H229" s="535"/>
      <c r="I229" s="508"/>
      <c r="J229" s="508"/>
      <c r="K229" s="508"/>
      <c r="L229" s="508"/>
      <c r="M229" s="508"/>
      <c r="N229" s="508"/>
      <c r="O229" s="508"/>
      <c r="P229" s="508"/>
      <c r="Q229" s="508"/>
    </row>
    <row r="230" spans="1:18" x14ac:dyDescent="0.25">
      <c r="B230" s="20"/>
      <c r="C230" s="4"/>
      <c r="D230" s="4"/>
      <c r="E230" s="4"/>
      <c r="F230" s="4"/>
      <c r="G230" s="257"/>
      <c r="H230" s="535"/>
      <c r="I230" s="508"/>
      <c r="J230" s="508"/>
      <c r="K230" s="508"/>
      <c r="L230" s="508"/>
      <c r="M230" s="508"/>
      <c r="N230" s="508"/>
      <c r="O230" s="508"/>
      <c r="P230" s="508"/>
      <c r="Q230" s="508"/>
    </row>
    <row r="231" spans="1:18" x14ac:dyDescent="0.25">
      <c r="B231" s="20"/>
      <c r="C231" s="4"/>
      <c r="D231" s="4"/>
      <c r="E231" s="4"/>
      <c r="F231" s="4"/>
      <c r="G231" s="257"/>
      <c r="H231" s="535"/>
      <c r="I231" s="508"/>
      <c r="J231" s="508"/>
      <c r="K231" s="508"/>
      <c r="L231" s="508"/>
      <c r="M231" s="508"/>
      <c r="N231" s="508"/>
      <c r="O231" s="508"/>
      <c r="P231" s="508"/>
      <c r="Q231" s="508"/>
    </row>
    <row r="232" spans="1:18" x14ac:dyDescent="0.25">
      <c r="B232" s="20"/>
      <c r="C232" s="4"/>
      <c r="D232" s="4"/>
      <c r="E232" s="4"/>
      <c r="F232" s="4"/>
      <c r="G232" s="257"/>
      <c r="H232" s="535"/>
      <c r="I232" s="508"/>
      <c r="J232" s="508"/>
      <c r="K232" s="508"/>
      <c r="L232" s="508"/>
      <c r="M232" s="508"/>
      <c r="N232" s="508"/>
      <c r="O232" s="508"/>
      <c r="P232" s="508"/>
      <c r="Q232" s="508"/>
    </row>
    <row r="233" spans="1:18" x14ac:dyDescent="0.25">
      <c r="B233" s="526"/>
      <c r="C233" s="6"/>
      <c r="D233" s="6"/>
      <c r="E233" s="6"/>
      <c r="F233" s="6"/>
      <c r="G233" s="260"/>
      <c r="H233" s="535"/>
      <c r="I233" s="508"/>
      <c r="J233" s="508"/>
      <c r="K233" s="508"/>
      <c r="L233" s="508"/>
      <c r="M233" s="508"/>
      <c r="N233" s="508"/>
      <c r="O233" s="508"/>
      <c r="P233" s="508"/>
      <c r="Q233" s="508"/>
    </row>
    <row r="234" spans="1:18" s="583" customFormat="1" x14ac:dyDescent="0.25"/>
    <row r="235" spans="1:18" customFormat="1" x14ac:dyDescent="0.25">
      <c r="A235" s="500"/>
      <c r="B235" s="553" t="s">
        <v>1446</v>
      </c>
      <c r="C235" s="554"/>
      <c r="D235" s="533"/>
      <c r="E235" s="533"/>
      <c r="F235" s="533"/>
      <c r="G235" s="534"/>
      <c r="H235" s="583"/>
      <c r="I235" s="583"/>
      <c r="J235" s="583"/>
      <c r="K235" s="583"/>
      <c r="L235" s="583"/>
      <c r="M235" s="583"/>
      <c r="N235" s="583"/>
      <c r="O235" s="583"/>
      <c r="P235" s="583"/>
      <c r="Q235" s="583"/>
      <c r="R235" s="500"/>
    </row>
    <row r="236" spans="1:18" customFormat="1" x14ac:dyDescent="0.25">
      <c r="A236" s="500"/>
      <c r="B236" s="19" t="s">
        <v>152</v>
      </c>
      <c r="C236" s="2"/>
      <c r="D236" s="2"/>
      <c r="E236" s="2"/>
      <c r="F236" s="2"/>
      <c r="G236" s="3"/>
      <c r="H236" s="535">
        <v>0</v>
      </c>
      <c r="I236" s="508">
        <v>0</v>
      </c>
      <c r="J236" s="508">
        <v>0</v>
      </c>
      <c r="K236" s="508">
        <v>0</v>
      </c>
      <c r="L236" s="508">
        <v>0</v>
      </c>
      <c r="M236" s="508">
        <v>0</v>
      </c>
      <c r="N236" s="508">
        <v>0</v>
      </c>
      <c r="O236" s="508">
        <v>0</v>
      </c>
      <c r="P236" s="508">
        <v>0</v>
      </c>
      <c r="Q236" s="508">
        <v>130</v>
      </c>
      <c r="R236" s="500"/>
    </row>
    <row r="237" spans="1:18" customFormat="1" x14ac:dyDescent="0.25">
      <c r="A237" s="500"/>
      <c r="B237" s="20" t="s">
        <v>153</v>
      </c>
      <c r="C237" s="4"/>
      <c r="D237" s="4"/>
      <c r="E237" s="4"/>
      <c r="F237" s="4"/>
      <c r="G237" s="257"/>
      <c r="H237" s="535">
        <v>0</v>
      </c>
      <c r="I237" s="508">
        <v>0</v>
      </c>
      <c r="J237" s="508">
        <v>0</v>
      </c>
      <c r="K237" s="508">
        <v>0</v>
      </c>
      <c r="L237" s="508">
        <v>0</v>
      </c>
      <c r="M237" s="508">
        <v>0</v>
      </c>
      <c r="N237" s="508">
        <v>0</v>
      </c>
      <c r="O237" s="508">
        <v>0</v>
      </c>
      <c r="P237" s="508">
        <v>0</v>
      </c>
      <c r="Q237" s="508">
        <v>0</v>
      </c>
      <c r="R237" s="500"/>
    </row>
    <row r="238" spans="1:18" customFormat="1" x14ac:dyDescent="0.25">
      <c r="A238" s="500"/>
      <c r="B238" s="20" t="s">
        <v>154</v>
      </c>
      <c r="C238" s="4"/>
      <c r="D238" s="4"/>
      <c r="E238" s="4"/>
      <c r="F238" s="4"/>
      <c r="G238" s="257"/>
      <c r="H238" s="535">
        <v>0</v>
      </c>
      <c r="I238" s="508">
        <v>0</v>
      </c>
      <c r="J238" s="508">
        <v>0</v>
      </c>
      <c r="K238" s="508">
        <v>0</v>
      </c>
      <c r="L238" s="508">
        <v>0</v>
      </c>
      <c r="M238" s="508">
        <v>0</v>
      </c>
      <c r="N238" s="508">
        <v>0</v>
      </c>
      <c r="O238" s="508">
        <v>0</v>
      </c>
      <c r="P238" s="508">
        <v>0</v>
      </c>
      <c r="Q238" s="508">
        <v>125</v>
      </c>
      <c r="R238" s="500"/>
    </row>
    <row r="239" spans="1:18" customFormat="1" x14ac:dyDescent="0.25">
      <c r="A239" s="500"/>
      <c r="B239" s="20" t="s">
        <v>155</v>
      </c>
      <c r="C239" s="4"/>
      <c r="D239" s="4"/>
      <c r="E239" s="4"/>
      <c r="F239" s="4"/>
      <c r="G239" s="257"/>
      <c r="H239" s="535">
        <v>922.89499999999998</v>
      </c>
      <c r="I239" s="508">
        <v>0</v>
      </c>
      <c r="J239" s="508">
        <v>13.442142857142857</v>
      </c>
      <c r="K239" s="508">
        <v>0</v>
      </c>
      <c r="L239" s="508">
        <v>0</v>
      </c>
      <c r="M239" s="508">
        <v>0</v>
      </c>
      <c r="N239" s="508">
        <v>60.604999999999997</v>
      </c>
      <c r="O239" s="508">
        <v>0</v>
      </c>
      <c r="P239" s="508">
        <v>0</v>
      </c>
      <c r="Q239" s="508">
        <v>0</v>
      </c>
      <c r="R239" s="500"/>
    </row>
    <row r="240" spans="1:18" customFormat="1" x14ac:dyDescent="0.25">
      <c r="A240" s="500"/>
      <c r="B240" s="20" t="s">
        <v>41</v>
      </c>
      <c r="C240" s="4"/>
      <c r="D240" s="4"/>
      <c r="E240" s="4"/>
      <c r="F240" s="4"/>
      <c r="G240" s="257"/>
      <c r="H240" s="535">
        <v>0</v>
      </c>
      <c r="I240" s="508">
        <v>0</v>
      </c>
      <c r="J240" s="508">
        <v>0</v>
      </c>
      <c r="K240" s="508">
        <v>0</v>
      </c>
      <c r="L240" s="508">
        <v>0</v>
      </c>
      <c r="M240" s="508">
        <v>0</v>
      </c>
      <c r="N240" s="508">
        <v>0</v>
      </c>
      <c r="O240" s="508">
        <v>0</v>
      </c>
      <c r="P240" s="508">
        <v>0</v>
      </c>
      <c r="Q240" s="508">
        <v>0</v>
      </c>
      <c r="R240" s="500"/>
    </row>
    <row r="241" spans="1:18" x14ac:dyDescent="0.25">
      <c r="B241" s="20"/>
      <c r="C241" s="4"/>
      <c r="D241" s="4"/>
      <c r="E241" s="4"/>
      <c r="F241" s="4"/>
      <c r="G241" s="257"/>
      <c r="H241" s="535"/>
      <c r="I241" s="508"/>
      <c r="J241" s="508"/>
      <c r="K241" s="508"/>
      <c r="L241" s="508"/>
      <c r="M241" s="508"/>
      <c r="N241" s="508"/>
      <c r="O241" s="508"/>
      <c r="P241" s="508"/>
      <c r="Q241" s="508"/>
    </row>
    <row r="242" spans="1:18" x14ac:dyDescent="0.25">
      <c r="B242" s="20"/>
      <c r="C242" s="4"/>
      <c r="D242" s="4"/>
      <c r="E242" s="4"/>
      <c r="F242" s="4"/>
      <c r="G242" s="257"/>
      <c r="H242" s="535"/>
      <c r="I242" s="508"/>
      <c r="J242" s="508"/>
      <c r="K242" s="508"/>
      <c r="L242" s="508"/>
      <c r="M242" s="508"/>
      <c r="N242" s="508"/>
      <c r="O242" s="508"/>
      <c r="P242" s="508"/>
      <c r="Q242" s="508"/>
    </row>
    <row r="243" spans="1:18" x14ac:dyDescent="0.25">
      <c r="B243" s="20"/>
      <c r="C243" s="4"/>
      <c r="D243" s="4"/>
      <c r="E243" s="4"/>
      <c r="F243" s="4"/>
      <c r="G243" s="257"/>
      <c r="H243" s="535"/>
      <c r="I243" s="508"/>
      <c r="J243" s="508"/>
      <c r="K243" s="508"/>
      <c r="L243" s="508"/>
      <c r="M243" s="508"/>
      <c r="N243" s="508"/>
      <c r="O243" s="508"/>
      <c r="P243" s="508"/>
      <c r="Q243" s="508"/>
    </row>
    <row r="244" spans="1:18" x14ac:dyDescent="0.25">
      <c r="B244" s="20"/>
      <c r="C244" s="4"/>
      <c r="D244" s="4"/>
      <c r="E244" s="4"/>
      <c r="F244" s="4"/>
      <c r="G244" s="257"/>
      <c r="H244" s="535"/>
      <c r="I244" s="508"/>
      <c r="J244" s="508"/>
      <c r="K244" s="508"/>
      <c r="L244" s="508"/>
      <c r="M244" s="508"/>
      <c r="N244" s="508"/>
      <c r="O244" s="508"/>
      <c r="P244" s="508"/>
      <c r="Q244" s="508"/>
    </row>
    <row r="245" spans="1:18" x14ac:dyDescent="0.25">
      <c r="B245" s="526"/>
      <c r="C245" s="6"/>
      <c r="D245" s="6"/>
      <c r="E245" s="6"/>
      <c r="F245" s="6"/>
      <c r="G245" s="260"/>
      <c r="H245" s="535"/>
      <c r="I245" s="508"/>
      <c r="J245" s="508"/>
      <c r="K245" s="508"/>
      <c r="L245" s="508"/>
      <c r="M245" s="508"/>
      <c r="N245" s="508"/>
      <c r="O245" s="508"/>
      <c r="P245" s="508"/>
      <c r="Q245" s="508"/>
    </row>
    <row r="246" spans="1:18" s="583" customFormat="1" x14ac:dyDescent="0.25"/>
    <row r="247" spans="1:18" customFormat="1" x14ac:dyDescent="0.25">
      <c r="A247" s="500"/>
      <c r="B247" s="11" t="s">
        <v>156</v>
      </c>
      <c r="C247" s="2"/>
      <c r="D247" s="2"/>
      <c r="E247" s="2"/>
      <c r="F247" s="2"/>
      <c r="G247" s="3"/>
      <c r="H247" s="536"/>
      <c r="I247" s="509"/>
      <c r="J247" s="509"/>
      <c r="K247" s="509"/>
      <c r="L247" s="509"/>
      <c r="M247" s="509">
        <v>0</v>
      </c>
      <c r="N247" s="509"/>
      <c r="O247" s="509"/>
      <c r="P247" s="509"/>
      <c r="Q247" s="509"/>
      <c r="R247" s="500"/>
    </row>
    <row r="248" spans="1:18" customFormat="1" x14ac:dyDescent="0.25">
      <c r="A248" s="500"/>
      <c r="B248" s="258" t="s">
        <v>157</v>
      </c>
      <c r="C248" s="259"/>
      <c r="D248" s="259"/>
      <c r="E248" s="259"/>
      <c r="F248" s="259"/>
      <c r="G248" s="260"/>
      <c r="H248" s="536">
        <v>1254.43</v>
      </c>
      <c r="I248" s="509">
        <v>201.7225</v>
      </c>
      <c r="J248" s="509">
        <v>852.01428571428573</v>
      </c>
      <c r="K248" s="509">
        <v>1686.7760000000001</v>
      </c>
      <c r="L248" s="509" t="s">
        <v>786</v>
      </c>
      <c r="M248" s="509" t="s">
        <v>786</v>
      </c>
      <c r="N248" s="509" t="s">
        <v>786</v>
      </c>
      <c r="O248" s="509" t="s">
        <v>786</v>
      </c>
      <c r="P248" s="509" t="s">
        <v>786</v>
      </c>
      <c r="Q248" s="509" t="s">
        <v>786</v>
      </c>
      <c r="R248" s="500"/>
    </row>
    <row r="249" spans="1:18" s="583" customFormat="1" x14ac:dyDescent="0.25">
      <c r="E249" s="583" t="s">
        <v>895</v>
      </c>
    </row>
    <row r="250" spans="1:18" customFormat="1" x14ac:dyDescent="0.25">
      <c r="A250" s="500"/>
      <c r="B250" s="11" t="s">
        <v>158</v>
      </c>
      <c r="C250" s="2"/>
      <c r="D250" s="2"/>
      <c r="E250" s="2"/>
      <c r="F250" s="2"/>
      <c r="G250" s="3"/>
      <c r="H250" s="536"/>
      <c r="I250" s="509"/>
      <c r="J250" s="509"/>
      <c r="K250" s="509"/>
      <c r="L250" s="509"/>
      <c r="M250" s="509">
        <v>0</v>
      </c>
      <c r="N250" s="509"/>
      <c r="O250" s="509"/>
      <c r="P250" s="509"/>
      <c r="Q250" s="509"/>
      <c r="R250" s="500"/>
    </row>
    <row r="251" spans="1:18" customFormat="1" x14ac:dyDescent="0.25">
      <c r="A251" s="500"/>
      <c r="B251" s="12" t="s">
        <v>159</v>
      </c>
      <c r="C251" s="4"/>
      <c r="D251" s="4"/>
      <c r="E251" s="4"/>
      <c r="F251" s="4"/>
      <c r="G251" s="257"/>
      <c r="H251" s="528">
        <v>508.94499999999999</v>
      </c>
      <c r="I251" s="43">
        <v>0</v>
      </c>
      <c r="J251" s="43">
        <v>0</v>
      </c>
      <c r="K251" s="43">
        <v>0</v>
      </c>
      <c r="L251" s="43">
        <v>0</v>
      </c>
      <c r="M251" s="43">
        <v>0</v>
      </c>
      <c r="N251" s="43">
        <v>0</v>
      </c>
      <c r="O251" s="43">
        <v>0</v>
      </c>
      <c r="P251" s="43">
        <v>0</v>
      </c>
      <c r="Q251" s="43">
        <v>194.70000000000005</v>
      </c>
      <c r="R251" s="500"/>
    </row>
    <row r="252" spans="1:18" customFormat="1" x14ac:dyDescent="0.25">
      <c r="A252" s="500"/>
      <c r="B252" s="20" t="s">
        <v>160</v>
      </c>
      <c r="C252" s="4"/>
      <c r="D252" s="4"/>
      <c r="E252" s="4"/>
      <c r="F252" s="4"/>
      <c r="G252" s="257"/>
      <c r="H252" s="528">
        <v>0</v>
      </c>
      <c r="I252" s="43">
        <v>0</v>
      </c>
      <c r="J252" s="43">
        <v>0</v>
      </c>
      <c r="K252" s="43">
        <v>0</v>
      </c>
      <c r="L252" s="43">
        <v>0</v>
      </c>
      <c r="M252" s="43">
        <v>0</v>
      </c>
      <c r="N252" s="43">
        <v>0</v>
      </c>
      <c r="O252" s="43">
        <v>0</v>
      </c>
      <c r="P252" s="43">
        <v>0</v>
      </c>
      <c r="Q252" s="43">
        <v>161.3727272727273</v>
      </c>
      <c r="R252" s="500"/>
    </row>
    <row r="253" spans="1:18" customFormat="1" x14ac:dyDescent="0.25">
      <c r="A253" s="500"/>
      <c r="B253" s="20" t="s">
        <v>161</v>
      </c>
      <c r="C253" s="4"/>
      <c r="D253" s="4"/>
      <c r="E253" s="4"/>
      <c r="F253" s="4"/>
      <c r="G253" s="257"/>
      <c r="H253" s="528">
        <v>126.42</v>
      </c>
      <c r="I253" s="43">
        <v>0</v>
      </c>
      <c r="J253" s="43">
        <v>0</v>
      </c>
      <c r="K253" s="43">
        <v>0</v>
      </c>
      <c r="L253" s="43">
        <v>0</v>
      </c>
      <c r="M253" s="43">
        <v>0</v>
      </c>
      <c r="N253" s="43">
        <v>0</v>
      </c>
      <c r="O253" s="43">
        <v>0</v>
      </c>
      <c r="P253" s="43">
        <v>0</v>
      </c>
      <c r="Q253" s="43">
        <v>0</v>
      </c>
      <c r="R253" s="500"/>
    </row>
    <row r="254" spans="1:18" customFormat="1" x14ac:dyDescent="0.25">
      <c r="A254" s="500"/>
      <c r="B254" s="20" t="s">
        <v>162</v>
      </c>
      <c r="C254" s="4"/>
      <c r="D254" s="4"/>
      <c r="E254" s="4"/>
      <c r="F254" s="4"/>
      <c r="G254" s="257"/>
      <c r="H254" s="528">
        <v>0</v>
      </c>
      <c r="I254" s="43">
        <v>0</v>
      </c>
      <c r="J254" s="43">
        <v>0</v>
      </c>
      <c r="K254" s="43">
        <v>0</v>
      </c>
      <c r="L254" s="43">
        <v>0</v>
      </c>
      <c r="M254" s="43">
        <v>0</v>
      </c>
      <c r="N254" s="43">
        <v>0</v>
      </c>
      <c r="O254" s="43">
        <v>0</v>
      </c>
      <c r="P254" s="43">
        <v>0</v>
      </c>
      <c r="Q254" s="43">
        <v>0</v>
      </c>
      <c r="R254" s="500"/>
    </row>
    <row r="255" spans="1:18" customFormat="1" x14ac:dyDescent="0.25">
      <c r="A255" s="500"/>
      <c r="B255" s="20" t="s">
        <v>163</v>
      </c>
      <c r="C255" s="4"/>
      <c r="D255" s="4"/>
      <c r="E255" s="4"/>
      <c r="F255" s="4"/>
      <c r="G255" s="257"/>
      <c r="H255" s="528">
        <v>0</v>
      </c>
      <c r="I255" s="43">
        <v>0</v>
      </c>
      <c r="J255" s="43">
        <v>0</v>
      </c>
      <c r="K255" s="43">
        <v>0</v>
      </c>
      <c r="L255" s="43">
        <v>0</v>
      </c>
      <c r="M255" s="43">
        <v>0</v>
      </c>
      <c r="N255" s="43">
        <v>0</v>
      </c>
      <c r="O255" s="43">
        <v>0</v>
      </c>
      <c r="P255" s="43">
        <v>0</v>
      </c>
      <c r="Q255" s="43">
        <v>0</v>
      </c>
      <c r="R255" s="500"/>
    </row>
    <row r="256" spans="1:18" customFormat="1" x14ac:dyDescent="0.25">
      <c r="A256" s="500"/>
      <c r="B256" s="20" t="s">
        <v>164</v>
      </c>
      <c r="C256" s="4"/>
      <c r="D256" s="4"/>
      <c r="E256" s="4"/>
      <c r="F256" s="4"/>
      <c r="G256" s="257"/>
      <c r="H256" s="528">
        <v>106.845</v>
      </c>
      <c r="I256" s="43">
        <v>0</v>
      </c>
      <c r="J256" s="43">
        <v>0</v>
      </c>
      <c r="K256" s="43">
        <v>0</v>
      </c>
      <c r="L256" s="43">
        <v>0</v>
      </c>
      <c r="M256" s="43">
        <v>0</v>
      </c>
      <c r="N256" s="43">
        <v>0</v>
      </c>
      <c r="O256" s="43">
        <v>0</v>
      </c>
      <c r="P256" s="43">
        <v>0</v>
      </c>
      <c r="Q256" s="43">
        <v>0</v>
      </c>
      <c r="R256" s="500"/>
    </row>
    <row r="257" spans="1:18" customFormat="1" x14ac:dyDescent="0.25">
      <c r="A257" s="500"/>
      <c r="B257" s="20" t="s">
        <v>41</v>
      </c>
      <c r="C257" s="4"/>
      <c r="D257" s="4"/>
      <c r="E257" s="4"/>
      <c r="F257" s="4"/>
      <c r="G257" s="257"/>
      <c r="H257" s="40">
        <v>275.68</v>
      </c>
      <c r="I257" s="518">
        <v>0</v>
      </c>
      <c r="J257" s="518">
        <v>0</v>
      </c>
      <c r="K257" s="518">
        <v>0</v>
      </c>
      <c r="L257" s="518">
        <v>0</v>
      </c>
      <c r="M257" s="518">
        <v>0</v>
      </c>
      <c r="N257" s="518">
        <v>0</v>
      </c>
      <c r="O257" s="518">
        <v>0</v>
      </c>
      <c r="P257" s="518">
        <v>0</v>
      </c>
      <c r="Q257" s="518">
        <v>33.327272727272728</v>
      </c>
      <c r="R257" s="500"/>
    </row>
    <row r="258" spans="1:18" x14ac:dyDescent="0.25">
      <c r="B258" s="20"/>
      <c r="C258" s="4"/>
      <c r="D258" s="4"/>
      <c r="E258" s="4"/>
      <c r="F258" s="4"/>
      <c r="G258" s="257"/>
      <c r="H258" s="40"/>
      <c r="I258" s="518"/>
      <c r="J258" s="518"/>
      <c r="K258" s="518"/>
      <c r="L258" s="518"/>
      <c r="M258" s="518"/>
      <c r="N258" s="518"/>
      <c r="O258" s="518"/>
      <c r="P258" s="518"/>
      <c r="Q258" s="518"/>
    </row>
    <row r="259" spans="1:18" x14ac:dyDescent="0.25">
      <c r="B259" s="20"/>
      <c r="C259" s="4"/>
      <c r="D259" s="4"/>
      <c r="E259" s="4"/>
      <c r="F259" s="4"/>
      <c r="G259" s="257"/>
      <c r="H259" s="40"/>
      <c r="I259" s="518"/>
      <c r="J259" s="518"/>
      <c r="K259" s="518"/>
      <c r="L259" s="518"/>
      <c r="M259" s="518"/>
      <c r="N259" s="518"/>
      <c r="O259" s="518"/>
      <c r="P259" s="518"/>
      <c r="Q259" s="518"/>
    </row>
    <row r="260" spans="1:18" x14ac:dyDescent="0.25">
      <c r="B260" s="20"/>
      <c r="C260" s="4"/>
      <c r="D260" s="4"/>
      <c r="E260" s="4"/>
      <c r="F260" s="4"/>
      <c r="G260" s="257"/>
      <c r="H260" s="40"/>
      <c r="I260" s="518"/>
      <c r="J260" s="518"/>
      <c r="K260" s="518"/>
      <c r="L260" s="518"/>
      <c r="M260" s="518"/>
      <c r="N260" s="518"/>
      <c r="O260" s="518"/>
      <c r="P260" s="518"/>
      <c r="Q260" s="518"/>
    </row>
    <row r="261" spans="1:18" x14ac:dyDescent="0.25">
      <c r="B261" s="20"/>
      <c r="C261" s="4"/>
      <c r="D261" s="4"/>
      <c r="E261" s="4"/>
      <c r="F261" s="4"/>
      <c r="G261" s="257"/>
      <c r="H261" s="40"/>
      <c r="I261" s="518"/>
      <c r="J261" s="518"/>
      <c r="K261" s="518"/>
      <c r="L261" s="518"/>
      <c r="M261" s="518"/>
      <c r="N261" s="518"/>
      <c r="O261" s="518"/>
      <c r="P261" s="518"/>
      <c r="Q261" s="518"/>
    </row>
    <row r="262" spans="1:18" customFormat="1" x14ac:dyDescent="0.25">
      <c r="A262" s="500"/>
      <c r="B262" s="258" t="s">
        <v>165</v>
      </c>
      <c r="C262" s="259"/>
      <c r="D262" s="259"/>
      <c r="E262" s="259"/>
      <c r="F262" s="259"/>
      <c r="G262" s="260"/>
      <c r="H262" s="555" t="str">
        <f t="shared" ref="H262:Q262" si="12">IF(ISNUMBER(H251/H250),H251/H250,"N/A")</f>
        <v>N/A</v>
      </c>
      <c r="I262" s="519" t="str">
        <f t="shared" si="12"/>
        <v>N/A</v>
      </c>
      <c r="J262" s="519" t="str">
        <f t="shared" si="12"/>
        <v>N/A</v>
      </c>
      <c r="K262" s="519" t="str">
        <f t="shared" si="12"/>
        <v>N/A</v>
      </c>
      <c r="L262" s="519" t="str">
        <f t="shared" si="12"/>
        <v>N/A</v>
      </c>
      <c r="M262" s="519" t="str">
        <f>IF(ISNUMBER(M251/M250),M251/M250,"N/A")</f>
        <v>N/A</v>
      </c>
      <c r="N262" s="519" t="str">
        <f t="shared" si="12"/>
        <v>N/A</v>
      </c>
      <c r="O262" s="519" t="str">
        <f t="shared" si="12"/>
        <v>N/A</v>
      </c>
      <c r="P262" s="519" t="str">
        <f t="shared" si="12"/>
        <v>N/A</v>
      </c>
      <c r="Q262" s="519" t="str">
        <f t="shared" si="12"/>
        <v>N/A</v>
      </c>
      <c r="R262" s="500"/>
    </row>
    <row r="263" spans="1:18" s="583" customFormat="1" x14ac:dyDescent="0.25">
      <c r="E263" s="583" t="s">
        <v>895</v>
      </c>
    </row>
    <row r="264" spans="1:18" customFormat="1" x14ac:dyDescent="0.25">
      <c r="A264" s="500"/>
      <c r="B264" s="545" t="s">
        <v>1447</v>
      </c>
      <c r="C264" s="546"/>
      <c r="D264" s="532"/>
      <c r="E264" s="532" t="s">
        <v>895</v>
      </c>
      <c r="F264" s="532"/>
      <c r="G264" s="527"/>
      <c r="H264" s="583"/>
      <c r="I264" s="583"/>
      <c r="J264" s="583"/>
      <c r="K264" s="583"/>
      <c r="L264" s="583"/>
      <c r="M264" s="583"/>
      <c r="N264" s="583"/>
      <c r="O264" s="583"/>
      <c r="P264" s="583"/>
      <c r="Q264" s="583"/>
      <c r="R264" s="500"/>
    </row>
    <row r="265" spans="1:18" customFormat="1" x14ac:dyDescent="0.25">
      <c r="A265" s="500"/>
      <c r="B265" s="20" t="s">
        <v>1448</v>
      </c>
      <c r="C265" s="257"/>
      <c r="D265" s="4"/>
      <c r="E265" s="4"/>
      <c r="F265" s="4"/>
      <c r="G265" s="257"/>
      <c r="H265" s="508"/>
      <c r="I265" s="508"/>
      <c r="J265" s="508"/>
      <c r="K265" s="508"/>
      <c r="L265" s="508"/>
      <c r="M265" s="508">
        <v>0</v>
      </c>
      <c r="N265" s="508"/>
      <c r="O265" s="508"/>
      <c r="P265" s="508"/>
      <c r="Q265" s="508"/>
      <c r="R265" s="500"/>
    </row>
    <row r="266" spans="1:18" customFormat="1" x14ac:dyDescent="0.25">
      <c r="A266" s="500"/>
      <c r="B266" s="20" t="s">
        <v>1449</v>
      </c>
      <c r="C266" s="257"/>
      <c r="D266" s="4"/>
      <c r="E266" s="4"/>
      <c r="F266" s="4"/>
      <c r="G266" s="257"/>
      <c r="H266" s="508"/>
      <c r="I266" s="508"/>
      <c r="J266" s="508"/>
      <c r="K266" s="508"/>
      <c r="L266" s="508"/>
      <c r="M266" s="508">
        <v>0</v>
      </c>
      <c r="N266" s="508"/>
      <c r="O266" s="508"/>
      <c r="P266" s="508"/>
      <c r="Q266" s="508"/>
      <c r="R266" s="500"/>
    </row>
    <row r="267" spans="1:18" customFormat="1" x14ac:dyDescent="0.25">
      <c r="A267" s="500"/>
      <c r="B267" s="20" t="s">
        <v>1450</v>
      </c>
      <c r="C267" s="257"/>
      <c r="D267" s="4"/>
      <c r="E267" s="4"/>
      <c r="F267" s="4"/>
      <c r="G267" s="257"/>
      <c r="H267" s="508"/>
      <c r="I267" s="508"/>
      <c r="J267" s="508"/>
      <c r="K267" s="508"/>
      <c r="L267" s="508"/>
      <c r="M267" s="508">
        <v>0</v>
      </c>
      <c r="N267" s="508"/>
      <c r="O267" s="508"/>
      <c r="P267" s="508"/>
      <c r="Q267" s="508"/>
      <c r="R267" s="500"/>
    </row>
    <row r="268" spans="1:18" customFormat="1" x14ac:dyDescent="0.25">
      <c r="A268" s="500"/>
      <c r="B268" s="20" t="s">
        <v>1451</v>
      </c>
      <c r="C268" s="257"/>
      <c r="D268" s="4"/>
      <c r="E268" s="4"/>
      <c r="F268" s="4"/>
      <c r="G268" s="257"/>
      <c r="H268" s="508"/>
      <c r="I268" s="508"/>
      <c r="J268" s="508"/>
      <c r="K268" s="508"/>
      <c r="L268" s="508"/>
      <c r="M268" s="508">
        <v>0</v>
      </c>
      <c r="N268" s="508"/>
      <c r="O268" s="508"/>
      <c r="P268" s="508"/>
      <c r="Q268" s="508"/>
      <c r="R268" s="500"/>
    </row>
    <row r="269" spans="1:18" customFormat="1" x14ac:dyDescent="0.25">
      <c r="A269" s="500"/>
      <c r="B269" s="20" t="s">
        <v>1450</v>
      </c>
      <c r="C269" s="257"/>
      <c r="D269" s="4"/>
      <c r="E269" s="4"/>
      <c r="F269" s="4"/>
      <c r="G269" s="257"/>
      <c r="H269" s="509">
        <v>-11.33168</v>
      </c>
      <c r="I269" s="509">
        <v>-7.7125624999999998</v>
      </c>
      <c r="J269" s="509">
        <v>-0.78136000000000005</v>
      </c>
      <c r="K269" s="509">
        <v>-1.612792</v>
      </c>
      <c r="L269" s="509">
        <v>-0.70533841666666663</v>
      </c>
      <c r="M269" s="509">
        <v>-4.5856980890496102</v>
      </c>
      <c r="N269" s="509">
        <v>-5.1728800000000001</v>
      </c>
      <c r="O269" s="509">
        <v>-9.3117083333333337</v>
      </c>
      <c r="P269" s="509">
        <v>-1.1271858231226604</v>
      </c>
      <c r="Q269" s="509">
        <v>-4.5003818181818191</v>
      </c>
      <c r="R269" s="500"/>
    </row>
    <row r="270" spans="1:18" customFormat="1" x14ac:dyDescent="0.25">
      <c r="A270" s="500"/>
      <c r="B270" s="20" t="s">
        <v>1452</v>
      </c>
      <c r="C270" s="257"/>
      <c r="D270" s="4"/>
      <c r="E270" s="4"/>
      <c r="F270" s="4"/>
      <c r="G270" s="257"/>
      <c r="H270" s="509">
        <v>14.331150000000001</v>
      </c>
      <c r="I270" s="509">
        <v>11.05027215</v>
      </c>
      <c r="J270" s="509">
        <v>0.91576714285714289</v>
      </c>
      <c r="K270" s="509">
        <v>1.62558</v>
      </c>
      <c r="L270" s="509">
        <v>1.0297996249999999</v>
      </c>
      <c r="M270" s="509">
        <v>6.5346197768956902</v>
      </c>
      <c r="N270" s="509">
        <v>7.6076256000000004</v>
      </c>
      <c r="O270" s="509">
        <v>13.2097493</v>
      </c>
      <c r="P270" s="509">
        <v>1.6655413820714953</v>
      </c>
      <c r="Q270" s="509">
        <v>6.3070363636363638</v>
      </c>
      <c r="R270" s="500"/>
    </row>
    <row r="271" spans="1:18" customFormat="1" x14ac:dyDescent="0.25">
      <c r="A271" s="500"/>
      <c r="B271" s="20" t="s">
        <v>1453</v>
      </c>
      <c r="C271" s="257"/>
      <c r="D271" s="4"/>
      <c r="E271" s="4"/>
      <c r="F271" s="4"/>
      <c r="G271" s="257"/>
      <c r="H271" s="509"/>
      <c r="I271" s="509"/>
      <c r="J271" s="509"/>
      <c r="K271" s="509"/>
      <c r="L271" s="509"/>
      <c r="M271" s="509">
        <v>0</v>
      </c>
      <c r="N271" s="509"/>
      <c r="O271" s="509"/>
      <c r="P271" s="509"/>
      <c r="Q271" s="509"/>
      <c r="R271" s="500"/>
    </row>
    <row r="272" spans="1:18" customFormat="1" ht="30" customHeight="1" x14ac:dyDescent="0.25">
      <c r="A272" s="500"/>
      <c r="B272" s="641" t="s">
        <v>1454</v>
      </c>
      <c r="C272" s="642"/>
      <c r="D272" s="642"/>
      <c r="E272" s="642"/>
      <c r="F272" s="642"/>
      <c r="G272" s="643"/>
      <c r="H272" s="509"/>
      <c r="I272" s="509"/>
      <c r="J272" s="509"/>
      <c r="K272" s="509"/>
      <c r="L272" s="509"/>
      <c r="M272" s="509">
        <v>0</v>
      </c>
      <c r="N272" s="509"/>
      <c r="O272" s="509"/>
      <c r="P272" s="509"/>
      <c r="Q272" s="509"/>
      <c r="R272" s="500"/>
    </row>
    <row r="273" spans="1:18" s="583" customFormat="1" x14ac:dyDescent="0.25">
      <c r="E273" s="583" t="s">
        <v>895</v>
      </c>
    </row>
    <row r="274" spans="1:18" customFormat="1" ht="30" customHeight="1" x14ac:dyDescent="0.25">
      <c r="A274" s="500"/>
      <c r="B274" s="609" t="s">
        <v>175</v>
      </c>
      <c r="C274" s="610"/>
      <c r="D274" s="610"/>
      <c r="E274" s="610"/>
      <c r="F274" s="610"/>
      <c r="G274" s="611"/>
      <c r="H274" s="536"/>
      <c r="I274" s="509"/>
      <c r="J274" s="509"/>
      <c r="K274" s="509"/>
      <c r="L274" s="509"/>
      <c r="M274" s="509">
        <v>0</v>
      </c>
      <c r="N274" s="509"/>
      <c r="O274" s="509"/>
      <c r="P274" s="509"/>
      <c r="Q274" s="509"/>
      <c r="R274" s="500"/>
    </row>
    <row r="275" spans="1:18" s="583" customFormat="1" x14ac:dyDescent="0.25"/>
    <row r="276" spans="1:18" s="583" customFormat="1" ht="18.75" x14ac:dyDescent="0.3">
      <c r="B276" s="584" t="s">
        <v>176</v>
      </c>
    </row>
    <row r="277" spans="1:18" s="583" customFormat="1" x14ac:dyDescent="0.25"/>
    <row r="278" spans="1:18" customFormat="1" x14ac:dyDescent="0.25">
      <c r="A278" s="500"/>
      <c r="B278" s="557" t="s">
        <v>177</v>
      </c>
      <c r="C278" s="558"/>
      <c r="D278" s="533"/>
      <c r="E278" s="533"/>
      <c r="F278" s="533"/>
      <c r="G278" s="534"/>
      <c r="H278" s="542">
        <f t="shared" ref="H278:Q278" si="13">IF(SUM(H279:H298)&gt;0,SUM(H279:H298),H178)</f>
        <v>10316.685000000001</v>
      </c>
      <c r="I278" s="513">
        <f t="shared" si="13"/>
        <v>3071.2168750000001</v>
      </c>
      <c r="J278" s="513">
        <f t="shared" si="13"/>
        <v>1663.2236</v>
      </c>
      <c r="K278" s="513">
        <f t="shared" si="13"/>
        <v>3501.9639999999999</v>
      </c>
      <c r="L278" s="513">
        <f t="shared" si="13"/>
        <v>927.93999999999971</v>
      </c>
      <c r="M278" s="513">
        <f t="shared" si="13"/>
        <v>1695.0099999999995</v>
      </c>
      <c r="N278" s="513">
        <f t="shared" si="13"/>
        <v>1411.78</v>
      </c>
      <c r="O278" s="513">
        <f t="shared" si="13"/>
        <v>4981.5549999999985</v>
      </c>
      <c r="P278" s="513">
        <f t="shared" si="13"/>
        <v>593.06666666666661</v>
      </c>
      <c r="Q278" s="513">
        <f t="shared" si="13"/>
        <v>2823.3477272727273</v>
      </c>
      <c r="R278" s="500"/>
    </row>
    <row r="279" spans="1:18" customFormat="1" x14ac:dyDescent="0.25">
      <c r="A279" s="500"/>
      <c r="B279" s="11" t="s">
        <v>178</v>
      </c>
      <c r="C279" s="2"/>
      <c r="D279" s="2"/>
      <c r="E279" s="2"/>
      <c r="F279" s="2"/>
      <c r="G279" s="3"/>
      <c r="H279" s="543">
        <v>33.445</v>
      </c>
      <c r="I279" s="514">
        <v>110.3775</v>
      </c>
      <c r="J279" s="514">
        <v>0</v>
      </c>
      <c r="K279" s="514">
        <v>60.999200000000002</v>
      </c>
      <c r="L279" s="514">
        <v>46.396999999999998</v>
      </c>
      <c r="M279" s="514">
        <v>84.750500000000017</v>
      </c>
      <c r="N279" s="514">
        <v>64.528500000000008</v>
      </c>
      <c r="O279" s="514">
        <v>249.07775000000001</v>
      </c>
      <c r="P279" s="514">
        <v>29.653333333333332</v>
      </c>
      <c r="Q279" s="514">
        <v>273.27272727272731</v>
      </c>
      <c r="R279" s="500"/>
    </row>
    <row r="280" spans="1:18" customFormat="1" x14ac:dyDescent="0.25">
      <c r="A280" s="500"/>
      <c r="B280" s="12" t="s">
        <v>179</v>
      </c>
      <c r="C280" s="4"/>
      <c r="D280" s="4"/>
      <c r="E280" s="4"/>
      <c r="F280" s="4"/>
      <c r="G280" s="257"/>
      <c r="H280" s="535">
        <v>0</v>
      </c>
      <c r="I280" s="508">
        <v>0</v>
      </c>
      <c r="J280" s="508">
        <v>13.674285714285714</v>
      </c>
      <c r="K280" s="508">
        <v>60.999200000000002</v>
      </c>
      <c r="L280" s="508">
        <v>46.396999999999998</v>
      </c>
      <c r="M280" s="508">
        <v>84.750500000000017</v>
      </c>
      <c r="N280" s="508">
        <v>64.528500000000008</v>
      </c>
      <c r="O280" s="508">
        <v>249.07775000000001</v>
      </c>
      <c r="P280" s="508">
        <v>29.653333333333332</v>
      </c>
      <c r="Q280" s="508">
        <v>0</v>
      </c>
      <c r="R280" s="500"/>
    </row>
    <row r="281" spans="1:18" customFormat="1" x14ac:dyDescent="0.25">
      <c r="A281" s="500"/>
      <c r="B281" s="12" t="s">
        <v>180</v>
      </c>
      <c r="C281" s="4"/>
      <c r="D281" s="4"/>
      <c r="E281" s="4"/>
      <c r="F281" s="4"/>
      <c r="G281" s="257"/>
      <c r="H281" s="535">
        <v>898.90499999999997</v>
      </c>
      <c r="I281" s="508">
        <v>55</v>
      </c>
      <c r="J281" s="508">
        <v>31.431428571428572</v>
      </c>
      <c r="K281" s="508">
        <v>121.9984</v>
      </c>
      <c r="L281" s="508">
        <v>92.793999999999997</v>
      </c>
      <c r="M281" s="508">
        <v>169.50100000000003</v>
      </c>
      <c r="N281" s="508">
        <v>129.05700000000002</v>
      </c>
      <c r="O281" s="508">
        <v>498.15550000000002</v>
      </c>
      <c r="P281" s="508">
        <v>59.306666666666665</v>
      </c>
      <c r="Q281" s="508">
        <v>92.836363636363643</v>
      </c>
      <c r="R281" s="500"/>
    </row>
    <row r="282" spans="1:18" customFormat="1" x14ac:dyDescent="0.25">
      <c r="A282" s="500"/>
      <c r="B282" s="12" t="s">
        <v>181</v>
      </c>
      <c r="C282" s="4"/>
      <c r="D282" s="4"/>
      <c r="E282" s="4"/>
      <c r="F282" s="4"/>
      <c r="G282" s="257"/>
      <c r="H282" s="535">
        <v>830.19500000000005</v>
      </c>
      <c r="I282" s="508">
        <v>187.6225</v>
      </c>
      <c r="J282" s="508">
        <v>79.17285714285714</v>
      </c>
      <c r="K282" s="508">
        <v>60.999200000000002</v>
      </c>
      <c r="L282" s="508">
        <v>46.396999999999998</v>
      </c>
      <c r="M282" s="508">
        <v>84.750500000000017</v>
      </c>
      <c r="N282" s="508">
        <v>64.528500000000008</v>
      </c>
      <c r="O282" s="508">
        <v>249.07775000000001</v>
      </c>
      <c r="P282" s="508">
        <v>29.653333333333332</v>
      </c>
      <c r="Q282" s="508">
        <v>0</v>
      </c>
      <c r="R282" s="500"/>
    </row>
    <row r="283" spans="1:18" customFormat="1" x14ac:dyDescent="0.25">
      <c r="A283" s="500"/>
      <c r="B283" s="12" t="s">
        <v>182</v>
      </c>
      <c r="C283" s="4"/>
      <c r="D283" s="4"/>
      <c r="E283" s="4"/>
      <c r="F283" s="4"/>
      <c r="G283" s="257"/>
      <c r="H283" s="535">
        <v>980.64</v>
      </c>
      <c r="I283" s="508">
        <v>72.084999999999994</v>
      </c>
      <c r="J283" s="508">
        <v>24.734285714285715</v>
      </c>
      <c r="K283" s="508">
        <v>146.39807999999999</v>
      </c>
      <c r="L283" s="508">
        <v>111.35279999999999</v>
      </c>
      <c r="M283" s="508">
        <v>203.40119999999999</v>
      </c>
      <c r="N283" s="508">
        <v>154.86840000000001</v>
      </c>
      <c r="O283" s="508">
        <v>597.78659999999991</v>
      </c>
      <c r="P283" s="508">
        <v>71.167999999999992</v>
      </c>
      <c r="Q283" s="508">
        <v>103.1727272727273</v>
      </c>
      <c r="R283" s="500"/>
    </row>
    <row r="284" spans="1:18" customFormat="1" x14ac:dyDescent="0.25">
      <c r="A284" s="500"/>
      <c r="B284" s="12" t="s">
        <v>183</v>
      </c>
      <c r="C284" s="4"/>
      <c r="D284" s="4"/>
      <c r="E284" s="4"/>
      <c r="F284" s="4"/>
      <c r="G284" s="257"/>
      <c r="H284" s="535">
        <v>0</v>
      </c>
      <c r="I284" s="508">
        <v>71.292500000000004</v>
      </c>
      <c r="J284" s="508">
        <v>0</v>
      </c>
      <c r="K284" s="508">
        <v>73.199039999999997</v>
      </c>
      <c r="L284" s="508">
        <v>55.676399999999994</v>
      </c>
      <c r="M284" s="508">
        <v>101.70059999999999</v>
      </c>
      <c r="N284" s="508">
        <v>77.434200000000004</v>
      </c>
      <c r="O284" s="508">
        <v>298.89329999999995</v>
      </c>
      <c r="P284" s="508">
        <v>35.583999999999996</v>
      </c>
      <c r="Q284" s="508">
        <v>0</v>
      </c>
      <c r="R284" s="500"/>
    </row>
    <row r="285" spans="1:18" customFormat="1" x14ac:dyDescent="0.25">
      <c r="A285" s="500"/>
      <c r="B285" s="12" t="s">
        <v>184</v>
      </c>
      <c r="C285" s="4"/>
      <c r="D285" s="4"/>
      <c r="E285" s="4"/>
      <c r="F285" s="4"/>
      <c r="G285" s="257"/>
      <c r="H285" s="535">
        <v>0</v>
      </c>
      <c r="I285" s="508">
        <v>24.012499999999999</v>
      </c>
      <c r="J285" s="508">
        <v>0</v>
      </c>
      <c r="K285" s="508">
        <v>73.199039999999997</v>
      </c>
      <c r="L285" s="508">
        <v>55.676399999999994</v>
      </c>
      <c r="M285" s="508">
        <v>101.70059999999999</v>
      </c>
      <c r="N285" s="508">
        <v>77.434200000000004</v>
      </c>
      <c r="O285" s="508">
        <v>298.89329999999995</v>
      </c>
      <c r="P285" s="508">
        <v>35.583999999999996</v>
      </c>
      <c r="Q285" s="508">
        <v>0</v>
      </c>
      <c r="R285" s="500"/>
    </row>
    <row r="286" spans="1:18" customFormat="1" x14ac:dyDescent="0.25">
      <c r="A286" s="500"/>
      <c r="B286" s="12" t="s">
        <v>185</v>
      </c>
      <c r="C286" s="4"/>
      <c r="D286" s="4"/>
      <c r="E286" s="4"/>
      <c r="F286" s="4"/>
      <c r="G286" s="257"/>
      <c r="H286" s="535">
        <v>0</v>
      </c>
      <c r="I286" s="508">
        <v>0</v>
      </c>
      <c r="J286" s="508">
        <v>0</v>
      </c>
      <c r="K286" s="508">
        <v>73.199039999999997</v>
      </c>
      <c r="L286" s="508">
        <v>55.676399999999994</v>
      </c>
      <c r="M286" s="508">
        <v>101.70059999999999</v>
      </c>
      <c r="N286" s="508">
        <v>77.434200000000004</v>
      </c>
      <c r="O286" s="508">
        <v>298.89329999999995</v>
      </c>
      <c r="P286" s="508">
        <v>35.583999999999996</v>
      </c>
      <c r="Q286" s="508">
        <v>0</v>
      </c>
      <c r="R286" s="500"/>
    </row>
    <row r="287" spans="1:18" customFormat="1" x14ac:dyDescent="0.25">
      <c r="A287" s="500"/>
      <c r="B287" s="12" t="s">
        <v>186</v>
      </c>
      <c r="C287" s="4"/>
      <c r="D287" s="4"/>
      <c r="E287" s="4"/>
      <c r="F287" s="4"/>
      <c r="G287" s="257"/>
      <c r="H287" s="535">
        <v>0</v>
      </c>
      <c r="I287" s="508">
        <v>59.177500000000002</v>
      </c>
      <c r="J287" s="508">
        <v>15.625714285714286</v>
      </c>
      <c r="K287" s="508">
        <v>146.39807999999999</v>
      </c>
      <c r="L287" s="508">
        <v>111.35279999999999</v>
      </c>
      <c r="M287" s="508">
        <v>203.40119999999999</v>
      </c>
      <c r="N287" s="508">
        <v>154.86840000000001</v>
      </c>
      <c r="O287" s="508">
        <v>597.78659999999991</v>
      </c>
      <c r="P287" s="508">
        <v>71.167999999999992</v>
      </c>
      <c r="Q287" s="508">
        <v>182.4</v>
      </c>
      <c r="R287" s="500"/>
    </row>
    <row r="288" spans="1:18" customFormat="1" x14ac:dyDescent="0.25">
      <c r="A288" s="500"/>
      <c r="B288" s="12" t="s">
        <v>187</v>
      </c>
      <c r="C288" s="4"/>
      <c r="D288" s="4"/>
      <c r="E288" s="4"/>
      <c r="F288" s="4"/>
      <c r="G288" s="257"/>
      <c r="H288" s="535">
        <v>0</v>
      </c>
      <c r="I288" s="508">
        <v>0</v>
      </c>
      <c r="J288" s="508">
        <v>0</v>
      </c>
      <c r="K288" s="508">
        <v>73.199039999999997</v>
      </c>
      <c r="L288" s="508">
        <v>55.676399999999994</v>
      </c>
      <c r="M288" s="508">
        <v>101.70059999999999</v>
      </c>
      <c r="N288" s="508">
        <v>77.434200000000004</v>
      </c>
      <c r="O288" s="508">
        <v>298.89329999999995</v>
      </c>
      <c r="P288" s="508">
        <v>35.583999999999996</v>
      </c>
      <c r="Q288" s="508">
        <v>0</v>
      </c>
      <c r="R288" s="500"/>
    </row>
    <row r="289" spans="1:18" customFormat="1" x14ac:dyDescent="0.25">
      <c r="A289" s="500"/>
      <c r="B289" s="12" t="s">
        <v>188</v>
      </c>
      <c r="C289" s="4"/>
      <c r="D289" s="4"/>
      <c r="E289" s="4"/>
      <c r="F289" s="4"/>
      <c r="G289" s="257"/>
      <c r="H289" s="535">
        <v>0</v>
      </c>
      <c r="I289" s="508">
        <v>34.31</v>
      </c>
      <c r="J289" s="508">
        <v>0</v>
      </c>
      <c r="K289" s="508">
        <v>73.199039999999997</v>
      </c>
      <c r="L289" s="508">
        <v>55.676399999999994</v>
      </c>
      <c r="M289" s="508">
        <v>101.70059999999999</v>
      </c>
      <c r="N289" s="508">
        <v>77.434200000000004</v>
      </c>
      <c r="O289" s="508">
        <v>298.89329999999995</v>
      </c>
      <c r="P289" s="508">
        <v>35.583999999999996</v>
      </c>
      <c r="Q289" s="508">
        <v>47.018181818181823</v>
      </c>
      <c r="R289" s="500"/>
    </row>
    <row r="290" spans="1:18" customFormat="1" x14ac:dyDescent="0.25">
      <c r="A290" s="500"/>
      <c r="B290" s="12" t="s">
        <v>189</v>
      </c>
      <c r="C290" s="4"/>
      <c r="D290" s="4"/>
      <c r="E290" s="4"/>
      <c r="F290" s="4"/>
      <c r="G290" s="257"/>
      <c r="H290" s="535">
        <v>0</v>
      </c>
      <c r="I290" s="508">
        <v>23.0425</v>
      </c>
      <c r="J290" s="508">
        <v>0</v>
      </c>
      <c r="K290" s="508">
        <v>73.199039999999997</v>
      </c>
      <c r="L290" s="508">
        <v>55.676399999999994</v>
      </c>
      <c r="M290" s="508">
        <v>101.70059999999999</v>
      </c>
      <c r="N290" s="508">
        <v>77.434200000000004</v>
      </c>
      <c r="O290" s="508">
        <v>298.89329999999995</v>
      </c>
      <c r="P290" s="508">
        <v>35.583999999999996</v>
      </c>
      <c r="Q290" s="508">
        <v>0</v>
      </c>
      <c r="R290" s="500"/>
    </row>
    <row r="291" spans="1:18" customFormat="1" x14ac:dyDescent="0.25">
      <c r="A291" s="500"/>
      <c r="B291" s="12" t="s">
        <v>41</v>
      </c>
      <c r="C291" s="4"/>
      <c r="D291" s="4"/>
      <c r="E291" s="4"/>
      <c r="F291" s="4"/>
      <c r="G291" s="257"/>
      <c r="H291" s="535">
        <v>1364.75</v>
      </c>
      <c r="I291" s="508">
        <v>224.49</v>
      </c>
      <c r="J291" s="508">
        <v>136.74285714285713</v>
      </c>
      <c r="K291" s="508">
        <v>73.199039999999997</v>
      </c>
      <c r="L291" s="508">
        <v>55.676399999999994</v>
      </c>
      <c r="M291" s="508">
        <v>101.70059999999999</v>
      </c>
      <c r="N291" s="508">
        <v>77.434200000000004</v>
      </c>
      <c r="O291" s="508">
        <v>298.89329999999995</v>
      </c>
      <c r="P291" s="508">
        <v>35.583999999999996</v>
      </c>
      <c r="Q291" s="508">
        <v>556.21818181818185</v>
      </c>
      <c r="R291" s="500"/>
    </row>
    <row r="292" spans="1:18" customFormat="1" x14ac:dyDescent="0.25">
      <c r="A292" s="500"/>
      <c r="B292" s="12" t="s">
        <v>190</v>
      </c>
      <c r="C292" s="4"/>
      <c r="D292" s="4"/>
      <c r="E292" s="4"/>
      <c r="F292" s="4"/>
      <c r="G292" s="257"/>
      <c r="H292" s="535">
        <v>1303.345</v>
      </c>
      <c r="I292" s="508">
        <v>1015.2725</v>
      </c>
      <c r="J292" s="508">
        <v>83.818571428571431</v>
      </c>
      <c r="K292" s="508">
        <v>109.79855999999999</v>
      </c>
      <c r="L292" s="508">
        <v>83.514599999999987</v>
      </c>
      <c r="M292" s="508">
        <v>152.55090000000001</v>
      </c>
      <c r="N292" s="508">
        <v>116.15129999999999</v>
      </c>
      <c r="O292" s="508">
        <v>448.33994999999993</v>
      </c>
      <c r="P292" s="508">
        <v>53.375999999999998</v>
      </c>
      <c r="Q292" s="508">
        <v>317.75454545454545</v>
      </c>
      <c r="R292" s="500"/>
    </row>
    <row r="293" spans="1:18" customFormat="1" x14ac:dyDescent="0.25">
      <c r="A293" s="500"/>
      <c r="B293" s="12" t="s">
        <v>191</v>
      </c>
      <c r="C293" s="4"/>
      <c r="D293" s="4"/>
      <c r="E293" s="4"/>
      <c r="F293" s="4"/>
      <c r="G293" s="257"/>
      <c r="H293" s="535">
        <v>867.68499999999995</v>
      </c>
      <c r="I293" s="508">
        <v>428.63749999999999</v>
      </c>
      <c r="J293" s="508">
        <v>38.574285714285715</v>
      </c>
      <c r="K293" s="508">
        <v>0</v>
      </c>
      <c r="L293" s="508">
        <v>0</v>
      </c>
      <c r="M293" s="508">
        <v>0</v>
      </c>
      <c r="N293" s="508">
        <v>0</v>
      </c>
      <c r="O293" s="508">
        <v>0</v>
      </c>
      <c r="P293" s="508">
        <v>0</v>
      </c>
      <c r="Q293" s="508">
        <v>0</v>
      </c>
      <c r="R293" s="500"/>
    </row>
    <row r="294" spans="1:18" customFormat="1" x14ac:dyDescent="0.25">
      <c r="A294" s="500"/>
      <c r="B294" s="12" t="s">
        <v>192</v>
      </c>
      <c r="C294" s="4"/>
      <c r="D294" s="4"/>
      <c r="E294" s="4"/>
      <c r="F294" s="4"/>
      <c r="G294" s="257"/>
      <c r="H294" s="535">
        <v>0</v>
      </c>
      <c r="I294" s="508">
        <v>0</v>
      </c>
      <c r="J294" s="508">
        <v>0</v>
      </c>
      <c r="K294" s="508">
        <v>0</v>
      </c>
      <c r="L294" s="508">
        <v>0</v>
      </c>
      <c r="M294" s="508">
        <v>0</v>
      </c>
      <c r="N294" s="508">
        <v>0</v>
      </c>
      <c r="O294" s="508">
        <v>0</v>
      </c>
      <c r="P294" s="508">
        <v>0</v>
      </c>
      <c r="Q294" s="508">
        <v>176.59090909090909</v>
      </c>
      <c r="R294" s="500"/>
    </row>
    <row r="295" spans="1:18" customFormat="1" x14ac:dyDescent="0.25">
      <c r="A295" s="500"/>
      <c r="B295" s="12" t="s">
        <v>127</v>
      </c>
      <c r="C295" s="4"/>
      <c r="D295" s="4"/>
      <c r="E295" s="4"/>
      <c r="F295" s="4"/>
      <c r="G295" s="257"/>
      <c r="H295" s="535">
        <v>0</v>
      </c>
      <c r="I295" s="508">
        <v>0</v>
      </c>
      <c r="J295" s="508">
        <v>0</v>
      </c>
      <c r="K295" s="508">
        <v>0</v>
      </c>
      <c r="L295" s="508">
        <v>0</v>
      </c>
      <c r="M295" s="508">
        <v>0</v>
      </c>
      <c r="N295" s="508">
        <v>0</v>
      </c>
      <c r="O295" s="508">
        <v>0</v>
      </c>
      <c r="P295" s="508">
        <v>0</v>
      </c>
      <c r="Q295" s="508">
        <v>0</v>
      </c>
      <c r="R295" s="500"/>
    </row>
    <row r="296" spans="1:18" customFormat="1" x14ac:dyDescent="0.25">
      <c r="A296" s="500"/>
      <c r="B296" s="12" t="s">
        <v>30</v>
      </c>
      <c r="C296" s="4"/>
      <c r="D296" s="4"/>
      <c r="E296" s="4"/>
      <c r="F296" s="4"/>
      <c r="G296" s="257"/>
      <c r="H296" s="535">
        <v>1254.43</v>
      </c>
      <c r="I296" s="508">
        <v>201.7225</v>
      </c>
      <c r="J296" s="508">
        <v>852.01428571428573</v>
      </c>
      <c r="K296" s="508">
        <v>1686.7760000000001</v>
      </c>
      <c r="L296" s="508">
        <v>0</v>
      </c>
      <c r="M296" s="508">
        <v>0</v>
      </c>
      <c r="N296" s="508">
        <v>0</v>
      </c>
      <c r="O296" s="508">
        <v>0</v>
      </c>
      <c r="P296" s="508">
        <v>0</v>
      </c>
      <c r="Q296" s="508">
        <v>0</v>
      </c>
      <c r="R296" s="500"/>
    </row>
    <row r="297" spans="1:18" customFormat="1" x14ac:dyDescent="0.25">
      <c r="A297" s="500"/>
      <c r="B297" s="12" t="s">
        <v>193</v>
      </c>
      <c r="C297" s="4"/>
      <c r="D297" s="4"/>
      <c r="E297" s="4"/>
      <c r="F297" s="4"/>
      <c r="G297" s="257"/>
      <c r="H297" s="535">
        <v>1845.79</v>
      </c>
      <c r="I297" s="508">
        <v>0</v>
      </c>
      <c r="J297" s="508">
        <v>289.18428571428569</v>
      </c>
      <c r="K297" s="508">
        <v>469.012</v>
      </c>
      <c r="L297" s="508">
        <v>0</v>
      </c>
      <c r="M297" s="508">
        <v>0</v>
      </c>
      <c r="N297" s="508">
        <v>121.21</v>
      </c>
      <c r="O297" s="508">
        <v>0</v>
      </c>
      <c r="P297" s="508">
        <v>0</v>
      </c>
      <c r="Q297" s="508">
        <v>147.80000000000001</v>
      </c>
      <c r="R297" s="500"/>
    </row>
    <row r="298" spans="1:18" customFormat="1" x14ac:dyDescent="0.25">
      <c r="A298" s="500"/>
      <c r="B298" s="258" t="s">
        <v>128</v>
      </c>
      <c r="C298" s="259"/>
      <c r="D298" s="259"/>
      <c r="E298" s="259"/>
      <c r="F298" s="259"/>
      <c r="G298" s="260"/>
      <c r="H298" s="535">
        <v>937.5</v>
      </c>
      <c r="I298" s="508">
        <v>564.17437500000005</v>
      </c>
      <c r="J298" s="508">
        <v>98.250742857142868</v>
      </c>
      <c r="K298" s="508">
        <v>126.19199999999999</v>
      </c>
      <c r="L298" s="508">
        <v>0</v>
      </c>
      <c r="M298" s="508">
        <v>0</v>
      </c>
      <c r="N298" s="508">
        <v>0</v>
      </c>
      <c r="O298" s="508">
        <v>0</v>
      </c>
      <c r="P298" s="508">
        <v>0</v>
      </c>
      <c r="Q298" s="508">
        <v>926.28409090909099</v>
      </c>
      <c r="R298" s="500"/>
    </row>
    <row r="299" spans="1:18" s="583" customFormat="1" x14ac:dyDescent="0.25"/>
    <row r="300" spans="1:18" s="583" customFormat="1" x14ac:dyDescent="0.25">
      <c r="B300" s="585" t="s">
        <v>194</v>
      </c>
    </row>
    <row r="301" spans="1:18" s="583" customFormat="1" x14ac:dyDescent="0.25"/>
    <row r="302" spans="1:18" customFormat="1" x14ac:dyDescent="0.25">
      <c r="A302" s="500"/>
      <c r="B302" s="557" t="s">
        <v>1458</v>
      </c>
      <c r="C302" s="558"/>
      <c r="D302" s="533"/>
      <c r="E302" s="533"/>
      <c r="F302" s="533"/>
      <c r="G302" s="534"/>
      <c r="H302" s="542">
        <f t="shared" ref="H302:Q302" si="14">IF(SUM(H303:H312)&gt;0,SUM(H303:H312),H178)</f>
        <v>9387.4950000000008</v>
      </c>
      <c r="I302" s="513">
        <f t="shared" si="14"/>
        <v>2601.4068750000001</v>
      </c>
      <c r="J302" s="513">
        <f t="shared" si="14"/>
        <v>672.14074285714287</v>
      </c>
      <c r="K302" s="513">
        <f t="shared" si="14"/>
        <v>1490.0345599999998</v>
      </c>
      <c r="L302" s="513">
        <f t="shared" si="14"/>
        <v>1011.4545999999997</v>
      </c>
      <c r="M302" s="513">
        <f t="shared" si="14"/>
        <v>1847.5608999999999</v>
      </c>
      <c r="N302" s="513">
        <f t="shared" si="14"/>
        <v>1406.7212999999999</v>
      </c>
      <c r="O302" s="513">
        <f t="shared" si="14"/>
        <v>5429.8949499999999</v>
      </c>
      <c r="P302" s="513">
        <f t="shared" si="14"/>
        <v>646.4426666666667</v>
      </c>
      <c r="Q302" s="513">
        <f t="shared" si="14"/>
        <v>2816.7113636363638</v>
      </c>
      <c r="R302" s="500"/>
    </row>
    <row r="303" spans="1:18" customFormat="1" x14ac:dyDescent="0.25">
      <c r="A303" s="500"/>
      <c r="B303" s="11" t="s">
        <v>120</v>
      </c>
      <c r="C303" s="2"/>
      <c r="D303" s="2"/>
      <c r="E303" s="2"/>
      <c r="F303" s="2"/>
      <c r="G303" s="3"/>
      <c r="H303" s="562">
        <v>33.445</v>
      </c>
      <c r="I303" s="524">
        <v>110.3775</v>
      </c>
      <c r="J303" s="524">
        <v>0</v>
      </c>
      <c r="K303" s="524">
        <v>60.999200000000002</v>
      </c>
      <c r="L303" s="524">
        <v>46.396999999999998</v>
      </c>
      <c r="M303" s="524">
        <v>84.750500000000017</v>
      </c>
      <c r="N303" s="524">
        <v>64.528500000000008</v>
      </c>
      <c r="O303" s="524">
        <v>249.07775000000001</v>
      </c>
      <c r="P303" s="524">
        <v>29.653333333333332</v>
      </c>
      <c r="Q303" s="524">
        <v>273.27272727272731</v>
      </c>
      <c r="R303" s="500"/>
    </row>
    <row r="304" spans="1:18" customFormat="1" x14ac:dyDescent="0.25">
      <c r="A304" s="500"/>
      <c r="B304" s="12" t="s">
        <v>121</v>
      </c>
      <c r="C304" s="4"/>
      <c r="D304" s="4"/>
      <c r="E304" s="4"/>
      <c r="F304" s="4"/>
      <c r="G304" s="257"/>
      <c r="H304" s="536">
        <v>0</v>
      </c>
      <c r="I304" s="509">
        <v>0</v>
      </c>
      <c r="J304" s="509">
        <v>13.674285714285714</v>
      </c>
      <c r="K304" s="509">
        <v>60.999200000000002</v>
      </c>
      <c r="L304" s="509">
        <v>46.396999999999998</v>
      </c>
      <c r="M304" s="509">
        <v>84.750500000000017</v>
      </c>
      <c r="N304" s="509">
        <v>64.528500000000008</v>
      </c>
      <c r="O304" s="509">
        <v>249.07775000000001</v>
      </c>
      <c r="P304" s="509">
        <v>29.653333333333332</v>
      </c>
      <c r="Q304" s="509">
        <v>0</v>
      </c>
      <c r="R304" s="500"/>
    </row>
    <row r="305" spans="1:18" customFormat="1" x14ac:dyDescent="0.25">
      <c r="A305" s="500"/>
      <c r="B305" s="12" t="s">
        <v>122</v>
      </c>
      <c r="C305" s="4"/>
      <c r="D305" s="4"/>
      <c r="E305" s="4"/>
      <c r="F305" s="4"/>
      <c r="G305" s="257"/>
      <c r="H305" s="536">
        <v>1729.1</v>
      </c>
      <c r="I305" s="509">
        <v>242.6225</v>
      </c>
      <c r="J305" s="509">
        <v>110.60428571428571</v>
      </c>
      <c r="K305" s="509">
        <v>182.99760000000001</v>
      </c>
      <c r="L305" s="509">
        <v>139.191</v>
      </c>
      <c r="M305" s="509">
        <v>254.25150000000002</v>
      </c>
      <c r="N305" s="509">
        <v>193.58550000000002</v>
      </c>
      <c r="O305" s="509">
        <v>747.23325000000011</v>
      </c>
      <c r="P305" s="509">
        <v>88.960000000000008</v>
      </c>
      <c r="Q305" s="509">
        <v>92.836363636363643</v>
      </c>
      <c r="R305" s="500"/>
    </row>
    <row r="306" spans="1:18" customFormat="1" x14ac:dyDescent="0.25">
      <c r="A306" s="500"/>
      <c r="B306" s="12" t="s">
        <v>123</v>
      </c>
      <c r="C306" s="4"/>
      <c r="D306" s="4"/>
      <c r="E306" s="4"/>
      <c r="F306" s="4"/>
      <c r="G306" s="257"/>
      <c r="H306" s="536">
        <v>2345.39</v>
      </c>
      <c r="I306" s="509">
        <v>449.23250000000002</v>
      </c>
      <c r="J306" s="509">
        <v>161.47714285714287</v>
      </c>
      <c r="K306" s="509">
        <v>658.79136000000005</v>
      </c>
      <c r="L306" s="509">
        <v>501.08759999999978</v>
      </c>
      <c r="M306" s="509">
        <v>915.30539999999996</v>
      </c>
      <c r="N306" s="509">
        <v>696.90779999999995</v>
      </c>
      <c r="O306" s="509">
        <v>2690.0397000000003</v>
      </c>
      <c r="P306" s="509">
        <v>320.25600000000003</v>
      </c>
      <c r="Q306" s="509">
        <v>706.40909090909076</v>
      </c>
      <c r="R306" s="500"/>
    </row>
    <row r="307" spans="1:18" customFormat="1" x14ac:dyDescent="0.25">
      <c r="A307" s="500"/>
      <c r="B307" s="12" t="s">
        <v>124</v>
      </c>
      <c r="C307" s="4"/>
      <c r="D307" s="4"/>
      <c r="E307" s="4"/>
      <c r="F307" s="4"/>
      <c r="G307" s="257"/>
      <c r="H307" s="536">
        <v>2171.0300000000002</v>
      </c>
      <c r="I307" s="509">
        <v>53</v>
      </c>
      <c r="J307" s="509">
        <v>138.01857142857142</v>
      </c>
      <c r="K307" s="509">
        <v>256.19664</v>
      </c>
      <c r="L307" s="509">
        <v>194.86739999999998</v>
      </c>
      <c r="M307" s="509">
        <v>355.95209999999997</v>
      </c>
      <c r="N307" s="509">
        <v>271.0197</v>
      </c>
      <c r="O307" s="509">
        <v>1046.12655</v>
      </c>
      <c r="P307" s="509">
        <v>124.544</v>
      </c>
      <c r="Q307" s="509">
        <v>500.15454545454543</v>
      </c>
      <c r="R307" s="500"/>
    </row>
    <row r="308" spans="1:18" customFormat="1" x14ac:dyDescent="0.25">
      <c r="A308" s="500"/>
      <c r="B308" s="12" t="s">
        <v>125</v>
      </c>
      <c r="C308" s="4"/>
      <c r="D308" s="4"/>
      <c r="E308" s="4"/>
      <c r="F308" s="4"/>
      <c r="G308" s="257"/>
      <c r="H308" s="536">
        <v>2171.0300000000002</v>
      </c>
      <c r="I308" s="509">
        <v>1182</v>
      </c>
      <c r="J308" s="509">
        <v>122.39285714285714</v>
      </c>
      <c r="K308" s="509">
        <v>109.79855999999999</v>
      </c>
      <c r="L308" s="509">
        <v>83.514599999999987</v>
      </c>
      <c r="M308" s="509">
        <v>152.55090000000001</v>
      </c>
      <c r="N308" s="509">
        <v>116.15129999999999</v>
      </c>
      <c r="O308" s="509">
        <v>448.33994999999993</v>
      </c>
      <c r="P308" s="509">
        <v>53.375999999999998</v>
      </c>
      <c r="Q308" s="509">
        <v>317.75454545454545</v>
      </c>
      <c r="R308" s="500"/>
    </row>
    <row r="309" spans="1:18" customFormat="1" x14ac:dyDescent="0.25">
      <c r="A309" s="500"/>
      <c r="B309" s="12" t="s">
        <v>126</v>
      </c>
      <c r="C309" s="4"/>
      <c r="D309" s="4"/>
      <c r="E309" s="4"/>
      <c r="F309" s="4"/>
      <c r="G309" s="257"/>
      <c r="H309" s="536">
        <v>0</v>
      </c>
      <c r="I309" s="509">
        <v>0</v>
      </c>
      <c r="J309" s="509">
        <v>27.722857142857144</v>
      </c>
      <c r="K309" s="509">
        <v>34.06</v>
      </c>
      <c r="L309" s="509">
        <v>0</v>
      </c>
      <c r="M309" s="509">
        <v>0</v>
      </c>
      <c r="N309" s="509">
        <v>0</v>
      </c>
      <c r="O309" s="509">
        <v>0</v>
      </c>
      <c r="P309" s="509">
        <v>0</v>
      </c>
      <c r="Q309" s="509">
        <v>0</v>
      </c>
      <c r="R309" s="500"/>
    </row>
    <row r="310" spans="1:18" customFormat="1" x14ac:dyDescent="0.25">
      <c r="A310" s="500"/>
      <c r="B310" s="12" t="s">
        <v>127</v>
      </c>
      <c r="C310" s="4"/>
      <c r="D310" s="4"/>
      <c r="E310" s="4"/>
      <c r="F310" s="4"/>
      <c r="G310" s="257"/>
      <c r="H310" s="536"/>
      <c r="I310" s="509"/>
      <c r="J310" s="509"/>
      <c r="K310" s="509"/>
      <c r="L310" s="509"/>
      <c r="M310" s="509"/>
      <c r="N310" s="509"/>
      <c r="O310" s="509"/>
      <c r="P310" s="509"/>
      <c r="Q310" s="509"/>
      <c r="R310" s="500"/>
    </row>
    <row r="311" spans="1:18" customFormat="1" x14ac:dyDescent="0.25">
      <c r="A311" s="500"/>
      <c r="B311" s="12" t="s">
        <v>30</v>
      </c>
      <c r="C311" s="4"/>
      <c r="D311" s="4"/>
      <c r="E311" s="4"/>
      <c r="F311" s="4"/>
      <c r="G311" s="257"/>
      <c r="H311" s="536"/>
      <c r="I311" s="509"/>
      <c r="J311" s="509"/>
      <c r="K311" s="509"/>
      <c r="L311" s="509"/>
      <c r="M311" s="509"/>
      <c r="N311" s="509"/>
      <c r="O311" s="509"/>
      <c r="P311" s="509"/>
      <c r="Q311" s="509"/>
      <c r="R311" s="500"/>
    </row>
    <row r="312" spans="1:18" customFormat="1" x14ac:dyDescent="0.25">
      <c r="A312" s="500"/>
      <c r="B312" s="258" t="s">
        <v>128</v>
      </c>
      <c r="C312" s="259"/>
      <c r="D312" s="259"/>
      <c r="E312" s="259"/>
      <c r="F312" s="259"/>
      <c r="G312" s="260"/>
      <c r="H312" s="536">
        <v>937.5</v>
      </c>
      <c r="I312" s="509">
        <v>564.17437500000005</v>
      </c>
      <c r="J312" s="509">
        <v>98.250742857142868</v>
      </c>
      <c r="K312" s="509">
        <v>126.19199999999999</v>
      </c>
      <c r="L312" s="509">
        <v>0</v>
      </c>
      <c r="M312" s="509">
        <v>0</v>
      </c>
      <c r="N312" s="509">
        <v>0</v>
      </c>
      <c r="O312" s="509">
        <v>0</v>
      </c>
      <c r="P312" s="509">
        <v>0</v>
      </c>
      <c r="Q312" s="509">
        <v>926.28409090909099</v>
      </c>
      <c r="R312" s="500"/>
    </row>
    <row r="313" spans="1:18" s="583" customFormat="1" x14ac:dyDescent="0.25"/>
    <row r="314" spans="1:18" s="583" customFormat="1" x14ac:dyDescent="0.25">
      <c r="B314" s="585" t="s">
        <v>196</v>
      </c>
    </row>
    <row r="315" spans="1:18" s="583" customFormat="1" x14ac:dyDescent="0.25"/>
    <row r="316" spans="1:18" x14ac:dyDescent="0.25">
      <c r="B316" s="557" t="s">
        <v>195</v>
      </c>
      <c r="C316" s="558"/>
      <c r="D316" s="533"/>
      <c r="E316" s="533"/>
      <c r="F316" s="533"/>
      <c r="G316" s="534"/>
      <c r="H316" s="542">
        <f t="shared" ref="H316:Q316" si="15">IF(ISNUMBER(SUM(H317:H336)),SUM(H317:H336),H138)</f>
        <v>4608.8650000000007</v>
      </c>
      <c r="I316" s="542">
        <f t="shared" si="15"/>
        <v>2719.35</v>
      </c>
      <c r="J316" s="542">
        <f t="shared" si="15"/>
        <v>688.99428571428564</v>
      </c>
      <c r="K316" s="542">
        <f t="shared" si="15"/>
        <v>2691.5000000000005</v>
      </c>
      <c r="L316" s="542">
        <f t="shared" si="15"/>
        <v>927.93999999999983</v>
      </c>
      <c r="M316" s="542">
        <f t="shared" si="15"/>
        <v>1695.0099999999998</v>
      </c>
      <c r="N316" s="542">
        <f t="shared" si="15"/>
        <v>1290.57</v>
      </c>
      <c r="O316" s="542">
        <f t="shared" si="15"/>
        <v>4981.5550000000003</v>
      </c>
      <c r="P316" s="542">
        <f t="shared" si="15"/>
        <v>593.06666666666672</v>
      </c>
      <c r="Q316" s="542">
        <f t="shared" si="15"/>
        <v>1356.7636363636364</v>
      </c>
    </row>
    <row r="317" spans="1:18" x14ac:dyDescent="0.25">
      <c r="B317" s="11" t="s">
        <v>195</v>
      </c>
      <c r="C317" s="2"/>
      <c r="D317" s="2"/>
      <c r="E317" s="2"/>
      <c r="F317" s="2"/>
      <c r="G317" s="3"/>
      <c r="H317" s="562">
        <v>0</v>
      </c>
      <c r="I317" s="524">
        <v>0</v>
      </c>
      <c r="J317" s="524">
        <v>3.2257142857142855</v>
      </c>
      <c r="K317" s="524">
        <v>0</v>
      </c>
      <c r="L317" s="524">
        <v>0</v>
      </c>
      <c r="M317" s="524">
        <v>0</v>
      </c>
      <c r="N317" s="524">
        <v>0</v>
      </c>
      <c r="O317" s="524">
        <v>0</v>
      </c>
      <c r="P317" s="524">
        <v>0</v>
      </c>
      <c r="Q317" s="524">
        <v>0</v>
      </c>
    </row>
    <row r="318" spans="1:18" x14ac:dyDescent="0.25">
      <c r="B318" s="12" t="s">
        <v>197</v>
      </c>
      <c r="C318" s="4"/>
      <c r="D318" s="4"/>
      <c r="E318" s="4"/>
      <c r="F318" s="4"/>
      <c r="G318" s="257"/>
      <c r="H318" s="536">
        <v>238.14500000000001</v>
      </c>
      <c r="I318" s="509">
        <v>48.79</v>
      </c>
      <c r="J318" s="509">
        <v>7.3528571428571432</v>
      </c>
      <c r="K318" s="509">
        <v>21.376000000000001</v>
      </c>
      <c r="L318" s="509">
        <v>927.93999999999983</v>
      </c>
      <c r="M318" s="509">
        <v>0</v>
      </c>
      <c r="N318" s="509">
        <v>0</v>
      </c>
      <c r="O318" s="509">
        <v>0</v>
      </c>
      <c r="P318" s="509">
        <v>0</v>
      </c>
      <c r="Q318" s="509">
        <v>0</v>
      </c>
    </row>
    <row r="319" spans="1:18" x14ac:dyDescent="0.25">
      <c r="B319" s="12" t="s">
        <v>198</v>
      </c>
      <c r="C319" s="4"/>
      <c r="D319" s="4"/>
      <c r="E319" s="4"/>
      <c r="F319" s="4"/>
      <c r="G319" s="257"/>
      <c r="H319" s="536">
        <v>1034.2650000000001</v>
      </c>
      <c r="I319" s="509">
        <v>1611.8525</v>
      </c>
      <c r="J319" s="509">
        <v>212.68142857142857</v>
      </c>
      <c r="K319" s="509">
        <v>818.83600000000001</v>
      </c>
      <c r="L319" s="509">
        <v>0</v>
      </c>
      <c r="M319" s="509">
        <v>0</v>
      </c>
      <c r="N319" s="509">
        <v>0</v>
      </c>
      <c r="O319" s="509">
        <v>0</v>
      </c>
      <c r="P319" s="509">
        <v>0</v>
      </c>
      <c r="Q319" s="509">
        <v>0</v>
      </c>
    </row>
    <row r="320" spans="1:18" x14ac:dyDescent="0.25">
      <c r="B320" s="12" t="s">
        <v>199</v>
      </c>
      <c r="C320" s="4"/>
      <c r="D320" s="4"/>
      <c r="E320" s="4"/>
      <c r="F320" s="4"/>
      <c r="G320" s="257"/>
      <c r="H320" s="536">
        <v>897.12</v>
      </c>
      <c r="I320" s="509">
        <v>119.1125</v>
      </c>
      <c r="J320" s="509">
        <v>52.657142857142858</v>
      </c>
      <c r="K320" s="509">
        <v>210.2</v>
      </c>
      <c r="L320" s="509">
        <v>0</v>
      </c>
      <c r="M320" s="509">
        <v>0</v>
      </c>
      <c r="N320" s="509">
        <v>1022.68</v>
      </c>
      <c r="O320" s="509">
        <v>4981.5550000000003</v>
      </c>
      <c r="P320" s="509">
        <v>0</v>
      </c>
      <c r="Q320" s="509">
        <v>0</v>
      </c>
    </row>
    <row r="321" spans="2:17" x14ac:dyDescent="0.25">
      <c r="B321" s="12" t="s">
        <v>200</v>
      </c>
      <c r="C321" s="4"/>
      <c r="D321" s="4"/>
      <c r="E321" s="4"/>
      <c r="F321" s="4"/>
      <c r="G321" s="257"/>
      <c r="H321" s="536">
        <v>0</v>
      </c>
      <c r="I321" s="509">
        <v>0</v>
      </c>
      <c r="J321" s="509">
        <v>0</v>
      </c>
      <c r="K321" s="509">
        <v>0</v>
      </c>
      <c r="L321" s="509">
        <v>0</v>
      </c>
      <c r="M321" s="509">
        <v>0</v>
      </c>
      <c r="N321" s="509">
        <v>0</v>
      </c>
      <c r="O321" s="509">
        <v>0</v>
      </c>
      <c r="P321" s="509">
        <v>0</v>
      </c>
      <c r="Q321" s="509">
        <v>0</v>
      </c>
    </row>
    <row r="322" spans="2:17" x14ac:dyDescent="0.25">
      <c r="B322" s="12" t="s">
        <v>201</v>
      </c>
      <c r="C322" s="4"/>
      <c r="D322" s="4"/>
      <c r="E322" s="4"/>
      <c r="F322" s="4"/>
      <c r="G322" s="257"/>
      <c r="H322" s="536">
        <v>0</v>
      </c>
      <c r="I322" s="509">
        <v>0</v>
      </c>
      <c r="J322" s="509">
        <v>0</v>
      </c>
      <c r="K322" s="509">
        <v>0</v>
      </c>
      <c r="L322" s="509">
        <v>0</v>
      </c>
      <c r="M322" s="509">
        <v>0</v>
      </c>
      <c r="N322" s="509">
        <v>0</v>
      </c>
      <c r="O322" s="509">
        <v>0</v>
      </c>
      <c r="P322" s="509">
        <v>0</v>
      </c>
      <c r="Q322" s="509">
        <v>0</v>
      </c>
    </row>
    <row r="323" spans="2:17" x14ac:dyDescent="0.25">
      <c r="B323" s="12" t="s">
        <v>202</v>
      </c>
      <c r="C323" s="4"/>
      <c r="D323" s="4"/>
      <c r="E323" s="4"/>
      <c r="F323" s="4"/>
      <c r="G323" s="257"/>
      <c r="H323" s="536">
        <v>0</v>
      </c>
      <c r="I323" s="509">
        <v>0</v>
      </c>
      <c r="J323" s="509">
        <v>0</v>
      </c>
      <c r="K323" s="509">
        <v>0</v>
      </c>
      <c r="L323" s="509">
        <v>0</v>
      </c>
      <c r="M323" s="509">
        <v>0</v>
      </c>
      <c r="N323" s="509">
        <v>0</v>
      </c>
      <c r="O323" s="509">
        <v>0</v>
      </c>
      <c r="P323" s="509">
        <v>0</v>
      </c>
      <c r="Q323" s="509">
        <v>0</v>
      </c>
    </row>
    <row r="324" spans="2:17" x14ac:dyDescent="0.25">
      <c r="B324" s="12" t="s">
        <v>203</v>
      </c>
      <c r="C324" s="4"/>
      <c r="D324" s="4"/>
      <c r="E324" s="4"/>
      <c r="F324" s="4"/>
      <c r="G324" s="257"/>
      <c r="H324" s="536">
        <v>0</v>
      </c>
      <c r="I324" s="509">
        <v>5.6875</v>
      </c>
      <c r="J324" s="509">
        <v>14.871428571428572</v>
      </c>
      <c r="K324" s="509">
        <v>160</v>
      </c>
      <c r="L324" s="509">
        <v>0</v>
      </c>
      <c r="M324" s="509">
        <v>1695.0099999999998</v>
      </c>
      <c r="N324" s="509">
        <v>0</v>
      </c>
      <c r="O324" s="509">
        <v>0</v>
      </c>
      <c r="P324" s="509">
        <v>593.06666666666672</v>
      </c>
      <c r="Q324" s="509">
        <v>0</v>
      </c>
    </row>
    <row r="325" spans="2:17" x14ac:dyDescent="0.25">
      <c r="B325" s="12" t="s">
        <v>204</v>
      </c>
      <c r="C325" s="4"/>
      <c r="D325" s="4"/>
      <c r="E325" s="4"/>
      <c r="F325" s="4"/>
      <c r="G325" s="257"/>
      <c r="H325" s="536">
        <v>2197.4050000000002</v>
      </c>
      <c r="I325" s="509">
        <v>421.30250000000001</v>
      </c>
      <c r="J325" s="509">
        <v>397.37</v>
      </c>
      <c r="K325" s="509">
        <v>1207.5360000000001</v>
      </c>
      <c r="L325" s="509">
        <v>0</v>
      </c>
      <c r="M325" s="509">
        <v>0</v>
      </c>
      <c r="N325" s="509">
        <v>75.06</v>
      </c>
      <c r="O325" s="509">
        <v>0</v>
      </c>
      <c r="P325" s="509">
        <v>0</v>
      </c>
      <c r="Q325" s="509">
        <v>0</v>
      </c>
    </row>
    <row r="326" spans="2:17" x14ac:dyDescent="0.25">
      <c r="B326" s="12" t="s">
        <v>205</v>
      </c>
      <c r="C326" s="4"/>
      <c r="D326" s="4"/>
      <c r="E326" s="4"/>
      <c r="F326" s="4"/>
      <c r="G326" s="257"/>
      <c r="H326" s="536">
        <v>114.22</v>
      </c>
      <c r="I326" s="509">
        <v>9.7650000000000006</v>
      </c>
      <c r="J326" s="509">
        <v>0</v>
      </c>
      <c r="K326" s="509">
        <v>22.192</v>
      </c>
      <c r="L326" s="509">
        <v>0</v>
      </c>
      <c r="M326" s="509">
        <v>0</v>
      </c>
      <c r="N326" s="509">
        <v>0</v>
      </c>
      <c r="O326" s="509">
        <v>0</v>
      </c>
      <c r="P326" s="509">
        <v>0</v>
      </c>
      <c r="Q326" s="509">
        <v>1275.3578181818182</v>
      </c>
    </row>
    <row r="327" spans="2:17" x14ac:dyDescent="0.25">
      <c r="B327" s="12" t="s">
        <v>206</v>
      </c>
      <c r="C327" s="4"/>
      <c r="D327" s="4"/>
      <c r="E327" s="4"/>
      <c r="F327" s="4"/>
      <c r="G327" s="257"/>
      <c r="H327" s="536">
        <v>127.71</v>
      </c>
      <c r="I327" s="509">
        <v>502.84</v>
      </c>
      <c r="J327" s="509">
        <v>0.83571428571428574</v>
      </c>
      <c r="K327" s="509">
        <v>251.36</v>
      </c>
      <c r="L327" s="509">
        <v>0</v>
      </c>
      <c r="M327" s="509">
        <v>0</v>
      </c>
      <c r="N327" s="509">
        <v>192.83</v>
      </c>
      <c r="O327" s="509">
        <v>0</v>
      </c>
      <c r="P327" s="509">
        <v>0</v>
      </c>
      <c r="Q327" s="509">
        <v>81.405818181818177</v>
      </c>
    </row>
    <row r="328" spans="2:17" x14ac:dyDescent="0.25">
      <c r="B328" s="12" t="s">
        <v>41</v>
      </c>
      <c r="C328" s="4"/>
      <c r="D328" s="4"/>
      <c r="E328" s="4"/>
      <c r="F328" s="4"/>
      <c r="G328" s="257"/>
      <c r="H328" s="536">
        <v>0</v>
      </c>
      <c r="I328" s="509">
        <v>0</v>
      </c>
      <c r="J328" s="509">
        <v>0</v>
      </c>
      <c r="K328" s="509">
        <v>0</v>
      </c>
      <c r="L328" s="509">
        <v>0</v>
      </c>
      <c r="M328" s="509">
        <v>0</v>
      </c>
      <c r="N328" s="509">
        <v>0</v>
      </c>
      <c r="O328" s="509">
        <v>0</v>
      </c>
      <c r="P328" s="509">
        <v>0</v>
      </c>
      <c r="Q328" s="509">
        <v>0</v>
      </c>
    </row>
    <row r="329" spans="2:17" x14ac:dyDescent="0.25">
      <c r="B329" s="12" t="s">
        <v>895</v>
      </c>
      <c r="C329" s="4"/>
      <c r="D329" s="4"/>
      <c r="E329" s="4"/>
      <c r="F329" s="4"/>
      <c r="G329" s="257"/>
      <c r="H329" s="536">
        <v>0</v>
      </c>
      <c r="I329" s="509">
        <v>0</v>
      </c>
      <c r="J329" s="509">
        <v>0</v>
      </c>
      <c r="K329" s="509">
        <v>0</v>
      </c>
      <c r="L329" s="509">
        <v>0</v>
      </c>
      <c r="M329" s="509">
        <v>0</v>
      </c>
      <c r="N329" s="509">
        <v>0</v>
      </c>
      <c r="O329" s="509">
        <v>0</v>
      </c>
      <c r="P329" s="509">
        <v>0</v>
      </c>
      <c r="Q329" s="509">
        <v>0</v>
      </c>
    </row>
    <row r="330" spans="2:17" x14ac:dyDescent="0.25">
      <c r="B330" s="12" t="s">
        <v>895</v>
      </c>
      <c r="C330" s="4"/>
      <c r="D330" s="4"/>
      <c r="E330" s="4"/>
      <c r="F330" s="4"/>
      <c r="G330" s="257"/>
      <c r="H330" s="536">
        <v>0</v>
      </c>
      <c r="I330" s="509">
        <v>0</v>
      </c>
      <c r="J330" s="509">
        <v>0</v>
      </c>
      <c r="K330" s="509">
        <v>0</v>
      </c>
      <c r="L330" s="509">
        <v>0</v>
      </c>
      <c r="M330" s="509">
        <v>0</v>
      </c>
      <c r="N330" s="509">
        <v>0</v>
      </c>
      <c r="O330" s="509">
        <v>0</v>
      </c>
      <c r="P330" s="509">
        <v>0</v>
      </c>
      <c r="Q330" s="509">
        <v>0</v>
      </c>
    </row>
    <row r="331" spans="2:17" x14ac:dyDescent="0.25">
      <c r="B331" s="12" t="s">
        <v>895</v>
      </c>
      <c r="C331" s="4"/>
      <c r="D331" s="4"/>
      <c r="E331" s="4"/>
      <c r="F331" s="4"/>
      <c r="G331" s="257"/>
      <c r="H331" s="536">
        <v>0</v>
      </c>
      <c r="I331" s="509">
        <v>0</v>
      </c>
      <c r="J331" s="509">
        <v>0</v>
      </c>
      <c r="K331" s="509">
        <v>0</v>
      </c>
      <c r="L331" s="509">
        <v>0</v>
      </c>
      <c r="M331" s="509">
        <v>0</v>
      </c>
      <c r="N331" s="509">
        <v>0</v>
      </c>
      <c r="O331" s="509">
        <v>0</v>
      </c>
      <c r="P331" s="509">
        <v>0</v>
      </c>
      <c r="Q331" s="509">
        <v>0</v>
      </c>
    </row>
    <row r="332" spans="2:17" x14ac:dyDescent="0.25">
      <c r="B332" s="12" t="s">
        <v>895</v>
      </c>
      <c r="C332" s="4"/>
      <c r="D332" s="4"/>
      <c r="E332" s="4"/>
      <c r="F332" s="4"/>
      <c r="G332" s="257"/>
      <c r="H332" s="536">
        <v>0</v>
      </c>
      <c r="I332" s="509">
        <v>0</v>
      </c>
      <c r="J332" s="509">
        <v>0</v>
      </c>
      <c r="K332" s="509">
        <v>0</v>
      </c>
      <c r="L332" s="509">
        <v>0</v>
      </c>
      <c r="M332" s="509">
        <v>0</v>
      </c>
      <c r="N332" s="509">
        <v>0</v>
      </c>
      <c r="O332" s="509">
        <v>0</v>
      </c>
      <c r="P332" s="509">
        <v>0</v>
      </c>
      <c r="Q332" s="509">
        <v>0</v>
      </c>
    </row>
    <row r="333" spans="2:17" x14ac:dyDescent="0.25">
      <c r="B333" s="12" t="s">
        <v>895</v>
      </c>
      <c r="C333" s="4"/>
      <c r="D333" s="4"/>
      <c r="E333" s="4"/>
      <c r="F333" s="4"/>
      <c r="G333" s="257"/>
      <c r="H333" s="536">
        <v>0</v>
      </c>
      <c r="I333" s="509">
        <v>0</v>
      </c>
      <c r="J333" s="509">
        <v>0</v>
      </c>
      <c r="K333" s="509">
        <v>0</v>
      </c>
      <c r="L333" s="509">
        <v>0</v>
      </c>
      <c r="M333" s="509">
        <v>0</v>
      </c>
      <c r="N333" s="509">
        <v>0</v>
      </c>
      <c r="O333" s="509">
        <v>0</v>
      </c>
      <c r="P333" s="509">
        <v>0</v>
      </c>
      <c r="Q333" s="509">
        <v>0</v>
      </c>
    </row>
    <row r="334" spans="2:17" x14ac:dyDescent="0.25">
      <c r="B334" s="12" t="s">
        <v>895</v>
      </c>
      <c r="C334" s="4"/>
      <c r="D334" s="4"/>
      <c r="E334" s="4"/>
      <c r="F334" s="4"/>
      <c r="G334" s="257"/>
      <c r="H334" s="536">
        <v>0</v>
      </c>
      <c r="I334" s="509">
        <v>0</v>
      </c>
      <c r="J334" s="509">
        <v>0</v>
      </c>
      <c r="K334" s="509">
        <v>0</v>
      </c>
      <c r="L334" s="509">
        <v>0</v>
      </c>
      <c r="M334" s="509">
        <v>0</v>
      </c>
      <c r="N334" s="509">
        <v>0</v>
      </c>
      <c r="O334" s="509">
        <v>0</v>
      </c>
      <c r="P334" s="509">
        <v>0</v>
      </c>
      <c r="Q334" s="509">
        <v>0</v>
      </c>
    </row>
    <row r="335" spans="2:17" x14ac:dyDescent="0.25">
      <c r="B335" s="12" t="s">
        <v>895</v>
      </c>
      <c r="C335" s="4"/>
      <c r="D335" s="4"/>
      <c r="E335" s="4"/>
      <c r="F335" s="4"/>
      <c r="G335" s="257"/>
      <c r="H335" s="536">
        <v>0</v>
      </c>
      <c r="I335" s="509">
        <v>0</v>
      </c>
      <c r="J335" s="509">
        <v>0</v>
      </c>
      <c r="K335" s="509">
        <v>0</v>
      </c>
      <c r="L335" s="509">
        <v>0</v>
      </c>
      <c r="M335" s="509">
        <v>0</v>
      </c>
      <c r="N335" s="509">
        <v>0</v>
      </c>
      <c r="O335" s="509">
        <v>0</v>
      </c>
      <c r="P335" s="509">
        <v>0</v>
      </c>
      <c r="Q335" s="509">
        <v>0</v>
      </c>
    </row>
    <row r="336" spans="2:17" x14ac:dyDescent="0.25">
      <c r="B336" s="258" t="s">
        <v>895</v>
      </c>
      <c r="C336" s="6"/>
      <c r="D336" s="6"/>
      <c r="E336" s="6"/>
      <c r="F336" s="6"/>
      <c r="G336" s="260"/>
      <c r="H336" s="536">
        <v>0</v>
      </c>
      <c r="I336" s="509">
        <v>0</v>
      </c>
      <c r="J336" s="509">
        <v>0</v>
      </c>
      <c r="K336" s="509">
        <v>0</v>
      </c>
      <c r="L336" s="509">
        <v>0</v>
      </c>
      <c r="M336" s="509">
        <v>0</v>
      </c>
      <c r="N336" s="509">
        <v>0</v>
      </c>
      <c r="O336" s="509">
        <v>0</v>
      </c>
      <c r="P336" s="509">
        <v>0</v>
      </c>
      <c r="Q336" s="509">
        <v>0</v>
      </c>
    </row>
    <row r="337" spans="1:18" s="583" customFormat="1" x14ac:dyDescent="0.25"/>
    <row r="338" spans="1:18" s="583" customFormat="1" ht="18.75" x14ac:dyDescent="0.3">
      <c r="B338" s="584" t="str">
        <f>IF(Setup!B7="Losses/Provisions","Loss Rate/Provisions Rate","PD/NPL ratio")</f>
        <v>PD/NPL ratio</v>
      </c>
    </row>
    <row r="339" spans="1:18" s="583" customFormat="1" x14ac:dyDescent="0.25">
      <c r="B339" s="585"/>
    </row>
    <row r="340" spans="1:18" customFormat="1" x14ac:dyDescent="0.25">
      <c r="A340" s="500"/>
      <c r="B340" s="557" t="s">
        <v>1455</v>
      </c>
      <c r="C340" s="558"/>
      <c r="D340" s="533"/>
      <c r="E340" s="533"/>
      <c r="F340" s="533"/>
      <c r="G340" s="534"/>
      <c r="H340" s="556">
        <f t="shared" ref="H340:Q340" si="16">SUMPRODUCT(H341:H360,H279:H298)/SUM(H279:H298)</f>
        <v>2.3279649933003438E-2</v>
      </c>
      <c r="I340" s="520">
        <f t="shared" si="16"/>
        <v>5.1412211825149039E-2</v>
      </c>
      <c r="J340" s="520">
        <f t="shared" si="16"/>
        <v>1.0703992856379569E-2</v>
      </c>
      <c r="K340" s="520">
        <f t="shared" si="16"/>
        <v>6.1977780375589821E-3</v>
      </c>
      <c r="L340" s="520">
        <f t="shared" si="16"/>
        <v>1.489575242652183E-2</v>
      </c>
      <c r="M340" s="520">
        <f t="shared" si="16"/>
        <v>1.9223852264286696E-2</v>
      </c>
      <c r="N340" s="520">
        <f t="shared" si="16"/>
        <v>1.2880921842074034E-2</v>
      </c>
      <c r="O340" s="520">
        <f t="shared" si="16"/>
        <v>4.2559888428412443E-3</v>
      </c>
      <c r="P340" s="520">
        <f t="shared" si="16"/>
        <v>1.1778710323357786E-2</v>
      </c>
      <c r="Q340" s="520">
        <f t="shared" si="16"/>
        <v>3.4511192368376464E-2</v>
      </c>
      <c r="R340" s="500"/>
    </row>
    <row r="341" spans="1:18" customFormat="1" x14ac:dyDescent="0.25">
      <c r="A341" s="500"/>
      <c r="B341" s="11" t="s">
        <v>178</v>
      </c>
      <c r="C341" s="2"/>
      <c r="D341" s="2"/>
      <c r="E341" s="2"/>
      <c r="F341" s="2"/>
      <c r="G341" s="3"/>
      <c r="H341" s="551">
        <v>5.0000000000000001E-3</v>
      </c>
      <c r="I341" s="517">
        <v>5.0000000000000001E-3</v>
      </c>
      <c r="J341" s="517">
        <v>4.7012118679481824E-3</v>
      </c>
      <c r="K341" s="517">
        <v>5.0000000000000001E-3</v>
      </c>
      <c r="L341" s="517">
        <v>0.01</v>
      </c>
      <c r="M341" s="517">
        <v>0.01</v>
      </c>
      <c r="N341" s="517">
        <v>0.01</v>
      </c>
      <c r="O341" s="517">
        <v>0.01</v>
      </c>
      <c r="P341" s="517">
        <v>0.01</v>
      </c>
      <c r="Q341" s="517">
        <v>0.01</v>
      </c>
      <c r="R341" s="500"/>
    </row>
    <row r="342" spans="1:18" customFormat="1" x14ac:dyDescent="0.25">
      <c r="A342" s="500"/>
      <c r="B342" s="12" t="s">
        <v>179</v>
      </c>
      <c r="C342" s="4"/>
      <c r="D342" s="4"/>
      <c r="E342" s="4"/>
      <c r="F342" s="4"/>
      <c r="G342" s="257"/>
      <c r="H342" s="551">
        <v>0.01</v>
      </c>
      <c r="I342" s="517">
        <v>0.01</v>
      </c>
      <c r="J342" s="517">
        <v>4.5904917734751385E-3</v>
      </c>
      <c r="K342" s="517">
        <v>0.01</v>
      </c>
      <c r="L342" s="517">
        <v>0.02</v>
      </c>
      <c r="M342" s="517">
        <v>0.02</v>
      </c>
      <c r="N342" s="517">
        <v>0.02</v>
      </c>
      <c r="O342" s="517">
        <v>0.02</v>
      </c>
      <c r="P342" s="517">
        <v>0.02</v>
      </c>
      <c r="Q342" s="517">
        <v>0.02</v>
      </c>
      <c r="R342" s="500"/>
    </row>
    <row r="343" spans="1:18" customFormat="1" x14ac:dyDescent="0.25">
      <c r="A343" s="500"/>
      <c r="B343" s="12" t="s">
        <v>180</v>
      </c>
      <c r="C343" s="4"/>
      <c r="D343" s="4"/>
      <c r="E343" s="4"/>
      <c r="F343" s="4"/>
      <c r="G343" s="257"/>
      <c r="H343" s="551">
        <v>0.01</v>
      </c>
      <c r="I343" s="517">
        <v>0.01</v>
      </c>
      <c r="J343" s="517">
        <v>3.2623012937334224E-2</v>
      </c>
      <c r="K343" s="517">
        <v>0.01</v>
      </c>
      <c r="L343" s="517">
        <v>0.02</v>
      </c>
      <c r="M343" s="517">
        <v>0.02</v>
      </c>
      <c r="N343" s="517">
        <v>0.02</v>
      </c>
      <c r="O343" s="517">
        <v>0.02</v>
      </c>
      <c r="P343" s="517">
        <v>0.02</v>
      </c>
      <c r="Q343" s="517">
        <v>0.02</v>
      </c>
      <c r="R343" s="500"/>
    </row>
    <row r="344" spans="1:18" customFormat="1" x14ac:dyDescent="0.25">
      <c r="A344" s="500"/>
      <c r="B344" s="12" t="s">
        <v>181</v>
      </c>
      <c r="C344" s="4"/>
      <c r="D344" s="4"/>
      <c r="E344" s="4"/>
      <c r="F344" s="4"/>
      <c r="G344" s="257"/>
      <c r="H344" s="551">
        <v>2.4616825834656117E-2</v>
      </c>
      <c r="I344" s="517">
        <v>5.3958992498844602E-2</v>
      </c>
      <c r="J344" s="517">
        <v>1.0329886396737546E-2</v>
      </c>
      <c r="K344" s="517">
        <v>6.0066361526052809E-3</v>
      </c>
      <c r="L344" s="517">
        <v>1.4244690533152287E-2</v>
      </c>
      <c r="M344" s="517">
        <v>1.9654815330358368E-2</v>
      </c>
      <c r="N344" s="517">
        <v>1.184747824604632E-2</v>
      </c>
      <c r="O344" s="517">
        <v>9.4498605355155152E-4</v>
      </c>
      <c r="P344" s="517">
        <v>1.0348387904197237E-2</v>
      </c>
      <c r="Q344" s="517">
        <v>3.7785358173707685E-2</v>
      </c>
      <c r="R344" s="500"/>
    </row>
    <row r="345" spans="1:18" customFormat="1" x14ac:dyDescent="0.25">
      <c r="A345" s="500"/>
      <c r="B345" s="12" t="s">
        <v>182</v>
      </c>
      <c r="C345" s="4"/>
      <c r="D345" s="4"/>
      <c r="E345" s="4"/>
      <c r="F345" s="4"/>
      <c r="G345" s="257"/>
      <c r="H345" s="551">
        <v>2.4616825834656117E-2</v>
      </c>
      <c r="I345" s="517">
        <v>5.3958992498844602E-2</v>
      </c>
      <c r="J345" s="517">
        <v>1.0329886396737546E-2</v>
      </c>
      <c r="K345" s="517">
        <v>6.0066361526052809E-3</v>
      </c>
      <c r="L345" s="517">
        <v>1.4244690533152287E-2</v>
      </c>
      <c r="M345" s="517">
        <v>1.9654815330358368E-2</v>
      </c>
      <c r="N345" s="517">
        <v>1.184747824604632E-2</v>
      </c>
      <c r="O345" s="517">
        <v>9.4498605355155152E-4</v>
      </c>
      <c r="P345" s="517">
        <v>1.0348387904197237E-2</v>
      </c>
      <c r="Q345" s="517">
        <v>3.7785358173707685E-2</v>
      </c>
      <c r="R345" s="500"/>
    </row>
    <row r="346" spans="1:18" customFormat="1" x14ac:dyDescent="0.25">
      <c r="A346" s="500"/>
      <c r="B346" s="12" t="s">
        <v>183</v>
      </c>
      <c r="C346" s="4"/>
      <c r="D346" s="4"/>
      <c r="E346" s="4"/>
      <c r="F346" s="4"/>
      <c r="G346" s="257"/>
      <c r="H346" s="551">
        <v>2.4616825834656117E-2</v>
      </c>
      <c r="I346" s="517">
        <v>5.3958992498844602E-2</v>
      </c>
      <c r="J346" s="517">
        <v>1.0329886396737546E-2</v>
      </c>
      <c r="K346" s="517">
        <v>6.0066361526052809E-3</v>
      </c>
      <c r="L346" s="517">
        <v>1.4244690533152287E-2</v>
      </c>
      <c r="M346" s="517">
        <v>1.9654815330358368E-2</v>
      </c>
      <c r="N346" s="517">
        <v>1.184747824604632E-2</v>
      </c>
      <c r="O346" s="517">
        <v>9.4498605355155152E-4</v>
      </c>
      <c r="P346" s="517">
        <v>1.0348387904197237E-2</v>
      </c>
      <c r="Q346" s="517">
        <v>3.7785358173707685E-2</v>
      </c>
      <c r="R346" s="500"/>
    </row>
    <row r="347" spans="1:18" customFormat="1" x14ac:dyDescent="0.25">
      <c r="A347" s="500"/>
      <c r="B347" s="12" t="s">
        <v>184</v>
      </c>
      <c r="C347" s="4"/>
      <c r="D347" s="4"/>
      <c r="E347" s="4"/>
      <c r="F347" s="4"/>
      <c r="G347" s="257"/>
      <c r="H347" s="551">
        <v>2.4616825834656117E-2</v>
      </c>
      <c r="I347" s="517">
        <v>5.3958992498844602E-2</v>
      </c>
      <c r="J347" s="517">
        <v>1.0329886396737546E-2</v>
      </c>
      <c r="K347" s="517">
        <v>6.0066361526052809E-3</v>
      </c>
      <c r="L347" s="517">
        <v>1.4244690533152287E-2</v>
      </c>
      <c r="M347" s="517">
        <v>1.9654815330358368E-2</v>
      </c>
      <c r="N347" s="517">
        <v>1.184747824604632E-2</v>
      </c>
      <c r="O347" s="517">
        <v>9.4498605355155152E-4</v>
      </c>
      <c r="P347" s="517">
        <v>1.0348387904197237E-2</v>
      </c>
      <c r="Q347" s="517">
        <v>3.7785358173707685E-2</v>
      </c>
      <c r="R347" s="500"/>
    </row>
    <row r="348" spans="1:18" customFormat="1" x14ac:dyDescent="0.25">
      <c r="A348" s="500"/>
      <c r="B348" s="12" t="s">
        <v>185</v>
      </c>
      <c r="C348" s="4"/>
      <c r="D348" s="4"/>
      <c r="E348" s="4"/>
      <c r="F348" s="4"/>
      <c r="G348" s="257"/>
      <c r="H348" s="551">
        <v>2.4616825834656117E-2</v>
      </c>
      <c r="I348" s="517">
        <v>5.3958992498844602E-2</v>
      </c>
      <c r="J348" s="517">
        <v>1.0329886396737546E-2</v>
      </c>
      <c r="K348" s="517">
        <v>6.0066361526052809E-3</v>
      </c>
      <c r="L348" s="517">
        <v>1.4244690533152287E-2</v>
      </c>
      <c r="M348" s="517">
        <v>1.9654815330358368E-2</v>
      </c>
      <c r="N348" s="517">
        <v>1.184747824604632E-2</v>
      </c>
      <c r="O348" s="517">
        <v>9.4498605355155152E-4</v>
      </c>
      <c r="P348" s="517">
        <v>1.0348387904197237E-2</v>
      </c>
      <c r="Q348" s="517">
        <v>3.7785358173707685E-2</v>
      </c>
      <c r="R348" s="500"/>
    </row>
    <row r="349" spans="1:18" customFormat="1" x14ac:dyDescent="0.25">
      <c r="A349" s="500"/>
      <c r="B349" s="12" t="s">
        <v>186</v>
      </c>
      <c r="C349" s="4"/>
      <c r="D349" s="4"/>
      <c r="E349" s="4"/>
      <c r="F349" s="4"/>
      <c r="G349" s="257"/>
      <c r="H349" s="551">
        <v>2.4616825834656117E-2</v>
      </c>
      <c r="I349" s="517">
        <v>5.3958992498844602E-2</v>
      </c>
      <c r="J349" s="517">
        <v>1.0329886396737546E-2</v>
      </c>
      <c r="K349" s="517">
        <v>6.0066361526052809E-3</v>
      </c>
      <c r="L349" s="517">
        <v>1.4244690533152287E-2</v>
      </c>
      <c r="M349" s="517">
        <v>1.9654815330358368E-2</v>
      </c>
      <c r="N349" s="517">
        <v>1.184747824604632E-2</v>
      </c>
      <c r="O349" s="517">
        <v>9.4498605355155152E-4</v>
      </c>
      <c r="P349" s="517">
        <v>1.0348387904197237E-2</v>
      </c>
      <c r="Q349" s="517">
        <v>3.7785358173707685E-2</v>
      </c>
      <c r="R349" s="500"/>
    </row>
    <row r="350" spans="1:18" customFormat="1" x14ac:dyDescent="0.25">
      <c r="A350" s="500"/>
      <c r="B350" s="12" t="s">
        <v>187</v>
      </c>
      <c r="C350" s="4"/>
      <c r="D350" s="4"/>
      <c r="E350" s="4"/>
      <c r="F350" s="4"/>
      <c r="G350" s="257"/>
      <c r="H350" s="551">
        <v>2.4616825834656117E-2</v>
      </c>
      <c r="I350" s="517">
        <v>5.3958992498844602E-2</v>
      </c>
      <c r="J350" s="517">
        <v>1.0329886396737546E-2</v>
      </c>
      <c r="K350" s="517">
        <v>6.0066361526052809E-3</v>
      </c>
      <c r="L350" s="517">
        <v>1.4244690533152287E-2</v>
      </c>
      <c r="M350" s="517">
        <v>1.9654815330358368E-2</v>
      </c>
      <c r="N350" s="517">
        <v>1.184747824604632E-2</v>
      </c>
      <c r="O350" s="517">
        <v>9.4498605355155152E-4</v>
      </c>
      <c r="P350" s="517">
        <v>1.0348387904197237E-2</v>
      </c>
      <c r="Q350" s="517">
        <v>3.7785358173707685E-2</v>
      </c>
      <c r="R350" s="500"/>
    </row>
    <row r="351" spans="1:18" customFormat="1" x14ac:dyDescent="0.25">
      <c r="A351" s="500"/>
      <c r="B351" s="12" t="s">
        <v>188</v>
      </c>
      <c r="C351" s="4"/>
      <c r="D351" s="4"/>
      <c r="E351" s="4"/>
      <c r="F351" s="4"/>
      <c r="G351" s="257"/>
      <c r="H351" s="551">
        <v>2.4616825834656117E-2</v>
      </c>
      <c r="I351" s="517">
        <v>5.3958992498844602E-2</v>
      </c>
      <c r="J351" s="517">
        <v>1.0329886396737546E-2</v>
      </c>
      <c r="K351" s="517">
        <v>6.0066361526052809E-3</v>
      </c>
      <c r="L351" s="517">
        <v>1.4244690533152287E-2</v>
      </c>
      <c r="M351" s="517">
        <v>1.9654815330358368E-2</v>
      </c>
      <c r="N351" s="517">
        <v>1.184747824604632E-2</v>
      </c>
      <c r="O351" s="517">
        <v>9.4498605355155152E-4</v>
      </c>
      <c r="P351" s="517">
        <v>1.0348387904197237E-2</v>
      </c>
      <c r="Q351" s="517">
        <v>3.7785358173707685E-2</v>
      </c>
      <c r="R351" s="500"/>
    </row>
    <row r="352" spans="1:18" customFormat="1" x14ac:dyDescent="0.25">
      <c r="A352" s="500"/>
      <c r="B352" s="12" t="s">
        <v>189</v>
      </c>
      <c r="C352" s="4"/>
      <c r="D352" s="4"/>
      <c r="E352" s="4"/>
      <c r="F352" s="4"/>
      <c r="G352" s="257"/>
      <c r="H352" s="551">
        <v>2.4616825834656117E-2</v>
      </c>
      <c r="I352" s="517">
        <v>5.3958992498844602E-2</v>
      </c>
      <c r="J352" s="517">
        <v>1.0329886396737546E-2</v>
      </c>
      <c r="K352" s="517">
        <v>6.0066361526052809E-3</v>
      </c>
      <c r="L352" s="517">
        <v>1.4244690533152287E-2</v>
      </c>
      <c r="M352" s="517">
        <v>1.9654815330358368E-2</v>
      </c>
      <c r="N352" s="517">
        <v>1.184747824604632E-2</v>
      </c>
      <c r="O352" s="517">
        <v>9.4498605355155152E-4</v>
      </c>
      <c r="P352" s="517">
        <v>1.0348387904197237E-2</v>
      </c>
      <c r="Q352" s="517">
        <v>3.7785358173707685E-2</v>
      </c>
      <c r="R352" s="500"/>
    </row>
    <row r="353" spans="1:18" customFormat="1" x14ac:dyDescent="0.25">
      <c r="A353" s="500"/>
      <c r="B353" s="12" t="s">
        <v>41</v>
      </c>
      <c r="C353" s="4"/>
      <c r="D353" s="4"/>
      <c r="E353" s="4"/>
      <c r="F353" s="4"/>
      <c r="G353" s="257"/>
      <c r="H353" s="551">
        <v>2.4616825834656117E-2</v>
      </c>
      <c r="I353" s="517">
        <v>5.3958992498844602E-2</v>
      </c>
      <c r="J353" s="517">
        <v>1.0329886396737546E-2</v>
      </c>
      <c r="K353" s="517">
        <v>6.0066361526052809E-3</v>
      </c>
      <c r="L353" s="517">
        <v>1.4244690533152287E-2</v>
      </c>
      <c r="M353" s="517">
        <v>1.9654815330358368E-2</v>
      </c>
      <c r="N353" s="517">
        <v>1.184747824604632E-2</v>
      </c>
      <c r="O353" s="517">
        <v>9.4498605355155152E-4</v>
      </c>
      <c r="P353" s="517">
        <v>1.0348387904197237E-2</v>
      </c>
      <c r="Q353" s="517">
        <v>3.7785358173707685E-2</v>
      </c>
      <c r="R353" s="500"/>
    </row>
    <row r="354" spans="1:18" customFormat="1" x14ac:dyDescent="0.25">
      <c r="A354" s="500"/>
      <c r="B354" s="12" t="s">
        <v>190</v>
      </c>
      <c r="C354" s="4"/>
      <c r="D354" s="4"/>
      <c r="E354" s="4"/>
      <c r="F354" s="4"/>
      <c r="G354" s="257"/>
      <c r="H354" s="551">
        <v>2.4616825834656117E-2</v>
      </c>
      <c r="I354" s="517">
        <v>5.3958992498844602E-2</v>
      </c>
      <c r="J354" s="517">
        <v>1.0329886396737546E-2</v>
      </c>
      <c r="K354" s="517">
        <v>6.0066361526052809E-3</v>
      </c>
      <c r="L354" s="517">
        <v>1.4244690533152287E-2</v>
      </c>
      <c r="M354" s="517">
        <v>1.9654815330358368E-2</v>
      </c>
      <c r="N354" s="517">
        <v>1.184747824604632E-2</v>
      </c>
      <c r="O354" s="517">
        <v>9.4498605355155152E-4</v>
      </c>
      <c r="P354" s="517">
        <v>1.0348387904197237E-2</v>
      </c>
      <c r="Q354" s="517">
        <v>3.7785358173707685E-2</v>
      </c>
      <c r="R354" s="500"/>
    </row>
    <row r="355" spans="1:18" customFormat="1" x14ac:dyDescent="0.25">
      <c r="A355" s="500"/>
      <c r="B355" s="12" t="s">
        <v>191</v>
      </c>
      <c r="C355" s="4"/>
      <c r="D355" s="4"/>
      <c r="E355" s="4"/>
      <c r="F355" s="4"/>
      <c r="G355" s="257"/>
      <c r="H355" s="551">
        <v>2.4616825834656117E-2</v>
      </c>
      <c r="I355" s="517">
        <v>5.3958992498844602E-2</v>
      </c>
      <c r="J355" s="517">
        <v>1.0329886396737546E-2</v>
      </c>
      <c r="K355" s="517">
        <v>6.0066361526052809E-3</v>
      </c>
      <c r="L355" s="517">
        <v>1.4244690533152287E-2</v>
      </c>
      <c r="M355" s="517">
        <v>1.9654815330358368E-2</v>
      </c>
      <c r="N355" s="517">
        <v>1.184747824604632E-2</v>
      </c>
      <c r="O355" s="517">
        <v>9.4498605355155152E-4</v>
      </c>
      <c r="P355" s="517">
        <v>1.0348387904197237E-2</v>
      </c>
      <c r="Q355" s="517">
        <v>3.7785358173707685E-2</v>
      </c>
      <c r="R355" s="500"/>
    </row>
    <row r="356" spans="1:18" customFormat="1" x14ac:dyDescent="0.25">
      <c r="A356" s="500"/>
      <c r="B356" s="12" t="s">
        <v>192</v>
      </c>
      <c r="C356" s="4"/>
      <c r="D356" s="4"/>
      <c r="E356" s="4"/>
      <c r="F356" s="4"/>
      <c r="G356" s="257"/>
      <c r="H356" s="551">
        <v>2.4616825834656117E-2</v>
      </c>
      <c r="I356" s="517">
        <v>5.3958992498844602E-2</v>
      </c>
      <c r="J356" s="517">
        <v>1.0329886396737546E-2</v>
      </c>
      <c r="K356" s="517">
        <v>6.0066361526052809E-3</v>
      </c>
      <c r="L356" s="517">
        <v>1.4244690533152287E-2</v>
      </c>
      <c r="M356" s="517">
        <v>1.9654815330358368E-2</v>
      </c>
      <c r="N356" s="517">
        <v>1.184747824604632E-2</v>
      </c>
      <c r="O356" s="517">
        <v>9.4498605355155152E-4</v>
      </c>
      <c r="P356" s="517">
        <v>1.0348387904197237E-2</v>
      </c>
      <c r="Q356" s="517">
        <v>3.7785358173707685E-2</v>
      </c>
      <c r="R356" s="500"/>
    </row>
    <row r="357" spans="1:18" customFormat="1" x14ac:dyDescent="0.25">
      <c r="A357" s="500"/>
      <c r="B357" s="12" t="s">
        <v>127</v>
      </c>
      <c r="C357" s="4"/>
      <c r="D357" s="4"/>
      <c r="E357" s="4"/>
      <c r="F357" s="4"/>
      <c r="G357" s="257"/>
      <c r="H357" s="551">
        <v>2.4616825834656117E-2</v>
      </c>
      <c r="I357" s="517">
        <v>5.3958992498844602E-2</v>
      </c>
      <c r="J357" s="517">
        <v>1.0329886396737546E-2</v>
      </c>
      <c r="K357" s="517">
        <v>6.0066361526052809E-3</v>
      </c>
      <c r="L357" s="517">
        <v>1.4244690533152287E-2</v>
      </c>
      <c r="M357" s="517">
        <v>1.9654815330358368E-2</v>
      </c>
      <c r="N357" s="517">
        <v>1.184747824604632E-2</v>
      </c>
      <c r="O357" s="517">
        <v>9.4498605355155152E-4</v>
      </c>
      <c r="P357" s="517">
        <v>1.0348387904197237E-2</v>
      </c>
      <c r="Q357" s="517">
        <v>3.7785358173707685E-2</v>
      </c>
      <c r="R357" s="500"/>
    </row>
    <row r="358" spans="1:18" customFormat="1" x14ac:dyDescent="0.25">
      <c r="A358" s="500"/>
      <c r="B358" s="12" t="s">
        <v>30</v>
      </c>
      <c r="C358" s="4"/>
      <c r="D358" s="4"/>
      <c r="E358" s="4"/>
      <c r="F358" s="4"/>
      <c r="G358" s="257"/>
      <c r="H358" s="551">
        <v>2.4616825834656117E-2</v>
      </c>
      <c r="I358" s="517">
        <v>5.3958992498844602E-2</v>
      </c>
      <c r="J358" s="517">
        <v>1.0329886396737546E-2</v>
      </c>
      <c r="K358" s="517">
        <v>6.0066361526052809E-3</v>
      </c>
      <c r="L358" s="517">
        <v>1.4244690533152287E-2</v>
      </c>
      <c r="M358" s="517">
        <v>1.9654815330358368E-2</v>
      </c>
      <c r="N358" s="517">
        <v>1.184747824604632E-2</v>
      </c>
      <c r="O358" s="517">
        <v>9.4498605355155152E-4</v>
      </c>
      <c r="P358" s="517">
        <v>1.0348387904197237E-2</v>
      </c>
      <c r="Q358" s="517">
        <v>3.7785358173707685E-2</v>
      </c>
      <c r="R358" s="500"/>
    </row>
    <row r="359" spans="1:18" customFormat="1" x14ac:dyDescent="0.25">
      <c r="A359" s="500"/>
      <c r="B359" s="12" t="s">
        <v>193</v>
      </c>
      <c r="C359" s="4"/>
      <c r="D359" s="4"/>
      <c r="E359" s="4"/>
      <c r="F359" s="4"/>
      <c r="G359" s="257"/>
      <c r="H359" s="551">
        <v>2.4616825834656117E-2</v>
      </c>
      <c r="I359" s="517">
        <v>5.3958992498844602E-2</v>
      </c>
      <c r="J359" s="517">
        <v>1.0329886396737546E-2</v>
      </c>
      <c r="K359" s="517">
        <v>6.0066361526052809E-3</v>
      </c>
      <c r="L359" s="517">
        <v>1.4244690533152287E-2</v>
      </c>
      <c r="M359" s="517">
        <v>1.9654815330358368E-2</v>
      </c>
      <c r="N359" s="517">
        <v>1.184747824604632E-2</v>
      </c>
      <c r="O359" s="517">
        <v>9.4498605355155152E-4</v>
      </c>
      <c r="P359" s="517">
        <v>1.0348387904197237E-2</v>
      </c>
      <c r="Q359" s="517">
        <v>3.7785358173707685E-2</v>
      </c>
      <c r="R359" s="500"/>
    </row>
    <row r="360" spans="1:18" customFormat="1" x14ac:dyDescent="0.25">
      <c r="A360" s="500"/>
      <c r="B360" s="258" t="s">
        <v>128</v>
      </c>
      <c r="C360" s="259"/>
      <c r="D360" s="259"/>
      <c r="E360" s="259"/>
      <c r="F360" s="259"/>
      <c r="G360" s="260"/>
      <c r="H360" s="551">
        <v>2.4616825834656117E-2</v>
      </c>
      <c r="I360" s="517">
        <v>5.3958992498844602E-2</v>
      </c>
      <c r="J360" s="517">
        <v>1.0329886396737546E-2</v>
      </c>
      <c r="K360" s="517">
        <v>6.0066361526052809E-3</v>
      </c>
      <c r="L360" s="517">
        <v>1.4244690533152287E-2</v>
      </c>
      <c r="M360" s="517">
        <v>1.9654815330358368E-2</v>
      </c>
      <c r="N360" s="517">
        <v>1.184747824604632E-2</v>
      </c>
      <c r="O360" s="517">
        <v>9.4498605355155152E-4</v>
      </c>
      <c r="P360" s="517">
        <v>1.0348387904197237E-2</v>
      </c>
      <c r="Q360" s="517">
        <v>3.7785358173707685E-2</v>
      </c>
      <c r="R360" s="500"/>
    </row>
    <row r="361" spans="1:18" s="583" customFormat="1" x14ac:dyDescent="0.25"/>
    <row r="362" spans="1:18" customFormat="1" x14ac:dyDescent="0.25">
      <c r="A362" s="500"/>
      <c r="B362" s="557" t="s">
        <v>1455</v>
      </c>
      <c r="C362" s="558"/>
      <c r="D362" s="533"/>
      <c r="E362" s="533"/>
      <c r="F362" s="533"/>
      <c r="G362" s="534"/>
      <c r="H362" s="550">
        <f t="shared" ref="H362:Q362" si="17">SUMPRODUCT(H363:H372,H303:H312)/SUM(H303:H312)</f>
        <v>2.2775595741777881E-2</v>
      </c>
      <c r="I362" s="516">
        <f t="shared" si="17"/>
        <v>3.5973474302694521E-2</v>
      </c>
      <c r="J362" s="516">
        <f t="shared" si="17"/>
        <v>1.0534933445378244E-2</v>
      </c>
      <c r="K362" s="516">
        <f t="shared" si="17"/>
        <v>6.3737207925749755E-3</v>
      </c>
      <c r="L362" s="516">
        <f t="shared" si="17"/>
        <v>1.3546367016374241E-2</v>
      </c>
      <c r="M362" s="516">
        <f t="shared" si="17"/>
        <v>1.7715637502294525E-2</v>
      </c>
      <c r="N362" s="516">
        <f t="shared" si="17"/>
        <v>1.1698974061173312E-2</v>
      </c>
      <c r="O362" s="516">
        <f t="shared" si="17"/>
        <v>3.2752293577981654E-3</v>
      </c>
      <c r="P362" s="516">
        <f t="shared" si="17"/>
        <v>1.116297783442723E-2</v>
      </c>
      <c r="Q362" s="516">
        <f t="shared" si="17"/>
        <v>3.4239805149277824E-2</v>
      </c>
      <c r="R362" s="500"/>
    </row>
    <row r="363" spans="1:18" customFormat="1" x14ac:dyDescent="0.25">
      <c r="A363" s="500"/>
      <c r="B363" s="11" t="s">
        <v>120</v>
      </c>
      <c r="C363" s="2"/>
      <c r="D363" s="2"/>
      <c r="E363" s="2"/>
      <c r="F363" s="2"/>
      <c r="G363" s="3"/>
      <c r="H363" s="559">
        <v>5.0000000000000001E-3</v>
      </c>
      <c r="I363" s="521">
        <v>5.0000000000000001E-3</v>
      </c>
      <c r="J363" s="521">
        <v>1.8E-3</v>
      </c>
      <c r="K363" s="521">
        <v>5.0000000000000001E-3</v>
      </c>
      <c r="L363" s="521">
        <v>0.01</v>
      </c>
      <c r="M363" s="521">
        <v>0.01</v>
      </c>
      <c r="N363" s="521">
        <v>0.01</v>
      </c>
      <c r="O363" s="521">
        <v>0.01</v>
      </c>
      <c r="P363" s="521">
        <v>0.01</v>
      </c>
      <c r="Q363" s="521">
        <v>0.01</v>
      </c>
      <c r="R363" s="500"/>
    </row>
    <row r="364" spans="1:18" customFormat="1" x14ac:dyDescent="0.25">
      <c r="A364" s="500"/>
      <c r="B364" s="12" t="s">
        <v>121</v>
      </c>
      <c r="C364" s="4"/>
      <c r="D364" s="4"/>
      <c r="E364" s="4"/>
      <c r="F364" s="4"/>
      <c r="G364" s="257"/>
      <c r="H364" s="559">
        <v>7.4999999999999997E-3</v>
      </c>
      <c r="I364" s="521">
        <v>0.01</v>
      </c>
      <c r="J364" s="521">
        <v>6.8999999999999999E-3</v>
      </c>
      <c r="K364" s="521">
        <v>0.01</v>
      </c>
      <c r="L364" s="521">
        <v>0.01</v>
      </c>
      <c r="M364" s="521">
        <v>0.01</v>
      </c>
      <c r="N364" s="521">
        <v>0.01</v>
      </c>
      <c r="O364" s="521">
        <v>2E-3</v>
      </c>
      <c r="P364" s="521">
        <v>0.01</v>
      </c>
      <c r="Q364" s="521">
        <v>0.01</v>
      </c>
      <c r="R364" s="500"/>
    </row>
    <row r="365" spans="1:18" customFormat="1" x14ac:dyDescent="0.25">
      <c r="A365" s="500"/>
      <c r="B365" s="12" t="s">
        <v>122</v>
      </c>
      <c r="C365" s="4"/>
      <c r="D365" s="4"/>
      <c r="E365" s="4"/>
      <c r="F365" s="4"/>
      <c r="G365" s="257"/>
      <c r="H365" s="559">
        <v>1.4999999999999999E-2</v>
      </c>
      <c r="I365" s="521">
        <v>1.4999999999999999E-2</v>
      </c>
      <c r="J365" s="521">
        <v>1.2E-2</v>
      </c>
      <c r="K365" s="521">
        <v>8.0000000000000002E-3</v>
      </c>
      <c r="L365" s="521">
        <v>1.2E-2</v>
      </c>
      <c r="M365" s="521">
        <v>1.2E-2</v>
      </c>
      <c r="N365" s="521">
        <v>1.2E-2</v>
      </c>
      <c r="O365" s="521">
        <v>3.0000000000000001E-3</v>
      </c>
      <c r="P365" s="521">
        <v>1.6500000000000001E-2</v>
      </c>
      <c r="Q365" s="521">
        <v>1.2E-2</v>
      </c>
      <c r="R365" s="500"/>
    </row>
    <row r="366" spans="1:18" customFormat="1" x14ac:dyDescent="0.25">
      <c r="A366" s="500"/>
      <c r="B366" s="12" t="s">
        <v>123</v>
      </c>
      <c r="C366" s="4"/>
      <c r="D366" s="4"/>
      <c r="E366" s="4"/>
      <c r="F366" s="4"/>
      <c r="G366" s="257"/>
      <c r="H366" s="559">
        <v>2.4616825834656117E-2</v>
      </c>
      <c r="I366" s="521">
        <v>3.5000000000000003E-2</v>
      </c>
      <c r="J366" s="521">
        <v>1.0329886396737546E-2</v>
      </c>
      <c r="K366" s="521">
        <v>6.0066361526052809E-3</v>
      </c>
      <c r="L366" s="521">
        <v>1.4244690533152287E-2</v>
      </c>
      <c r="M366" s="521">
        <v>1.9654815330358368E-2</v>
      </c>
      <c r="N366" s="521">
        <v>1.184747824604632E-2</v>
      </c>
      <c r="O366" s="521">
        <v>3.0000000000000001E-3</v>
      </c>
      <c r="P366" s="521">
        <v>1.0348387904197237E-2</v>
      </c>
      <c r="Q366" s="521">
        <v>3.7785358173707685E-2</v>
      </c>
      <c r="R366" s="500"/>
    </row>
    <row r="367" spans="1:18" customFormat="1" x14ac:dyDescent="0.25">
      <c r="A367" s="500"/>
      <c r="B367" s="12" t="s">
        <v>124</v>
      </c>
      <c r="C367" s="4"/>
      <c r="D367" s="4"/>
      <c r="E367" s="4"/>
      <c r="F367" s="4"/>
      <c r="G367" s="257"/>
      <c r="H367" s="559">
        <v>2.4616825834656117E-2</v>
      </c>
      <c r="I367" s="521">
        <v>3.5000000000000003E-2</v>
      </c>
      <c r="J367" s="521">
        <v>1.0329886396737546E-2</v>
      </c>
      <c r="K367" s="521">
        <v>6.0066361526052809E-3</v>
      </c>
      <c r="L367" s="521">
        <v>1.4244690533152287E-2</v>
      </c>
      <c r="M367" s="521">
        <v>1.9654815330358368E-2</v>
      </c>
      <c r="N367" s="521">
        <v>1.184747824604632E-2</v>
      </c>
      <c r="O367" s="521">
        <v>3.0000000000000001E-3</v>
      </c>
      <c r="P367" s="521">
        <v>1.0348387904197237E-2</v>
      </c>
      <c r="Q367" s="521">
        <v>3.7785358173707685E-2</v>
      </c>
      <c r="R367" s="500"/>
    </row>
    <row r="368" spans="1:18" customFormat="1" x14ac:dyDescent="0.25">
      <c r="A368" s="500"/>
      <c r="B368" s="12" t="s">
        <v>125</v>
      </c>
      <c r="C368" s="4"/>
      <c r="D368" s="4"/>
      <c r="E368" s="4"/>
      <c r="F368" s="4"/>
      <c r="G368" s="257"/>
      <c r="H368" s="559">
        <v>2.4616825834656117E-2</v>
      </c>
      <c r="I368" s="521">
        <v>3.5000000000000003E-2</v>
      </c>
      <c r="J368" s="521">
        <v>1.0329886396737546E-2</v>
      </c>
      <c r="K368" s="521">
        <v>6.0066361526052809E-3</v>
      </c>
      <c r="L368" s="521">
        <v>1.4244690533152287E-2</v>
      </c>
      <c r="M368" s="521">
        <v>1.9654815330358368E-2</v>
      </c>
      <c r="N368" s="521">
        <v>1.184747824604632E-2</v>
      </c>
      <c r="O368" s="521">
        <v>3.0000000000000001E-3</v>
      </c>
      <c r="P368" s="521">
        <v>1.0348387904197237E-2</v>
      </c>
      <c r="Q368" s="521">
        <v>3.7785358173707685E-2</v>
      </c>
      <c r="R368" s="500"/>
    </row>
    <row r="369" spans="1:18" customFormat="1" x14ac:dyDescent="0.25">
      <c r="A369" s="500"/>
      <c r="B369" s="12" t="s">
        <v>126</v>
      </c>
      <c r="C369" s="4"/>
      <c r="D369" s="4"/>
      <c r="E369" s="4"/>
      <c r="F369" s="4"/>
      <c r="G369" s="257"/>
      <c r="H369" s="559">
        <v>2.4616825834656117E-2</v>
      </c>
      <c r="I369" s="521">
        <v>3.5000000000000003E-2</v>
      </c>
      <c r="J369" s="521">
        <v>1.0329886396737546E-2</v>
      </c>
      <c r="K369" s="521">
        <v>6.0066361526052809E-3</v>
      </c>
      <c r="L369" s="521">
        <v>1.4244690533152287E-2</v>
      </c>
      <c r="M369" s="521">
        <v>1.9654815330358368E-2</v>
      </c>
      <c r="N369" s="521">
        <v>1.184747824604632E-2</v>
      </c>
      <c r="O369" s="521">
        <v>3.0000000000000001E-3</v>
      </c>
      <c r="P369" s="521">
        <v>1.0348387904197237E-2</v>
      </c>
      <c r="Q369" s="521">
        <v>3.7785358173707685E-2</v>
      </c>
      <c r="R369" s="500"/>
    </row>
    <row r="370" spans="1:18" customFormat="1" x14ac:dyDescent="0.25">
      <c r="A370" s="500"/>
      <c r="B370" s="12" t="s">
        <v>127</v>
      </c>
      <c r="C370" s="4"/>
      <c r="D370" s="4"/>
      <c r="E370" s="4"/>
      <c r="F370" s="4"/>
      <c r="G370" s="257"/>
      <c r="H370" s="559"/>
      <c r="I370" s="521"/>
      <c r="J370" s="521"/>
      <c r="K370" s="521"/>
      <c r="L370" s="521"/>
      <c r="M370" s="521">
        <v>0</v>
      </c>
      <c r="N370" s="521"/>
      <c r="O370" s="521"/>
      <c r="P370" s="521"/>
      <c r="Q370" s="521"/>
      <c r="R370" s="500"/>
    </row>
    <row r="371" spans="1:18" customFormat="1" x14ac:dyDescent="0.25">
      <c r="A371" s="500"/>
      <c r="B371" s="12" t="s">
        <v>30</v>
      </c>
      <c r="C371" s="4"/>
      <c r="D371" s="4"/>
      <c r="E371" s="4"/>
      <c r="F371" s="4"/>
      <c r="G371" s="257"/>
      <c r="H371" s="559"/>
      <c r="I371" s="521"/>
      <c r="J371" s="521"/>
      <c r="K371" s="521"/>
      <c r="L371" s="521"/>
      <c r="M371" s="521">
        <v>0</v>
      </c>
      <c r="N371" s="521"/>
      <c r="O371" s="521"/>
      <c r="P371" s="521"/>
      <c r="Q371" s="521"/>
      <c r="R371" s="500"/>
    </row>
    <row r="372" spans="1:18" customFormat="1" x14ac:dyDescent="0.25">
      <c r="A372" s="500"/>
      <c r="B372" s="258" t="s">
        <v>128</v>
      </c>
      <c r="C372" s="259"/>
      <c r="D372" s="259"/>
      <c r="E372" s="259"/>
      <c r="F372" s="259"/>
      <c r="G372" s="260"/>
      <c r="H372" s="559">
        <v>2.4616825834656117E-2</v>
      </c>
      <c r="I372" s="521">
        <v>5.3958992498844602E-2</v>
      </c>
      <c r="J372" s="521">
        <v>1.0329886396737546E-2</v>
      </c>
      <c r="K372" s="521">
        <v>6.0066361526052809E-3</v>
      </c>
      <c r="L372" s="521">
        <v>1.4244690533152287E-2</v>
      </c>
      <c r="M372" s="521">
        <v>1.9654815330358368E-2</v>
      </c>
      <c r="N372" s="521">
        <v>1.184747824604632E-2</v>
      </c>
      <c r="O372" s="521">
        <v>9.4498605355155152E-4</v>
      </c>
      <c r="P372" s="521">
        <v>1.0348387904197237E-2</v>
      </c>
      <c r="Q372" s="521">
        <v>3.7785358173707685E-2</v>
      </c>
      <c r="R372" s="500"/>
    </row>
    <row r="373" spans="1:18" s="583" customFormat="1" x14ac:dyDescent="0.25"/>
    <row r="374" spans="1:18" customFormat="1" x14ac:dyDescent="0.25">
      <c r="A374" s="500"/>
      <c r="B374" s="557" t="s">
        <v>1455</v>
      </c>
      <c r="C374" s="558"/>
      <c r="D374" s="533"/>
      <c r="E374" s="533"/>
      <c r="F374" s="533"/>
      <c r="G374" s="534"/>
      <c r="H374" s="550">
        <f>IF((SUMPRODUCT(H375:H394,H317:H336)/SUM(H317:H336))=0,IF(Setup!$B$7="PD/LGD",IF(ISNUMBER(H184/'Summary of Input Data'!$I$29),H184/'Summary of Input Data'!$I$29,IF(ISNUMBER(H181),H181,'Summary of Input Data'!$I$24)),IF(ISNUMBER(H184),H184,IF(ISNUMBER(H183),H183,'Summary of Input Data'!$I$24))),SUMPRODUCT(H375:H394,H317:H336)/SUM(H317:H336))</f>
        <v>3.5562112314288442E-2</v>
      </c>
      <c r="I374" s="550">
        <f>IF((SUMPRODUCT(I375:I394,I317:I336)/SUM(I317:I336))=0,IF(Setup!$B$7="PD/LGD",IF(ISNUMBER(I184/'Summary of Input Data'!$I$29),I184/'Summary of Input Data'!$I$29,IF(ISNUMBER(I181),I181,'Summary of Input Data'!$I$24)),IF(ISNUMBER(I184),I184,IF(ISNUMBER(I183),I183,'Summary of Input Data'!$I$24))),SUMPRODUCT(I375:I394,I317:I336)/SUM(I317:I336))</f>
        <v>3.7576490948027431E-2</v>
      </c>
      <c r="J374" s="550">
        <f>IF((SUMPRODUCT(J375:J394,J317:J336)/SUM(J317:J336))=0,IF(Setup!$B$7="PD/LGD",IF(ISNUMBER(J184/'Summary of Input Data'!$I$29),J184/'Summary of Input Data'!$I$29,IF(ISNUMBER(J181),J181,'Summary of Input Data'!$I$24)),IF(ISNUMBER(J184),J184,IF(ISNUMBER(J183),J183,'Summary of Input Data'!$I$24))),SUMPRODUCT(J375:J394,J317:J336)/SUM(J317:J336))</f>
        <v>1.0423955044572048E-2</v>
      </c>
      <c r="K374" s="550">
        <f>IF((SUMPRODUCT(K375:K394,K317:K336)/SUM(K317:K336))=0,IF(Setup!$B$7="PD/LGD",IF(ISNUMBER(K184/'Summary of Input Data'!$I$29),K184/'Summary of Input Data'!$I$29,IF(ISNUMBER(K181),K181,'Summary of Input Data'!$I$24)),IF(ISNUMBER(K184),K184,IF(ISNUMBER(K183),K183,'Summary of Input Data'!$I$24))),SUMPRODUCT(K375:K394,K317:K336)/SUM(K317:K336))</f>
        <v>2.4517215213924033E-2</v>
      </c>
      <c r="L374" s="550">
        <f>IF((SUMPRODUCT(L375:L394,L317:L336)/SUM(L317:L336))=0,IF(Setup!$B$7="PD/LGD",IF(ISNUMBER(L184/'Summary of Input Data'!$I$29),L184/'Summary of Input Data'!$I$29,IF(ISNUMBER(L181),L181,'Summary of Input Data'!$I$24)),IF(ISNUMBER(L184),L184,IF(ISNUMBER(L183),L183,'Summary of Input Data'!$I$24))),SUMPRODUCT(L375:L394,L317:L336)/SUM(L317:L336))</f>
        <v>2.9686608899553497E-2</v>
      </c>
      <c r="M374" s="550">
        <f>IF((SUMPRODUCT(M375:M394,M317:M336)/SUM(M317:M336))=0,IF(Setup!$B$7="PD/LGD",IF(ISNUMBER(M184/'Summary of Input Data'!$I$29),M184/'Summary of Input Data'!$I$29,IF(ISNUMBER(M181),M181,'Summary of Input Data'!$I$24)),IF(ISNUMBER(M184),M184,IF(ISNUMBER(M183),M183,'Summary of Input Data'!$I$24))),SUMPRODUCT(M375:M394,M317:M336)/SUM(M317:M336))</f>
        <v>0.11212576217267507</v>
      </c>
      <c r="N374" s="550">
        <f>IF((SUMPRODUCT(N375:N394,N317:N336)/SUM(N317:N336))=0,IF(Setup!$B$7="PD/LGD",IF(ISNUMBER(N184/'Summary of Input Data'!$I$29),N184/'Summary of Input Data'!$I$29,IF(ISNUMBER(N181),N181,'Summary of Input Data'!$I$24)),IF(ISNUMBER(N184),N184,IF(ISNUMBER(N183),N183,'Summary of Input Data'!$I$24))),SUMPRODUCT(N375:N394,N317:N336)/SUM(N317:N336))</f>
        <v>4.7900787147148682E-2</v>
      </c>
      <c r="O374" s="550">
        <f>IF((SUMPRODUCT(O375:O394,O317:O336)/SUM(O317:O336))=0,IF(Setup!$B$7="PD/LGD",IF(ISNUMBER(O184/'Summary of Input Data'!$I$29),O184/'Summary of Input Data'!$I$29,IF(ISNUMBER(O181),O181,'Summary of Input Data'!$I$24)),IF(ISNUMBER(O184),O184,IF(ISNUMBER(O183),O183,'Summary of Input Data'!$I$24))),SUMPRODUCT(O375:O394,O317:O336)/SUM(O317:O336))</f>
        <v>4.6466666666666656E-2</v>
      </c>
      <c r="P374" s="550">
        <f>IF((SUMPRODUCT(P375:P394,P317:P336)/SUM(P317:P336))=0,IF(Setup!$B$7="PD/LGD",IF(ISNUMBER(P184/'Summary of Input Data'!$I$29),P184/'Summary of Input Data'!$I$29,IF(ISNUMBER(P181),P181,'Summary of Input Data'!$I$24)),IF(ISNUMBER(P184),P184,IF(ISNUMBER(P183),P183,'Summary of Input Data'!$I$24))),SUMPRODUCT(P375:P394,P317:P336)/SUM(P317:P336))</f>
        <v>0.11212576217267507</v>
      </c>
      <c r="Q374" s="550">
        <f>IF((SUMPRODUCT(Q375:Q394,Q317:Q336)/SUM(Q317:Q336))=0,IF(Setup!$B$7="PD/LGD",IF(ISNUMBER(Q184/'Summary of Input Data'!$I$29),Q184/'Summary of Input Data'!$I$29,IF(ISNUMBER(Q181),Q181,'Summary of Input Data'!$I$24)),IF(ISNUMBER(Q184),Q184,IF(ISNUMBER(Q183),Q183,'Summary of Input Data'!$I$24))),SUMPRODUCT(Q375:Q394,Q317:Q336)/SUM(Q317:Q336))</f>
        <v>6.6396050047115102E-2</v>
      </c>
      <c r="R374" s="500"/>
    </row>
    <row r="375" spans="1:18" x14ac:dyDescent="0.25">
      <c r="B375" s="11" t="s">
        <v>197</v>
      </c>
      <c r="C375" s="2"/>
      <c r="D375" s="2"/>
      <c r="E375" s="2"/>
      <c r="F375" s="2"/>
      <c r="G375" s="3"/>
      <c r="H375" s="559">
        <v>8.7174999999999989E-2</v>
      </c>
      <c r="I375" s="521">
        <v>8.7174999999999989E-2</v>
      </c>
      <c r="J375" s="521">
        <v>8.7174999999999989E-2</v>
      </c>
      <c r="K375" s="521">
        <v>1.6222062004325882E-2</v>
      </c>
      <c r="L375" s="521">
        <v>8.7174999999999989E-2</v>
      </c>
      <c r="M375" s="521">
        <v>8.7174999999999989E-2</v>
      </c>
      <c r="N375" s="521">
        <v>8.7174999999999989E-2</v>
      </c>
      <c r="O375" s="521">
        <v>8.7174999999999989E-2</v>
      </c>
      <c r="P375" s="521">
        <v>8.7174999999999989E-2</v>
      </c>
      <c r="Q375" s="521">
        <v>8.7174999999999989E-2</v>
      </c>
    </row>
    <row r="376" spans="1:18" x14ac:dyDescent="0.25">
      <c r="B376" s="12" t="s">
        <v>198</v>
      </c>
      <c r="C376" s="4"/>
      <c r="D376" s="4"/>
      <c r="E376" s="4"/>
      <c r="F376" s="4"/>
      <c r="G376" s="257"/>
      <c r="H376" s="559">
        <v>2.9686608899553497E-2</v>
      </c>
      <c r="I376" s="521">
        <v>2.9686608899553497E-2</v>
      </c>
      <c r="J376" s="521">
        <v>4.5463376724305421E-2</v>
      </c>
      <c r="K376" s="521">
        <v>6.9236526946107784E-3</v>
      </c>
      <c r="L376" s="521">
        <v>2.9686608899553497E-2</v>
      </c>
      <c r="M376" s="521">
        <v>2.9686608899553497E-2</v>
      </c>
      <c r="N376" s="521">
        <v>2.9686608899553497E-2</v>
      </c>
      <c r="O376" s="521">
        <v>2.9686608899553497E-2</v>
      </c>
      <c r="P376" s="521">
        <v>2.9686608899553497E-2</v>
      </c>
      <c r="Q376" s="521">
        <v>2.9686608899553497E-2</v>
      </c>
    </row>
    <row r="377" spans="1:18" x14ac:dyDescent="0.25">
      <c r="B377" s="12" t="s">
        <v>199</v>
      </c>
      <c r="C377" s="4"/>
      <c r="D377" s="4"/>
      <c r="E377" s="4"/>
      <c r="F377" s="4"/>
      <c r="G377" s="257"/>
      <c r="H377" s="559">
        <v>3.0817633639281763E-2</v>
      </c>
      <c r="I377" s="521">
        <v>3.0817633639281763E-2</v>
      </c>
      <c r="J377" s="521">
        <v>3.6540231197565777E-3</v>
      </c>
      <c r="K377" s="521">
        <v>3.6026750167310669E-2</v>
      </c>
      <c r="L377" s="521">
        <v>3.0817633639281763E-2</v>
      </c>
      <c r="M377" s="521">
        <v>3.0817633639281763E-2</v>
      </c>
      <c r="N377" s="521">
        <v>3.0817633639281763E-2</v>
      </c>
      <c r="O377" s="521">
        <v>3.0817633639281763E-2</v>
      </c>
      <c r="P377" s="521">
        <v>3.0817633639281763E-2</v>
      </c>
      <c r="Q377" s="521">
        <v>3.0817633639281763E-2</v>
      </c>
    </row>
    <row r="378" spans="1:18" x14ac:dyDescent="0.25">
      <c r="B378" s="12" t="s">
        <v>200</v>
      </c>
      <c r="C378" s="4"/>
      <c r="D378" s="4"/>
      <c r="E378" s="4"/>
      <c r="F378" s="4"/>
      <c r="G378" s="257"/>
      <c r="H378" s="559">
        <v>4.6466666666666656E-2</v>
      </c>
      <c r="I378" s="521">
        <v>4.6466666666666656E-2</v>
      </c>
      <c r="J378" s="521">
        <v>1.9533369506239827E-3</v>
      </c>
      <c r="K378" s="521">
        <v>1.0941960038058992E-2</v>
      </c>
      <c r="L378" s="521">
        <v>4.6466666666666656E-2</v>
      </c>
      <c r="M378" s="521">
        <v>4.6466666666666656E-2</v>
      </c>
      <c r="N378" s="521">
        <v>4.6466666666666656E-2</v>
      </c>
      <c r="O378" s="521">
        <v>4.6466666666666656E-2</v>
      </c>
      <c r="P378" s="521">
        <v>4.6466666666666656E-2</v>
      </c>
      <c r="Q378" s="521">
        <v>4.6466666666666656E-2</v>
      </c>
    </row>
    <row r="379" spans="1:18" x14ac:dyDescent="0.25">
      <c r="B379" s="12" t="s">
        <v>201</v>
      </c>
      <c r="C379" s="4"/>
      <c r="D379" s="4"/>
      <c r="E379" s="4"/>
      <c r="F379" s="4"/>
      <c r="G379" s="257"/>
      <c r="H379" s="559">
        <v>4.6466666666666656E-2</v>
      </c>
      <c r="I379" s="521">
        <v>4.6466666666666656E-2</v>
      </c>
      <c r="J379" s="521">
        <v>1.9533369506239827E-3</v>
      </c>
      <c r="K379" s="521">
        <v>1.0941960038058992E-2</v>
      </c>
      <c r="L379" s="521">
        <v>4.6466666666666656E-2</v>
      </c>
      <c r="M379" s="521">
        <v>4.6466666666666656E-2</v>
      </c>
      <c r="N379" s="521">
        <v>4.6466666666666656E-2</v>
      </c>
      <c r="O379" s="521">
        <v>4.6466666666666656E-2</v>
      </c>
      <c r="P379" s="521">
        <v>4.6466666666666656E-2</v>
      </c>
      <c r="Q379" s="521">
        <v>4.6466666666666656E-2</v>
      </c>
    </row>
    <row r="380" spans="1:18" x14ac:dyDescent="0.25">
      <c r="B380" s="12" t="s">
        <v>202</v>
      </c>
      <c r="C380" s="4"/>
      <c r="D380" s="4"/>
      <c r="E380" s="4"/>
      <c r="F380" s="4"/>
      <c r="G380" s="257"/>
      <c r="H380" s="559">
        <v>3.0817633639281763E-2</v>
      </c>
      <c r="I380" s="521">
        <v>3.0817633639281763E-2</v>
      </c>
      <c r="J380" s="521">
        <v>6.8187608831070893E-3</v>
      </c>
      <c r="K380" s="521">
        <v>2.4013375083655336E-2</v>
      </c>
      <c r="L380" s="521">
        <v>3.0817633639281763E-2</v>
      </c>
      <c r="M380" s="521">
        <v>3.0817633639281763E-2</v>
      </c>
      <c r="N380" s="521">
        <v>3.0817633639281763E-2</v>
      </c>
      <c r="O380" s="521">
        <v>3.0817633639281763E-2</v>
      </c>
      <c r="P380" s="521">
        <v>3.0817633639281763E-2</v>
      </c>
      <c r="Q380" s="521">
        <v>3.0817633639281763E-2</v>
      </c>
    </row>
    <row r="381" spans="1:18" x14ac:dyDescent="0.25">
      <c r="B381" s="12" t="s">
        <v>203</v>
      </c>
      <c r="C381" s="4"/>
      <c r="D381" s="4"/>
      <c r="E381" s="4"/>
      <c r="F381" s="4"/>
      <c r="G381" s="257"/>
      <c r="H381" s="559">
        <v>0.11212576217267507</v>
      </c>
      <c r="I381" s="521">
        <v>0.11212576217267507</v>
      </c>
      <c r="J381" s="521">
        <v>0.11212576217267507</v>
      </c>
      <c r="K381" s="521">
        <v>1.5290974831986857E-2</v>
      </c>
      <c r="L381" s="521">
        <v>0.11212576217267507</v>
      </c>
      <c r="M381" s="521">
        <v>0.11212576217267507</v>
      </c>
      <c r="N381" s="521">
        <v>0.11212576217267507</v>
      </c>
      <c r="O381" s="521">
        <v>0.11212576217267507</v>
      </c>
      <c r="P381" s="521">
        <v>0.11212576217267507</v>
      </c>
      <c r="Q381" s="521">
        <v>0.11212576217267507</v>
      </c>
    </row>
    <row r="382" spans="1:18" x14ac:dyDescent="0.25">
      <c r="B382" s="12" t="s">
        <v>204</v>
      </c>
      <c r="C382" s="4"/>
      <c r="D382" s="4"/>
      <c r="E382" s="4"/>
      <c r="F382" s="4"/>
      <c r="G382" s="257"/>
      <c r="H382" s="559">
        <v>0.11212576217267507</v>
      </c>
      <c r="I382" s="521">
        <v>0.11212576217267507</v>
      </c>
      <c r="J382" s="521">
        <v>0.11212576217267507</v>
      </c>
      <c r="K382" s="521">
        <v>1.5290974831986857E-2</v>
      </c>
      <c r="L382" s="521">
        <v>0.11212576217267507</v>
      </c>
      <c r="M382" s="521">
        <v>0.11212576217267507</v>
      </c>
      <c r="N382" s="521">
        <v>0.11212576217267507</v>
      </c>
      <c r="O382" s="521">
        <v>0.11212576217267507</v>
      </c>
      <c r="P382" s="521">
        <v>0.11212576217267507</v>
      </c>
      <c r="Q382" s="521">
        <v>0.11212576217267507</v>
      </c>
    </row>
    <row r="383" spans="1:18" x14ac:dyDescent="0.25">
      <c r="B383" s="12" t="s">
        <v>205</v>
      </c>
      <c r="C383" s="4"/>
      <c r="D383" s="4"/>
      <c r="E383" s="4"/>
      <c r="F383" s="4"/>
      <c r="G383" s="257"/>
      <c r="H383" s="559">
        <v>3.0817633639281763E-2</v>
      </c>
      <c r="I383" s="521">
        <v>3.0817633639281763E-2</v>
      </c>
      <c r="J383" s="521">
        <v>9.9834986464576014E-3</v>
      </c>
      <c r="K383" s="521">
        <v>1.2E-2</v>
      </c>
      <c r="L383" s="521">
        <v>3.0817633639281763E-2</v>
      </c>
      <c r="M383" s="521">
        <v>3.0817633639281763E-2</v>
      </c>
      <c r="N383" s="521">
        <v>3.0817633639281763E-2</v>
      </c>
      <c r="O383" s="521">
        <v>3.0817633639281763E-2</v>
      </c>
      <c r="P383" s="521">
        <v>3.0817633639281763E-2</v>
      </c>
      <c r="Q383" s="521">
        <v>3.0817633639281763E-2</v>
      </c>
    </row>
    <row r="384" spans="1:18" x14ac:dyDescent="0.25">
      <c r="B384" s="12" t="s">
        <v>206</v>
      </c>
      <c r="C384" s="4"/>
      <c r="D384" s="4"/>
      <c r="E384" s="4"/>
      <c r="F384" s="4"/>
      <c r="G384" s="257"/>
      <c r="H384" s="559">
        <v>6.6666666666666666E-2</v>
      </c>
      <c r="I384" s="521">
        <v>6.6666666666666666E-2</v>
      </c>
      <c r="J384" s="521">
        <v>5.1873198847262247E-3</v>
      </c>
      <c r="K384" s="521">
        <v>6.6666666666666666E-2</v>
      </c>
      <c r="L384" s="521">
        <v>6.6666666666666666E-2</v>
      </c>
      <c r="M384" s="521">
        <v>6.6666666666666666E-2</v>
      </c>
      <c r="N384" s="521">
        <v>6.6666666666666666E-2</v>
      </c>
      <c r="O384" s="521">
        <v>6.6666666666666666E-2</v>
      </c>
      <c r="P384" s="521">
        <v>6.6666666666666666E-2</v>
      </c>
      <c r="Q384" s="521">
        <v>6.6666666666666666E-2</v>
      </c>
    </row>
    <row r="385" spans="1:18" x14ac:dyDescent="0.25">
      <c r="B385" s="12" t="s">
        <v>41</v>
      </c>
      <c r="C385" s="4"/>
      <c r="D385" s="4"/>
      <c r="E385" s="4"/>
      <c r="F385" s="4"/>
      <c r="G385" s="257"/>
      <c r="H385" s="559">
        <v>6.2156389674140604E-2</v>
      </c>
      <c r="I385" s="521">
        <v>6.2156389674140604E-2</v>
      </c>
      <c r="J385" s="521">
        <v>6.2156389674140604E-2</v>
      </c>
      <c r="K385" s="521">
        <v>6.2156389674140604E-2</v>
      </c>
      <c r="L385" s="521">
        <v>6.2156389674140604E-2</v>
      </c>
      <c r="M385" s="521">
        <v>6.2156389674140604E-2</v>
      </c>
      <c r="N385" s="521">
        <v>6.2156389674140604E-2</v>
      </c>
      <c r="O385" s="521">
        <v>6.2156389674140604E-2</v>
      </c>
      <c r="P385" s="521">
        <v>6.2156389674140604E-2</v>
      </c>
      <c r="Q385" s="521">
        <v>6.2156389674140604E-2</v>
      </c>
    </row>
    <row r="386" spans="1:18" x14ac:dyDescent="0.25">
      <c r="B386" s="12"/>
      <c r="C386" s="4"/>
      <c r="D386" s="4"/>
      <c r="E386" s="4"/>
      <c r="F386" s="4"/>
      <c r="G386" s="257"/>
      <c r="H386" s="559"/>
      <c r="I386" s="521"/>
      <c r="J386" s="521"/>
      <c r="K386" s="521"/>
      <c r="L386" s="521"/>
      <c r="M386" s="521"/>
      <c r="N386" s="521"/>
      <c r="O386" s="521"/>
      <c r="P386" s="521"/>
      <c r="Q386" s="521"/>
    </row>
    <row r="387" spans="1:18" x14ac:dyDescent="0.25">
      <c r="B387" s="12"/>
      <c r="C387" s="4"/>
      <c r="D387" s="4"/>
      <c r="E387" s="4"/>
      <c r="F387" s="4"/>
      <c r="G387" s="257"/>
      <c r="H387" s="559"/>
      <c r="I387" s="521"/>
      <c r="J387" s="521"/>
      <c r="K387" s="521"/>
      <c r="L387" s="521"/>
      <c r="M387" s="521"/>
      <c r="N387" s="521"/>
      <c r="O387" s="521"/>
      <c r="P387" s="521"/>
      <c r="Q387" s="521"/>
    </row>
    <row r="388" spans="1:18" x14ac:dyDescent="0.25">
      <c r="B388" s="12"/>
      <c r="C388" s="4"/>
      <c r="D388" s="4"/>
      <c r="E388" s="4"/>
      <c r="F388" s="4"/>
      <c r="G388" s="257"/>
      <c r="H388" s="559"/>
      <c r="I388" s="521"/>
      <c r="J388" s="521"/>
      <c r="K388" s="521"/>
      <c r="L388" s="521"/>
      <c r="M388" s="521"/>
      <c r="N388" s="521"/>
      <c r="O388" s="521"/>
      <c r="P388" s="521"/>
      <c r="Q388" s="521"/>
    </row>
    <row r="389" spans="1:18" x14ac:dyDescent="0.25">
      <c r="B389" s="12"/>
      <c r="C389" s="4"/>
      <c r="D389" s="4"/>
      <c r="E389" s="4"/>
      <c r="F389" s="4"/>
      <c r="G389" s="257"/>
      <c r="H389" s="559"/>
      <c r="I389" s="521"/>
      <c r="J389" s="521"/>
      <c r="K389" s="521"/>
      <c r="L389" s="521"/>
      <c r="M389" s="521"/>
      <c r="N389" s="521"/>
      <c r="O389" s="521"/>
      <c r="P389" s="521"/>
      <c r="Q389" s="521"/>
    </row>
    <row r="390" spans="1:18" x14ac:dyDescent="0.25">
      <c r="B390" s="12"/>
      <c r="C390" s="4"/>
      <c r="D390" s="4"/>
      <c r="E390" s="4"/>
      <c r="F390" s="4"/>
      <c r="G390" s="257"/>
      <c r="H390" s="559"/>
      <c r="I390" s="521"/>
      <c r="J390" s="521"/>
      <c r="K390" s="521"/>
      <c r="L390" s="521"/>
      <c r="M390" s="521"/>
      <c r="N390" s="521"/>
      <c r="O390" s="521"/>
      <c r="P390" s="521"/>
      <c r="Q390" s="521"/>
    </row>
    <row r="391" spans="1:18" x14ac:dyDescent="0.25">
      <c r="B391" s="12"/>
      <c r="C391" s="4"/>
      <c r="D391" s="4"/>
      <c r="E391" s="4"/>
      <c r="F391" s="4"/>
      <c r="G391" s="257"/>
      <c r="H391" s="559"/>
      <c r="I391" s="521"/>
      <c r="J391" s="521"/>
      <c r="K391" s="521"/>
      <c r="L391" s="521"/>
      <c r="M391" s="521"/>
      <c r="N391" s="521"/>
      <c r="O391" s="521"/>
      <c r="P391" s="521"/>
      <c r="Q391" s="521"/>
    </row>
    <row r="392" spans="1:18" x14ac:dyDescent="0.25">
      <c r="B392" s="12"/>
      <c r="C392" s="4"/>
      <c r="D392" s="4"/>
      <c r="E392" s="4"/>
      <c r="F392" s="4"/>
      <c r="G392" s="257"/>
      <c r="H392" s="559"/>
      <c r="I392" s="521"/>
      <c r="J392" s="521"/>
      <c r="K392" s="521"/>
      <c r="L392" s="521"/>
      <c r="M392" s="521"/>
      <c r="N392" s="521"/>
      <c r="O392" s="521"/>
      <c r="P392" s="521"/>
      <c r="Q392" s="521"/>
    </row>
    <row r="393" spans="1:18" x14ac:dyDescent="0.25">
      <c r="B393" s="12"/>
      <c r="C393" s="4"/>
      <c r="D393" s="4"/>
      <c r="E393" s="4"/>
      <c r="F393" s="4"/>
      <c r="G393" s="257"/>
      <c r="H393" s="559"/>
      <c r="I393" s="521"/>
      <c r="J393" s="521"/>
      <c r="K393" s="521"/>
      <c r="L393" s="521"/>
      <c r="M393" s="521"/>
      <c r="N393" s="521"/>
      <c r="O393" s="521"/>
      <c r="P393" s="521"/>
      <c r="Q393" s="521"/>
    </row>
    <row r="394" spans="1:18" x14ac:dyDescent="0.25">
      <c r="B394" s="258"/>
      <c r="C394" s="6"/>
      <c r="D394" s="6"/>
      <c r="E394" s="6"/>
      <c r="F394" s="6"/>
      <c r="G394" s="260"/>
      <c r="H394" s="559"/>
      <c r="I394" s="521"/>
      <c r="J394" s="521"/>
      <c r="K394" s="521"/>
      <c r="L394" s="521"/>
      <c r="M394" s="521"/>
      <c r="N394" s="521"/>
      <c r="O394" s="521"/>
      <c r="P394" s="521"/>
      <c r="Q394" s="521"/>
    </row>
    <row r="395" spans="1:18" s="583" customFormat="1" x14ac:dyDescent="0.25"/>
    <row r="396" spans="1:18" s="583" customFormat="1" ht="18.75" x14ac:dyDescent="0.3">
      <c r="B396" s="584" t="s">
        <v>1456</v>
      </c>
    </row>
    <row r="397" spans="1:18" s="583" customFormat="1" x14ac:dyDescent="0.25">
      <c r="B397" s="585"/>
    </row>
    <row r="398" spans="1:18" customFormat="1" x14ac:dyDescent="0.25">
      <c r="A398" s="500"/>
      <c r="B398" s="557" t="s">
        <v>247</v>
      </c>
      <c r="C398" s="558"/>
      <c r="D398" s="533"/>
      <c r="E398" s="533"/>
      <c r="F398" s="533"/>
      <c r="G398" s="534"/>
      <c r="H398" s="550">
        <f t="shared" ref="H398:Q398" si="18">IF(SUM(H399:H418)&gt;0,SUMPRODUCT(H399:H418,H279:H298)/H278,"N/A")</f>
        <v>0.30816087047341267</v>
      </c>
      <c r="I398" s="516">
        <f t="shared" si="18"/>
        <v>0.30186406446793179</v>
      </c>
      <c r="J398" s="516">
        <f t="shared" si="18"/>
        <v>0.40119519021461014</v>
      </c>
      <c r="K398" s="516">
        <f t="shared" si="18"/>
        <v>0.36428322415650194</v>
      </c>
      <c r="L398" s="516">
        <f t="shared" si="18"/>
        <v>0.7342700000000002</v>
      </c>
      <c r="M398" s="516">
        <f t="shared" si="18"/>
        <v>0.66434000000000004</v>
      </c>
      <c r="N398" s="516">
        <f t="shared" si="18"/>
        <v>0.18563874095113966</v>
      </c>
      <c r="O398" s="516">
        <f t="shared" si="18"/>
        <v>0.22633000000000003</v>
      </c>
      <c r="P398" s="516">
        <f t="shared" si="18"/>
        <v>0.53734999999999999</v>
      </c>
      <c r="Q398" s="516">
        <f t="shared" si="18"/>
        <v>0.65031533809396169</v>
      </c>
      <c r="R398" s="500"/>
    </row>
    <row r="399" spans="1:18" customFormat="1" x14ac:dyDescent="0.25">
      <c r="A399" s="500"/>
      <c r="B399" s="11" t="s">
        <v>178</v>
      </c>
      <c r="C399" s="2"/>
      <c r="D399" s="2"/>
      <c r="E399" s="2"/>
      <c r="F399" s="2"/>
      <c r="G399" s="3"/>
      <c r="H399" s="560">
        <v>0.2</v>
      </c>
      <c r="I399" s="522">
        <v>0.2</v>
      </c>
      <c r="J399" s="522">
        <v>0.2</v>
      </c>
      <c r="K399" s="522">
        <v>0.2</v>
      </c>
      <c r="L399" s="522">
        <v>0.4</v>
      </c>
      <c r="M399" s="522">
        <v>0.4</v>
      </c>
      <c r="N399" s="522">
        <v>0.2</v>
      </c>
      <c r="O399" s="522">
        <v>0.2</v>
      </c>
      <c r="P399" s="522">
        <v>0.4</v>
      </c>
      <c r="Q399" s="522">
        <v>0.4</v>
      </c>
      <c r="R399" s="500"/>
    </row>
    <row r="400" spans="1:18" customFormat="1" x14ac:dyDescent="0.25">
      <c r="A400" s="500"/>
      <c r="B400" s="12" t="s">
        <v>179</v>
      </c>
      <c r="C400" s="4"/>
      <c r="D400" s="4"/>
      <c r="E400" s="4"/>
      <c r="F400" s="4"/>
      <c r="G400" s="257"/>
      <c r="H400" s="551">
        <v>0.3</v>
      </c>
      <c r="I400" s="517">
        <v>0.3</v>
      </c>
      <c r="J400" s="517">
        <v>0.3</v>
      </c>
      <c r="K400" s="517">
        <v>0.3</v>
      </c>
      <c r="L400" s="517">
        <v>0.6</v>
      </c>
      <c r="M400" s="517">
        <v>0.6</v>
      </c>
      <c r="N400" s="517">
        <v>0.3</v>
      </c>
      <c r="O400" s="517">
        <v>0.3</v>
      </c>
      <c r="P400" s="517">
        <v>0.6</v>
      </c>
      <c r="Q400" s="517">
        <v>0.6</v>
      </c>
      <c r="R400" s="500"/>
    </row>
    <row r="401" spans="1:18" customFormat="1" x14ac:dyDescent="0.25">
      <c r="A401" s="500"/>
      <c r="B401" s="12" t="s">
        <v>180</v>
      </c>
      <c r="C401" s="4"/>
      <c r="D401" s="4"/>
      <c r="E401" s="4"/>
      <c r="F401" s="4"/>
      <c r="G401" s="257"/>
      <c r="H401" s="551">
        <v>0.3</v>
      </c>
      <c r="I401" s="517">
        <v>0.3</v>
      </c>
      <c r="J401" s="517">
        <v>0.3</v>
      </c>
      <c r="K401" s="517">
        <v>0.3</v>
      </c>
      <c r="L401" s="517">
        <v>0.6</v>
      </c>
      <c r="M401" s="517">
        <v>0.6</v>
      </c>
      <c r="N401" s="517">
        <v>0.3</v>
      </c>
      <c r="O401" s="517">
        <v>0.3</v>
      </c>
      <c r="P401" s="517">
        <v>0.6</v>
      </c>
      <c r="Q401" s="517">
        <v>0.6</v>
      </c>
      <c r="R401" s="500"/>
    </row>
    <row r="402" spans="1:18" customFormat="1" x14ac:dyDescent="0.25">
      <c r="A402" s="500"/>
      <c r="B402" s="12" t="s">
        <v>181</v>
      </c>
      <c r="C402" s="4"/>
      <c r="D402" s="4"/>
      <c r="E402" s="4"/>
      <c r="F402" s="4"/>
      <c r="G402" s="257"/>
      <c r="H402" s="551">
        <v>0.3</v>
      </c>
      <c r="I402" s="517">
        <v>0.3</v>
      </c>
      <c r="J402" s="517">
        <v>0.3</v>
      </c>
      <c r="K402" s="517">
        <v>0.3</v>
      </c>
      <c r="L402" s="517">
        <v>0.6</v>
      </c>
      <c r="M402" s="517">
        <v>0.6</v>
      </c>
      <c r="N402" s="517">
        <v>0.3</v>
      </c>
      <c r="O402" s="517">
        <v>0.3</v>
      </c>
      <c r="P402" s="517">
        <v>0.6</v>
      </c>
      <c r="Q402" s="517">
        <v>0.6</v>
      </c>
      <c r="R402" s="500"/>
    </row>
    <row r="403" spans="1:18" customFormat="1" x14ac:dyDescent="0.25">
      <c r="A403" s="500"/>
      <c r="B403" s="12" t="s">
        <v>182</v>
      </c>
      <c r="C403" s="4"/>
      <c r="D403" s="4"/>
      <c r="E403" s="4"/>
      <c r="F403" s="4"/>
      <c r="G403" s="257"/>
      <c r="H403" s="551">
        <v>0.158</v>
      </c>
      <c r="I403" s="517">
        <v>0.23300000000000001</v>
      </c>
      <c r="J403" s="517">
        <v>0.192</v>
      </c>
      <c r="K403" s="517">
        <v>0.13455056179775282</v>
      </c>
      <c r="L403" s="517">
        <v>0.82899999999999996</v>
      </c>
      <c r="M403" s="517">
        <v>0.71799999999999997</v>
      </c>
      <c r="N403" s="517">
        <v>8.6999999999999994E-2</v>
      </c>
      <c r="O403" s="517">
        <v>0.191</v>
      </c>
      <c r="P403" s="517">
        <v>0.54500000000000004</v>
      </c>
      <c r="Q403" s="517">
        <v>0.89800000000000002</v>
      </c>
      <c r="R403" s="500"/>
    </row>
    <row r="404" spans="1:18" customFormat="1" x14ac:dyDescent="0.25">
      <c r="A404" s="500"/>
      <c r="B404" s="12" t="s">
        <v>183</v>
      </c>
      <c r="C404" s="4"/>
      <c r="D404" s="4"/>
      <c r="E404" s="4"/>
      <c r="F404" s="4"/>
      <c r="G404" s="257"/>
      <c r="H404" s="551">
        <v>0.158</v>
      </c>
      <c r="I404" s="517">
        <v>0.23300000000000001</v>
      </c>
      <c r="J404" s="517">
        <v>0.192</v>
      </c>
      <c r="K404" s="517">
        <v>0.13455056179775282</v>
      </c>
      <c r="L404" s="517">
        <v>0.82899999999999996</v>
      </c>
      <c r="M404" s="517">
        <v>0.71799999999999997</v>
      </c>
      <c r="N404" s="517">
        <v>8.6999999999999994E-2</v>
      </c>
      <c r="O404" s="517">
        <v>0.191</v>
      </c>
      <c r="P404" s="517">
        <v>0.54500000000000004</v>
      </c>
      <c r="Q404" s="517">
        <v>0.89800000000000002</v>
      </c>
      <c r="R404" s="500"/>
    </row>
    <row r="405" spans="1:18" customFormat="1" x14ac:dyDescent="0.25">
      <c r="A405" s="500"/>
      <c r="B405" s="12" t="s">
        <v>184</v>
      </c>
      <c r="C405" s="4"/>
      <c r="D405" s="4"/>
      <c r="E405" s="4"/>
      <c r="F405" s="4"/>
      <c r="G405" s="257"/>
      <c r="H405" s="551">
        <v>0.158</v>
      </c>
      <c r="I405" s="517">
        <v>0.23300000000000001</v>
      </c>
      <c r="J405" s="517">
        <v>0.192</v>
      </c>
      <c r="K405" s="517">
        <v>0.13455056179775282</v>
      </c>
      <c r="L405" s="517">
        <v>0.82899999999999996</v>
      </c>
      <c r="M405" s="517">
        <v>0.71799999999999997</v>
      </c>
      <c r="N405" s="517">
        <v>8.6999999999999994E-2</v>
      </c>
      <c r="O405" s="517">
        <v>0.191</v>
      </c>
      <c r="P405" s="517">
        <v>0.54500000000000004</v>
      </c>
      <c r="Q405" s="517">
        <v>0.89800000000000002</v>
      </c>
      <c r="R405" s="500"/>
    </row>
    <row r="406" spans="1:18" customFormat="1" x14ac:dyDescent="0.25">
      <c r="A406" s="500"/>
      <c r="B406" s="12" t="s">
        <v>185</v>
      </c>
      <c r="C406" s="4"/>
      <c r="D406" s="4"/>
      <c r="E406" s="4"/>
      <c r="F406" s="4"/>
      <c r="G406" s="257"/>
      <c r="H406" s="551">
        <v>0.158</v>
      </c>
      <c r="I406" s="517">
        <v>0.23300000000000001</v>
      </c>
      <c r="J406" s="517">
        <v>0.192</v>
      </c>
      <c r="K406" s="517">
        <v>0.13455056179775282</v>
      </c>
      <c r="L406" s="517">
        <v>0.82899999999999996</v>
      </c>
      <c r="M406" s="517">
        <v>0.71799999999999997</v>
      </c>
      <c r="N406" s="517">
        <v>8.6999999999999994E-2</v>
      </c>
      <c r="O406" s="517">
        <v>0.191</v>
      </c>
      <c r="P406" s="517">
        <v>0.54500000000000004</v>
      </c>
      <c r="Q406" s="517">
        <v>0.89800000000000002</v>
      </c>
      <c r="R406" s="500"/>
    </row>
    <row r="407" spans="1:18" customFormat="1" x14ac:dyDescent="0.25">
      <c r="A407" s="500"/>
      <c r="B407" s="12" t="s">
        <v>186</v>
      </c>
      <c r="C407" s="4"/>
      <c r="D407" s="4"/>
      <c r="E407" s="4"/>
      <c r="F407" s="4"/>
      <c r="G407" s="257"/>
      <c r="H407" s="551">
        <v>0.3</v>
      </c>
      <c r="I407" s="517">
        <v>0.3</v>
      </c>
      <c r="J407" s="517">
        <v>0.3</v>
      </c>
      <c r="K407" s="517">
        <v>0.3</v>
      </c>
      <c r="L407" s="517">
        <v>0.6</v>
      </c>
      <c r="M407" s="517">
        <v>0.6</v>
      </c>
      <c r="N407" s="517">
        <v>0.3</v>
      </c>
      <c r="O407" s="517">
        <v>0.3</v>
      </c>
      <c r="P407" s="517">
        <v>0.45</v>
      </c>
      <c r="Q407" s="517">
        <v>0.6</v>
      </c>
      <c r="R407" s="500"/>
    </row>
    <row r="408" spans="1:18" customFormat="1" x14ac:dyDescent="0.25">
      <c r="A408" s="500"/>
      <c r="B408" s="12" t="s">
        <v>187</v>
      </c>
      <c r="C408" s="4"/>
      <c r="D408" s="4"/>
      <c r="E408" s="4"/>
      <c r="F408" s="4"/>
      <c r="G408" s="257"/>
      <c r="H408" s="551">
        <v>0.158</v>
      </c>
      <c r="I408" s="517">
        <v>0.23300000000000001</v>
      </c>
      <c r="J408" s="517">
        <v>0.192</v>
      </c>
      <c r="K408" s="517">
        <v>0.13455056179775282</v>
      </c>
      <c r="L408" s="517">
        <v>0.82899999999999996</v>
      </c>
      <c r="M408" s="517">
        <v>0.71799999999999997</v>
      </c>
      <c r="N408" s="517">
        <v>8.6999999999999994E-2</v>
      </c>
      <c r="O408" s="517">
        <v>0.191</v>
      </c>
      <c r="P408" s="517">
        <v>0.54500000000000004</v>
      </c>
      <c r="Q408" s="517">
        <v>0.89800000000000002</v>
      </c>
      <c r="R408" s="500"/>
    </row>
    <row r="409" spans="1:18" customFormat="1" x14ac:dyDescent="0.25">
      <c r="A409" s="500"/>
      <c r="B409" s="12" t="s">
        <v>188</v>
      </c>
      <c r="C409" s="4"/>
      <c r="D409" s="4"/>
      <c r="E409" s="4"/>
      <c r="F409" s="4"/>
      <c r="G409" s="257"/>
      <c r="H409" s="551">
        <v>0.158</v>
      </c>
      <c r="I409" s="517">
        <v>0.23300000000000001</v>
      </c>
      <c r="J409" s="517">
        <v>0.192</v>
      </c>
      <c r="K409" s="517">
        <v>0.13455056179775282</v>
      </c>
      <c r="L409" s="517">
        <v>0.82899999999999996</v>
      </c>
      <c r="M409" s="517">
        <v>0.71799999999999997</v>
      </c>
      <c r="N409" s="517">
        <v>8.6999999999999994E-2</v>
      </c>
      <c r="O409" s="517">
        <v>0.191</v>
      </c>
      <c r="P409" s="517">
        <v>0.54500000000000004</v>
      </c>
      <c r="Q409" s="517">
        <v>0.89800000000000002</v>
      </c>
      <c r="R409" s="500"/>
    </row>
    <row r="410" spans="1:18" customFormat="1" x14ac:dyDescent="0.25">
      <c r="A410" s="500"/>
      <c r="B410" s="12" t="s">
        <v>189</v>
      </c>
      <c r="C410" s="4"/>
      <c r="D410" s="4"/>
      <c r="E410" s="4"/>
      <c r="F410" s="4"/>
      <c r="G410" s="257"/>
      <c r="H410" s="551">
        <v>0.158</v>
      </c>
      <c r="I410" s="517">
        <v>0.23300000000000001</v>
      </c>
      <c r="J410" s="517">
        <v>0.17280000000000001</v>
      </c>
      <c r="K410" s="517">
        <v>0.12109550561797754</v>
      </c>
      <c r="L410" s="517">
        <v>0.82899999999999996</v>
      </c>
      <c r="M410" s="517">
        <v>0.71799999999999997</v>
      </c>
      <c r="N410" s="517">
        <v>8.6999999999999994E-2</v>
      </c>
      <c r="O410" s="517">
        <v>0.191</v>
      </c>
      <c r="P410" s="517">
        <v>0.54500000000000004</v>
      </c>
      <c r="Q410" s="517">
        <v>0.89800000000000002</v>
      </c>
      <c r="R410" s="500"/>
    </row>
    <row r="411" spans="1:18" customFormat="1" x14ac:dyDescent="0.25">
      <c r="A411" s="500"/>
      <c r="B411" s="12" t="s">
        <v>41</v>
      </c>
      <c r="C411" s="4"/>
      <c r="D411" s="4"/>
      <c r="E411" s="4"/>
      <c r="F411" s="4"/>
      <c r="G411" s="257"/>
      <c r="H411" s="551">
        <v>0.158</v>
      </c>
      <c r="I411" s="517">
        <v>0.23300000000000001</v>
      </c>
      <c r="J411" s="517">
        <v>0.192</v>
      </c>
      <c r="K411" s="517">
        <v>0.13455056179775282</v>
      </c>
      <c r="L411" s="517">
        <v>0.82899999999999996</v>
      </c>
      <c r="M411" s="517">
        <v>0.71799999999999997</v>
      </c>
      <c r="N411" s="517">
        <v>8.6999999999999994E-2</v>
      </c>
      <c r="O411" s="517">
        <v>0.191</v>
      </c>
      <c r="P411" s="517">
        <v>0.54500000000000004</v>
      </c>
      <c r="Q411" s="517">
        <v>0.89800000000000002</v>
      </c>
      <c r="R411" s="500"/>
    </row>
    <row r="412" spans="1:18" customFormat="1" x14ac:dyDescent="0.25">
      <c r="A412" s="500"/>
      <c r="B412" s="12" t="s">
        <v>190</v>
      </c>
      <c r="C412" s="4"/>
      <c r="D412" s="4"/>
      <c r="E412" s="4"/>
      <c r="F412" s="4"/>
      <c r="G412" s="257"/>
      <c r="H412" s="551">
        <v>0.158</v>
      </c>
      <c r="I412" s="517">
        <v>0.23300000000000001</v>
      </c>
      <c r="J412" s="517">
        <v>0.29799999999999999</v>
      </c>
      <c r="K412" s="517">
        <v>0.28999999999999998</v>
      </c>
      <c r="L412" s="517">
        <v>0.82899999999999996</v>
      </c>
      <c r="M412" s="517">
        <v>0.71799999999999997</v>
      </c>
      <c r="N412" s="517">
        <v>8.6999999999999994E-2</v>
      </c>
      <c r="O412" s="517">
        <v>0.191</v>
      </c>
      <c r="P412" s="517">
        <v>0.54500000000000004</v>
      </c>
      <c r="Q412" s="517">
        <v>0.89800000000000002</v>
      </c>
      <c r="R412" s="500"/>
    </row>
    <row r="413" spans="1:18" customFormat="1" x14ac:dyDescent="0.25">
      <c r="A413" s="500"/>
      <c r="B413" s="12" t="s">
        <v>191</v>
      </c>
      <c r="C413" s="4"/>
      <c r="D413" s="4"/>
      <c r="E413" s="4"/>
      <c r="F413" s="4"/>
      <c r="G413" s="257"/>
      <c r="H413" s="551">
        <v>0.3</v>
      </c>
      <c r="I413" s="517">
        <v>0.3</v>
      </c>
      <c r="J413" s="517">
        <v>0.3</v>
      </c>
      <c r="K413" s="517">
        <v>0.3</v>
      </c>
      <c r="L413" s="517">
        <v>0.6</v>
      </c>
      <c r="M413" s="517">
        <v>0.6</v>
      </c>
      <c r="N413" s="517">
        <v>0.3</v>
      </c>
      <c r="O413" s="517">
        <v>0.3</v>
      </c>
      <c r="P413" s="517">
        <v>0.45</v>
      </c>
      <c r="Q413" s="517">
        <v>0.6</v>
      </c>
      <c r="R413" s="500"/>
    </row>
    <row r="414" spans="1:18" customFormat="1" x14ac:dyDescent="0.25">
      <c r="A414" s="500"/>
      <c r="B414" s="12" t="s">
        <v>192</v>
      </c>
      <c r="C414" s="4"/>
      <c r="D414" s="4"/>
      <c r="E414" s="4"/>
      <c r="F414" s="4"/>
      <c r="G414" s="257"/>
      <c r="H414" s="551">
        <v>0.158</v>
      </c>
      <c r="I414" s="517">
        <v>0.23300000000000001</v>
      </c>
      <c r="J414" s="517">
        <v>0.192</v>
      </c>
      <c r="K414" s="517">
        <v>0.13455056179775282</v>
      </c>
      <c r="L414" s="517">
        <v>0.82899999999999996</v>
      </c>
      <c r="M414" s="517">
        <v>0.71799999999999997</v>
      </c>
      <c r="N414" s="517">
        <v>8.6999999999999994E-2</v>
      </c>
      <c r="O414" s="517">
        <v>0.191</v>
      </c>
      <c r="P414" s="517">
        <v>0.54500000000000004</v>
      </c>
      <c r="Q414" s="517">
        <v>0.89800000000000002</v>
      </c>
      <c r="R414" s="500"/>
    </row>
    <row r="415" spans="1:18" customFormat="1" x14ac:dyDescent="0.25">
      <c r="A415" s="500"/>
      <c r="B415" s="12" t="s">
        <v>127</v>
      </c>
      <c r="C415" s="4"/>
      <c r="D415" s="4"/>
      <c r="E415" s="4"/>
      <c r="F415" s="4"/>
      <c r="G415" s="257"/>
      <c r="H415" s="551">
        <v>0.8</v>
      </c>
      <c r="I415" s="517">
        <v>0.8</v>
      </c>
      <c r="J415" s="517">
        <v>0.8</v>
      </c>
      <c r="K415" s="517">
        <v>0.8</v>
      </c>
      <c r="L415" s="517">
        <v>0.8</v>
      </c>
      <c r="M415" s="517">
        <v>0.8</v>
      </c>
      <c r="N415" s="517">
        <v>0.8</v>
      </c>
      <c r="O415" s="517">
        <v>0.8</v>
      </c>
      <c r="P415" s="517">
        <v>0.8</v>
      </c>
      <c r="Q415" s="517">
        <v>0.8</v>
      </c>
      <c r="R415" s="500"/>
    </row>
    <row r="416" spans="1:18" customFormat="1" x14ac:dyDescent="0.25">
      <c r="A416" s="500"/>
      <c r="B416" s="12" t="s">
        <v>30</v>
      </c>
      <c r="C416" s="4"/>
      <c r="D416" s="4"/>
      <c r="E416" s="4"/>
      <c r="F416" s="4"/>
      <c r="G416" s="257"/>
      <c r="H416" s="551">
        <v>0.45</v>
      </c>
      <c r="I416" s="517">
        <v>0.45</v>
      </c>
      <c r="J416" s="517">
        <v>0.45</v>
      </c>
      <c r="K416" s="517">
        <v>0.45</v>
      </c>
      <c r="L416" s="517">
        <v>0.45</v>
      </c>
      <c r="M416" s="517">
        <v>0.45</v>
      </c>
      <c r="N416" s="517">
        <v>0.45</v>
      </c>
      <c r="O416" s="517">
        <v>0.45</v>
      </c>
      <c r="P416" s="517">
        <v>0.45</v>
      </c>
      <c r="Q416" s="517">
        <v>0.45</v>
      </c>
      <c r="R416" s="500"/>
    </row>
    <row r="417" spans="1:18" customFormat="1" x14ac:dyDescent="0.25">
      <c r="A417" s="500"/>
      <c r="B417" s="12" t="s">
        <v>193</v>
      </c>
      <c r="C417" s="4"/>
      <c r="D417" s="4"/>
      <c r="E417" s="4"/>
      <c r="F417" s="4"/>
      <c r="G417" s="257"/>
      <c r="H417" s="551">
        <v>0.45</v>
      </c>
      <c r="I417" s="517">
        <v>0.45</v>
      </c>
      <c r="J417" s="517">
        <v>0.45</v>
      </c>
      <c r="K417" s="517">
        <v>0.45</v>
      </c>
      <c r="L417" s="517">
        <v>0.45</v>
      </c>
      <c r="M417" s="517">
        <v>0.45</v>
      </c>
      <c r="N417" s="517">
        <v>0.45</v>
      </c>
      <c r="O417" s="517">
        <v>0.45</v>
      </c>
      <c r="P417" s="517">
        <v>0.45</v>
      </c>
      <c r="Q417" s="517">
        <v>0.45</v>
      </c>
      <c r="R417" s="500"/>
    </row>
    <row r="418" spans="1:18" customFormat="1" x14ac:dyDescent="0.25">
      <c r="A418" s="500"/>
      <c r="B418" s="258" t="s">
        <v>128</v>
      </c>
      <c r="C418" s="259"/>
      <c r="D418" s="259"/>
      <c r="E418" s="259"/>
      <c r="F418" s="259"/>
      <c r="G418" s="260"/>
      <c r="H418" s="551">
        <v>0.45</v>
      </c>
      <c r="I418" s="517">
        <v>0.45</v>
      </c>
      <c r="J418" s="517">
        <v>0.45</v>
      </c>
      <c r="K418" s="517">
        <v>0.45</v>
      </c>
      <c r="L418" s="517">
        <v>0.45</v>
      </c>
      <c r="M418" s="517">
        <v>0.45</v>
      </c>
      <c r="N418" s="517">
        <v>0.45</v>
      </c>
      <c r="O418" s="517">
        <v>0.45</v>
      </c>
      <c r="P418" s="517">
        <v>0.45</v>
      </c>
      <c r="Q418" s="517">
        <v>0.45</v>
      </c>
      <c r="R418" s="500"/>
    </row>
    <row r="419" spans="1:18" s="583" customFormat="1" x14ac:dyDescent="0.25"/>
    <row r="420" spans="1:18" customFormat="1" x14ac:dyDescent="0.25">
      <c r="A420" s="500"/>
      <c r="B420" s="557" t="s">
        <v>247</v>
      </c>
      <c r="C420" s="558"/>
      <c r="D420" s="533"/>
      <c r="E420" s="533"/>
      <c r="F420" s="533"/>
      <c r="G420" s="534"/>
      <c r="H420" s="550">
        <f t="shared" ref="H420:Q420" si="19">IF(SUM(H421:H430)&gt;0,SUMPRODUCT(H421:H430,H303:H312)/H302,"N/A")</f>
        <v>0.2678664649089027</v>
      </c>
      <c r="I420" s="516">
        <f t="shared" si="19"/>
        <v>0.28756890826622422</v>
      </c>
      <c r="J420" s="516">
        <f t="shared" si="19"/>
        <v>0.31192526599233505</v>
      </c>
      <c r="K420" s="516">
        <f t="shared" si="19"/>
        <v>0.22887227480206829</v>
      </c>
      <c r="L420" s="516">
        <f t="shared" si="19"/>
        <v>0.74839449541284397</v>
      </c>
      <c r="M420" s="516">
        <f t="shared" si="19"/>
        <v>0.67201834862385312</v>
      </c>
      <c r="N420" s="516">
        <f t="shared" si="19"/>
        <v>0.16561467889908257</v>
      </c>
      <c r="O420" s="516">
        <f t="shared" si="19"/>
        <v>0.25721100917431189</v>
      </c>
      <c r="P420" s="516">
        <f t="shared" si="19"/>
        <v>0.54059633027522946</v>
      </c>
      <c r="Q420" s="516">
        <f t="shared" si="19"/>
        <v>0.70824730645748213</v>
      </c>
      <c r="R420" s="500"/>
    </row>
    <row r="421" spans="1:18" customFormat="1" x14ac:dyDescent="0.25">
      <c r="A421" s="500"/>
      <c r="B421" s="11" t="s">
        <v>120</v>
      </c>
      <c r="C421" s="2"/>
      <c r="D421" s="2"/>
      <c r="E421" s="2"/>
      <c r="F421" s="2"/>
      <c r="G421" s="3"/>
      <c r="H421" s="561">
        <v>0.2</v>
      </c>
      <c r="I421" s="523">
        <v>0.2</v>
      </c>
      <c r="J421" s="523">
        <v>0.2</v>
      </c>
      <c r="K421" s="523">
        <v>0.2</v>
      </c>
      <c r="L421" s="523">
        <v>0.4</v>
      </c>
      <c r="M421" s="523">
        <v>0.4</v>
      </c>
      <c r="N421" s="523">
        <v>0.2</v>
      </c>
      <c r="O421" s="523">
        <v>0.2</v>
      </c>
      <c r="P421" s="523">
        <v>0.4</v>
      </c>
      <c r="Q421" s="523">
        <v>0.4</v>
      </c>
      <c r="R421" s="500"/>
    </row>
    <row r="422" spans="1:18" customFormat="1" x14ac:dyDescent="0.25">
      <c r="A422" s="500"/>
      <c r="B422" s="12" t="s">
        <v>121</v>
      </c>
      <c r="C422" s="4"/>
      <c r="D422" s="4"/>
      <c r="E422" s="4"/>
      <c r="F422" s="4"/>
      <c r="G422" s="257"/>
      <c r="H422" s="559">
        <v>0.3</v>
      </c>
      <c r="I422" s="521">
        <v>0.3</v>
      </c>
      <c r="J422" s="521">
        <v>0.3</v>
      </c>
      <c r="K422" s="521">
        <v>0.3</v>
      </c>
      <c r="L422" s="521">
        <v>0.6</v>
      </c>
      <c r="M422" s="521">
        <v>0.6</v>
      </c>
      <c r="N422" s="521">
        <v>0.3</v>
      </c>
      <c r="O422" s="521">
        <v>0.3</v>
      </c>
      <c r="P422" s="521">
        <v>0.6</v>
      </c>
      <c r="Q422" s="521">
        <v>0.6</v>
      </c>
      <c r="R422" s="500"/>
    </row>
    <row r="423" spans="1:18" customFormat="1" x14ac:dyDescent="0.25">
      <c r="A423" s="500"/>
      <c r="B423" s="12" t="s">
        <v>122</v>
      </c>
      <c r="C423" s="4"/>
      <c r="D423" s="4"/>
      <c r="E423" s="4"/>
      <c r="F423" s="4"/>
      <c r="G423" s="257"/>
      <c r="H423" s="559">
        <v>0.3</v>
      </c>
      <c r="I423" s="521">
        <v>0.3</v>
      </c>
      <c r="J423" s="521">
        <v>0.3</v>
      </c>
      <c r="K423" s="521">
        <v>0.3</v>
      </c>
      <c r="L423" s="521">
        <v>0.6</v>
      </c>
      <c r="M423" s="521">
        <v>0.6</v>
      </c>
      <c r="N423" s="521">
        <v>0.3</v>
      </c>
      <c r="O423" s="521">
        <v>0.3</v>
      </c>
      <c r="P423" s="521">
        <v>0.6</v>
      </c>
      <c r="Q423" s="521">
        <v>0.6</v>
      </c>
      <c r="R423" s="500"/>
    </row>
    <row r="424" spans="1:18" customFormat="1" x14ac:dyDescent="0.25">
      <c r="A424" s="500"/>
      <c r="B424" s="12" t="s">
        <v>123</v>
      </c>
      <c r="C424" s="4"/>
      <c r="D424" s="4"/>
      <c r="E424" s="4"/>
      <c r="F424" s="4"/>
      <c r="G424" s="257"/>
      <c r="H424" s="559">
        <v>0.158</v>
      </c>
      <c r="I424" s="521">
        <v>0.23300000000000001</v>
      </c>
      <c r="J424" s="521">
        <v>0.192</v>
      </c>
      <c r="K424" s="521">
        <v>0.13455056179775282</v>
      </c>
      <c r="L424" s="521">
        <v>0.82899999999999996</v>
      </c>
      <c r="M424" s="521">
        <v>0.71799999999999997</v>
      </c>
      <c r="N424" s="521">
        <v>8.6999999999999994E-2</v>
      </c>
      <c r="O424" s="521">
        <v>0.191</v>
      </c>
      <c r="P424" s="521">
        <v>0.54500000000000004</v>
      </c>
      <c r="Q424" s="521">
        <v>0.89800000000000002</v>
      </c>
      <c r="R424" s="500"/>
    </row>
    <row r="425" spans="1:18" customFormat="1" x14ac:dyDescent="0.25">
      <c r="A425" s="500"/>
      <c r="B425" s="12" t="s">
        <v>1457</v>
      </c>
      <c r="C425" s="4"/>
      <c r="D425" s="4"/>
      <c r="E425" s="4"/>
      <c r="F425" s="4"/>
      <c r="G425" s="257"/>
      <c r="H425" s="559">
        <v>0.316</v>
      </c>
      <c r="I425" s="521">
        <v>0.46600000000000003</v>
      </c>
      <c r="J425" s="521">
        <v>0.38400000000000001</v>
      </c>
      <c r="K425" s="521">
        <v>0.26910112359550564</v>
      </c>
      <c r="L425" s="521">
        <v>0.82899999999999996</v>
      </c>
      <c r="M425" s="521">
        <v>0.71799999999999997</v>
      </c>
      <c r="N425" s="521">
        <v>0.17399999999999999</v>
      </c>
      <c r="O425" s="521">
        <v>0.38200000000000001</v>
      </c>
      <c r="P425" s="521">
        <v>0.54500000000000004</v>
      </c>
      <c r="Q425" s="521">
        <v>0.89800000000000002</v>
      </c>
      <c r="R425" s="500"/>
    </row>
    <row r="426" spans="1:18" customFormat="1" x14ac:dyDescent="0.25">
      <c r="A426" s="500"/>
      <c r="B426" s="12" t="s">
        <v>125</v>
      </c>
      <c r="C426" s="4"/>
      <c r="D426" s="4"/>
      <c r="E426" s="4"/>
      <c r="F426" s="4"/>
      <c r="G426" s="257"/>
      <c r="H426" s="559">
        <v>0.3</v>
      </c>
      <c r="I426" s="521">
        <v>0.3</v>
      </c>
      <c r="J426" s="521">
        <v>0.3</v>
      </c>
      <c r="K426" s="521">
        <v>0.3</v>
      </c>
      <c r="L426" s="521">
        <v>0.6</v>
      </c>
      <c r="M426" s="521">
        <v>0.6</v>
      </c>
      <c r="N426" s="521">
        <v>0.3</v>
      </c>
      <c r="O426" s="521">
        <v>0.3</v>
      </c>
      <c r="P426" s="521">
        <v>0.45</v>
      </c>
      <c r="Q426" s="521">
        <v>0.6</v>
      </c>
      <c r="R426" s="500"/>
    </row>
    <row r="427" spans="1:18" customFormat="1" x14ac:dyDescent="0.25">
      <c r="A427" s="500"/>
      <c r="B427" s="12" t="s">
        <v>126</v>
      </c>
      <c r="C427" s="4"/>
      <c r="D427" s="4"/>
      <c r="E427" s="4"/>
      <c r="F427" s="4"/>
      <c r="G427" s="257"/>
      <c r="H427" s="559">
        <v>0.8</v>
      </c>
      <c r="I427" s="521">
        <v>0.8</v>
      </c>
      <c r="J427" s="521">
        <v>0.8</v>
      </c>
      <c r="K427" s="521">
        <v>0.8</v>
      </c>
      <c r="L427" s="521">
        <v>0.8</v>
      </c>
      <c r="M427" s="521">
        <v>0.8</v>
      </c>
      <c r="N427" s="521">
        <v>0.8</v>
      </c>
      <c r="O427" s="521">
        <v>0.8</v>
      </c>
      <c r="P427" s="521">
        <v>0.8</v>
      </c>
      <c r="Q427" s="521">
        <v>0.8</v>
      </c>
      <c r="R427" s="500"/>
    </row>
    <row r="428" spans="1:18" customFormat="1" x14ac:dyDescent="0.25">
      <c r="A428" s="500"/>
      <c r="B428" s="12" t="s">
        <v>127</v>
      </c>
      <c r="C428" s="4"/>
      <c r="D428" s="4"/>
      <c r="E428" s="4"/>
      <c r="F428" s="4"/>
      <c r="G428" s="257"/>
      <c r="H428" s="559"/>
      <c r="I428" s="521"/>
      <c r="J428" s="521"/>
      <c r="K428" s="521"/>
      <c r="L428" s="521"/>
      <c r="M428" s="521">
        <v>0</v>
      </c>
      <c r="N428" s="521"/>
      <c r="O428" s="521"/>
      <c r="P428" s="521"/>
      <c r="Q428" s="521"/>
      <c r="R428" s="500"/>
    </row>
    <row r="429" spans="1:18" customFormat="1" x14ac:dyDescent="0.25">
      <c r="A429" s="500"/>
      <c r="B429" s="12" t="s">
        <v>30</v>
      </c>
      <c r="C429" s="4"/>
      <c r="D429" s="4"/>
      <c r="E429" s="4"/>
      <c r="F429" s="4"/>
      <c r="G429" s="257"/>
      <c r="H429" s="559"/>
      <c r="I429" s="521"/>
      <c r="J429" s="521"/>
      <c r="K429" s="521"/>
      <c r="L429" s="521"/>
      <c r="M429" s="521">
        <v>0</v>
      </c>
      <c r="N429" s="521"/>
      <c r="O429" s="521"/>
      <c r="P429" s="521"/>
      <c r="Q429" s="521"/>
      <c r="R429" s="500"/>
    </row>
    <row r="430" spans="1:18" customFormat="1" x14ac:dyDescent="0.25">
      <c r="A430" s="500"/>
      <c r="B430" s="258" t="s">
        <v>128</v>
      </c>
      <c r="C430" s="259"/>
      <c r="D430" s="259"/>
      <c r="E430" s="259"/>
      <c r="F430" s="259"/>
      <c r="G430" s="260"/>
      <c r="H430" s="559">
        <v>0.3</v>
      </c>
      <c r="I430" s="521">
        <v>0.3</v>
      </c>
      <c r="J430" s="521">
        <v>0.3</v>
      </c>
      <c r="K430" s="521">
        <v>0.3</v>
      </c>
      <c r="L430" s="521">
        <v>0.6</v>
      </c>
      <c r="M430" s="521">
        <v>0.6</v>
      </c>
      <c r="N430" s="521">
        <v>0.3</v>
      </c>
      <c r="O430" s="521">
        <v>0.3</v>
      </c>
      <c r="P430" s="521">
        <v>0.45</v>
      </c>
      <c r="Q430" s="521">
        <v>0.6</v>
      </c>
      <c r="R430" s="500"/>
    </row>
    <row r="431" spans="1:18" s="583" customFormat="1" x14ac:dyDescent="0.25"/>
    <row r="432" spans="1:18" x14ac:dyDescent="0.25">
      <c r="B432" s="557" t="s">
        <v>1460</v>
      </c>
      <c r="C432" s="558"/>
      <c r="D432" s="533"/>
      <c r="E432" s="533"/>
      <c r="F432" s="533"/>
      <c r="G432" s="534"/>
      <c r="H432" s="550">
        <f>IF(SUM(H433:H452)=0,"N/A",SUMPRODUCT(H433:H452,H317:H336)/SUM(H317:H336))</f>
        <v>0.43413501154839629</v>
      </c>
      <c r="I432" s="550">
        <f t="shared" ref="I432:Q432" si="20">IF(SUM(I433:I452)=0,"N/A",SUMPRODUCT(I433:I452,I317:I336)/SUM(I317:I336))</f>
        <v>0.41264751319249082</v>
      </c>
      <c r="J432" s="550">
        <f t="shared" si="20"/>
        <v>0.3600542986050061</v>
      </c>
      <c r="K432" s="550">
        <f t="shared" si="20"/>
        <v>0.40994977967676011</v>
      </c>
      <c r="L432" s="550">
        <f t="shared" si="20"/>
        <v>0.73199999999999998</v>
      </c>
      <c r="M432" s="550">
        <f t="shared" si="20"/>
        <v>0.68400000000000005</v>
      </c>
      <c r="N432" s="550">
        <f t="shared" si="20"/>
        <v>0.69022890660715808</v>
      </c>
      <c r="O432" s="550">
        <f t="shared" si="20"/>
        <v>0.71599999999999997</v>
      </c>
      <c r="P432" s="550">
        <f t="shared" si="20"/>
        <v>0.68400000000000005</v>
      </c>
      <c r="Q432" s="550">
        <f t="shared" si="20"/>
        <v>0.70094000000000001</v>
      </c>
    </row>
    <row r="433" spans="2:17" x14ac:dyDescent="0.25">
      <c r="B433" s="11" t="s">
        <v>197</v>
      </c>
      <c r="C433" s="2"/>
      <c r="D433" s="2"/>
      <c r="E433" s="2"/>
      <c r="F433" s="2"/>
      <c r="G433" s="3"/>
      <c r="H433" s="561">
        <v>0.83</v>
      </c>
      <c r="I433" s="523">
        <v>0.83</v>
      </c>
      <c r="J433" s="523">
        <v>0.83</v>
      </c>
      <c r="K433" s="523">
        <v>0.83</v>
      </c>
      <c r="L433" s="523">
        <v>0.83</v>
      </c>
      <c r="M433" s="523">
        <v>0.83</v>
      </c>
      <c r="N433" s="523">
        <v>0.83</v>
      </c>
      <c r="O433" s="523">
        <v>0.83</v>
      </c>
      <c r="P433" s="523">
        <v>0.83</v>
      </c>
      <c r="Q433" s="523">
        <v>0.83</v>
      </c>
    </row>
    <row r="434" spans="2:17" x14ac:dyDescent="0.25">
      <c r="B434" s="12" t="s">
        <v>198</v>
      </c>
      <c r="C434" s="4"/>
      <c r="D434" s="4"/>
      <c r="E434" s="4"/>
      <c r="F434" s="4"/>
      <c r="G434" s="257"/>
      <c r="H434" s="559">
        <v>0.73199999999999998</v>
      </c>
      <c r="I434" s="521">
        <v>0.73199999999999998</v>
      </c>
      <c r="J434" s="521">
        <v>0.73199999999999998</v>
      </c>
      <c r="K434" s="521">
        <v>0.73199999999999998</v>
      </c>
      <c r="L434" s="521">
        <v>0.73199999999999998</v>
      </c>
      <c r="M434" s="521">
        <v>0.73199999999999998</v>
      </c>
      <c r="N434" s="521">
        <v>0.73199999999999998</v>
      </c>
      <c r="O434" s="521">
        <v>0.73199999999999998</v>
      </c>
      <c r="P434" s="521">
        <v>0.73199999999999998</v>
      </c>
      <c r="Q434" s="521">
        <v>0.73199999999999998</v>
      </c>
    </row>
    <row r="435" spans="2:17" x14ac:dyDescent="0.25">
      <c r="B435" s="12" t="s">
        <v>199</v>
      </c>
      <c r="C435" s="4"/>
      <c r="D435" s="4"/>
      <c r="E435" s="4"/>
      <c r="F435" s="4"/>
      <c r="G435" s="257"/>
      <c r="H435" s="559">
        <v>0.314</v>
      </c>
      <c r="I435" s="521">
        <v>0.314</v>
      </c>
      <c r="J435" s="521">
        <v>0.314</v>
      </c>
      <c r="K435" s="521">
        <v>0.314</v>
      </c>
      <c r="L435" s="521">
        <v>0.314</v>
      </c>
      <c r="M435" s="521">
        <v>0.314</v>
      </c>
      <c r="N435" s="521">
        <v>0.314</v>
      </c>
      <c r="O435" s="521">
        <v>0.314</v>
      </c>
      <c r="P435" s="521">
        <v>0.314</v>
      </c>
      <c r="Q435" s="521">
        <v>0.314</v>
      </c>
    </row>
    <row r="436" spans="2:17" x14ac:dyDescent="0.25">
      <c r="B436" s="12" t="s">
        <v>200</v>
      </c>
      <c r="C436" s="4"/>
      <c r="D436" s="4"/>
      <c r="E436" s="4"/>
      <c r="F436" s="4"/>
      <c r="G436" s="257"/>
      <c r="H436" s="559">
        <v>0.71599999999999997</v>
      </c>
      <c r="I436" s="521">
        <v>0.71599999999999997</v>
      </c>
      <c r="J436" s="521">
        <v>0.71599999999999997</v>
      </c>
      <c r="K436" s="521">
        <v>0.71599999999999997</v>
      </c>
      <c r="L436" s="521">
        <v>0.71599999999999997</v>
      </c>
      <c r="M436" s="521">
        <v>0.71599999999999997</v>
      </c>
      <c r="N436" s="521">
        <v>0.71599999999999997</v>
      </c>
      <c r="O436" s="521">
        <v>0.71599999999999997</v>
      </c>
      <c r="P436" s="521">
        <v>0.71599999999999997</v>
      </c>
      <c r="Q436" s="521">
        <v>0.71599999999999997</v>
      </c>
    </row>
    <row r="437" spans="2:17" x14ac:dyDescent="0.25">
      <c r="B437" s="12" t="s">
        <v>201</v>
      </c>
      <c r="C437" s="4"/>
      <c r="D437" s="4"/>
      <c r="E437" s="4"/>
      <c r="F437" s="4"/>
      <c r="G437" s="257"/>
      <c r="H437" s="559">
        <v>0.71599999999999997</v>
      </c>
      <c r="I437" s="521">
        <v>0.71599999999999997</v>
      </c>
      <c r="J437" s="521">
        <v>0.71599999999999997</v>
      </c>
      <c r="K437" s="521">
        <v>0.71599999999999997</v>
      </c>
      <c r="L437" s="521">
        <v>0.71599999999999997</v>
      </c>
      <c r="M437" s="521">
        <v>0.71599999999999997</v>
      </c>
      <c r="N437" s="521">
        <v>0.71599999999999997</v>
      </c>
      <c r="O437" s="521">
        <v>0.71599999999999997</v>
      </c>
      <c r="P437" s="521">
        <v>0.71599999999999997</v>
      </c>
      <c r="Q437" s="521">
        <v>0.71599999999999997</v>
      </c>
    </row>
    <row r="438" spans="2:17" x14ac:dyDescent="0.25">
      <c r="B438" s="12" t="s">
        <v>202</v>
      </c>
      <c r="C438" s="4"/>
      <c r="D438" s="4"/>
      <c r="E438" s="4"/>
      <c r="F438" s="4"/>
      <c r="G438" s="257"/>
      <c r="H438" s="559">
        <v>0.314</v>
      </c>
      <c r="I438" s="521">
        <v>0.314</v>
      </c>
      <c r="J438" s="521">
        <v>0.314</v>
      </c>
      <c r="K438" s="521">
        <v>0.314</v>
      </c>
      <c r="L438" s="521">
        <v>0.314</v>
      </c>
      <c r="M438" s="521">
        <v>0.314</v>
      </c>
      <c r="N438" s="521">
        <v>0.314</v>
      </c>
      <c r="O438" s="521">
        <v>0.314</v>
      </c>
      <c r="P438" s="521">
        <v>0.314</v>
      </c>
      <c r="Q438" s="521">
        <v>0.314</v>
      </c>
    </row>
    <row r="439" spans="2:17" x14ac:dyDescent="0.25">
      <c r="B439" s="12" t="s">
        <v>203</v>
      </c>
      <c r="C439" s="4"/>
      <c r="D439" s="4"/>
      <c r="E439" s="4"/>
      <c r="F439" s="4"/>
      <c r="G439" s="257"/>
      <c r="H439" s="559">
        <v>0.68400000000000005</v>
      </c>
      <c r="I439" s="521">
        <v>0.68400000000000005</v>
      </c>
      <c r="J439" s="521">
        <v>0.68400000000000005</v>
      </c>
      <c r="K439" s="521">
        <v>0.68400000000000005</v>
      </c>
      <c r="L439" s="521">
        <v>0.68400000000000005</v>
      </c>
      <c r="M439" s="521">
        <v>0.68400000000000005</v>
      </c>
      <c r="N439" s="521">
        <v>0.68400000000000005</v>
      </c>
      <c r="O439" s="521">
        <v>0.68400000000000005</v>
      </c>
      <c r="P439" s="521">
        <v>0.68400000000000005</v>
      </c>
      <c r="Q439" s="521">
        <v>0.68400000000000005</v>
      </c>
    </row>
    <row r="440" spans="2:17" x14ac:dyDescent="0.25">
      <c r="B440" s="12" t="s">
        <v>204</v>
      </c>
      <c r="C440" s="4"/>
      <c r="D440" s="4"/>
      <c r="E440" s="4"/>
      <c r="F440" s="4"/>
      <c r="G440" s="257"/>
      <c r="H440" s="559">
        <v>0.68400000000000005</v>
      </c>
      <c r="I440" s="521">
        <v>0.68400000000000005</v>
      </c>
      <c r="J440" s="521">
        <v>0.68400000000000005</v>
      </c>
      <c r="K440" s="521">
        <v>0.68400000000000005</v>
      </c>
      <c r="L440" s="521">
        <v>0.68400000000000005</v>
      </c>
      <c r="M440" s="521">
        <v>0.68400000000000005</v>
      </c>
      <c r="N440" s="521">
        <v>0.68400000000000005</v>
      </c>
      <c r="O440" s="521">
        <v>0.68400000000000005</v>
      </c>
      <c r="P440" s="521">
        <v>0.68400000000000005</v>
      </c>
      <c r="Q440" s="521">
        <v>0.68400000000000005</v>
      </c>
    </row>
    <row r="441" spans="2:17" x14ac:dyDescent="0.25">
      <c r="B441" s="12" t="s">
        <v>205</v>
      </c>
      <c r="C441" s="4"/>
      <c r="D441" s="4"/>
      <c r="E441" s="4"/>
      <c r="F441" s="4"/>
      <c r="G441" s="257"/>
      <c r="H441" s="559">
        <v>0.314</v>
      </c>
      <c r="I441" s="521">
        <v>0.314</v>
      </c>
      <c r="J441" s="521">
        <v>0.314</v>
      </c>
      <c r="K441" s="521">
        <v>0.314</v>
      </c>
      <c r="L441" s="521">
        <v>0.314</v>
      </c>
      <c r="M441" s="521">
        <v>0.314</v>
      </c>
      <c r="N441" s="521">
        <v>0.314</v>
      </c>
      <c r="O441" s="521">
        <v>0.314</v>
      </c>
      <c r="P441" s="521">
        <v>0.314</v>
      </c>
      <c r="Q441" s="521">
        <v>0.314</v>
      </c>
    </row>
    <row r="442" spans="2:17" x14ac:dyDescent="0.25">
      <c r="B442" s="12" t="s">
        <v>206</v>
      </c>
      <c r="C442" s="4"/>
      <c r="D442" s="4"/>
      <c r="E442" s="4"/>
      <c r="F442" s="4"/>
      <c r="G442" s="257"/>
      <c r="H442" s="559">
        <v>0.70099999999999996</v>
      </c>
      <c r="I442" s="521">
        <v>0.70099999999999996</v>
      </c>
      <c r="J442" s="521">
        <v>0.70099999999999996</v>
      </c>
      <c r="K442" s="521">
        <v>0.70099999999999996</v>
      </c>
      <c r="L442" s="521">
        <v>0.70099999999999996</v>
      </c>
      <c r="M442" s="521">
        <v>0.70099999999999996</v>
      </c>
      <c r="N442" s="521">
        <v>0.70099999999999996</v>
      </c>
      <c r="O442" s="521">
        <v>0.70099999999999996</v>
      </c>
      <c r="P442" s="521">
        <v>0.70099999999999996</v>
      </c>
      <c r="Q442" s="521">
        <v>0.70099999999999996</v>
      </c>
    </row>
    <row r="443" spans="2:17" x14ac:dyDescent="0.25">
      <c r="B443" s="12" t="s">
        <v>41</v>
      </c>
      <c r="C443" s="4"/>
      <c r="D443" s="4"/>
      <c r="E443" s="4"/>
      <c r="F443" s="4"/>
      <c r="G443" s="257"/>
      <c r="H443" s="559">
        <v>0.7</v>
      </c>
      <c r="I443" s="521">
        <v>0.7</v>
      </c>
      <c r="J443" s="521">
        <v>0.7</v>
      </c>
      <c r="K443" s="521">
        <v>0.7</v>
      </c>
      <c r="L443" s="521">
        <v>0.7</v>
      </c>
      <c r="M443" s="521">
        <v>0.7</v>
      </c>
      <c r="N443" s="521">
        <v>0.7</v>
      </c>
      <c r="O443" s="521">
        <v>0.7</v>
      </c>
      <c r="P443" s="521">
        <v>0.7</v>
      </c>
      <c r="Q443" s="521">
        <v>0.7</v>
      </c>
    </row>
    <row r="444" spans="2:17" x14ac:dyDescent="0.25">
      <c r="B444" s="12"/>
      <c r="C444" s="4"/>
      <c r="D444" s="4"/>
      <c r="E444" s="4"/>
      <c r="F444" s="4"/>
      <c r="G444" s="257"/>
      <c r="H444" s="559"/>
      <c r="I444" s="521"/>
      <c r="J444" s="521"/>
      <c r="K444" s="521"/>
      <c r="L444" s="521"/>
      <c r="M444" s="521"/>
      <c r="N444" s="521"/>
      <c r="O444" s="521"/>
      <c r="P444" s="521"/>
      <c r="Q444" s="521"/>
    </row>
    <row r="445" spans="2:17" x14ac:dyDescent="0.25">
      <c r="B445" s="12"/>
      <c r="C445" s="4"/>
      <c r="D445" s="4"/>
      <c r="E445" s="4"/>
      <c r="F445" s="4"/>
      <c r="G445" s="257"/>
      <c r="H445" s="559"/>
      <c r="I445" s="521"/>
      <c r="J445" s="521"/>
      <c r="K445" s="521"/>
      <c r="L445" s="521"/>
      <c r="M445" s="521"/>
      <c r="N445" s="521"/>
      <c r="O445" s="521"/>
      <c r="P445" s="521"/>
      <c r="Q445" s="521"/>
    </row>
    <row r="446" spans="2:17" x14ac:dyDescent="0.25">
      <c r="B446" s="12"/>
      <c r="C446" s="4"/>
      <c r="D446" s="4"/>
      <c r="E446" s="4"/>
      <c r="F446" s="4"/>
      <c r="G446" s="257"/>
      <c r="H446" s="559"/>
      <c r="I446" s="521"/>
      <c r="J446" s="521"/>
      <c r="K446" s="521"/>
      <c r="L446" s="521"/>
      <c r="M446" s="521"/>
      <c r="N446" s="521"/>
      <c r="O446" s="521"/>
      <c r="P446" s="521"/>
      <c r="Q446" s="521"/>
    </row>
    <row r="447" spans="2:17" x14ac:dyDescent="0.25">
      <c r="B447" s="12"/>
      <c r="C447" s="4"/>
      <c r="D447" s="4"/>
      <c r="E447" s="4"/>
      <c r="F447" s="4"/>
      <c r="G447" s="257"/>
      <c r="H447" s="559"/>
      <c r="I447" s="521"/>
      <c r="J447" s="521"/>
      <c r="K447" s="521"/>
      <c r="L447" s="521"/>
      <c r="M447" s="521"/>
      <c r="N447" s="521"/>
      <c r="O447" s="521"/>
      <c r="P447" s="521"/>
      <c r="Q447" s="521"/>
    </row>
    <row r="448" spans="2:17" x14ac:dyDescent="0.25">
      <c r="B448" s="12"/>
      <c r="C448" s="4"/>
      <c r="D448" s="4"/>
      <c r="E448" s="4"/>
      <c r="F448" s="4"/>
      <c r="G448" s="257"/>
      <c r="H448" s="559"/>
      <c r="I448" s="521"/>
      <c r="J448" s="521"/>
      <c r="K448" s="521"/>
      <c r="L448" s="521"/>
      <c r="M448" s="521"/>
      <c r="N448" s="521"/>
      <c r="O448" s="521"/>
      <c r="P448" s="521"/>
      <c r="Q448" s="521"/>
    </row>
    <row r="449" spans="2:17" x14ac:dyDescent="0.25">
      <c r="B449" s="12"/>
      <c r="C449" s="4"/>
      <c r="D449" s="4"/>
      <c r="E449" s="4"/>
      <c r="F449" s="4"/>
      <c r="G449" s="257"/>
      <c r="H449" s="559"/>
      <c r="I449" s="521"/>
      <c r="J449" s="521"/>
      <c r="K449" s="521"/>
      <c r="L449" s="521"/>
      <c r="M449" s="521"/>
      <c r="N449" s="521"/>
      <c r="O449" s="521"/>
      <c r="P449" s="521"/>
      <c r="Q449" s="521"/>
    </row>
    <row r="450" spans="2:17" x14ac:dyDescent="0.25">
      <c r="B450" s="12"/>
      <c r="C450" s="4"/>
      <c r="D450" s="4"/>
      <c r="E450" s="4"/>
      <c r="F450" s="4"/>
      <c r="G450" s="257"/>
      <c r="H450" s="559"/>
      <c r="I450" s="521"/>
      <c r="J450" s="521"/>
      <c r="K450" s="521"/>
      <c r="L450" s="521"/>
      <c r="M450" s="521"/>
      <c r="N450" s="521"/>
      <c r="O450" s="521"/>
      <c r="P450" s="521"/>
      <c r="Q450" s="521"/>
    </row>
    <row r="451" spans="2:17" x14ac:dyDescent="0.25">
      <c r="B451" s="12"/>
      <c r="C451" s="4"/>
      <c r="D451" s="4"/>
      <c r="E451" s="4"/>
      <c r="F451" s="4"/>
      <c r="G451" s="257"/>
      <c r="H451" s="559"/>
      <c r="I451" s="521"/>
      <c r="J451" s="521"/>
      <c r="K451" s="521"/>
      <c r="L451" s="521"/>
      <c r="M451" s="521"/>
      <c r="N451" s="521"/>
      <c r="O451" s="521"/>
      <c r="P451" s="521"/>
      <c r="Q451" s="521"/>
    </row>
    <row r="452" spans="2:17" x14ac:dyDescent="0.25">
      <c r="B452" s="258"/>
      <c r="C452" s="6"/>
      <c r="D452" s="6"/>
      <c r="E452" s="6"/>
      <c r="F452" s="6"/>
      <c r="G452" s="260"/>
      <c r="H452" s="559"/>
      <c r="I452" s="521"/>
      <c r="J452" s="521"/>
      <c r="K452" s="521"/>
      <c r="L452" s="521"/>
      <c r="M452" s="521"/>
      <c r="N452" s="521"/>
      <c r="O452" s="521"/>
      <c r="P452" s="521"/>
      <c r="Q452" s="521"/>
    </row>
    <row r="453" spans="2:17" s="583" customFormat="1" x14ac:dyDescent="0.25"/>
    <row r="454" spans="2:17" s="583" customFormat="1" ht="18.75" x14ac:dyDescent="0.3">
      <c r="B454" s="588" t="s">
        <v>1459</v>
      </c>
      <c r="C454" s="589"/>
      <c r="D454" s="589"/>
      <c r="E454" s="589"/>
      <c r="F454" s="589"/>
      <c r="G454" s="589"/>
      <c r="H454" s="589"/>
      <c r="I454" s="589"/>
      <c r="J454" s="589"/>
      <c r="K454" s="589"/>
      <c r="L454" s="589"/>
      <c r="M454" s="589"/>
    </row>
    <row r="455" spans="2:17" s="583" customFormat="1" x14ac:dyDescent="0.25">
      <c r="B455" s="589"/>
      <c r="C455" s="589"/>
      <c r="H455" s="589"/>
      <c r="I455" s="589"/>
      <c r="J455" s="589"/>
      <c r="K455" s="589"/>
      <c r="L455" s="589"/>
      <c r="M455" s="589"/>
      <c r="N455" s="589"/>
      <c r="O455" s="589"/>
      <c r="P455" s="589"/>
      <c r="Q455" s="589"/>
    </row>
    <row r="456" spans="2:17" s="583" customFormat="1" x14ac:dyDescent="0.25">
      <c r="B456" s="590" t="s">
        <v>207</v>
      </c>
      <c r="C456" s="589"/>
      <c r="H456" s="589"/>
      <c r="I456" s="589"/>
      <c r="J456" s="589"/>
      <c r="K456" s="589"/>
      <c r="L456" s="589"/>
      <c r="M456" s="589"/>
      <c r="N456" s="589"/>
      <c r="O456" s="589"/>
      <c r="P456" s="589"/>
      <c r="Q456" s="589"/>
    </row>
    <row r="457" spans="2:17" s="583" customFormat="1" x14ac:dyDescent="0.25">
      <c r="B457" s="589"/>
      <c r="C457" s="589"/>
      <c r="H457" s="589"/>
      <c r="I457" s="589"/>
      <c r="J457" s="589"/>
      <c r="K457" s="589"/>
      <c r="L457" s="589"/>
      <c r="M457" s="589"/>
      <c r="N457" s="589"/>
      <c r="O457" s="589"/>
      <c r="P457" s="589"/>
      <c r="Q457" s="589"/>
    </row>
    <row r="458" spans="2:17" x14ac:dyDescent="0.25">
      <c r="B458" s="557" t="s">
        <v>208</v>
      </c>
      <c r="C458" s="558"/>
      <c r="D458" s="533"/>
      <c r="E458" s="533"/>
      <c r="F458" s="533"/>
      <c r="G458" s="534"/>
      <c r="H458" s="564">
        <f t="shared" ref="H458:Q458" si="21">IF(ISNUMBER(H149)=FALSE,"",H149)</f>
        <v>5380.0599999999995</v>
      </c>
      <c r="I458" s="564">
        <f t="shared" si="21"/>
        <v>2305.3200000000002</v>
      </c>
      <c r="J458" s="564">
        <f t="shared" si="21"/>
        <v>396.39571428571429</v>
      </c>
      <c r="K458" s="564">
        <f t="shared" si="21"/>
        <v>1227.3119999999999</v>
      </c>
      <c r="L458" s="564">
        <f t="shared" si="21"/>
        <v>927.94</v>
      </c>
      <c r="M458" s="564">
        <f t="shared" si="21"/>
        <v>1728.3230166590956</v>
      </c>
      <c r="N458" s="564">
        <f t="shared" si="21"/>
        <v>1305.8599999999999</v>
      </c>
      <c r="O458" s="564">
        <f t="shared" si="21"/>
        <v>4986.2624999999998</v>
      </c>
      <c r="P458" s="564">
        <f t="shared" si="21"/>
        <v>599.21135941942532</v>
      </c>
      <c r="Q458" s="564">
        <f t="shared" si="21"/>
        <v>1524.4</v>
      </c>
    </row>
    <row r="459" spans="2:17" x14ac:dyDescent="0.25">
      <c r="B459" s="11" t="s">
        <v>209</v>
      </c>
      <c r="C459" s="2"/>
      <c r="D459" s="2"/>
      <c r="E459" s="2"/>
      <c r="F459" s="2"/>
      <c r="G459" s="3"/>
      <c r="H459" s="569"/>
      <c r="I459" s="565"/>
      <c r="J459" s="565"/>
      <c r="K459" s="565"/>
      <c r="L459" s="565"/>
      <c r="M459" s="565"/>
      <c r="N459" s="565"/>
      <c r="O459" s="565"/>
      <c r="P459" s="565"/>
      <c r="Q459" s="565"/>
    </row>
    <row r="460" spans="2:17" x14ac:dyDescent="0.25">
      <c r="B460" s="574" t="s">
        <v>210</v>
      </c>
      <c r="C460" s="575"/>
      <c r="D460" s="4"/>
      <c r="E460" s="4"/>
      <c r="F460" s="4"/>
      <c r="G460" s="257"/>
      <c r="H460" s="570"/>
      <c r="I460" s="566"/>
      <c r="J460" s="566"/>
      <c r="K460" s="566"/>
      <c r="L460" s="566"/>
      <c r="M460" s="566"/>
      <c r="N460" s="566"/>
      <c r="O460" s="566"/>
      <c r="P460" s="566"/>
      <c r="Q460" s="566"/>
    </row>
    <row r="461" spans="2:17" x14ac:dyDescent="0.25">
      <c r="B461" s="574" t="s">
        <v>211</v>
      </c>
      <c r="C461" s="575"/>
      <c r="D461" s="4"/>
      <c r="E461" s="4"/>
      <c r="F461" s="4"/>
      <c r="G461" s="257"/>
      <c r="H461" s="570">
        <v>0.16365754222481074</v>
      </c>
      <c r="I461" s="566">
        <v>0.16365754222481074</v>
      </c>
      <c r="J461" s="566">
        <v>0.16365754222481074</v>
      </c>
      <c r="K461" s="566"/>
      <c r="L461" s="566"/>
      <c r="M461" s="566"/>
      <c r="N461" s="566"/>
      <c r="O461" s="566"/>
      <c r="P461" s="566"/>
      <c r="Q461" s="566"/>
    </row>
    <row r="462" spans="2:17" x14ac:dyDescent="0.25">
      <c r="B462" s="574" t="s">
        <v>212</v>
      </c>
      <c r="C462" s="575"/>
      <c r="D462" s="4"/>
      <c r="E462" s="4"/>
      <c r="F462" s="4"/>
      <c r="G462" s="257"/>
      <c r="H462" s="570"/>
      <c r="I462" s="566"/>
      <c r="J462" s="566"/>
      <c r="K462" s="566"/>
      <c r="L462" s="566"/>
      <c r="M462" s="566"/>
      <c r="N462" s="566"/>
      <c r="O462" s="566"/>
      <c r="P462" s="566"/>
      <c r="Q462" s="566"/>
    </row>
    <row r="463" spans="2:17" x14ac:dyDescent="0.25">
      <c r="B463" s="574" t="s">
        <v>213</v>
      </c>
      <c r="C463" s="575"/>
      <c r="D463" s="4"/>
      <c r="E463" s="4"/>
      <c r="F463" s="4"/>
      <c r="G463" s="257"/>
      <c r="H463" s="570"/>
      <c r="I463" s="566"/>
      <c r="J463" s="566"/>
      <c r="K463" s="566"/>
      <c r="L463" s="566"/>
      <c r="M463" s="566"/>
      <c r="N463" s="566"/>
      <c r="O463" s="566"/>
      <c r="P463" s="566"/>
      <c r="Q463" s="566"/>
    </row>
    <row r="464" spans="2:17" x14ac:dyDescent="0.25">
      <c r="B464" s="574" t="s">
        <v>214</v>
      </c>
      <c r="C464" s="575"/>
      <c r="D464" s="4"/>
      <c r="E464" s="4"/>
      <c r="F464" s="4"/>
      <c r="G464" s="257"/>
      <c r="H464" s="570">
        <v>0.17239370995923123</v>
      </c>
      <c r="I464" s="566">
        <v>0.17239370995923123</v>
      </c>
      <c r="J464" s="566">
        <v>0.17239370995923123</v>
      </c>
      <c r="K464" s="566"/>
      <c r="L464" s="566"/>
      <c r="M464" s="566"/>
      <c r="N464" s="566"/>
      <c r="O464" s="566"/>
      <c r="P464" s="566"/>
      <c r="Q464" s="566"/>
    </row>
    <row r="465" spans="2:17" x14ac:dyDescent="0.25">
      <c r="B465" s="574" t="s">
        <v>215</v>
      </c>
      <c r="C465" s="575"/>
      <c r="D465" s="4"/>
      <c r="E465" s="4"/>
      <c r="F465" s="4"/>
      <c r="G465" s="257"/>
      <c r="H465" s="570"/>
      <c r="I465" s="566"/>
      <c r="J465" s="566"/>
      <c r="K465" s="566"/>
      <c r="L465" s="566"/>
      <c r="M465" s="566"/>
      <c r="N465" s="566"/>
      <c r="O465" s="566"/>
      <c r="P465" s="566"/>
      <c r="Q465" s="566"/>
    </row>
    <row r="466" spans="2:17" x14ac:dyDescent="0.25">
      <c r="B466" s="574" t="s">
        <v>216</v>
      </c>
      <c r="C466" s="575"/>
      <c r="D466" s="4"/>
      <c r="E466" s="4"/>
      <c r="F466" s="4"/>
      <c r="G466" s="257"/>
      <c r="H466" s="570"/>
      <c r="I466" s="566"/>
      <c r="J466" s="566"/>
      <c r="K466" s="566"/>
      <c r="L466" s="566"/>
      <c r="M466" s="566"/>
      <c r="N466" s="566"/>
      <c r="O466" s="566"/>
      <c r="P466" s="566"/>
      <c r="Q466" s="566"/>
    </row>
    <row r="467" spans="2:17" x14ac:dyDescent="0.25">
      <c r="B467" s="574" t="s">
        <v>217</v>
      </c>
      <c r="C467" s="575"/>
      <c r="D467" s="4"/>
      <c r="E467" s="4"/>
      <c r="F467" s="4"/>
      <c r="G467" s="257"/>
      <c r="H467" s="570">
        <v>0.27315084449621435</v>
      </c>
      <c r="I467" s="566">
        <v>0.27315084449621435</v>
      </c>
      <c r="J467" s="566">
        <v>0.27315084449621435</v>
      </c>
      <c r="K467" s="566"/>
      <c r="L467" s="566"/>
      <c r="M467" s="566"/>
      <c r="N467" s="566"/>
      <c r="O467" s="566"/>
      <c r="P467" s="566"/>
      <c r="Q467" s="566"/>
    </row>
    <row r="468" spans="2:17" x14ac:dyDescent="0.25">
      <c r="B468" s="574" t="s">
        <v>218</v>
      </c>
      <c r="C468" s="575"/>
      <c r="D468" s="4"/>
      <c r="E468" s="4"/>
      <c r="F468" s="4"/>
      <c r="G468" s="257"/>
      <c r="H468" s="570"/>
      <c r="I468" s="566"/>
      <c r="J468" s="566"/>
      <c r="K468" s="566"/>
      <c r="L468" s="566"/>
      <c r="M468" s="566"/>
      <c r="N468" s="566"/>
      <c r="O468" s="566"/>
      <c r="P468" s="566"/>
      <c r="Q468" s="566"/>
    </row>
    <row r="469" spans="2:17" x14ac:dyDescent="0.25">
      <c r="B469" s="574" t="s">
        <v>219</v>
      </c>
      <c r="C469" s="575"/>
      <c r="D469" s="4"/>
      <c r="E469" s="4"/>
      <c r="F469" s="4"/>
      <c r="G469" s="257"/>
      <c r="H469" s="570"/>
      <c r="I469" s="566"/>
      <c r="J469" s="566"/>
      <c r="K469" s="566"/>
      <c r="L469" s="566"/>
      <c r="M469" s="566"/>
      <c r="N469" s="566"/>
      <c r="O469" s="566"/>
      <c r="P469" s="566"/>
      <c r="Q469" s="566"/>
    </row>
    <row r="470" spans="2:17" x14ac:dyDescent="0.25">
      <c r="B470" s="574" t="s">
        <v>220</v>
      </c>
      <c r="C470" s="575"/>
      <c r="D470" s="4"/>
      <c r="E470" s="4"/>
      <c r="F470" s="4"/>
      <c r="G470" s="257"/>
      <c r="H470" s="570">
        <v>0.25276645311589985</v>
      </c>
      <c r="I470" s="566">
        <v>0.25276645311589985</v>
      </c>
      <c r="J470" s="566">
        <v>0.25276645311589985</v>
      </c>
      <c r="K470" s="566"/>
      <c r="L470" s="566"/>
      <c r="M470" s="566"/>
      <c r="N470" s="566"/>
      <c r="O470" s="566"/>
      <c r="P470" s="566"/>
      <c r="Q470" s="566"/>
    </row>
    <row r="471" spans="2:17" x14ac:dyDescent="0.25">
      <c r="B471" s="574" t="s">
        <v>221</v>
      </c>
      <c r="C471" s="575"/>
      <c r="D471" s="4"/>
      <c r="E471" s="4"/>
      <c r="F471" s="4"/>
      <c r="G471" s="257"/>
      <c r="H471" s="570"/>
      <c r="I471" s="566"/>
      <c r="J471" s="566"/>
      <c r="K471" s="566"/>
      <c r="L471" s="566"/>
      <c r="M471" s="566"/>
      <c r="N471" s="566"/>
      <c r="O471" s="566"/>
      <c r="P471" s="566"/>
      <c r="Q471" s="566"/>
    </row>
    <row r="472" spans="2:17" x14ac:dyDescent="0.25">
      <c r="B472" s="574" t="s">
        <v>222</v>
      </c>
      <c r="C472" s="575"/>
      <c r="D472" s="4"/>
      <c r="E472" s="4"/>
      <c r="F472" s="4"/>
      <c r="G472" s="257"/>
      <c r="H472" s="570"/>
      <c r="I472" s="566"/>
      <c r="J472" s="566"/>
      <c r="K472" s="566"/>
      <c r="L472" s="566"/>
      <c r="M472" s="566"/>
      <c r="N472" s="566"/>
      <c r="O472" s="566"/>
      <c r="P472" s="566"/>
      <c r="Q472" s="566"/>
    </row>
    <row r="473" spans="2:17" x14ac:dyDescent="0.25">
      <c r="B473" s="574" t="s">
        <v>223</v>
      </c>
      <c r="C473" s="575"/>
      <c r="D473" s="4"/>
      <c r="E473" s="4"/>
      <c r="F473" s="4"/>
      <c r="G473" s="257"/>
      <c r="H473" s="570">
        <v>5.299941758881771E-2</v>
      </c>
      <c r="I473" s="566">
        <v>5.299941758881771E-2</v>
      </c>
      <c r="J473" s="566">
        <v>5.299941758881771E-2</v>
      </c>
      <c r="K473" s="566"/>
      <c r="L473" s="566"/>
      <c r="M473" s="566"/>
      <c r="N473" s="566"/>
      <c r="O473" s="566"/>
      <c r="P473" s="566"/>
      <c r="Q473" s="566"/>
    </row>
    <row r="474" spans="2:17" x14ac:dyDescent="0.25">
      <c r="B474" s="574" t="s">
        <v>224</v>
      </c>
      <c r="C474" s="575"/>
      <c r="D474" s="4"/>
      <c r="E474" s="4"/>
      <c r="F474" s="4"/>
      <c r="G474" s="257"/>
      <c r="H474" s="570"/>
      <c r="I474" s="566"/>
      <c r="J474" s="566"/>
      <c r="K474" s="566"/>
      <c r="L474" s="566"/>
      <c r="M474" s="566"/>
      <c r="N474" s="566"/>
      <c r="O474" s="566"/>
      <c r="P474" s="566"/>
      <c r="Q474" s="566"/>
    </row>
    <row r="475" spans="2:17" x14ac:dyDescent="0.25">
      <c r="B475" s="574" t="s">
        <v>225</v>
      </c>
      <c r="C475" s="575"/>
      <c r="D475" s="4"/>
      <c r="E475" s="4"/>
      <c r="F475" s="4"/>
      <c r="G475" s="257"/>
      <c r="H475" s="570"/>
      <c r="I475" s="566"/>
      <c r="J475" s="566"/>
      <c r="K475" s="566"/>
      <c r="L475" s="566"/>
      <c r="M475" s="566"/>
      <c r="N475" s="566"/>
      <c r="O475" s="566"/>
      <c r="P475" s="566"/>
      <c r="Q475" s="566"/>
    </row>
    <row r="476" spans="2:17" x14ac:dyDescent="0.25">
      <c r="B476" s="574" t="s">
        <v>226</v>
      </c>
      <c r="C476" s="575"/>
      <c r="D476" s="4"/>
      <c r="E476" s="4"/>
      <c r="F476" s="4"/>
      <c r="G476" s="257"/>
      <c r="H476" s="570">
        <v>8.5032032615026218E-2</v>
      </c>
      <c r="I476" s="566">
        <v>8.5032032615026218E-2</v>
      </c>
      <c r="J476" s="566">
        <v>8.5032032615026218E-2</v>
      </c>
      <c r="K476" s="566"/>
      <c r="L476" s="566"/>
      <c r="M476" s="566"/>
      <c r="N476" s="566"/>
      <c r="O476" s="566"/>
      <c r="P476" s="566"/>
      <c r="Q476" s="566"/>
    </row>
    <row r="477" spans="2:17" x14ac:dyDescent="0.25">
      <c r="B477" s="574" t="s">
        <v>227</v>
      </c>
      <c r="C477" s="575"/>
      <c r="D477" s="4"/>
      <c r="E477" s="4"/>
      <c r="F477" s="4"/>
      <c r="G477" s="257"/>
      <c r="H477" s="570"/>
      <c r="I477" s="566"/>
      <c r="J477" s="566"/>
      <c r="K477" s="566"/>
      <c r="L477" s="566"/>
      <c r="M477" s="566"/>
      <c r="N477" s="566"/>
      <c r="O477" s="566"/>
      <c r="P477" s="566"/>
      <c r="Q477" s="566"/>
    </row>
    <row r="478" spans="2:17" x14ac:dyDescent="0.25">
      <c r="B478" s="574" t="s">
        <v>228</v>
      </c>
      <c r="C478" s="575"/>
      <c r="D478" s="4"/>
      <c r="E478" s="4"/>
      <c r="F478" s="4"/>
      <c r="G478" s="257"/>
      <c r="H478" s="571"/>
      <c r="I478" s="567"/>
      <c r="J478" s="567"/>
      <c r="K478" s="567"/>
      <c r="L478" s="567"/>
      <c r="M478" s="567"/>
      <c r="N478" s="567"/>
      <c r="O478" s="567"/>
      <c r="P478" s="567"/>
      <c r="Q478" s="567"/>
    </row>
    <row r="479" spans="2:17" x14ac:dyDescent="0.25">
      <c r="B479" s="563" t="s">
        <v>229</v>
      </c>
      <c r="C479" s="572"/>
      <c r="D479" s="532"/>
      <c r="E479" s="532"/>
      <c r="F479" s="532"/>
      <c r="G479" s="527"/>
      <c r="H479" s="573">
        <f>IF(SUMPRODUCT(H459:H478,Parameters!$J$239:$J$258)&gt;0,(SUMPRODUCT(H459:H478,Parameters!$J$239:$J$258)),"N/A")</f>
        <v>1.840769365171812E-2</v>
      </c>
      <c r="I479" s="573">
        <f>IF(SUMPRODUCT(I459:I478,Parameters!$J$239:$J$258)&gt;0,(SUMPRODUCT(I459:I478,Parameters!$J$239:$J$258)),"N/A")</f>
        <v>1.840769365171812E-2</v>
      </c>
      <c r="J479" s="573">
        <f>IF(SUMPRODUCT(J459:J478,Parameters!$J$239:$J$258)&gt;0,(SUMPRODUCT(J459:J478,Parameters!$J$239:$J$258)),"N/A")</f>
        <v>1.840769365171812E-2</v>
      </c>
      <c r="K479" s="573" t="str">
        <f>IF(SUMPRODUCT(K459:K478,Parameters!$J$239:$J$258)&gt;0,(SUMPRODUCT(K459:K478,Parameters!$J$239:$J$258)),"N/A")</f>
        <v>N/A</v>
      </c>
      <c r="L479" s="573" t="str">
        <f>IF(SUMPRODUCT(L459:L478,Parameters!$J$239:$J$258)&gt;0,(SUMPRODUCT(L459:L478,Parameters!$J$239:$J$258)),"N/A")</f>
        <v>N/A</v>
      </c>
      <c r="M479" s="573" t="str">
        <f>IF(SUMPRODUCT(M459:M478,Parameters!$J$239:$J$258)&gt;0,(SUMPRODUCT(M459:M478,Parameters!$J$239:$J$258)),"N/A")</f>
        <v>N/A</v>
      </c>
      <c r="N479" s="573" t="str">
        <f>IF(SUMPRODUCT(N459:N478,Parameters!$J$239:$J$258)&gt;0,(SUMPRODUCT(N459:N478,Parameters!$J$239:$J$258)),"N/A")</f>
        <v>N/A</v>
      </c>
      <c r="O479" s="573" t="str">
        <f>IF(SUMPRODUCT(O459:O478,Parameters!$J$239:$J$258)&gt;0,(SUMPRODUCT(O459:O478,Parameters!$J$239:$J$258)),"N/A")</f>
        <v>N/A</v>
      </c>
      <c r="P479" s="573" t="str">
        <f>IF(SUMPRODUCT(P459:P478,Parameters!$J$239:$J$258)&gt;0,(SUMPRODUCT(P459:P478,Parameters!$J$239:$J$258)),"N/A")</f>
        <v>N/A</v>
      </c>
      <c r="Q479" s="573" t="str">
        <f>IF(SUMPRODUCT(Q459:Q478,Parameters!$J$239:$J$258)&gt;0,(SUMPRODUCT(Q459:Q478,Parameters!$J$239:$J$258)),"N/A")</f>
        <v>N/A</v>
      </c>
    </row>
    <row r="480" spans="2:17" s="583" customFormat="1" x14ac:dyDescent="0.25">
      <c r="B480" s="589"/>
      <c r="C480" s="589"/>
      <c r="H480" s="589"/>
      <c r="I480" s="589"/>
      <c r="J480" s="589"/>
      <c r="K480" s="589"/>
      <c r="L480" s="589"/>
      <c r="M480" s="589"/>
      <c r="N480" s="589"/>
      <c r="O480" s="589"/>
      <c r="P480" s="589"/>
      <c r="Q480" s="589"/>
    </row>
    <row r="481" spans="2:17" s="583" customFormat="1" x14ac:dyDescent="0.25">
      <c r="B481" s="590" t="s">
        <v>230</v>
      </c>
      <c r="C481" s="589"/>
      <c r="H481" s="589"/>
      <c r="I481" s="589"/>
      <c r="J481" s="589"/>
      <c r="K481" s="589"/>
      <c r="L481" s="589"/>
      <c r="M481" s="589"/>
      <c r="N481" s="589"/>
      <c r="O481" s="589"/>
      <c r="P481" s="589"/>
      <c r="Q481" s="589"/>
    </row>
    <row r="482" spans="2:17" s="583" customFormat="1" x14ac:dyDescent="0.25">
      <c r="B482" s="589"/>
      <c r="C482" s="589"/>
      <c r="H482" s="589"/>
      <c r="I482" s="589"/>
      <c r="J482" s="589"/>
      <c r="K482" s="589"/>
      <c r="L482" s="589"/>
      <c r="M482" s="589"/>
      <c r="N482" s="589"/>
      <c r="O482" s="589"/>
      <c r="P482" s="589"/>
      <c r="Q482" s="589"/>
    </row>
    <row r="483" spans="2:17" x14ac:dyDescent="0.25">
      <c r="B483" s="557" t="s">
        <v>208</v>
      </c>
      <c r="C483" s="558"/>
      <c r="D483" s="533"/>
      <c r="E483" s="533"/>
      <c r="F483" s="533"/>
      <c r="G483" s="534"/>
      <c r="H483" s="564">
        <f t="shared" ref="H483:Q483" si="22">IF(ISNUMBER(H156)=FALSE,"",H156*H194)</f>
        <v>194.47500000000002</v>
      </c>
      <c r="I483" s="564">
        <f t="shared" si="22"/>
        <v>93.75</v>
      </c>
      <c r="J483" s="564">
        <f t="shared" si="22"/>
        <v>26.657142857142858</v>
      </c>
      <c r="K483" s="564">
        <f t="shared" si="22"/>
        <v>38.892000000000003</v>
      </c>
      <c r="L483" s="564">
        <f t="shared" si="22"/>
        <v>5</v>
      </c>
      <c r="M483" s="564">
        <f>IF(ISNUMBER(M156)=FALSE,"",M156*M194)</f>
        <v>34.39273566787206</v>
      </c>
      <c r="N483" s="564">
        <f t="shared" si="22"/>
        <v>30</v>
      </c>
      <c r="O483" s="564">
        <f t="shared" si="22"/>
        <v>187.5</v>
      </c>
      <c r="P483" s="564">
        <f t="shared" si="22"/>
        <v>2.5</v>
      </c>
      <c r="Q483" s="564">
        <f t="shared" si="22"/>
        <v>9.0204545454545464</v>
      </c>
    </row>
    <row r="484" spans="2:17" x14ac:dyDescent="0.25">
      <c r="B484" s="11" t="s">
        <v>209</v>
      </c>
      <c r="C484" s="2"/>
      <c r="D484" s="2"/>
      <c r="E484" s="2"/>
      <c r="F484" s="2"/>
      <c r="G484" s="3"/>
      <c r="H484" s="565"/>
      <c r="I484" s="565"/>
      <c r="J484" s="565"/>
      <c r="K484" s="565"/>
      <c r="L484" s="565"/>
      <c r="M484" s="565"/>
      <c r="N484" s="565"/>
      <c r="O484" s="565"/>
      <c r="P484" s="565"/>
      <c r="Q484" s="565"/>
    </row>
    <row r="485" spans="2:17" x14ac:dyDescent="0.25">
      <c r="B485" s="574" t="s">
        <v>210</v>
      </c>
      <c r="C485" s="575"/>
      <c r="D485" s="4"/>
      <c r="E485" s="4"/>
      <c r="F485" s="4"/>
      <c r="G485" s="257"/>
      <c r="H485" s="566"/>
      <c r="I485" s="566"/>
      <c r="J485" s="566"/>
      <c r="K485" s="566"/>
      <c r="L485" s="566"/>
      <c r="M485" s="566"/>
      <c r="N485" s="566"/>
      <c r="O485" s="566"/>
      <c r="P485" s="566"/>
      <c r="Q485" s="566"/>
    </row>
    <row r="486" spans="2:17" x14ac:dyDescent="0.25">
      <c r="B486" s="574" t="s">
        <v>211</v>
      </c>
      <c r="C486" s="575"/>
      <c r="D486" s="4"/>
      <c r="E486" s="4"/>
      <c r="F486" s="4"/>
      <c r="G486" s="257"/>
      <c r="H486" s="566">
        <v>0.18414322250639384</v>
      </c>
      <c r="I486" s="566">
        <v>0.18414322250639384</v>
      </c>
      <c r="J486" s="566">
        <v>0.18414322250639384</v>
      </c>
      <c r="K486" s="566"/>
      <c r="L486" s="566"/>
      <c r="M486" s="566"/>
      <c r="N486" s="566"/>
      <c r="O486" s="566"/>
      <c r="P486" s="566"/>
      <c r="Q486" s="566"/>
    </row>
    <row r="487" spans="2:17" x14ac:dyDescent="0.25">
      <c r="B487" s="574" t="s">
        <v>212</v>
      </c>
      <c r="C487" s="575"/>
      <c r="D487" s="4"/>
      <c r="E487" s="4"/>
      <c r="F487" s="4"/>
      <c r="G487" s="257"/>
      <c r="H487" s="566"/>
      <c r="I487" s="566"/>
      <c r="J487" s="566"/>
      <c r="K487" s="566"/>
      <c r="L487" s="566"/>
      <c r="M487" s="566"/>
      <c r="N487" s="566"/>
      <c r="O487" s="566"/>
      <c r="P487" s="566"/>
      <c r="Q487" s="566"/>
    </row>
    <row r="488" spans="2:17" x14ac:dyDescent="0.25">
      <c r="B488" s="574" t="s">
        <v>213</v>
      </c>
      <c r="C488" s="575"/>
      <c r="D488" s="4"/>
      <c r="E488" s="4"/>
      <c r="F488" s="4"/>
      <c r="G488" s="257"/>
      <c r="H488" s="566"/>
      <c r="I488" s="566"/>
      <c r="J488" s="566"/>
      <c r="K488" s="566"/>
      <c r="L488" s="566"/>
      <c r="M488" s="566"/>
      <c r="N488" s="566"/>
      <c r="O488" s="566"/>
      <c r="P488" s="566"/>
      <c r="Q488" s="566"/>
    </row>
    <row r="489" spans="2:17" x14ac:dyDescent="0.25">
      <c r="B489" s="574" t="s">
        <v>214</v>
      </c>
      <c r="C489" s="575"/>
      <c r="D489" s="4"/>
      <c r="E489" s="4"/>
      <c r="F489" s="4"/>
      <c r="G489" s="257"/>
      <c r="H489" s="566">
        <v>0.23017902813299232</v>
      </c>
      <c r="I489" s="566">
        <v>0.23017902813299232</v>
      </c>
      <c r="J489" s="566">
        <v>0.23017902813299232</v>
      </c>
      <c r="K489" s="566"/>
      <c r="L489" s="566"/>
      <c r="M489" s="566"/>
      <c r="N489" s="566"/>
      <c r="O489" s="566"/>
      <c r="P489" s="566"/>
      <c r="Q489" s="566"/>
    </row>
    <row r="490" spans="2:17" x14ac:dyDescent="0.25">
      <c r="B490" s="574" t="s">
        <v>215</v>
      </c>
      <c r="C490" s="575"/>
      <c r="D490" s="4"/>
      <c r="E490" s="4"/>
      <c r="F490" s="4"/>
      <c r="G490" s="257"/>
      <c r="H490" s="566"/>
      <c r="I490" s="566"/>
      <c r="J490" s="566"/>
      <c r="K490" s="566"/>
      <c r="L490" s="566"/>
      <c r="M490" s="566"/>
      <c r="N490" s="566"/>
      <c r="O490" s="566"/>
      <c r="P490" s="566"/>
      <c r="Q490" s="566"/>
    </row>
    <row r="491" spans="2:17" x14ac:dyDescent="0.25">
      <c r="B491" s="574" t="s">
        <v>216</v>
      </c>
      <c r="C491" s="575"/>
      <c r="D491" s="4"/>
      <c r="E491" s="4"/>
      <c r="F491" s="4"/>
      <c r="G491" s="257"/>
      <c r="H491" s="566"/>
      <c r="I491" s="566"/>
      <c r="J491" s="566"/>
      <c r="K491" s="566"/>
      <c r="L491" s="566"/>
      <c r="M491" s="566"/>
      <c r="N491" s="566"/>
      <c r="O491" s="566"/>
      <c r="P491" s="566"/>
      <c r="Q491" s="566"/>
    </row>
    <row r="492" spans="2:17" x14ac:dyDescent="0.25">
      <c r="B492" s="574" t="s">
        <v>217</v>
      </c>
      <c r="C492" s="575"/>
      <c r="D492" s="4"/>
      <c r="E492" s="4"/>
      <c r="F492" s="4"/>
      <c r="G492" s="257"/>
      <c r="H492" s="566">
        <v>0.28516624040920718</v>
      </c>
      <c r="I492" s="566">
        <v>0.28516624040920718</v>
      </c>
      <c r="J492" s="566">
        <v>0.28516624040920718</v>
      </c>
      <c r="K492" s="566"/>
      <c r="L492" s="566"/>
      <c r="M492" s="566"/>
      <c r="N492" s="566"/>
      <c r="O492" s="566"/>
      <c r="P492" s="566"/>
      <c r="Q492" s="566"/>
    </row>
    <row r="493" spans="2:17" x14ac:dyDescent="0.25">
      <c r="B493" s="574" t="s">
        <v>218</v>
      </c>
      <c r="C493" s="575"/>
      <c r="D493" s="4"/>
      <c r="E493" s="4"/>
      <c r="F493" s="4"/>
      <c r="G493" s="257"/>
      <c r="H493" s="566"/>
      <c r="I493" s="566"/>
      <c r="J493" s="566"/>
      <c r="K493" s="566"/>
      <c r="L493" s="566"/>
      <c r="M493" s="566"/>
      <c r="N493" s="566"/>
      <c r="O493" s="566"/>
      <c r="P493" s="566"/>
      <c r="Q493" s="566"/>
    </row>
    <row r="494" spans="2:17" x14ac:dyDescent="0.25">
      <c r="B494" s="574" t="s">
        <v>219</v>
      </c>
      <c r="C494" s="575"/>
      <c r="D494" s="4"/>
      <c r="E494" s="4"/>
      <c r="F494" s="4"/>
      <c r="G494" s="257"/>
      <c r="H494" s="566"/>
      <c r="I494" s="566"/>
      <c r="J494" s="566"/>
      <c r="K494" s="566"/>
      <c r="L494" s="566"/>
      <c r="M494" s="566"/>
      <c r="N494" s="566"/>
      <c r="O494" s="566"/>
      <c r="P494" s="566"/>
      <c r="Q494" s="566"/>
    </row>
    <row r="495" spans="2:17" x14ac:dyDescent="0.25">
      <c r="B495" s="574" t="s">
        <v>220</v>
      </c>
      <c r="C495" s="575"/>
      <c r="D495" s="4"/>
      <c r="E495" s="4"/>
      <c r="F495" s="4"/>
      <c r="G495" s="257"/>
      <c r="H495" s="566">
        <v>0.21035805626598464</v>
      </c>
      <c r="I495" s="566">
        <v>0.21035805626598464</v>
      </c>
      <c r="J495" s="566">
        <v>0.21035805626598464</v>
      </c>
      <c r="K495" s="566"/>
      <c r="L495" s="566"/>
      <c r="M495" s="566"/>
      <c r="N495" s="566"/>
      <c r="O495" s="566"/>
      <c r="P495" s="566"/>
      <c r="Q495" s="566"/>
    </row>
    <row r="496" spans="2:17" x14ac:dyDescent="0.25">
      <c r="B496" s="574" t="s">
        <v>221</v>
      </c>
      <c r="C496" s="575"/>
      <c r="D496" s="4"/>
      <c r="E496" s="4"/>
      <c r="F496" s="4"/>
      <c r="G496" s="257"/>
      <c r="H496" s="566"/>
      <c r="I496" s="566"/>
      <c r="J496" s="566"/>
      <c r="K496" s="566"/>
      <c r="L496" s="566"/>
      <c r="M496" s="566"/>
      <c r="N496" s="566"/>
      <c r="O496" s="566"/>
      <c r="P496" s="566"/>
      <c r="Q496" s="566"/>
    </row>
    <row r="497" spans="2:17" x14ac:dyDescent="0.25">
      <c r="B497" s="574" t="s">
        <v>222</v>
      </c>
      <c r="C497" s="575"/>
      <c r="D497" s="4"/>
      <c r="E497" s="4"/>
      <c r="F497" s="4"/>
      <c r="G497" s="257"/>
      <c r="H497" s="566"/>
      <c r="I497" s="566"/>
      <c r="J497" s="566"/>
      <c r="K497" s="566"/>
      <c r="L497" s="566"/>
      <c r="M497" s="566"/>
      <c r="N497" s="566"/>
      <c r="O497" s="566"/>
      <c r="P497" s="566"/>
      <c r="Q497" s="566"/>
    </row>
    <row r="498" spans="2:17" x14ac:dyDescent="0.25">
      <c r="B498" s="574" t="s">
        <v>223</v>
      </c>
      <c r="C498" s="575"/>
      <c r="D498" s="4"/>
      <c r="E498" s="4"/>
      <c r="F498" s="4"/>
      <c r="G498" s="257"/>
      <c r="H498" s="566">
        <v>6.5217391304347824E-2</v>
      </c>
      <c r="I498" s="566">
        <v>6.5217391304347824E-2</v>
      </c>
      <c r="J498" s="566">
        <v>6.5217391304347824E-2</v>
      </c>
      <c r="K498" s="566"/>
      <c r="L498" s="566"/>
      <c r="M498" s="566"/>
      <c r="N498" s="566"/>
      <c r="O498" s="566"/>
      <c r="P498" s="566"/>
      <c r="Q498" s="566"/>
    </row>
    <row r="499" spans="2:17" x14ac:dyDescent="0.25">
      <c r="B499" s="574" t="s">
        <v>224</v>
      </c>
      <c r="C499" s="575"/>
      <c r="D499" s="4"/>
      <c r="E499" s="4"/>
      <c r="F499" s="4"/>
      <c r="G499" s="257"/>
      <c r="H499" s="566"/>
      <c r="I499" s="566"/>
      <c r="J499" s="566"/>
      <c r="K499" s="566"/>
      <c r="L499" s="566"/>
      <c r="M499" s="566"/>
      <c r="N499" s="566"/>
      <c r="O499" s="566"/>
      <c r="P499" s="566"/>
      <c r="Q499" s="566"/>
    </row>
    <row r="500" spans="2:17" x14ac:dyDescent="0.25">
      <c r="B500" s="574" t="s">
        <v>225</v>
      </c>
      <c r="C500" s="575"/>
      <c r="D500" s="4"/>
      <c r="E500" s="4"/>
      <c r="F500" s="4"/>
      <c r="G500" s="257"/>
      <c r="H500" s="566"/>
      <c r="I500" s="566"/>
      <c r="J500" s="566"/>
      <c r="K500" s="566"/>
      <c r="L500" s="566"/>
      <c r="M500" s="566"/>
      <c r="N500" s="566"/>
      <c r="O500" s="566"/>
      <c r="P500" s="566"/>
      <c r="Q500" s="566"/>
    </row>
    <row r="501" spans="2:17" x14ac:dyDescent="0.25">
      <c r="B501" s="574" t="s">
        <v>226</v>
      </c>
      <c r="C501" s="575"/>
      <c r="D501" s="4"/>
      <c r="E501" s="4"/>
      <c r="F501" s="4"/>
      <c r="G501" s="257"/>
      <c r="H501" s="566">
        <v>2.4936061381074168E-2</v>
      </c>
      <c r="I501" s="566">
        <v>2.4936061381074168E-2</v>
      </c>
      <c r="J501" s="566">
        <v>2.4936061381074168E-2</v>
      </c>
      <c r="K501" s="566"/>
      <c r="L501" s="566"/>
      <c r="M501" s="566"/>
      <c r="N501" s="566"/>
      <c r="O501" s="566"/>
      <c r="P501" s="566"/>
      <c r="Q501" s="566"/>
    </row>
    <row r="502" spans="2:17" x14ac:dyDescent="0.25">
      <c r="B502" s="574" t="s">
        <v>227</v>
      </c>
      <c r="C502" s="575"/>
      <c r="D502" s="4"/>
      <c r="E502" s="4"/>
      <c r="F502" s="4"/>
      <c r="G502" s="257"/>
      <c r="H502" s="566"/>
      <c r="I502" s="566"/>
      <c r="J502" s="566"/>
      <c r="K502" s="566"/>
      <c r="L502" s="566"/>
      <c r="M502" s="566"/>
      <c r="N502" s="566"/>
      <c r="O502" s="566"/>
      <c r="P502" s="566"/>
      <c r="Q502" s="566"/>
    </row>
    <row r="503" spans="2:17" x14ac:dyDescent="0.25">
      <c r="B503" s="574" t="s">
        <v>228</v>
      </c>
      <c r="C503" s="575"/>
      <c r="D503" s="4"/>
      <c r="E503" s="4"/>
      <c r="F503" s="4"/>
      <c r="G503" s="257"/>
      <c r="H503" s="567"/>
      <c r="I503" s="567"/>
      <c r="J503" s="567"/>
      <c r="K503" s="567"/>
      <c r="L503" s="567"/>
      <c r="M503" s="567"/>
      <c r="N503" s="567"/>
      <c r="O503" s="567"/>
      <c r="P503" s="567"/>
      <c r="Q503" s="567"/>
    </row>
    <row r="504" spans="2:17" x14ac:dyDescent="0.25">
      <c r="B504" s="563" t="s">
        <v>229</v>
      </c>
      <c r="C504" s="572"/>
      <c r="D504" s="532"/>
      <c r="E504" s="532"/>
      <c r="F504" s="532"/>
      <c r="G504" s="527"/>
      <c r="H504" s="564">
        <f>IF(SUMPRODUCT(H484:H503,Parameters!$J$239:$J$258)&gt;0,(SUMPRODUCT(H484:H503,Parameters!$J$239:$J$258)),"N/A")</f>
        <v>8.7587084398976986E-3</v>
      </c>
      <c r="I504" s="564">
        <f>IF(SUMPRODUCT(I484:I503,Parameters!$J$239:$J$258)&gt;0,(SUMPRODUCT(I484:I503,Parameters!$J$239:$J$258)),"N/A")</f>
        <v>8.7587084398976986E-3</v>
      </c>
      <c r="J504" s="564">
        <f>IF(SUMPRODUCT(J484:J503,Parameters!$J$239:$J$258)&gt;0,(SUMPRODUCT(J484:J503,Parameters!$J$239:$J$258)),"N/A")</f>
        <v>8.7587084398976986E-3</v>
      </c>
      <c r="K504" s="564" t="str">
        <f>IF(SUMPRODUCT(K484:K503,Parameters!$J$239:$J$258)&gt;0,(SUMPRODUCT(K484:K503,Parameters!$J$239:$J$258)),"N/A")</f>
        <v>N/A</v>
      </c>
      <c r="L504" s="564" t="str">
        <f>IF(SUMPRODUCT(L484:L503,Parameters!$J$239:$J$258)&gt;0,(SUMPRODUCT(L484:L503,Parameters!$J$239:$J$258)),"N/A")</f>
        <v>N/A</v>
      </c>
      <c r="M504" s="564" t="str">
        <f>IF(SUMPRODUCT(M484:M503,Parameters!$J$239:$J$258)&gt;0,(SUMPRODUCT(M484:M503,Parameters!$J$239:$J$258)),"N/A")</f>
        <v>N/A</v>
      </c>
      <c r="N504" s="564" t="str">
        <f>IF(SUMPRODUCT(N484:N503,Parameters!$J$239:$J$258)&gt;0,(SUMPRODUCT(N484:N503,Parameters!$J$239:$J$258)),"N/A")</f>
        <v>N/A</v>
      </c>
      <c r="O504" s="564" t="str">
        <f>IF(SUMPRODUCT(O484:O503,Parameters!$J$239:$J$258)&gt;0,(SUMPRODUCT(O484:O503,Parameters!$J$239:$J$258)),"N/A")</f>
        <v>N/A</v>
      </c>
      <c r="P504" s="564" t="str">
        <f>IF(SUMPRODUCT(P484:P503,Parameters!$J$239:$J$258)&gt;0,(SUMPRODUCT(P484:P503,Parameters!$J$239:$J$258)),"N/A")</f>
        <v>N/A</v>
      </c>
      <c r="Q504" s="564" t="str">
        <f>IF(SUMPRODUCT(Q484:Q503,Parameters!$J$239:$J$258)&gt;0,(SUMPRODUCT(Q484:Q503,Parameters!$J$239:$J$258)),"N/A")</f>
        <v>N/A</v>
      </c>
    </row>
    <row r="505" spans="2:17" s="583" customFormat="1" x14ac:dyDescent="0.25">
      <c r="B505" s="589"/>
      <c r="C505" s="589"/>
      <c r="H505" s="589"/>
      <c r="I505" s="589"/>
      <c r="J505" s="589"/>
      <c r="K505" s="589"/>
      <c r="L505" s="589"/>
      <c r="M505" s="589"/>
      <c r="N505" s="589"/>
      <c r="O505" s="589"/>
      <c r="P505" s="589"/>
      <c r="Q505" s="589"/>
    </row>
    <row r="506" spans="2:17" s="583" customFormat="1" x14ac:dyDescent="0.25">
      <c r="B506" s="590" t="s">
        <v>231</v>
      </c>
      <c r="C506" s="589"/>
      <c r="H506" s="589"/>
      <c r="I506" s="589"/>
      <c r="J506" s="589"/>
      <c r="K506" s="589"/>
      <c r="L506" s="589"/>
      <c r="M506" s="589"/>
      <c r="N506" s="589"/>
      <c r="O506" s="589"/>
      <c r="P506" s="589"/>
      <c r="Q506" s="589"/>
    </row>
    <row r="507" spans="2:17" s="583" customFormat="1" x14ac:dyDescent="0.25">
      <c r="B507" s="589"/>
      <c r="C507" s="589"/>
      <c r="H507" s="589"/>
      <c r="I507" s="589"/>
      <c r="J507" s="589"/>
      <c r="K507" s="589"/>
      <c r="L507" s="589"/>
      <c r="M507" s="589"/>
      <c r="N507" s="589"/>
      <c r="O507" s="589"/>
      <c r="P507" s="589"/>
      <c r="Q507" s="589"/>
    </row>
    <row r="508" spans="2:17" x14ac:dyDescent="0.25">
      <c r="B508" s="557" t="s">
        <v>208</v>
      </c>
      <c r="C508" s="558"/>
      <c r="D508" s="533"/>
      <c r="E508" s="533"/>
      <c r="F508" s="533"/>
      <c r="G508" s="534"/>
      <c r="H508" s="513">
        <f>IF(ISNUMBER(H158)=FALSE,"",H158)</f>
        <v>3100.2200000000003</v>
      </c>
      <c r="I508" s="513">
        <f t="shared" ref="I508:Q508" si="23">IF(ISNUMBER(I158)=FALSE,"",I158)</f>
        <v>201.7225</v>
      </c>
      <c r="J508" s="513">
        <f t="shared" si="23"/>
        <v>878.89857142857147</v>
      </c>
      <c r="K508" s="513">
        <f t="shared" si="23"/>
        <v>1686.7760000000001</v>
      </c>
      <c r="L508" s="513">
        <f t="shared" si="23"/>
        <v>0</v>
      </c>
      <c r="M508" s="513">
        <f>IF(ISNUMBER(M158)=FALSE,"",M158)</f>
        <v>0</v>
      </c>
      <c r="N508" s="513">
        <f t="shared" si="23"/>
        <v>121.21</v>
      </c>
      <c r="O508" s="513">
        <f t="shared" si="23"/>
        <v>0</v>
      </c>
      <c r="P508" s="513">
        <f t="shared" si="23"/>
        <v>0</v>
      </c>
      <c r="Q508" s="513">
        <f t="shared" si="23"/>
        <v>147.80000000000001</v>
      </c>
    </row>
    <row r="509" spans="2:17" x14ac:dyDescent="0.25">
      <c r="B509" s="11" t="s">
        <v>209</v>
      </c>
      <c r="C509" s="2"/>
      <c r="D509" s="2"/>
      <c r="E509" s="2"/>
      <c r="F509" s="2"/>
      <c r="G509" s="3"/>
      <c r="H509" s="565"/>
      <c r="I509" s="565"/>
      <c r="J509" s="565"/>
      <c r="K509" s="565"/>
      <c r="L509" s="565"/>
      <c r="M509" s="565"/>
      <c r="N509" s="565"/>
      <c r="O509" s="565"/>
      <c r="P509" s="565"/>
      <c r="Q509" s="565"/>
    </row>
    <row r="510" spans="2:17" x14ac:dyDescent="0.25">
      <c r="B510" s="574" t="s">
        <v>210</v>
      </c>
      <c r="C510" s="575"/>
      <c r="D510" s="4"/>
      <c r="E510" s="4"/>
      <c r="F510" s="4"/>
      <c r="G510" s="257"/>
      <c r="H510" s="566"/>
      <c r="I510" s="566"/>
      <c r="J510" s="566"/>
      <c r="K510" s="566"/>
      <c r="L510" s="566"/>
      <c r="M510" s="566"/>
      <c r="N510" s="566"/>
      <c r="O510" s="566"/>
      <c r="P510" s="566"/>
      <c r="Q510" s="566"/>
    </row>
    <row r="511" spans="2:17" x14ac:dyDescent="0.25">
      <c r="B511" s="574" t="s">
        <v>211</v>
      </c>
      <c r="C511" s="575"/>
      <c r="D511" s="4"/>
      <c r="E511" s="4"/>
      <c r="F511" s="4"/>
      <c r="G511" s="257"/>
      <c r="H511" s="566">
        <v>0.20606214977075904</v>
      </c>
      <c r="I511" s="566">
        <v>0.20606214977075904</v>
      </c>
      <c r="J511" s="566">
        <v>0.20606214977075904</v>
      </c>
      <c r="K511" s="566"/>
      <c r="L511" s="566"/>
      <c r="M511" s="566"/>
      <c r="N511" s="566"/>
      <c r="O511" s="566"/>
      <c r="P511" s="566"/>
      <c r="Q511" s="566"/>
    </row>
    <row r="512" spans="2:17" x14ac:dyDescent="0.25">
      <c r="B512" s="574" t="s">
        <v>212</v>
      </c>
      <c r="C512" s="575"/>
      <c r="D512" s="4"/>
      <c r="E512" s="4"/>
      <c r="F512" s="4"/>
      <c r="G512" s="257"/>
      <c r="H512" s="566"/>
      <c r="I512" s="566"/>
      <c r="J512" s="566"/>
      <c r="K512" s="566"/>
      <c r="L512" s="566"/>
      <c r="M512" s="566"/>
      <c r="N512" s="566"/>
      <c r="O512" s="566"/>
      <c r="P512" s="566"/>
      <c r="Q512" s="566"/>
    </row>
    <row r="513" spans="2:17" x14ac:dyDescent="0.25">
      <c r="B513" s="574" t="s">
        <v>213</v>
      </c>
      <c r="C513" s="575"/>
      <c r="D513" s="4"/>
      <c r="E513" s="4"/>
      <c r="F513" s="4"/>
      <c r="G513" s="257"/>
      <c r="H513" s="566"/>
      <c r="I513" s="566"/>
      <c r="J513" s="566"/>
      <c r="K513" s="566"/>
      <c r="L513" s="566"/>
      <c r="M513" s="566"/>
      <c r="N513" s="566"/>
      <c r="O513" s="566"/>
      <c r="P513" s="566"/>
      <c r="Q513" s="566"/>
    </row>
    <row r="514" spans="2:17" x14ac:dyDescent="0.25">
      <c r="B514" s="574" t="s">
        <v>214</v>
      </c>
      <c r="C514" s="575"/>
      <c r="D514" s="4"/>
      <c r="E514" s="4"/>
      <c r="F514" s="4"/>
      <c r="G514" s="257"/>
      <c r="H514" s="566">
        <v>0.2022414671421294</v>
      </c>
      <c r="I514" s="566">
        <v>0.2022414671421294</v>
      </c>
      <c r="J514" s="566">
        <v>0.2022414671421294</v>
      </c>
      <c r="K514" s="566"/>
      <c r="L514" s="566"/>
      <c r="M514" s="566"/>
      <c r="N514" s="566"/>
      <c r="O514" s="566"/>
      <c r="P514" s="566"/>
      <c r="Q514" s="566"/>
    </row>
    <row r="515" spans="2:17" x14ac:dyDescent="0.25">
      <c r="B515" s="574" t="s">
        <v>215</v>
      </c>
      <c r="C515" s="575"/>
      <c r="D515" s="4"/>
      <c r="E515" s="4"/>
      <c r="F515" s="4"/>
      <c r="G515" s="257"/>
      <c r="H515" s="566"/>
      <c r="I515" s="566"/>
      <c r="J515" s="566"/>
      <c r="K515" s="566"/>
      <c r="L515" s="566"/>
      <c r="M515" s="566"/>
      <c r="N515" s="566"/>
      <c r="O515" s="566"/>
      <c r="P515" s="566"/>
      <c r="Q515" s="566"/>
    </row>
    <row r="516" spans="2:17" x14ac:dyDescent="0.25">
      <c r="B516" s="574" t="s">
        <v>216</v>
      </c>
      <c r="C516" s="575"/>
      <c r="D516" s="4"/>
      <c r="E516" s="4"/>
      <c r="F516" s="4"/>
      <c r="G516" s="257"/>
      <c r="H516" s="566"/>
      <c r="I516" s="566"/>
      <c r="J516" s="566"/>
      <c r="K516" s="566"/>
      <c r="L516" s="566"/>
      <c r="M516" s="566"/>
      <c r="N516" s="566"/>
      <c r="O516" s="566"/>
      <c r="P516" s="566"/>
      <c r="Q516" s="566"/>
    </row>
    <row r="517" spans="2:17" x14ac:dyDescent="0.25">
      <c r="B517" s="574" t="s">
        <v>217</v>
      </c>
      <c r="C517" s="575"/>
      <c r="D517" s="4"/>
      <c r="E517" s="4"/>
      <c r="F517" s="4"/>
      <c r="G517" s="257"/>
      <c r="H517" s="566">
        <v>0.25216505348955681</v>
      </c>
      <c r="I517" s="566">
        <v>0.25216505348955681</v>
      </c>
      <c r="J517" s="566">
        <v>0.25216505348955681</v>
      </c>
      <c r="K517" s="566"/>
      <c r="L517" s="566"/>
      <c r="M517" s="566"/>
      <c r="N517" s="566"/>
      <c r="O517" s="566"/>
      <c r="P517" s="566"/>
      <c r="Q517" s="566"/>
    </row>
    <row r="518" spans="2:17" x14ac:dyDescent="0.25">
      <c r="B518" s="574" t="s">
        <v>218</v>
      </c>
      <c r="C518" s="575"/>
      <c r="D518" s="4"/>
      <c r="E518" s="4"/>
      <c r="F518" s="4"/>
      <c r="G518" s="257"/>
      <c r="H518" s="566"/>
      <c r="I518" s="566"/>
      <c r="J518" s="566"/>
      <c r="K518" s="566"/>
      <c r="L518" s="566"/>
      <c r="M518" s="566"/>
      <c r="N518" s="566"/>
      <c r="O518" s="566"/>
      <c r="P518" s="566"/>
      <c r="Q518" s="566"/>
    </row>
    <row r="519" spans="2:17" x14ac:dyDescent="0.25">
      <c r="B519" s="574" t="s">
        <v>219</v>
      </c>
      <c r="C519" s="575"/>
      <c r="D519" s="4"/>
      <c r="E519" s="4"/>
      <c r="F519" s="4"/>
      <c r="G519" s="257"/>
      <c r="H519" s="566"/>
      <c r="I519" s="566"/>
      <c r="J519" s="566"/>
      <c r="K519" s="566"/>
      <c r="L519" s="566"/>
      <c r="M519" s="566"/>
      <c r="N519" s="566"/>
      <c r="O519" s="566"/>
      <c r="P519" s="566"/>
      <c r="Q519" s="566"/>
    </row>
    <row r="520" spans="2:17" x14ac:dyDescent="0.25">
      <c r="B520" s="574" t="s">
        <v>220</v>
      </c>
      <c r="C520" s="575"/>
      <c r="D520" s="4"/>
      <c r="E520" s="4"/>
      <c r="F520" s="4"/>
      <c r="G520" s="257"/>
      <c r="H520" s="566">
        <v>0.22694854814060111</v>
      </c>
      <c r="I520" s="566">
        <v>0.22694854814060111</v>
      </c>
      <c r="J520" s="566">
        <v>0.22694854814060111</v>
      </c>
      <c r="K520" s="566"/>
      <c r="L520" s="566"/>
      <c r="M520" s="566"/>
      <c r="N520" s="566"/>
      <c r="O520" s="566"/>
      <c r="P520" s="566"/>
      <c r="Q520" s="566"/>
    </row>
    <row r="521" spans="2:17" x14ac:dyDescent="0.25">
      <c r="B521" s="574" t="s">
        <v>221</v>
      </c>
      <c r="C521" s="575"/>
      <c r="D521" s="4"/>
      <c r="E521" s="4"/>
      <c r="F521" s="4"/>
      <c r="G521" s="257"/>
      <c r="H521" s="566"/>
      <c r="I521" s="566"/>
      <c r="J521" s="566"/>
      <c r="K521" s="566"/>
      <c r="L521" s="566"/>
      <c r="M521" s="566"/>
      <c r="N521" s="566"/>
      <c r="O521" s="566"/>
      <c r="P521" s="566"/>
      <c r="Q521" s="566"/>
    </row>
    <row r="522" spans="2:17" x14ac:dyDescent="0.25">
      <c r="B522" s="574" t="s">
        <v>222</v>
      </c>
      <c r="C522" s="575"/>
      <c r="D522" s="4"/>
      <c r="E522" s="4"/>
      <c r="F522" s="4"/>
      <c r="G522" s="257"/>
      <c r="H522" s="566"/>
      <c r="I522" s="566"/>
      <c r="J522" s="566"/>
      <c r="K522" s="566"/>
      <c r="L522" s="566"/>
      <c r="M522" s="566"/>
      <c r="N522" s="566"/>
      <c r="O522" s="566"/>
      <c r="P522" s="566"/>
      <c r="Q522" s="566"/>
    </row>
    <row r="523" spans="2:17" x14ac:dyDescent="0.25">
      <c r="B523" s="574" t="s">
        <v>223</v>
      </c>
      <c r="C523" s="575"/>
      <c r="D523" s="4"/>
      <c r="E523" s="4"/>
      <c r="F523" s="4"/>
      <c r="G523" s="257"/>
      <c r="H523" s="566">
        <v>5.4253693326541008E-2</v>
      </c>
      <c r="I523" s="566">
        <v>5.4253693326541008E-2</v>
      </c>
      <c r="J523" s="566">
        <v>5.4253693326541008E-2</v>
      </c>
      <c r="K523" s="566"/>
      <c r="L523" s="566"/>
      <c r="M523" s="566"/>
      <c r="N523" s="566"/>
      <c r="O523" s="566"/>
      <c r="P523" s="566"/>
      <c r="Q523" s="566"/>
    </row>
    <row r="524" spans="2:17" x14ac:dyDescent="0.25">
      <c r="B524" s="574" t="s">
        <v>224</v>
      </c>
      <c r="C524" s="575"/>
      <c r="D524" s="4"/>
      <c r="E524" s="4"/>
      <c r="F524" s="4"/>
      <c r="G524" s="257"/>
      <c r="H524" s="566"/>
      <c r="I524" s="566"/>
      <c r="J524" s="566"/>
      <c r="K524" s="566"/>
      <c r="L524" s="566"/>
      <c r="M524" s="566"/>
      <c r="N524" s="566"/>
      <c r="O524" s="566"/>
      <c r="P524" s="566"/>
      <c r="Q524" s="566"/>
    </row>
    <row r="525" spans="2:17" x14ac:dyDescent="0.25">
      <c r="B525" s="574" t="s">
        <v>225</v>
      </c>
      <c r="C525" s="575"/>
      <c r="D525" s="4"/>
      <c r="E525" s="4"/>
      <c r="F525" s="4"/>
      <c r="G525" s="257"/>
      <c r="H525" s="566"/>
      <c r="I525" s="566"/>
      <c r="J525" s="566"/>
      <c r="K525" s="566"/>
      <c r="L525" s="566"/>
      <c r="M525" s="566"/>
      <c r="N525" s="566"/>
      <c r="O525" s="566"/>
      <c r="P525" s="566"/>
      <c r="Q525" s="566"/>
    </row>
    <row r="526" spans="2:17" x14ac:dyDescent="0.25">
      <c r="B526" s="574" t="s">
        <v>226</v>
      </c>
      <c r="C526" s="575"/>
      <c r="D526" s="4"/>
      <c r="E526" s="4"/>
      <c r="F526" s="4"/>
      <c r="G526" s="257"/>
      <c r="H526" s="566">
        <v>5.8329088130412633E-2</v>
      </c>
      <c r="I526" s="566">
        <v>5.8329088130412633E-2</v>
      </c>
      <c r="J526" s="566">
        <v>5.8329088130412633E-2</v>
      </c>
      <c r="K526" s="566"/>
      <c r="L526" s="566"/>
      <c r="M526" s="566"/>
      <c r="N526" s="566"/>
      <c r="O526" s="566"/>
      <c r="P526" s="566"/>
      <c r="Q526" s="566"/>
    </row>
    <row r="527" spans="2:17" x14ac:dyDescent="0.25">
      <c r="B527" s="574" t="s">
        <v>227</v>
      </c>
      <c r="C527" s="575"/>
      <c r="D527" s="4"/>
      <c r="E527" s="4"/>
      <c r="F527" s="4"/>
      <c r="G527" s="257"/>
      <c r="H527" s="566"/>
      <c r="I527" s="566"/>
      <c r="J527" s="566"/>
      <c r="K527" s="566"/>
      <c r="L527" s="566"/>
      <c r="M527" s="566"/>
      <c r="N527" s="566"/>
      <c r="O527" s="566"/>
      <c r="P527" s="566"/>
      <c r="Q527" s="566"/>
    </row>
    <row r="528" spans="2:17" x14ac:dyDescent="0.25">
      <c r="B528" s="574" t="s">
        <v>228</v>
      </c>
      <c r="C528" s="575"/>
      <c r="D528" s="4"/>
      <c r="E528" s="4"/>
      <c r="F528" s="4"/>
      <c r="G528" s="257"/>
      <c r="H528" s="567"/>
      <c r="I528" s="567"/>
      <c r="J528" s="567"/>
      <c r="K528" s="567"/>
      <c r="L528" s="567"/>
      <c r="M528" s="567"/>
      <c r="N528" s="567"/>
      <c r="O528" s="567"/>
      <c r="P528" s="567"/>
      <c r="Q528" s="567"/>
    </row>
    <row r="529" spans="2:17" x14ac:dyDescent="0.25">
      <c r="B529" s="563" t="s">
        <v>229</v>
      </c>
      <c r="C529" s="572"/>
      <c r="D529" s="532"/>
      <c r="E529" s="532"/>
      <c r="F529" s="532"/>
      <c r="G529" s="527"/>
      <c r="H529" s="564">
        <f>IF(SUMPRODUCT(H509:H528,Parameters!$J$239:$J$258)&gt;0,(SUMPRODUCT(H509:H528,Parameters!$J$239:$J$258)),"N/A")</f>
        <v>1.3860843097300053E-2</v>
      </c>
      <c r="I529" s="564">
        <f>IF(SUMPRODUCT(I509:I528,Parameters!$J$239:$J$258)&gt;0,(SUMPRODUCT(I509:I528,Parameters!$J$239:$J$258)),"N/A")</f>
        <v>1.3860843097300053E-2</v>
      </c>
      <c r="J529" s="564">
        <f>IF(SUMPRODUCT(J509:J528,Parameters!$J$239:$J$258)&gt;0,(SUMPRODUCT(J509:J528,Parameters!$J$239:$J$258)),"N/A")</f>
        <v>1.3860843097300053E-2</v>
      </c>
      <c r="K529" s="564" t="str">
        <f>IF(SUMPRODUCT(K509:K528,Parameters!$J$239:$J$258)&gt;0,(SUMPRODUCT(K509:K528,Parameters!$J$239:$J$258)),"N/A")</f>
        <v>N/A</v>
      </c>
      <c r="L529" s="564" t="str">
        <f>IF(SUMPRODUCT(L509:L528,Parameters!$J$239:$J$258)&gt;0,(SUMPRODUCT(L509:L528,Parameters!$J$239:$J$258)),"N/A")</f>
        <v>N/A</v>
      </c>
      <c r="M529" s="564" t="str">
        <f>IF(SUMPRODUCT(M509:M528,Parameters!$J$239:$J$258)&gt;0,(SUMPRODUCT(M509:M528,Parameters!$J$239:$J$258)),"N/A")</f>
        <v>N/A</v>
      </c>
      <c r="N529" s="564" t="str">
        <f>IF(SUMPRODUCT(N509:N528,Parameters!$J$239:$J$258)&gt;0,(SUMPRODUCT(N509:N528,Parameters!$J$239:$J$258)),"N/A")</f>
        <v>N/A</v>
      </c>
      <c r="O529" s="564" t="str">
        <f>IF(SUMPRODUCT(O509:O528,Parameters!$J$239:$J$258)&gt;0,(SUMPRODUCT(O509:O528,Parameters!$J$239:$J$258)),"N/A")</f>
        <v>N/A</v>
      </c>
      <c r="P529" s="564" t="str">
        <f>IF(SUMPRODUCT(P509:P528,Parameters!$J$239:$J$258)&gt;0,(SUMPRODUCT(P509:P528,Parameters!$J$239:$J$258)),"N/A")</f>
        <v>N/A</v>
      </c>
      <c r="Q529" s="564" t="str">
        <f>IF(SUMPRODUCT(Q509:Q528,Parameters!$J$239:$J$258)&gt;0,(SUMPRODUCT(Q509:Q528,Parameters!$J$239:$J$258)),"N/A")</f>
        <v>N/A</v>
      </c>
    </row>
    <row r="530" spans="2:17" s="583" customFormat="1" x14ac:dyDescent="0.25">
      <c r="B530" s="589"/>
      <c r="C530" s="589"/>
      <c r="H530" s="589"/>
      <c r="I530" s="589"/>
      <c r="J530" s="589"/>
      <c r="K530" s="589"/>
      <c r="L530" s="589"/>
      <c r="M530" s="589"/>
      <c r="N530" s="589"/>
      <c r="O530" s="589"/>
      <c r="P530" s="589"/>
      <c r="Q530" s="589"/>
    </row>
    <row r="531" spans="2:17" s="583" customFormat="1" hidden="1" x14ac:dyDescent="0.25">
      <c r="B531" s="589" t="s">
        <v>232</v>
      </c>
      <c r="C531" s="589"/>
      <c r="H531" s="589"/>
      <c r="I531" s="589"/>
      <c r="J531" s="589"/>
      <c r="K531" s="589"/>
      <c r="L531" s="589"/>
      <c r="M531" s="589"/>
      <c r="N531" s="589"/>
      <c r="O531" s="589"/>
      <c r="P531" s="589"/>
      <c r="Q531" s="589"/>
    </row>
    <row r="532" spans="2:17" s="583" customFormat="1" hidden="1" x14ac:dyDescent="0.25">
      <c r="B532" s="589"/>
      <c r="C532" s="589"/>
      <c r="H532" s="589"/>
      <c r="I532" s="589"/>
      <c r="J532" s="589"/>
      <c r="K532" s="589"/>
      <c r="L532" s="589"/>
      <c r="M532" s="589"/>
      <c r="N532" s="589"/>
      <c r="O532" s="589"/>
      <c r="P532" s="589"/>
      <c r="Q532" s="589"/>
    </row>
    <row r="533" spans="2:17" s="583" customFormat="1" x14ac:dyDescent="0.25">
      <c r="B533" s="590" t="s">
        <v>232</v>
      </c>
      <c r="C533" s="589"/>
      <c r="H533" s="589"/>
      <c r="I533" s="589"/>
      <c r="J533" s="589"/>
      <c r="K533" s="589"/>
      <c r="L533" s="589"/>
      <c r="M533" s="589"/>
      <c r="N533" s="589"/>
      <c r="O533" s="589"/>
      <c r="P533" s="589"/>
      <c r="Q533" s="589"/>
    </row>
    <row r="534" spans="2:17" s="583" customFormat="1" x14ac:dyDescent="0.25">
      <c r="B534" s="589"/>
      <c r="C534" s="589"/>
      <c r="H534" s="589"/>
      <c r="I534" s="589"/>
      <c r="J534" s="589"/>
      <c r="K534" s="589"/>
      <c r="L534" s="589"/>
      <c r="M534" s="589"/>
      <c r="N534" s="589"/>
      <c r="O534" s="589"/>
      <c r="P534" s="589"/>
      <c r="Q534" s="589"/>
    </row>
    <row r="535" spans="2:17" x14ac:dyDescent="0.25">
      <c r="B535" s="563" t="s">
        <v>208</v>
      </c>
      <c r="C535" s="572"/>
      <c r="D535" s="532"/>
      <c r="E535" s="532"/>
      <c r="F535" s="532"/>
      <c r="G535" s="527"/>
      <c r="H535" s="513">
        <f t="shared" ref="H535:Q535" si="24">IF(ISNUMBER(H36)=FALSE,"",H36)</f>
        <v>761.09</v>
      </c>
      <c r="I535" s="513">
        <f t="shared" si="24"/>
        <v>474.83249999999998</v>
      </c>
      <c r="J535" s="513">
        <f t="shared" si="24"/>
        <v>71.898571428571429</v>
      </c>
      <c r="K535" s="513">
        <f t="shared" si="24"/>
        <v>897.66800000000001</v>
      </c>
      <c r="L535" s="513">
        <f t="shared" si="24"/>
        <v>512.54999999999995</v>
      </c>
      <c r="M535" s="513">
        <f>IF(ISNUMBER(M36)=FALSE,"",M36)</f>
        <v>0</v>
      </c>
      <c r="N535" s="513">
        <f t="shared" si="24"/>
        <v>0</v>
      </c>
      <c r="O535" s="513">
        <f t="shared" si="24"/>
        <v>0</v>
      </c>
      <c r="P535" s="513">
        <f t="shared" si="24"/>
        <v>0</v>
      </c>
      <c r="Q535" s="513">
        <f t="shared" si="24"/>
        <v>0</v>
      </c>
    </row>
    <row r="536" spans="2:17" x14ac:dyDescent="0.25">
      <c r="B536" s="578" t="s">
        <v>233</v>
      </c>
      <c r="C536" s="579"/>
      <c r="D536" s="2"/>
      <c r="E536" s="2"/>
      <c r="F536" s="2"/>
      <c r="G536" s="3"/>
      <c r="H536" s="576">
        <v>0.2735381266251436</v>
      </c>
      <c r="I536" s="568">
        <v>0.2735381266251436</v>
      </c>
      <c r="J536" s="568">
        <v>0.68408752237909931</v>
      </c>
      <c r="K536" s="568">
        <v>0.2735381266251436</v>
      </c>
      <c r="L536" s="568"/>
      <c r="M536" s="568"/>
      <c r="N536" s="568"/>
      <c r="O536" s="568"/>
      <c r="P536" s="568"/>
      <c r="Q536" s="568"/>
    </row>
    <row r="537" spans="2:17" x14ac:dyDescent="0.25">
      <c r="B537" s="574" t="s">
        <v>234</v>
      </c>
      <c r="C537" s="575"/>
      <c r="D537" s="4"/>
      <c r="E537" s="4"/>
      <c r="F537" s="4"/>
      <c r="G537" s="257"/>
      <c r="H537" s="576">
        <v>0.53658462840902221</v>
      </c>
      <c r="I537" s="568">
        <v>0.53658462840902221</v>
      </c>
      <c r="J537" s="568">
        <v>6.9222440206262933E-2</v>
      </c>
      <c r="K537" s="568">
        <v>0.53658462840902221</v>
      </c>
      <c r="L537" s="568"/>
      <c r="M537" s="568"/>
      <c r="N537" s="568"/>
      <c r="O537" s="568"/>
      <c r="P537" s="568"/>
      <c r="Q537" s="568"/>
    </row>
    <row r="538" spans="2:17" x14ac:dyDescent="0.25">
      <c r="B538" s="574" t="s">
        <v>235</v>
      </c>
      <c r="C538" s="575"/>
      <c r="D538" s="4"/>
      <c r="E538" s="4"/>
      <c r="F538" s="4"/>
      <c r="G538" s="257"/>
      <c r="H538" s="576">
        <v>7.7402189030658528E-2</v>
      </c>
      <c r="I538" s="568">
        <v>7.7402189030658528E-2</v>
      </c>
      <c r="J538" s="568">
        <v>6.003494891669079E-2</v>
      </c>
      <c r="K538" s="568">
        <v>7.7402189030658528E-2</v>
      </c>
      <c r="L538" s="568"/>
      <c r="M538" s="568"/>
      <c r="N538" s="568"/>
      <c r="O538" s="568"/>
      <c r="P538" s="568"/>
      <c r="Q538" s="568"/>
    </row>
    <row r="539" spans="2:17" x14ac:dyDescent="0.25">
      <c r="B539" s="574" t="s">
        <v>236</v>
      </c>
      <c r="C539" s="575"/>
      <c r="D539" s="4"/>
      <c r="E539" s="4"/>
      <c r="F539" s="4"/>
      <c r="G539" s="257"/>
      <c r="H539" s="576">
        <v>1.5631613956582208E-2</v>
      </c>
      <c r="I539" s="568">
        <v>1.5631613956582208E-2</v>
      </c>
      <c r="J539" s="568">
        <v>6.432315955359727E-2</v>
      </c>
      <c r="K539" s="568">
        <v>1.5631613956582208E-2</v>
      </c>
      <c r="L539" s="568"/>
      <c r="M539" s="568"/>
      <c r="N539" s="568"/>
      <c r="O539" s="568"/>
      <c r="P539" s="568"/>
      <c r="Q539" s="568"/>
    </row>
    <row r="540" spans="2:17" x14ac:dyDescent="0.25">
      <c r="B540" s="574" t="s">
        <v>237</v>
      </c>
      <c r="C540" s="575"/>
      <c r="D540" s="4"/>
      <c r="E540" s="4"/>
      <c r="F540" s="4"/>
      <c r="G540" s="257"/>
      <c r="H540" s="576">
        <v>1.5238555965410896E-2</v>
      </c>
      <c r="I540" s="568">
        <v>1.5238555965410896E-2</v>
      </c>
      <c r="J540" s="568">
        <v>6.003494891669079E-2</v>
      </c>
      <c r="K540" s="568">
        <v>1.5238555965410896E-2</v>
      </c>
      <c r="L540" s="568"/>
      <c r="M540" s="568"/>
      <c r="N540" s="568"/>
      <c r="O540" s="568"/>
      <c r="P540" s="568"/>
      <c r="Q540" s="568"/>
    </row>
    <row r="541" spans="2:17" x14ac:dyDescent="0.25">
      <c r="B541" s="574" t="s">
        <v>238</v>
      </c>
      <c r="C541" s="575"/>
      <c r="D541" s="4"/>
      <c r="E541" s="4"/>
      <c r="F541" s="4"/>
      <c r="G541" s="257"/>
      <c r="H541" s="576">
        <v>8.7379814960391843E-3</v>
      </c>
      <c r="I541" s="568">
        <v>8.7379814960391843E-3</v>
      </c>
      <c r="J541" s="568">
        <v>2.1441053184532426E-2</v>
      </c>
      <c r="K541" s="568">
        <v>8.7379814960391843E-3</v>
      </c>
      <c r="L541" s="568"/>
      <c r="M541" s="568"/>
      <c r="N541" s="568"/>
      <c r="O541" s="568"/>
      <c r="P541" s="568"/>
      <c r="Q541" s="568"/>
    </row>
    <row r="542" spans="2:17" x14ac:dyDescent="0.25">
      <c r="B542" s="574" t="s">
        <v>239</v>
      </c>
      <c r="C542" s="575"/>
      <c r="D542" s="4"/>
      <c r="E542" s="4"/>
      <c r="F542" s="4"/>
      <c r="G542" s="257"/>
      <c r="H542" s="576">
        <v>1.8534196045231904E-2</v>
      </c>
      <c r="I542" s="568">
        <v>1.8534196045231904E-2</v>
      </c>
      <c r="J542" s="568">
        <v>1.1256552921879522E-2</v>
      </c>
      <c r="K542" s="568">
        <v>1.8534196045231904E-2</v>
      </c>
      <c r="L542" s="568"/>
      <c r="M542" s="568"/>
      <c r="N542" s="568"/>
      <c r="O542" s="568"/>
      <c r="P542" s="568"/>
      <c r="Q542" s="568"/>
    </row>
    <row r="543" spans="2:17" x14ac:dyDescent="0.25">
      <c r="B543" s="580" t="s">
        <v>240</v>
      </c>
      <c r="C543" s="581"/>
      <c r="D543" s="6"/>
      <c r="E543" s="6"/>
      <c r="F543" s="6"/>
      <c r="G543" s="260"/>
      <c r="H543" s="576">
        <v>5.4332708471911469E-2</v>
      </c>
      <c r="I543" s="568">
        <v>5.4332708471911469E-2</v>
      </c>
      <c r="J543" s="568">
        <v>2.9599373921247011E-2</v>
      </c>
      <c r="K543" s="568">
        <v>5.4332708471911469E-2</v>
      </c>
      <c r="L543" s="568"/>
      <c r="M543" s="568"/>
      <c r="N543" s="568"/>
      <c r="O543" s="568"/>
      <c r="P543" s="568"/>
      <c r="Q543" s="568"/>
    </row>
    <row r="544" spans="2:17" x14ac:dyDescent="0.25">
      <c r="B544" s="563" t="s">
        <v>241</v>
      </c>
      <c r="C544" s="572"/>
      <c r="D544" s="532"/>
      <c r="E544" s="532"/>
      <c r="F544" s="532"/>
      <c r="G544" s="527"/>
      <c r="H544" s="577">
        <f>IF(SUMPRODUCT(H536:H543,Parameters!$Q$271:$Q$278)&gt;0,SUMPRODUCT(H536:H543,Parameters!$Q$271:$Q$278),"N/A")</f>
        <v>0.97904426437685188</v>
      </c>
      <c r="I544" s="577">
        <f>IF(SUMPRODUCT(I536:I543,Parameters!$Q$271:$Q$278)&gt;0,SUMPRODUCT(I536:I543,Parameters!$Q$271:$Q$278),"N/A")</f>
        <v>0.97904426437685188</v>
      </c>
      <c r="J544" s="577">
        <f>IF(SUMPRODUCT(J536:J543,Parameters!$Q$271:$Q$278)&gt;0,SUMPRODUCT(J536:J543,Parameters!$Q$271:$Q$278),"N/A")</f>
        <v>0.66146646083255611</v>
      </c>
      <c r="K544" s="577">
        <f>IF(SUMPRODUCT(K536:K543,Parameters!$Q$271:$Q$278)&gt;0,SUMPRODUCT(K536:K543,Parameters!$Q$271:$Q$278),"N/A")</f>
        <v>0.97904426437685188</v>
      </c>
      <c r="L544" s="577" t="str">
        <f>IF(SUMPRODUCT(L536:L543,Parameters!$Q$271:$Q$278)&gt;0,SUMPRODUCT(L536:L543,Parameters!$Q$271:$Q$278),"N/A")</f>
        <v>N/A</v>
      </c>
      <c r="M544" s="577" t="str">
        <f>IF(SUMPRODUCT(M536:M543,Parameters!$Q$271:$Q$278)&gt;0,SUMPRODUCT(M536:M543,Parameters!$Q$271:$Q$278),"N/A")</f>
        <v>N/A</v>
      </c>
      <c r="N544" s="577" t="str">
        <f>IF(SUMPRODUCT(N536:N543,Parameters!$Q$271:$Q$278)&gt;0,SUMPRODUCT(N536:N543,Parameters!$Q$271:$Q$278),"N/A")</f>
        <v>N/A</v>
      </c>
      <c r="O544" s="577" t="str">
        <f>IF(SUMPRODUCT(O536:O543,Parameters!$Q$271:$Q$278)&gt;0,SUMPRODUCT(O536:O543,Parameters!$Q$271:$Q$278),"N/A")</f>
        <v>N/A</v>
      </c>
      <c r="P544" s="577" t="str">
        <f>IF(SUMPRODUCT(P536:P543,Parameters!$Q$271:$Q$278)&gt;0,SUMPRODUCT(P536:P543,Parameters!$Q$271:$Q$278),"N/A")</f>
        <v>N/A</v>
      </c>
      <c r="Q544" s="577" t="str">
        <f>IF(SUMPRODUCT(Q536:Q543,Parameters!$Q$271:$Q$278)&gt;0,SUMPRODUCT(Q536:Q543,Parameters!$Q$271:$Q$278),"N/A")</f>
        <v>N/A</v>
      </c>
    </row>
    <row r="545" spans="2:17" x14ac:dyDescent="0.25">
      <c r="B545" s="563" t="s">
        <v>229</v>
      </c>
      <c r="C545" s="572"/>
      <c r="D545" s="532"/>
      <c r="E545" s="532"/>
      <c r="F545" s="532"/>
      <c r="G545" s="527"/>
      <c r="H545" s="577">
        <f>IF(SUMPRODUCT(H536:H543,Parameters!$I$271:$I$278)&gt;0,SUMPRODUCT(H536:H543,Parameters!$I$271:$I$278),"N/A")</f>
        <v>7.3907356231480925E-2</v>
      </c>
      <c r="I545" s="577">
        <f>IF(SUMPRODUCT(I536:I543,Parameters!$I$271:$I$278)&gt;0,SUMPRODUCT(I536:I543,Parameters!$I$271:$I$278),"N/A")</f>
        <v>7.3907356231480925E-2</v>
      </c>
      <c r="J545" s="577">
        <f>IF(SUMPRODUCT(J536:J543,Parameters!$I$271:$I$278)&gt;0,SUMPRODUCT(J536:J543,Parameters!$I$271:$I$278),"N/A")</f>
        <v>4.8274712421874158E-2</v>
      </c>
      <c r="K545" s="577">
        <f>IF(SUMPRODUCT(K536:K543,Parameters!$I$271:$I$278)&gt;0,SUMPRODUCT(K536:K543,Parameters!$I$271:$I$278),"N/A")</f>
        <v>7.3907356231480925E-2</v>
      </c>
      <c r="L545" s="577" t="str">
        <f>IF(SUMPRODUCT(L536:L543,Parameters!$I$271:$I$278)&gt;0,SUMPRODUCT(L536:L543,Parameters!$I$271:$I$278),"N/A")</f>
        <v>N/A</v>
      </c>
      <c r="M545" s="577" t="str">
        <f>IF(SUMPRODUCT(M536:M543,Parameters!$I$271:$I$278)&gt;0,SUMPRODUCT(M536:M543,Parameters!$I$271:$I$278),"N/A")</f>
        <v>N/A</v>
      </c>
      <c r="N545" s="577" t="str">
        <f>IF(SUMPRODUCT(N536:N543,Parameters!$I$271:$I$278)&gt;0,SUMPRODUCT(N536:N543,Parameters!$I$271:$I$278),"N/A")</f>
        <v>N/A</v>
      </c>
      <c r="O545" s="577" t="str">
        <f>IF(SUMPRODUCT(O536:O543,Parameters!$I$271:$I$278)&gt;0,SUMPRODUCT(O536:O543,Parameters!$I$271:$I$278),"N/A")</f>
        <v>N/A</v>
      </c>
      <c r="P545" s="577" t="str">
        <f>IF(SUMPRODUCT(P536:P543,Parameters!$I$271:$I$278)&gt;0,SUMPRODUCT(P536:P543,Parameters!$I$271:$I$278),"N/A")</f>
        <v>N/A</v>
      </c>
      <c r="Q545" s="577" t="str">
        <f>IF(SUMPRODUCT(Q536:Q543,Parameters!$I$271:$I$278)&gt;0,SUMPRODUCT(Q536:Q543,Parameters!$I$271:$I$278),"N/A")</f>
        <v>N/A</v>
      </c>
    </row>
    <row r="546" spans="2:17" s="583" customFormat="1" x14ac:dyDescent="0.25">
      <c r="B546" s="589"/>
      <c r="C546" s="589"/>
      <c r="H546" s="589"/>
      <c r="I546" s="589"/>
      <c r="J546" s="589"/>
      <c r="K546" s="589"/>
      <c r="L546" s="589"/>
      <c r="M546" s="589"/>
      <c r="N546" s="589"/>
      <c r="O546" s="589"/>
      <c r="P546" s="589"/>
      <c r="Q546" s="589"/>
    </row>
    <row r="547" spans="2:17" s="583" customFormat="1" x14ac:dyDescent="0.25"/>
    <row r="548" spans="2:17" x14ac:dyDescent="0.25"/>
  </sheetData>
  <sheetProtection sheet="1" objects="1" scenarios="1" formatCells="0" selectLockedCells="1"/>
  <mergeCells count="9">
    <mergeCell ref="H11:M13"/>
    <mergeCell ref="H15:I16"/>
    <mergeCell ref="J15:K16"/>
    <mergeCell ref="B272:G272"/>
    <mergeCell ref="B274:G274"/>
    <mergeCell ref="B187:G187"/>
    <mergeCell ref="B205:G205"/>
    <mergeCell ref="B211:C211"/>
    <mergeCell ref="B2:F9"/>
  </mergeCells>
  <conditionalFormatting sqref="H23:Q545">
    <cfRule type="expression" dxfId="30" priority="1">
      <formula>IF($J$15&lt;&gt;H$21,TRUE,FALSE)</formula>
    </cfRule>
  </conditionalFormatting>
  <dataValidations count="1">
    <dataValidation type="list" allowBlank="1" showInputMessage="1" showErrorMessage="1" sqref="J15">
      <formula1>$H$21:$Q$21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0" r:id="rId4" name="Button 4">
              <controlPr defaultSize="0" print="0" autoFill="0" autoPict="0" macro="[0]!Paste_profile_into_tool">
                <anchor moveWithCells="1" sizeWithCells="1">
                  <from>
                    <xdr:col>11</xdr:col>
                    <xdr:colOff>104775</xdr:colOff>
                    <xdr:row>13</xdr:row>
                    <xdr:rowOff>152400</xdr:rowOff>
                  </from>
                  <to>
                    <xdr:col>12</xdr:col>
                    <xdr:colOff>828675</xdr:colOff>
                    <xdr:row>16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B931"/>
  <sheetViews>
    <sheetView showGridLines="0" zoomScaleNormal="100" workbookViewId="0">
      <selection activeCell="B2" sqref="B2:V9"/>
    </sheetView>
  </sheetViews>
  <sheetFormatPr defaultColWidth="0" defaultRowHeight="15" x14ac:dyDescent="0.25"/>
  <cols>
    <col min="1" max="1" width="2.85546875" style="192" customWidth="1"/>
    <col min="2" max="22" width="9.140625" style="470" customWidth="1"/>
    <col min="23" max="23" width="2.85546875" style="192" customWidth="1"/>
    <col min="24" max="16384" width="9.140625" hidden="1"/>
  </cols>
  <sheetData>
    <row r="1" spans="1:28" s="192" customFormat="1" ht="15.75" thickBot="1" x14ac:dyDescent="0.3">
      <c r="I1" s="230"/>
      <c r="J1" s="230"/>
    </row>
    <row r="2" spans="1:28" s="24" customFormat="1" ht="15" customHeight="1" x14ac:dyDescent="0.25">
      <c r="A2" s="192"/>
      <c r="B2" s="620" t="s">
        <v>1407</v>
      </c>
      <c r="C2" s="621"/>
      <c r="D2" s="621"/>
      <c r="E2" s="621"/>
      <c r="F2" s="622"/>
      <c r="G2" s="276"/>
      <c r="H2" s="277"/>
      <c r="I2" s="277"/>
      <c r="J2" s="277"/>
      <c r="K2" s="277"/>
      <c r="L2" s="277"/>
      <c r="M2" s="277"/>
      <c r="N2" s="277"/>
      <c r="O2" s="277"/>
      <c r="P2" s="277"/>
      <c r="Q2" s="278"/>
      <c r="R2" s="278"/>
      <c r="S2" s="278"/>
      <c r="T2" s="278"/>
      <c r="U2" s="278"/>
      <c r="V2" s="279"/>
      <c r="W2" s="192"/>
      <c r="X2" s="21"/>
      <c r="Y2" s="21"/>
      <c r="Z2" s="21"/>
      <c r="AA2" s="21"/>
      <c r="AB2" s="21"/>
    </row>
    <row r="3" spans="1:28" s="24" customFormat="1" ht="15" customHeight="1" x14ac:dyDescent="0.25">
      <c r="A3" s="192"/>
      <c r="B3" s="623"/>
      <c r="C3" s="624"/>
      <c r="D3" s="624"/>
      <c r="E3" s="624"/>
      <c r="F3" s="625"/>
      <c r="G3" s="280"/>
      <c r="H3" s="231"/>
      <c r="I3" s="231"/>
      <c r="J3" s="231"/>
      <c r="K3" s="231"/>
      <c r="L3" s="231"/>
      <c r="M3" s="231"/>
      <c r="N3" s="231"/>
      <c r="O3" s="231"/>
      <c r="P3" s="231"/>
      <c r="Q3" s="229"/>
      <c r="R3" s="229"/>
      <c r="S3" s="229"/>
      <c r="T3" s="229"/>
      <c r="U3" s="229"/>
      <c r="V3" s="281"/>
      <c r="W3" s="192"/>
      <c r="X3" s="21"/>
      <c r="Y3" s="21"/>
      <c r="Z3" s="21"/>
      <c r="AA3" s="21"/>
      <c r="AB3" s="21"/>
    </row>
    <row r="4" spans="1:28" s="24" customFormat="1" ht="15" customHeight="1" x14ac:dyDescent="0.25">
      <c r="A4" s="192"/>
      <c r="B4" s="623"/>
      <c r="C4" s="624"/>
      <c r="D4" s="624"/>
      <c r="E4" s="624"/>
      <c r="F4" s="625"/>
      <c r="G4" s="280"/>
      <c r="H4" s="231"/>
      <c r="I4" s="231"/>
      <c r="J4" s="231"/>
      <c r="K4" s="231"/>
      <c r="L4" s="231"/>
      <c r="M4" s="231"/>
      <c r="N4" s="231"/>
      <c r="O4" s="231"/>
      <c r="P4" s="231"/>
      <c r="Q4" s="229"/>
      <c r="R4" s="229"/>
      <c r="S4" s="229"/>
      <c r="T4" s="229"/>
      <c r="U4" s="229"/>
      <c r="V4" s="281"/>
      <c r="W4" s="192"/>
      <c r="X4" s="21"/>
      <c r="Y4" s="21"/>
      <c r="Z4" s="21"/>
      <c r="AA4" s="21"/>
      <c r="AB4" s="21"/>
    </row>
    <row r="5" spans="1:28" s="24" customFormat="1" ht="15" customHeight="1" x14ac:dyDescent="0.25">
      <c r="A5" s="192"/>
      <c r="B5" s="623"/>
      <c r="C5" s="624"/>
      <c r="D5" s="624"/>
      <c r="E5" s="624"/>
      <c r="F5" s="625"/>
      <c r="G5" s="280"/>
      <c r="H5" s="231"/>
      <c r="I5" s="231"/>
      <c r="J5" s="231"/>
      <c r="K5" s="231"/>
      <c r="L5" s="231"/>
      <c r="M5" s="231"/>
      <c r="N5" s="231"/>
      <c r="O5" s="231"/>
      <c r="P5" s="231"/>
      <c r="Q5" s="229"/>
      <c r="R5" s="229"/>
      <c r="S5" s="229"/>
      <c r="T5" s="229"/>
      <c r="U5" s="229"/>
      <c r="V5" s="281"/>
      <c r="W5" s="192"/>
      <c r="X5" s="21"/>
      <c r="Y5" s="21"/>
      <c r="Z5" s="21"/>
      <c r="AA5" s="21"/>
      <c r="AB5" s="21"/>
    </row>
    <row r="6" spans="1:28" s="24" customFormat="1" ht="15" customHeight="1" x14ac:dyDescent="0.25">
      <c r="A6" s="192"/>
      <c r="B6" s="623"/>
      <c r="C6" s="624"/>
      <c r="D6" s="624"/>
      <c r="E6" s="624"/>
      <c r="F6" s="625"/>
      <c r="G6" s="280"/>
      <c r="H6" s="231"/>
      <c r="I6" s="231"/>
      <c r="J6" s="231"/>
      <c r="K6" s="231"/>
      <c r="L6" s="231"/>
      <c r="M6" s="231"/>
      <c r="N6" s="231"/>
      <c r="O6" s="231"/>
      <c r="P6" s="231"/>
      <c r="Q6" s="229"/>
      <c r="R6" s="229"/>
      <c r="S6" s="229"/>
      <c r="T6" s="229"/>
      <c r="U6" s="229"/>
      <c r="V6" s="281"/>
      <c r="W6" s="192"/>
      <c r="X6" s="21"/>
      <c r="Y6" s="21"/>
      <c r="Z6" s="21"/>
      <c r="AA6" s="21"/>
      <c r="AB6" s="21"/>
    </row>
    <row r="7" spans="1:28" s="24" customFormat="1" ht="15" customHeight="1" x14ac:dyDescent="0.25">
      <c r="A7" s="192"/>
      <c r="B7" s="623"/>
      <c r="C7" s="624"/>
      <c r="D7" s="624"/>
      <c r="E7" s="624"/>
      <c r="F7" s="625"/>
      <c r="G7" s="280"/>
      <c r="H7" s="231"/>
      <c r="I7" s="231"/>
      <c r="J7" s="231"/>
      <c r="K7" s="231"/>
      <c r="L7" s="231"/>
      <c r="M7" s="231"/>
      <c r="N7" s="231"/>
      <c r="O7" s="231"/>
      <c r="P7" s="231"/>
      <c r="Q7" s="229"/>
      <c r="R7" s="229"/>
      <c r="S7" s="229"/>
      <c r="T7" s="229"/>
      <c r="U7" s="229"/>
      <c r="V7" s="281"/>
      <c r="W7" s="192"/>
      <c r="X7" s="21"/>
      <c r="Y7" s="21"/>
      <c r="Z7" s="21"/>
      <c r="AA7" s="21"/>
      <c r="AB7" s="21"/>
    </row>
    <row r="8" spans="1:28" s="24" customFormat="1" ht="15" customHeight="1" x14ac:dyDescent="0.25">
      <c r="A8" s="192"/>
      <c r="B8" s="623"/>
      <c r="C8" s="624"/>
      <c r="D8" s="624"/>
      <c r="E8" s="624"/>
      <c r="F8" s="625"/>
      <c r="G8" s="280"/>
      <c r="H8" s="231"/>
      <c r="I8" s="231"/>
      <c r="J8" s="231"/>
      <c r="K8" s="231"/>
      <c r="L8" s="231"/>
      <c r="M8" s="231"/>
      <c r="N8" s="231"/>
      <c r="O8" s="231"/>
      <c r="P8" s="231"/>
      <c r="Q8" s="229"/>
      <c r="R8" s="229"/>
      <c r="S8" s="229"/>
      <c r="T8" s="229"/>
      <c r="U8" s="229"/>
      <c r="V8" s="281"/>
      <c r="W8" s="192"/>
      <c r="X8" s="21"/>
      <c r="Y8" s="21"/>
      <c r="Z8" s="21"/>
      <c r="AA8" s="21"/>
      <c r="AB8" s="21"/>
    </row>
    <row r="9" spans="1:28" s="24" customFormat="1" ht="15" customHeight="1" thickBot="1" x14ac:dyDescent="0.3">
      <c r="A9" s="192"/>
      <c r="B9" s="626"/>
      <c r="C9" s="627"/>
      <c r="D9" s="627"/>
      <c r="E9" s="627"/>
      <c r="F9" s="628"/>
      <c r="G9" s="282"/>
      <c r="H9" s="283"/>
      <c r="I9" s="283"/>
      <c r="J9" s="283"/>
      <c r="K9" s="283"/>
      <c r="L9" s="283"/>
      <c r="M9" s="283"/>
      <c r="N9" s="283"/>
      <c r="O9" s="283"/>
      <c r="P9" s="283"/>
      <c r="Q9" s="284"/>
      <c r="R9" s="284"/>
      <c r="S9" s="284"/>
      <c r="T9" s="284"/>
      <c r="U9" s="284"/>
      <c r="V9" s="285"/>
      <c r="W9" s="192"/>
      <c r="X9" s="21"/>
      <c r="Y9" s="21"/>
      <c r="Z9" s="21"/>
      <c r="AA9" s="21"/>
      <c r="AB9" s="21"/>
    </row>
    <row r="10" spans="1:28" s="192" customFormat="1" x14ac:dyDescent="0.25">
      <c r="I10" s="230"/>
      <c r="J10" s="230"/>
    </row>
    <row r="11" spans="1:28" x14ac:dyDescent="0.25">
      <c r="C11"/>
      <c r="D11"/>
      <c r="E11"/>
      <c r="F11"/>
      <c r="G11"/>
      <c r="H11"/>
      <c r="I11"/>
      <c r="J11"/>
      <c r="K11"/>
      <c r="L11" s="233"/>
      <c r="M11"/>
      <c r="N11"/>
      <c r="O11"/>
      <c r="P11"/>
      <c r="Q11"/>
      <c r="R11"/>
      <c r="S11"/>
      <c r="T11"/>
      <c r="U11"/>
    </row>
    <row r="12" spans="1:28" x14ac:dyDescent="0.25">
      <c r="C12"/>
      <c r="D12"/>
      <c r="E12"/>
      <c r="F12"/>
      <c r="G12"/>
      <c r="H12"/>
      <c r="I12"/>
      <c r="J12"/>
      <c r="K12"/>
      <c r="L12"/>
      <c r="M12"/>
      <c r="N12"/>
      <c r="O12"/>
      <c r="P12"/>
      <c r="Q12"/>
      <c r="R12"/>
      <c r="S12"/>
      <c r="T12"/>
      <c r="U12"/>
    </row>
    <row r="13" spans="1:28" x14ac:dyDescent="0.25">
      <c r="C13"/>
      <c r="D13"/>
      <c r="E13"/>
      <c r="F13"/>
      <c r="G13"/>
      <c r="H13"/>
      <c r="I13"/>
      <c r="J13"/>
      <c r="K13"/>
      <c r="L13"/>
      <c r="M13"/>
      <c r="N13"/>
      <c r="O13"/>
      <c r="P13"/>
      <c r="Q13"/>
      <c r="R13"/>
      <c r="S13"/>
      <c r="T13"/>
      <c r="U13"/>
    </row>
    <row r="14" spans="1:28" x14ac:dyDescent="0.25">
      <c r="C14"/>
      <c r="D14"/>
      <c r="E14"/>
      <c r="F14"/>
      <c r="G14"/>
      <c r="H14"/>
      <c r="I14"/>
      <c r="J14"/>
      <c r="K14"/>
      <c r="L14"/>
      <c r="M14"/>
      <c r="N14"/>
      <c r="O14"/>
      <c r="P14"/>
      <c r="Q14"/>
      <c r="R14"/>
      <c r="S14"/>
      <c r="T14"/>
      <c r="U14"/>
    </row>
    <row r="15" spans="1:28" x14ac:dyDescent="0.25">
      <c r="C15"/>
      <c r="D15"/>
      <c r="E15"/>
      <c r="F15"/>
      <c r="G15"/>
      <c r="H15"/>
      <c r="I15"/>
      <c r="J15"/>
      <c r="K15"/>
      <c r="L15"/>
      <c r="M15"/>
      <c r="N15"/>
      <c r="O15"/>
      <c r="P15"/>
      <c r="Q15"/>
      <c r="R15"/>
      <c r="S15"/>
      <c r="T15"/>
      <c r="U15"/>
    </row>
    <row r="16" spans="1:28" x14ac:dyDescent="0.25">
      <c r="C16"/>
      <c r="D16"/>
      <c r="E16"/>
      <c r="F16"/>
      <c r="G16"/>
      <c r="H16"/>
      <c r="I16"/>
      <c r="J16"/>
      <c r="K16"/>
      <c r="L16"/>
      <c r="M16"/>
      <c r="N16"/>
      <c r="O16"/>
      <c r="P16"/>
      <c r="Q16"/>
      <c r="R16"/>
      <c r="S16"/>
      <c r="T16"/>
      <c r="U16"/>
    </row>
    <row r="17" spans="3:21" x14ac:dyDescent="0.25">
      <c r="C17"/>
      <c r="D17"/>
      <c r="E17"/>
      <c r="F17"/>
      <c r="G17"/>
      <c r="H17"/>
      <c r="I17"/>
      <c r="J17"/>
      <c r="K17"/>
      <c r="L17"/>
      <c r="M17"/>
      <c r="N17"/>
      <c r="O17"/>
      <c r="P17"/>
      <c r="Q17"/>
      <c r="R17"/>
      <c r="S17"/>
      <c r="T17"/>
      <c r="U17"/>
    </row>
    <row r="18" spans="3:21" x14ac:dyDescent="0.25">
      <c r="C18"/>
      <c r="D18"/>
      <c r="E18"/>
      <c r="F18"/>
      <c r="G18"/>
      <c r="H18"/>
      <c r="I18"/>
      <c r="J18"/>
      <c r="K18"/>
      <c r="L18"/>
      <c r="M18"/>
      <c r="N18"/>
      <c r="O18"/>
      <c r="P18"/>
      <c r="Q18"/>
      <c r="R18"/>
      <c r="S18"/>
      <c r="T18"/>
      <c r="U18"/>
    </row>
    <row r="19" spans="3:21" x14ac:dyDescent="0.25">
      <c r="C19"/>
      <c r="D19"/>
      <c r="E19"/>
      <c r="F19"/>
      <c r="G19"/>
      <c r="H19"/>
      <c r="I19"/>
      <c r="J19"/>
      <c r="K19"/>
      <c r="L19"/>
      <c r="M19"/>
      <c r="N19"/>
      <c r="O19"/>
      <c r="P19"/>
      <c r="Q19"/>
      <c r="R19"/>
      <c r="S19"/>
      <c r="T19"/>
      <c r="U19"/>
    </row>
    <row r="20" spans="3:21" x14ac:dyDescent="0.25">
      <c r="C20"/>
      <c r="D20"/>
      <c r="E20"/>
      <c r="F20"/>
      <c r="G20"/>
      <c r="H20"/>
      <c r="I20"/>
      <c r="J20"/>
      <c r="K20"/>
      <c r="L20"/>
      <c r="M20"/>
      <c r="N20"/>
      <c r="O20"/>
      <c r="P20"/>
      <c r="Q20"/>
      <c r="R20"/>
      <c r="S20"/>
      <c r="T20"/>
      <c r="U20"/>
    </row>
    <row r="21" spans="3:21" x14ac:dyDescent="0.25">
      <c r="C21"/>
      <c r="D21"/>
      <c r="E21"/>
      <c r="F21"/>
      <c r="G21"/>
      <c r="H21"/>
      <c r="I21"/>
      <c r="J21"/>
      <c r="K21"/>
      <c r="L21"/>
      <c r="M21"/>
      <c r="N21"/>
      <c r="O21"/>
      <c r="P21"/>
      <c r="Q21"/>
      <c r="R21"/>
      <c r="S21"/>
      <c r="T21"/>
      <c r="U21"/>
    </row>
    <row r="22" spans="3:21" x14ac:dyDescent="0.25">
      <c r="C22"/>
      <c r="D22"/>
      <c r="E22"/>
      <c r="F22"/>
      <c r="G22"/>
      <c r="H22"/>
      <c r="I22"/>
      <c r="J22"/>
      <c r="K22"/>
      <c r="L22"/>
      <c r="M22"/>
      <c r="N22"/>
      <c r="O22"/>
      <c r="P22"/>
      <c r="Q22"/>
      <c r="R22"/>
      <c r="S22"/>
      <c r="T22"/>
      <c r="U22"/>
    </row>
    <row r="23" spans="3:21" x14ac:dyDescent="0.25">
      <c r="C23"/>
      <c r="D23"/>
      <c r="E23"/>
      <c r="F23"/>
      <c r="G23"/>
      <c r="H23"/>
      <c r="I23"/>
      <c r="J23"/>
      <c r="K23"/>
      <c r="L23"/>
      <c r="M23"/>
      <c r="N23"/>
      <c r="O23"/>
      <c r="P23"/>
      <c r="Q23"/>
      <c r="R23"/>
      <c r="S23"/>
      <c r="T23"/>
      <c r="U23"/>
    </row>
    <row r="24" spans="3:21" x14ac:dyDescent="0.25">
      <c r="C24"/>
      <c r="D24"/>
      <c r="E24"/>
      <c r="F24"/>
      <c r="G24"/>
      <c r="H24"/>
      <c r="I24"/>
      <c r="J24"/>
      <c r="K24"/>
      <c r="L24"/>
      <c r="M24"/>
      <c r="N24"/>
      <c r="O24"/>
      <c r="P24"/>
      <c r="Q24"/>
      <c r="R24"/>
      <c r="S24"/>
      <c r="T24"/>
      <c r="U24"/>
    </row>
    <row r="25" spans="3:21" x14ac:dyDescent="0.25">
      <c r="C25"/>
      <c r="D25"/>
      <c r="E25"/>
      <c r="F25"/>
      <c r="G25"/>
      <c r="H25"/>
      <c r="I25"/>
      <c r="J25"/>
      <c r="K25"/>
      <c r="L25"/>
      <c r="M25"/>
      <c r="N25"/>
      <c r="O25"/>
      <c r="P25"/>
      <c r="Q25"/>
      <c r="R25"/>
      <c r="S25"/>
      <c r="T25"/>
      <c r="U25"/>
    </row>
    <row r="26" spans="3:21" x14ac:dyDescent="0.25">
      <c r="C26"/>
      <c r="D26"/>
      <c r="E26"/>
      <c r="F26"/>
      <c r="G26"/>
      <c r="H26"/>
      <c r="I26"/>
      <c r="J26"/>
      <c r="K26"/>
      <c r="L26"/>
      <c r="M26"/>
      <c r="N26"/>
      <c r="O26"/>
      <c r="P26"/>
      <c r="Q26"/>
      <c r="R26"/>
      <c r="S26"/>
      <c r="T26"/>
      <c r="U26"/>
    </row>
    <row r="27" spans="3:21" x14ac:dyDescent="0.25">
      <c r="C27"/>
      <c r="D27"/>
      <c r="E27"/>
      <c r="F27"/>
      <c r="G27"/>
      <c r="H27"/>
      <c r="I27"/>
      <c r="J27"/>
      <c r="K27"/>
      <c r="L27"/>
      <c r="M27"/>
      <c r="N27"/>
      <c r="O27"/>
      <c r="P27"/>
      <c r="Q27"/>
      <c r="R27"/>
      <c r="S27"/>
      <c r="T27"/>
      <c r="U27"/>
    </row>
    <row r="28" spans="3:21" x14ac:dyDescent="0.25">
      <c r="C28"/>
      <c r="D28"/>
      <c r="E28"/>
      <c r="F28"/>
      <c r="G28"/>
      <c r="H28"/>
      <c r="I28"/>
      <c r="J28"/>
      <c r="K28"/>
      <c r="L28"/>
      <c r="M28"/>
      <c r="N28"/>
      <c r="O28"/>
      <c r="P28"/>
      <c r="Q28"/>
      <c r="R28"/>
      <c r="S28"/>
      <c r="T28"/>
      <c r="U28"/>
    </row>
    <row r="29" spans="3:21" x14ac:dyDescent="0.25">
      <c r="C29"/>
      <c r="D29"/>
      <c r="E29"/>
      <c r="F29"/>
      <c r="G29"/>
      <c r="H29"/>
      <c r="I29"/>
      <c r="J29"/>
      <c r="K29"/>
      <c r="L29"/>
      <c r="M29"/>
      <c r="N29"/>
      <c r="O29"/>
      <c r="P29"/>
      <c r="Q29"/>
      <c r="R29"/>
      <c r="S29"/>
      <c r="T29"/>
      <c r="U29"/>
    </row>
    <row r="30" spans="3:21" x14ac:dyDescent="0.25">
      <c r="C30"/>
      <c r="D30"/>
      <c r="E30"/>
      <c r="F30"/>
      <c r="G30"/>
      <c r="H30"/>
      <c r="I30"/>
      <c r="J30"/>
      <c r="K30"/>
      <c r="L30"/>
      <c r="M30"/>
      <c r="N30"/>
      <c r="O30"/>
      <c r="P30"/>
      <c r="Q30"/>
      <c r="R30"/>
      <c r="S30"/>
      <c r="T30"/>
      <c r="U30"/>
    </row>
    <row r="31" spans="3:21" x14ac:dyDescent="0.25">
      <c r="C31"/>
      <c r="D31"/>
      <c r="E31"/>
      <c r="F31"/>
      <c r="G31"/>
      <c r="H31"/>
      <c r="I31"/>
      <c r="J31"/>
      <c r="K31"/>
      <c r="L31"/>
      <c r="M31"/>
      <c r="N31"/>
      <c r="O31"/>
      <c r="P31"/>
      <c r="Q31"/>
      <c r="R31"/>
      <c r="S31"/>
      <c r="T31"/>
      <c r="U31"/>
    </row>
    <row r="32" spans="3:21" x14ac:dyDescent="0.25">
      <c r="C32"/>
      <c r="D32"/>
      <c r="E32"/>
      <c r="F32"/>
      <c r="G32"/>
      <c r="H32"/>
      <c r="I32"/>
      <c r="J32"/>
      <c r="K32"/>
      <c r="L32"/>
      <c r="M32"/>
      <c r="N32"/>
      <c r="O32"/>
      <c r="P32"/>
      <c r="Q32"/>
      <c r="R32"/>
      <c r="S32"/>
      <c r="T32"/>
      <c r="U32"/>
    </row>
    <row r="33" spans="3:21" x14ac:dyDescent="0.25">
      <c r="C33"/>
      <c r="D33"/>
      <c r="E33"/>
      <c r="F33"/>
      <c r="G33"/>
      <c r="H33"/>
      <c r="I33"/>
      <c r="J33"/>
      <c r="K33"/>
      <c r="L33"/>
      <c r="M33"/>
      <c r="N33"/>
      <c r="O33"/>
      <c r="P33"/>
      <c r="Q33"/>
      <c r="R33"/>
      <c r="S33"/>
      <c r="T33"/>
      <c r="U33"/>
    </row>
    <row r="34" spans="3:21" x14ac:dyDescent="0.25">
      <c r="C34"/>
      <c r="D34"/>
      <c r="E34"/>
      <c r="F34"/>
      <c r="G34"/>
      <c r="H34"/>
      <c r="I34"/>
      <c r="J34"/>
      <c r="K34"/>
      <c r="L34"/>
      <c r="M34"/>
      <c r="N34"/>
      <c r="O34"/>
      <c r="P34"/>
      <c r="Q34"/>
      <c r="R34"/>
      <c r="S34"/>
      <c r="T34"/>
      <c r="U34"/>
    </row>
    <row r="35" spans="3:21" x14ac:dyDescent="0.25">
      <c r="C35"/>
      <c r="D35"/>
      <c r="E35"/>
      <c r="F35"/>
      <c r="G35"/>
      <c r="H35"/>
      <c r="I35"/>
      <c r="J35"/>
      <c r="K35"/>
      <c r="L35"/>
      <c r="M35"/>
      <c r="N35"/>
      <c r="O35"/>
      <c r="P35"/>
      <c r="Q35"/>
      <c r="R35"/>
      <c r="S35"/>
      <c r="T35"/>
      <c r="U35"/>
    </row>
    <row r="36" spans="3:21" x14ac:dyDescent="0.25">
      <c r="C36"/>
      <c r="D36"/>
      <c r="E36"/>
      <c r="F36"/>
      <c r="G36"/>
      <c r="H36"/>
      <c r="I36"/>
      <c r="J36"/>
      <c r="K36"/>
      <c r="L36"/>
      <c r="M36"/>
      <c r="N36"/>
      <c r="O36"/>
      <c r="P36"/>
      <c r="Q36"/>
      <c r="R36"/>
      <c r="S36"/>
      <c r="T36"/>
      <c r="U36"/>
    </row>
    <row r="37" spans="3:21" x14ac:dyDescent="0.25">
      <c r="C37"/>
      <c r="D37"/>
      <c r="E37"/>
      <c r="F37"/>
      <c r="G37"/>
      <c r="H37"/>
      <c r="I37"/>
      <c r="J37"/>
      <c r="K37"/>
      <c r="L37"/>
      <c r="M37"/>
      <c r="N37"/>
      <c r="O37"/>
      <c r="P37"/>
      <c r="Q37"/>
      <c r="R37"/>
      <c r="S37"/>
      <c r="T37"/>
      <c r="U37"/>
    </row>
    <row r="38" spans="3:21" x14ac:dyDescent="0.25">
      <c r="C38"/>
      <c r="D38"/>
      <c r="E38"/>
      <c r="F38"/>
      <c r="G38"/>
      <c r="H38"/>
      <c r="I38"/>
      <c r="J38"/>
      <c r="K38"/>
      <c r="L38"/>
      <c r="M38"/>
      <c r="N38"/>
      <c r="O38"/>
      <c r="P38"/>
      <c r="Q38"/>
      <c r="R38"/>
      <c r="S38"/>
      <c r="T38"/>
      <c r="U38"/>
    </row>
    <row r="39" spans="3:21" x14ac:dyDescent="0.25">
      <c r="C39"/>
      <c r="D39"/>
      <c r="E39"/>
      <c r="F39"/>
      <c r="G39"/>
      <c r="H39"/>
      <c r="I39"/>
      <c r="J39"/>
      <c r="K39"/>
      <c r="L39"/>
      <c r="M39"/>
      <c r="N39"/>
      <c r="O39"/>
      <c r="P39"/>
      <c r="Q39"/>
      <c r="R39"/>
      <c r="S39"/>
      <c r="T39"/>
      <c r="U39"/>
    </row>
    <row r="40" spans="3:21" x14ac:dyDescent="0.25">
      <c r="C40"/>
      <c r="D40"/>
      <c r="E40"/>
      <c r="F40"/>
      <c r="G40"/>
      <c r="H40"/>
      <c r="I40"/>
      <c r="J40"/>
      <c r="K40"/>
      <c r="L40"/>
      <c r="M40"/>
      <c r="N40"/>
      <c r="O40"/>
      <c r="P40"/>
      <c r="Q40"/>
      <c r="R40"/>
      <c r="S40"/>
      <c r="T40"/>
      <c r="U40"/>
    </row>
    <row r="41" spans="3:21" x14ac:dyDescent="0.25">
      <c r="C41"/>
      <c r="D41"/>
      <c r="E41"/>
      <c r="F41"/>
      <c r="G41"/>
      <c r="H41"/>
      <c r="I41"/>
      <c r="J41"/>
      <c r="K41"/>
      <c r="L41"/>
      <c r="M41"/>
      <c r="N41"/>
      <c r="O41"/>
      <c r="P41"/>
      <c r="Q41"/>
      <c r="R41"/>
      <c r="S41"/>
      <c r="T41"/>
      <c r="U41"/>
    </row>
    <row r="42" spans="3:21" x14ac:dyDescent="0.25">
      <c r="C42"/>
      <c r="D42"/>
      <c r="E42"/>
      <c r="F42"/>
      <c r="G42"/>
      <c r="H42"/>
      <c r="I42"/>
      <c r="J42"/>
      <c r="K42"/>
      <c r="L42"/>
      <c r="M42"/>
      <c r="N42"/>
      <c r="O42"/>
      <c r="P42"/>
      <c r="Q42"/>
      <c r="R42"/>
      <c r="S42"/>
      <c r="T42"/>
      <c r="U42"/>
    </row>
    <row r="43" spans="3:21" x14ac:dyDescent="0.25">
      <c r="C43"/>
      <c r="D43"/>
      <c r="E43"/>
      <c r="F43"/>
      <c r="G43"/>
      <c r="H43"/>
      <c r="I43"/>
      <c r="J43"/>
      <c r="K43"/>
      <c r="L43"/>
      <c r="M43"/>
      <c r="N43"/>
      <c r="O43"/>
      <c r="P43"/>
      <c r="Q43"/>
      <c r="R43"/>
      <c r="S43"/>
      <c r="T43"/>
      <c r="U43"/>
    </row>
    <row r="44" spans="3:21" x14ac:dyDescent="0.25">
      <c r="C44"/>
      <c r="D44"/>
      <c r="E44"/>
      <c r="F44"/>
      <c r="G44"/>
      <c r="H44"/>
      <c r="I44"/>
      <c r="J44"/>
      <c r="K44"/>
      <c r="L44"/>
      <c r="M44"/>
      <c r="N44"/>
      <c r="O44"/>
      <c r="P44"/>
      <c r="Q44"/>
      <c r="R44"/>
      <c r="S44"/>
      <c r="T44"/>
      <c r="U44"/>
    </row>
    <row r="45" spans="3:21" x14ac:dyDescent="0.25">
      <c r="C45"/>
      <c r="D45"/>
      <c r="E45"/>
      <c r="F45"/>
      <c r="G45"/>
      <c r="H45"/>
      <c r="I45"/>
      <c r="J45"/>
      <c r="K45"/>
      <c r="L45"/>
      <c r="M45"/>
      <c r="N45"/>
      <c r="O45"/>
      <c r="P45"/>
      <c r="Q45"/>
      <c r="R45"/>
      <c r="S45"/>
      <c r="T45"/>
      <c r="U45"/>
    </row>
    <row r="46" spans="3:21" x14ac:dyDescent="0.25">
      <c r="C46"/>
      <c r="D46"/>
      <c r="E46"/>
      <c r="F46"/>
      <c r="G46"/>
      <c r="H46"/>
      <c r="I46"/>
      <c r="J46"/>
      <c r="K46"/>
      <c r="L46"/>
      <c r="M46"/>
      <c r="N46"/>
      <c r="O46"/>
      <c r="P46"/>
      <c r="Q46"/>
      <c r="R46"/>
      <c r="S46"/>
      <c r="T46"/>
      <c r="U46"/>
    </row>
    <row r="47" spans="3:21" x14ac:dyDescent="0.25">
      <c r="C47"/>
      <c r="D47"/>
      <c r="E47"/>
      <c r="F47"/>
      <c r="G47"/>
      <c r="H47"/>
      <c r="I47"/>
      <c r="J47"/>
      <c r="K47"/>
      <c r="L47"/>
      <c r="M47"/>
      <c r="N47"/>
      <c r="O47"/>
      <c r="P47"/>
      <c r="Q47"/>
      <c r="R47"/>
      <c r="S47"/>
      <c r="T47"/>
      <c r="U47"/>
    </row>
    <row r="48" spans="3:21" x14ac:dyDescent="0.25">
      <c r="C48"/>
      <c r="D48"/>
      <c r="E48"/>
      <c r="F48"/>
      <c r="G48"/>
      <c r="H48"/>
      <c r="I48"/>
      <c r="J48"/>
      <c r="K48"/>
      <c r="L48"/>
      <c r="M48"/>
      <c r="N48"/>
      <c r="O48"/>
      <c r="P48"/>
      <c r="Q48"/>
      <c r="R48"/>
      <c r="S48"/>
      <c r="T48"/>
      <c r="U48"/>
    </row>
    <row r="49" spans="3:23" x14ac:dyDescent="0.25">
      <c r="C49"/>
      <c r="D49"/>
      <c r="E49"/>
      <c r="F49"/>
      <c r="G49"/>
      <c r="H49"/>
      <c r="I49"/>
      <c r="J49"/>
      <c r="K49"/>
      <c r="L49"/>
      <c r="M49"/>
      <c r="N49"/>
      <c r="O49"/>
      <c r="P49"/>
      <c r="Q49"/>
      <c r="R49"/>
      <c r="S49"/>
      <c r="T49"/>
      <c r="U49"/>
    </row>
    <row r="54" spans="3:23" hidden="1" x14ac:dyDescent="0.25"/>
    <row r="55" spans="3:23" hidden="1" x14ac:dyDescent="0.25"/>
    <row r="56" spans="3:23" hidden="1" x14ac:dyDescent="0.25"/>
    <row r="57" spans="3:23" ht="15.75" hidden="1" thickBot="1" x14ac:dyDescent="0.3">
      <c r="G57" s="471"/>
      <c r="H57" s="471"/>
      <c r="I57" s="471"/>
      <c r="J57" s="471"/>
      <c r="K57" s="471"/>
      <c r="L57" s="471"/>
      <c r="M57" s="471"/>
      <c r="N57" s="471"/>
      <c r="O57" s="471"/>
      <c r="P57" s="471"/>
      <c r="Q57" s="471"/>
    </row>
    <row r="58" spans="3:23" hidden="1" x14ac:dyDescent="0.25">
      <c r="G58" s="460"/>
      <c r="H58" s="461"/>
      <c r="I58" s="461"/>
      <c r="J58" s="461"/>
      <c r="K58" s="461"/>
      <c r="L58" s="461"/>
      <c r="M58" s="461"/>
      <c r="N58" s="461"/>
      <c r="O58" s="461"/>
      <c r="P58" s="461"/>
      <c r="Q58" s="462"/>
    </row>
    <row r="59" spans="3:23" hidden="1" x14ac:dyDescent="0.25">
      <c r="G59" s="463"/>
      <c r="H59" s="10"/>
      <c r="I59" s="10"/>
      <c r="J59" s="10"/>
      <c r="K59" s="10"/>
      <c r="L59" s="10"/>
      <c r="M59" s="10"/>
      <c r="N59" s="10"/>
      <c r="O59" s="10"/>
      <c r="P59" s="10"/>
      <c r="Q59" s="464"/>
    </row>
    <row r="60" spans="3:23" hidden="1" x14ac:dyDescent="0.25">
      <c r="G60" s="463"/>
      <c r="H60" s="10"/>
      <c r="I60" s="10"/>
      <c r="J60" s="10"/>
      <c r="K60" s="10"/>
      <c r="L60" s="10"/>
      <c r="M60" s="10"/>
      <c r="N60" s="10"/>
      <c r="O60" s="10"/>
      <c r="P60" s="10"/>
      <c r="Q60" s="464"/>
    </row>
    <row r="61" spans="3:23" hidden="1" x14ac:dyDescent="0.25">
      <c r="G61" s="463"/>
      <c r="H61" s="10"/>
      <c r="I61" s="10"/>
      <c r="J61" s="10"/>
      <c r="K61" s="10"/>
      <c r="L61" s="10"/>
      <c r="M61" s="10"/>
      <c r="N61" s="10"/>
      <c r="O61" s="10"/>
      <c r="P61" s="10"/>
      <c r="Q61" s="464"/>
    </row>
    <row r="62" spans="3:23" hidden="1" x14ac:dyDescent="0.25">
      <c r="G62" s="463"/>
      <c r="H62" s="10"/>
      <c r="I62" s="10"/>
      <c r="J62" s="10"/>
      <c r="K62" s="10"/>
      <c r="L62" s="10"/>
      <c r="M62" s="10"/>
      <c r="N62" s="10"/>
      <c r="O62" s="10"/>
      <c r="P62" s="10"/>
      <c r="Q62" s="464"/>
    </row>
    <row r="63" spans="3:23" hidden="1" x14ac:dyDescent="0.25">
      <c r="G63" s="463"/>
      <c r="H63" s="10"/>
      <c r="I63" s="10"/>
      <c r="J63" s="10"/>
      <c r="K63" s="10"/>
      <c r="L63" s="10"/>
      <c r="M63" s="10"/>
      <c r="N63" s="10"/>
      <c r="O63" s="10"/>
      <c r="P63" s="10"/>
      <c r="Q63" s="464"/>
      <c r="W63" s="230"/>
    </row>
    <row r="64" spans="3:23" hidden="1" x14ac:dyDescent="0.25">
      <c r="G64" s="463"/>
      <c r="H64" s="10"/>
      <c r="I64" s="10"/>
      <c r="J64" s="10"/>
      <c r="K64" s="10"/>
      <c r="L64" s="10"/>
      <c r="M64" s="10"/>
      <c r="N64" s="10"/>
      <c r="O64" s="10"/>
      <c r="P64" s="10"/>
      <c r="Q64" s="464"/>
      <c r="W64" s="230"/>
    </row>
    <row r="65" spans="7:23" hidden="1" x14ac:dyDescent="0.25">
      <c r="G65" s="463"/>
      <c r="H65" s="10"/>
      <c r="I65" s="10"/>
      <c r="J65" s="10"/>
      <c r="K65" s="10"/>
      <c r="L65" s="10"/>
      <c r="M65" s="10"/>
      <c r="N65" s="10"/>
      <c r="O65" s="10"/>
      <c r="P65" s="10"/>
      <c r="Q65" s="464"/>
      <c r="W65" s="230"/>
    </row>
    <row r="66" spans="7:23" hidden="1" x14ac:dyDescent="0.25">
      <c r="G66" s="463"/>
      <c r="H66" s="10"/>
      <c r="I66" s="10"/>
      <c r="J66" s="10"/>
      <c r="K66" s="10"/>
      <c r="L66" s="10"/>
      <c r="M66" s="10"/>
      <c r="N66" s="10"/>
      <c r="O66" s="10"/>
      <c r="P66" s="10"/>
      <c r="Q66" s="464"/>
      <c r="W66" s="230"/>
    </row>
    <row r="67" spans="7:23" hidden="1" x14ac:dyDescent="0.25">
      <c r="G67" s="463"/>
      <c r="H67" s="10"/>
      <c r="I67" s="10"/>
      <c r="J67" s="10"/>
      <c r="K67" s="10"/>
      <c r="L67" s="10"/>
      <c r="M67" s="10"/>
      <c r="N67" s="10"/>
      <c r="O67" s="10"/>
      <c r="P67" s="10"/>
      <c r="Q67" s="464"/>
      <c r="W67" s="230"/>
    </row>
    <row r="68" spans="7:23" hidden="1" x14ac:dyDescent="0.25">
      <c r="G68" s="463"/>
      <c r="H68" s="10"/>
      <c r="I68" s="10"/>
      <c r="J68" s="10"/>
      <c r="K68" s="10"/>
      <c r="L68" s="10"/>
      <c r="M68" s="10"/>
      <c r="N68" s="10"/>
      <c r="O68" s="10"/>
      <c r="P68" s="10"/>
      <c r="Q68" s="464"/>
      <c r="W68" s="230"/>
    </row>
    <row r="69" spans="7:23" hidden="1" x14ac:dyDescent="0.25">
      <c r="G69" s="463"/>
      <c r="H69" s="10"/>
      <c r="I69" s="10"/>
      <c r="J69" s="10"/>
      <c r="K69" s="10"/>
      <c r="L69" s="10"/>
      <c r="M69" s="10"/>
      <c r="N69" s="10"/>
      <c r="O69" s="10"/>
      <c r="P69" s="10"/>
      <c r="Q69" s="464"/>
      <c r="W69" s="230"/>
    </row>
    <row r="70" spans="7:23" hidden="1" x14ac:dyDescent="0.25">
      <c r="G70" s="463"/>
      <c r="H70" s="10"/>
      <c r="I70" s="10"/>
      <c r="J70" s="10"/>
      <c r="K70" s="10"/>
      <c r="L70" s="10"/>
      <c r="M70" s="10"/>
      <c r="N70" s="10"/>
      <c r="O70" s="10"/>
      <c r="P70" s="10"/>
      <c r="Q70" s="464"/>
      <c r="W70" s="230"/>
    </row>
    <row r="71" spans="7:23" hidden="1" x14ac:dyDescent="0.25">
      <c r="G71" s="463"/>
      <c r="H71" s="10"/>
      <c r="I71" s="10"/>
      <c r="J71" s="10"/>
      <c r="K71" s="10"/>
      <c r="L71" s="10"/>
      <c r="M71" s="10"/>
      <c r="N71" s="10"/>
      <c r="O71" s="10"/>
      <c r="P71" s="10"/>
      <c r="Q71" s="464"/>
      <c r="W71" s="230"/>
    </row>
    <row r="72" spans="7:23" hidden="1" x14ac:dyDescent="0.25">
      <c r="G72" s="463"/>
      <c r="H72" s="10"/>
      <c r="I72" s="10"/>
      <c r="J72" s="10"/>
      <c r="K72" s="10"/>
      <c r="L72" s="10"/>
      <c r="M72" s="10"/>
      <c r="N72" s="10"/>
      <c r="O72" s="10"/>
      <c r="P72" s="10"/>
      <c r="Q72" s="464"/>
      <c r="W72" s="230"/>
    </row>
    <row r="73" spans="7:23" hidden="1" x14ac:dyDescent="0.25">
      <c r="G73" s="463"/>
      <c r="H73" s="10"/>
      <c r="I73" s="10"/>
      <c r="J73" s="10"/>
      <c r="K73" s="10"/>
      <c r="L73" s="10"/>
      <c r="M73" s="10"/>
      <c r="N73" s="10"/>
      <c r="O73" s="10"/>
      <c r="P73" s="10"/>
      <c r="Q73" s="464"/>
      <c r="W73" s="230"/>
    </row>
    <row r="74" spans="7:23" hidden="1" x14ac:dyDescent="0.25">
      <c r="G74" s="463"/>
      <c r="H74" s="10"/>
      <c r="I74" s="10"/>
      <c r="J74" s="10"/>
      <c r="K74" s="10"/>
      <c r="L74" s="10"/>
      <c r="M74" s="10"/>
      <c r="N74" s="10"/>
      <c r="O74" s="10"/>
      <c r="P74" s="10"/>
      <c r="Q74" s="464"/>
      <c r="W74" s="230"/>
    </row>
    <row r="75" spans="7:23" hidden="1" x14ac:dyDescent="0.25">
      <c r="G75" s="463"/>
      <c r="H75" s="10"/>
      <c r="I75" s="10"/>
      <c r="J75" s="10"/>
      <c r="K75" s="10"/>
      <c r="L75" s="10"/>
      <c r="M75" s="10"/>
      <c r="N75" s="10"/>
      <c r="O75" s="10"/>
      <c r="P75" s="10"/>
      <c r="Q75" s="464"/>
      <c r="W75" s="230"/>
    </row>
    <row r="76" spans="7:23" hidden="1" x14ac:dyDescent="0.25">
      <c r="G76" s="463"/>
      <c r="H76" s="10"/>
      <c r="I76" s="10"/>
      <c r="J76" s="10"/>
      <c r="K76" s="10"/>
      <c r="L76" s="10"/>
      <c r="M76" s="10"/>
      <c r="N76" s="10"/>
      <c r="O76" s="10"/>
      <c r="P76" s="10"/>
      <c r="Q76" s="464"/>
      <c r="W76" s="230"/>
    </row>
    <row r="77" spans="7:23" hidden="1" x14ac:dyDescent="0.25">
      <c r="G77" s="463"/>
      <c r="H77" s="10"/>
      <c r="I77" s="10"/>
      <c r="J77" s="10"/>
      <c r="K77" s="10"/>
      <c r="L77" s="10"/>
      <c r="M77" s="10"/>
      <c r="N77" s="10"/>
      <c r="O77" s="10"/>
      <c r="P77" s="10"/>
      <c r="Q77" s="464"/>
      <c r="W77" s="230"/>
    </row>
    <row r="78" spans="7:23" hidden="1" x14ac:dyDescent="0.25">
      <c r="G78" s="463"/>
      <c r="H78" s="10"/>
      <c r="I78" s="10"/>
      <c r="J78" s="10"/>
      <c r="K78" s="10"/>
      <c r="L78" s="10"/>
      <c r="M78" s="10"/>
      <c r="N78" s="10"/>
      <c r="O78" s="10"/>
      <c r="P78" s="10"/>
      <c r="Q78" s="464"/>
      <c r="W78" s="230"/>
    </row>
    <row r="79" spans="7:23" hidden="1" x14ac:dyDescent="0.25">
      <c r="G79" s="463"/>
      <c r="H79" s="10"/>
      <c r="I79" s="10"/>
      <c r="J79" s="10"/>
      <c r="K79" s="10"/>
      <c r="L79" s="10"/>
      <c r="M79" s="10"/>
      <c r="N79" s="10"/>
      <c r="O79" s="10"/>
      <c r="P79" s="10"/>
      <c r="Q79" s="464"/>
      <c r="W79" s="230"/>
    </row>
    <row r="80" spans="7:23" hidden="1" x14ac:dyDescent="0.25">
      <c r="G80" s="463"/>
      <c r="H80" s="10"/>
      <c r="I80" s="10"/>
      <c r="J80" s="10"/>
      <c r="K80" s="10"/>
      <c r="L80" s="10"/>
      <c r="M80" s="10"/>
      <c r="N80" s="10"/>
      <c r="O80" s="10"/>
      <c r="P80" s="10"/>
      <c r="Q80" s="464"/>
    </row>
    <row r="81" spans="7:17" hidden="1" x14ac:dyDescent="0.25">
      <c r="G81" s="463"/>
      <c r="H81" s="10"/>
      <c r="I81" s="10"/>
      <c r="J81" s="10"/>
      <c r="K81" s="10"/>
      <c r="L81" s="10"/>
      <c r="M81" s="10"/>
      <c r="N81" s="10"/>
      <c r="O81" s="10"/>
      <c r="P81" s="10"/>
      <c r="Q81" s="464"/>
    </row>
    <row r="82" spans="7:17" hidden="1" x14ac:dyDescent="0.25">
      <c r="G82" s="463"/>
      <c r="H82" s="10"/>
      <c r="I82" s="10"/>
      <c r="J82" s="10"/>
      <c r="K82" s="10"/>
      <c r="L82" s="10"/>
      <c r="M82" s="10"/>
      <c r="N82" s="10"/>
      <c r="O82" s="10"/>
      <c r="P82" s="10"/>
      <c r="Q82" s="464"/>
    </row>
    <row r="83" spans="7:17" hidden="1" x14ac:dyDescent="0.25">
      <c r="G83" s="463"/>
      <c r="H83" s="10"/>
      <c r="I83" s="10"/>
      <c r="J83" s="10"/>
      <c r="K83" s="10"/>
      <c r="L83" s="10"/>
      <c r="M83" s="10"/>
      <c r="N83" s="10"/>
      <c r="O83" s="10"/>
      <c r="P83" s="10"/>
      <c r="Q83" s="464"/>
    </row>
    <row r="84" spans="7:17" hidden="1" x14ac:dyDescent="0.25">
      <c r="G84" s="463"/>
      <c r="H84" s="10"/>
      <c r="I84" s="10"/>
      <c r="J84" s="10"/>
      <c r="K84" s="10"/>
      <c r="L84" s="10"/>
      <c r="M84" s="10"/>
      <c r="N84" s="10"/>
      <c r="O84" s="10"/>
      <c r="P84" s="10"/>
      <c r="Q84" s="464"/>
    </row>
    <row r="85" spans="7:17" hidden="1" x14ac:dyDescent="0.25">
      <c r="G85" s="463"/>
      <c r="H85" s="10"/>
      <c r="I85" s="10"/>
      <c r="J85" s="10"/>
      <c r="K85" s="10"/>
      <c r="L85" s="10"/>
      <c r="M85" s="10"/>
      <c r="N85" s="10"/>
      <c r="O85" s="10"/>
      <c r="P85" s="10"/>
      <c r="Q85" s="464"/>
    </row>
    <row r="86" spans="7:17" hidden="1" x14ac:dyDescent="0.25">
      <c r="G86" s="463"/>
      <c r="H86" s="10"/>
      <c r="I86" s="10"/>
      <c r="J86" s="10"/>
      <c r="K86" s="10"/>
      <c r="L86" s="10"/>
      <c r="M86" s="10"/>
      <c r="N86" s="10"/>
      <c r="O86" s="10"/>
      <c r="P86" s="10"/>
      <c r="Q86" s="464"/>
    </row>
    <row r="87" spans="7:17" hidden="1" x14ac:dyDescent="0.25">
      <c r="G87" s="463"/>
      <c r="H87" s="10"/>
      <c r="I87" s="10"/>
      <c r="J87" s="10"/>
      <c r="K87" s="10"/>
      <c r="L87" s="10"/>
      <c r="M87" s="10"/>
      <c r="N87" s="10"/>
      <c r="O87" s="10"/>
      <c r="P87" s="10"/>
      <c r="Q87" s="464"/>
    </row>
    <row r="88" spans="7:17" hidden="1" x14ac:dyDescent="0.25">
      <c r="G88" s="463"/>
      <c r="H88" s="10"/>
      <c r="I88" s="10"/>
      <c r="J88" s="10"/>
      <c r="K88" s="10"/>
      <c r="L88" s="10"/>
      <c r="M88" s="10"/>
      <c r="N88" s="10"/>
      <c r="O88" s="10"/>
      <c r="P88" s="10"/>
      <c r="Q88" s="464"/>
    </row>
    <row r="89" spans="7:17" hidden="1" x14ac:dyDescent="0.25">
      <c r="G89" s="463"/>
      <c r="H89" s="10"/>
      <c r="I89" s="10"/>
      <c r="J89" s="10"/>
      <c r="K89" s="10"/>
      <c r="L89" s="10"/>
      <c r="M89" s="10"/>
      <c r="N89" s="10"/>
      <c r="O89" s="10"/>
      <c r="P89" s="10"/>
      <c r="Q89" s="464"/>
    </row>
    <row r="90" spans="7:17" hidden="1" x14ac:dyDescent="0.25">
      <c r="G90" s="463"/>
      <c r="H90" s="10"/>
      <c r="I90" s="10"/>
      <c r="J90" s="10"/>
      <c r="K90" s="10"/>
      <c r="L90" s="10"/>
      <c r="M90" s="10"/>
      <c r="N90" s="10"/>
      <c r="O90" s="10"/>
      <c r="P90" s="10"/>
      <c r="Q90" s="464"/>
    </row>
    <row r="91" spans="7:17" hidden="1" x14ac:dyDescent="0.25">
      <c r="G91" s="463"/>
      <c r="H91" s="10"/>
      <c r="I91" s="10"/>
      <c r="J91" s="10"/>
      <c r="K91" s="10"/>
      <c r="L91" s="10"/>
      <c r="M91" s="10"/>
      <c r="N91" s="10"/>
      <c r="O91" s="10"/>
      <c r="P91" s="10"/>
      <c r="Q91" s="464"/>
    </row>
    <row r="92" spans="7:17" hidden="1" x14ac:dyDescent="0.25">
      <c r="G92" s="463"/>
      <c r="H92" s="10"/>
      <c r="I92" s="10"/>
      <c r="J92" s="10"/>
      <c r="K92" s="10"/>
      <c r="L92" s="10"/>
      <c r="M92" s="10"/>
      <c r="N92" s="10"/>
      <c r="O92" s="10"/>
      <c r="P92" s="10"/>
      <c r="Q92" s="464"/>
    </row>
    <row r="93" spans="7:17" hidden="1" x14ac:dyDescent="0.25">
      <c r="G93" s="463"/>
      <c r="H93" s="10"/>
      <c r="I93" s="10"/>
      <c r="J93" s="10"/>
      <c r="K93" s="10"/>
      <c r="L93" s="10"/>
      <c r="M93" s="10"/>
      <c r="N93" s="10"/>
      <c r="O93" s="10"/>
      <c r="P93" s="10"/>
      <c r="Q93" s="464"/>
    </row>
    <row r="94" spans="7:17" hidden="1" x14ac:dyDescent="0.25">
      <c r="G94" s="463"/>
      <c r="H94" s="10"/>
      <c r="I94" s="10"/>
      <c r="J94" s="10"/>
      <c r="K94" s="10"/>
      <c r="L94" s="10"/>
      <c r="M94" s="10"/>
      <c r="N94" s="10"/>
      <c r="O94" s="10"/>
      <c r="P94" s="10"/>
      <c r="Q94" s="464"/>
    </row>
    <row r="95" spans="7:17" hidden="1" x14ac:dyDescent="0.25">
      <c r="G95" s="463"/>
      <c r="H95" s="10"/>
      <c r="I95" s="10"/>
      <c r="J95" s="10"/>
      <c r="K95" s="10"/>
      <c r="L95" s="10"/>
      <c r="M95" s="10"/>
      <c r="N95" s="10"/>
      <c r="O95" s="10"/>
      <c r="P95" s="10"/>
      <c r="Q95" s="464"/>
    </row>
    <row r="96" spans="7:17" hidden="1" x14ac:dyDescent="0.25">
      <c r="G96" s="463"/>
      <c r="H96" s="10"/>
      <c r="I96" s="10"/>
      <c r="J96" s="10"/>
      <c r="K96" s="10"/>
      <c r="L96" s="10"/>
      <c r="M96" s="10"/>
      <c r="N96" s="10"/>
      <c r="O96" s="10"/>
      <c r="P96" s="10"/>
      <c r="Q96" s="464"/>
    </row>
    <row r="97" spans="7:17" hidden="1" x14ac:dyDescent="0.25">
      <c r="G97" s="463"/>
      <c r="H97" s="10"/>
      <c r="I97" s="10"/>
      <c r="J97" s="10"/>
      <c r="K97" s="10"/>
      <c r="L97" s="10"/>
      <c r="M97" s="10"/>
      <c r="N97" s="10"/>
      <c r="O97" s="10"/>
      <c r="P97" s="10"/>
      <c r="Q97" s="464"/>
    </row>
    <row r="98" spans="7:17" hidden="1" x14ac:dyDescent="0.25">
      <c r="G98" s="463"/>
      <c r="H98" s="10"/>
      <c r="I98" s="10"/>
      <c r="J98" s="10"/>
      <c r="K98" s="10"/>
      <c r="L98" s="10"/>
      <c r="M98" s="10"/>
      <c r="N98" s="10"/>
      <c r="O98" s="10"/>
      <c r="P98" s="10"/>
      <c r="Q98" s="464"/>
    </row>
    <row r="99" spans="7:17" hidden="1" x14ac:dyDescent="0.25">
      <c r="G99" s="463"/>
      <c r="H99" s="10"/>
      <c r="I99" s="10"/>
      <c r="J99" s="10"/>
      <c r="K99" s="10"/>
      <c r="L99" s="10"/>
      <c r="M99" s="10"/>
      <c r="N99" s="10"/>
      <c r="O99" s="10"/>
      <c r="P99" s="10"/>
      <c r="Q99" s="464"/>
    </row>
    <row r="100" spans="7:17" hidden="1" x14ac:dyDescent="0.25">
      <c r="G100" s="463"/>
      <c r="H100" s="10"/>
      <c r="I100" s="10"/>
      <c r="J100" s="10"/>
      <c r="K100" s="10"/>
      <c r="L100" s="10"/>
      <c r="M100" s="10"/>
      <c r="N100" s="10"/>
      <c r="O100" s="10"/>
      <c r="P100" s="10"/>
      <c r="Q100" s="464"/>
    </row>
    <row r="101" spans="7:17" hidden="1" x14ac:dyDescent="0.25">
      <c r="G101" s="463"/>
      <c r="H101" s="10"/>
      <c r="I101" s="10"/>
      <c r="J101" s="10"/>
      <c r="K101" s="10"/>
      <c r="L101" s="10"/>
      <c r="M101" s="10"/>
      <c r="N101" s="10"/>
      <c r="O101" s="10"/>
      <c r="P101" s="10"/>
      <c r="Q101" s="464"/>
    </row>
    <row r="102" spans="7:17" hidden="1" x14ac:dyDescent="0.25">
      <c r="G102" s="463"/>
      <c r="H102" s="10"/>
      <c r="I102" s="10"/>
      <c r="J102" s="10"/>
      <c r="K102" s="10"/>
      <c r="L102" s="10"/>
      <c r="M102" s="10"/>
      <c r="N102" s="10"/>
      <c r="O102" s="10"/>
      <c r="P102" s="10"/>
      <c r="Q102" s="464"/>
    </row>
    <row r="103" spans="7:17" hidden="1" x14ac:dyDescent="0.25">
      <c r="G103" s="463"/>
      <c r="H103" s="10"/>
      <c r="I103" s="10"/>
      <c r="J103" s="10"/>
      <c r="K103" s="10"/>
      <c r="L103" s="10"/>
      <c r="M103" s="10"/>
      <c r="N103" s="10"/>
      <c r="O103" s="10"/>
      <c r="P103" s="10"/>
      <c r="Q103" s="464"/>
    </row>
    <row r="104" spans="7:17" hidden="1" x14ac:dyDescent="0.25">
      <c r="G104" s="463"/>
      <c r="H104" s="10"/>
      <c r="I104" s="10"/>
      <c r="J104" s="10"/>
      <c r="K104" s="10"/>
      <c r="L104" s="10"/>
      <c r="M104" s="10"/>
      <c r="N104" s="10"/>
      <c r="O104" s="10"/>
      <c r="P104" s="10"/>
      <c r="Q104" s="464"/>
    </row>
    <row r="105" spans="7:17" hidden="1" x14ac:dyDescent="0.25">
      <c r="G105" s="463"/>
      <c r="H105" s="10"/>
      <c r="I105" s="10"/>
      <c r="J105" s="10"/>
      <c r="K105" s="10"/>
      <c r="L105" s="10"/>
      <c r="M105" s="10"/>
      <c r="N105" s="10"/>
      <c r="O105" s="10"/>
      <c r="P105" s="10"/>
      <c r="Q105" s="464"/>
    </row>
    <row r="106" spans="7:17" hidden="1" x14ac:dyDescent="0.25">
      <c r="G106" s="463"/>
      <c r="H106" s="10"/>
      <c r="I106" s="10"/>
      <c r="J106" s="10"/>
      <c r="K106" s="10"/>
      <c r="L106" s="10"/>
      <c r="M106" s="10"/>
      <c r="N106" s="10"/>
      <c r="O106" s="10"/>
      <c r="P106" s="10"/>
      <c r="Q106" s="464"/>
    </row>
    <row r="107" spans="7:17" hidden="1" x14ac:dyDescent="0.25">
      <c r="G107" s="463"/>
      <c r="H107" s="10"/>
      <c r="I107" s="10"/>
      <c r="J107" s="10"/>
      <c r="K107" s="10"/>
      <c r="L107" s="10"/>
      <c r="M107" s="10"/>
      <c r="N107" s="10"/>
      <c r="O107" s="10"/>
      <c r="P107" s="10"/>
      <c r="Q107" s="464"/>
    </row>
    <row r="108" spans="7:17" hidden="1" x14ac:dyDescent="0.25">
      <c r="G108" s="463"/>
      <c r="H108" s="10"/>
      <c r="I108" s="10"/>
      <c r="J108" s="10"/>
      <c r="K108" s="10"/>
      <c r="L108" s="10"/>
      <c r="M108" s="10"/>
      <c r="N108" s="10"/>
      <c r="O108" s="10"/>
      <c r="P108" s="10"/>
      <c r="Q108" s="464"/>
    </row>
    <row r="109" spans="7:17" hidden="1" x14ac:dyDescent="0.25">
      <c r="G109" s="463"/>
      <c r="H109" s="10"/>
      <c r="I109" s="10"/>
      <c r="J109" s="10"/>
      <c r="K109" s="10"/>
      <c r="L109" s="10"/>
      <c r="M109" s="10"/>
      <c r="N109" s="10"/>
      <c r="O109" s="10"/>
      <c r="P109" s="10"/>
      <c r="Q109" s="464"/>
    </row>
    <row r="110" spans="7:17" hidden="1" x14ac:dyDescent="0.25">
      <c r="G110" s="463"/>
      <c r="H110" s="10"/>
      <c r="I110" s="10"/>
      <c r="J110" s="10"/>
      <c r="K110" s="10"/>
      <c r="L110" s="10"/>
      <c r="M110" s="10"/>
      <c r="N110" s="10"/>
      <c r="O110" s="10"/>
      <c r="P110" s="10"/>
      <c r="Q110" s="464"/>
    </row>
    <row r="111" spans="7:17" hidden="1" x14ac:dyDescent="0.25">
      <c r="G111" s="463"/>
      <c r="H111" s="10"/>
      <c r="I111" s="10"/>
      <c r="J111" s="10"/>
      <c r="K111" s="10"/>
      <c r="L111" s="10"/>
      <c r="M111" s="10"/>
      <c r="N111" s="10"/>
      <c r="O111" s="10"/>
      <c r="P111" s="10"/>
      <c r="Q111" s="464"/>
    </row>
    <row r="112" spans="7:17" hidden="1" x14ac:dyDescent="0.25">
      <c r="G112" s="463"/>
      <c r="H112" s="10"/>
      <c r="I112" s="10"/>
      <c r="J112" s="10"/>
      <c r="K112" s="10"/>
      <c r="L112" s="10"/>
      <c r="M112" s="10"/>
      <c r="N112" s="10"/>
      <c r="O112" s="10"/>
      <c r="P112" s="10"/>
      <c r="Q112" s="464"/>
    </row>
    <row r="113" spans="7:17" hidden="1" x14ac:dyDescent="0.25">
      <c r="G113" s="463"/>
      <c r="H113" s="10"/>
      <c r="I113" s="10"/>
      <c r="J113" s="10"/>
      <c r="K113" s="10"/>
      <c r="L113" s="10"/>
      <c r="M113" s="10"/>
      <c r="N113" s="10"/>
      <c r="O113" s="10"/>
      <c r="P113" s="10"/>
      <c r="Q113" s="464"/>
    </row>
    <row r="114" spans="7:17" hidden="1" x14ac:dyDescent="0.25">
      <c r="G114" s="463"/>
      <c r="H114" s="10"/>
      <c r="I114" s="10"/>
      <c r="J114" s="10"/>
      <c r="K114" s="10"/>
      <c r="L114" s="10"/>
      <c r="M114" s="10"/>
      <c r="N114" s="10"/>
      <c r="O114" s="10"/>
      <c r="P114" s="10"/>
      <c r="Q114" s="464"/>
    </row>
    <row r="115" spans="7:17" hidden="1" x14ac:dyDescent="0.25">
      <c r="G115" s="463"/>
      <c r="H115" s="10"/>
      <c r="I115" s="10"/>
      <c r="J115" s="10"/>
      <c r="K115" s="10"/>
      <c r="L115" s="10"/>
      <c r="M115" s="10"/>
      <c r="N115" s="10"/>
      <c r="O115" s="10"/>
      <c r="P115" s="10"/>
      <c r="Q115" s="464"/>
    </row>
    <row r="116" spans="7:17" hidden="1" x14ac:dyDescent="0.25">
      <c r="G116" s="463"/>
      <c r="H116" s="10"/>
      <c r="I116" s="10"/>
      <c r="J116" s="10"/>
      <c r="K116" s="10"/>
      <c r="L116" s="10"/>
      <c r="M116" s="10"/>
      <c r="N116" s="10"/>
      <c r="O116" s="10"/>
      <c r="P116" s="10"/>
      <c r="Q116" s="464"/>
    </row>
    <row r="117" spans="7:17" hidden="1" x14ac:dyDescent="0.25">
      <c r="G117" s="463"/>
      <c r="H117" s="10"/>
      <c r="I117" s="10"/>
      <c r="J117" s="10"/>
      <c r="K117" s="10"/>
      <c r="L117" s="10"/>
      <c r="M117" s="10"/>
      <c r="N117" s="10"/>
      <c r="O117" s="10"/>
      <c r="P117" s="10"/>
      <c r="Q117" s="464"/>
    </row>
    <row r="118" spans="7:17" hidden="1" x14ac:dyDescent="0.25">
      <c r="G118" s="463"/>
      <c r="H118" s="10"/>
      <c r="I118" s="10"/>
      <c r="J118" s="10"/>
      <c r="K118" s="10"/>
      <c r="L118" s="10"/>
      <c r="M118" s="10"/>
      <c r="N118" s="10"/>
      <c r="O118" s="10"/>
      <c r="P118" s="10"/>
      <c r="Q118" s="464"/>
    </row>
    <row r="119" spans="7:17" ht="15.75" hidden="1" thickBot="1" x14ac:dyDescent="0.3">
      <c r="G119" s="465"/>
      <c r="H119" s="466"/>
      <c r="I119" s="466"/>
      <c r="J119" s="466"/>
      <c r="K119" s="466"/>
      <c r="L119" s="466"/>
      <c r="M119" s="466"/>
      <c r="N119" s="466"/>
      <c r="O119" s="466"/>
      <c r="P119" s="466"/>
      <c r="Q119" s="467"/>
    </row>
    <row r="120" spans="7:17" hidden="1" x14ac:dyDescent="0.25"/>
    <row r="121" spans="7:17" hidden="1" x14ac:dyDescent="0.25"/>
    <row r="122" spans="7:17" hidden="1" x14ac:dyDescent="0.25"/>
    <row r="123" spans="7:17" hidden="1" x14ac:dyDescent="0.25"/>
    <row r="124" spans="7:17" hidden="1" x14ac:dyDescent="0.25"/>
    <row r="125" spans="7:17" hidden="1" x14ac:dyDescent="0.25"/>
    <row r="126" spans="7:17" hidden="1" x14ac:dyDescent="0.25"/>
    <row r="127" spans="7:17" ht="15.75" hidden="1" thickBot="1" x14ac:dyDescent="0.3">
      <c r="K127" s="471"/>
      <c r="L127" s="471"/>
      <c r="M127" s="471"/>
    </row>
    <row r="128" spans="7:17" hidden="1" x14ac:dyDescent="0.25">
      <c r="G128" s="460"/>
      <c r="H128" s="461"/>
      <c r="I128" s="461"/>
      <c r="J128" s="461"/>
      <c r="K128" s="461"/>
      <c r="L128" s="461"/>
      <c r="M128" s="461"/>
      <c r="N128" s="461"/>
      <c r="O128" s="461"/>
      <c r="P128" s="461"/>
      <c r="Q128" s="462"/>
    </row>
    <row r="129" spans="7:17" hidden="1" x14ac:dyDescent="0.25">
      <c r="G129" s="463"/>
      <c r="H129" s="10"/>
      <c r="I129" s="10"/>
      <c r="J129" s="10"/>
      <c r="K129" s="10"/>
      <c r="L129" s="10"/>
      <c r="M129" s="10"/>
      <c r="N129" s="10"/>
      <c r="O129" s="10"/>
      <c r="P129" s="10"/>
      <c r="Q129" s="464"/>
    </row>
    <row r="130" spans="7:17" hidden="1" x14ac:dyDescent="0.25">
      <c r="G130" s="463"/>
      <c r="H130" s="10"/>
      <c r="I130" s="10"/>
      <c r="J130" s="10"/>
      <c r="K130" s="10"/>
      <c r="L130" s="10"/>
      <c r="M130" s="10"/>
      <c r="N130" s="10"/>
      <c r="O130" s="10"/>
      <c r="P130" s="10"/>
      <c r="Q130" s="464"/>
    </row>
    <row r="131" spans="7:17" hidden="1" x14ac:dyDescent="0.25">
      <c r="G131" s="463"/>
      <c r="H131" s="10"/>
      <c r="I131" s="10"/>
      <c r="J131" s="10"/>
      <c r="K131" s="10"/>
      <c r="L131" s="10"/>
      <c r="M131" s="10"/>
      <c r="N131" s="10"/>
      <c r="O131" s="10"/>
      <c r="P131" s="10"/>
      <c r="Q131" s="464"/>
    </row>
    <row r="132" spans="7:17" hidden="1" x14ac:dyDescent="0.25">
      <c r="G132" s="463"/>
      <c r="H132" s="10"/>
      <c r="I132" s="10"/>
      <c r="J132" s="10"/>
      <c r="K132" s="10"/>
      <c r="L132" s="10"/>
      <c r="M132" s="10"/>
      <c r="N132" s="10"/>
      <c r="O132" s="10"/>
      <c r="P132" s="10"/>
      <c r="Q132" s="464"/>
    </row>
    <row r="133" spans="7:17" hidden="1" x14ac:dyDescent="0.25">
      <c r="G133" s="463"/>
      <c r="H133" s="10"/>
      <c r="I133" s="10"/>
      <c r="J133" s="10"/>
      <c r="K133" s="10"/>
      <c r="L133" s="10"/>
      <c r="M133" s="10"/>
      <c r="N133" s="10"/>
      <c r="O133" s="10"/>
      <c r="P133" s="10"/>
      <c r="Q133" s="464"/>
    </row>
    <row r="134" spans="7:17" hidden="1" x14ac:dyDescent="0.25">
      <c r="G134" s="463"/>
      <c r="H134" s="10"/>
      <c r="I134" s="10"/>
      <c r="J134" s="10"/>
      <c r="K134" s="10"/>
      <c r="L134" s="10"/>
      <c r="M134" s="10"/>
      <c r="N134" s="10"/>
      <c r="O134" s="10"/>
      <c r="P134" s="10"/>
      <c r="Q134" s="464"/>
    </row>
    <row r="135" spans="7:17" hidden="1" x14ac:dyDescent="0.25">
      <c r="G135" s="463"/>
      <c r="H135" s="10"/>
      <c r="I135" s="10"/>
      <c r="J135" s="10"/>
      <c r="K135" s="10"/>
      <c r="L135" s="10"/>
      <c r="M135" s="10"/>
      <c r="N135" s="10"/>
      <c r="O135" s="10"/>
      <c r="P135" s="10"/>
      <c r="Q135" s="464"/>
    </row>
    <row r="136" spans="7:17" hidden="1" x14ac:dyDescent="0.25">
      <c r="G136" s="463"/>
      <c r="H136" s="10"/>
      <c r="I136" s="10"/>
      <c r="J136" s="10"/>
      <c r="K136" s="10"/>
      <c r="L136" s="10"/>
      <c r="M136" s="10"/>
      <c r="N136" s="10"/>
      <c r="O136" s="10"/>
      <c r="P136" s="10"/>
      <c r="Q136" s="464"/>
    </row>
    <row r="137" spans="7:17" hidden="1" x14ac:dyDescent="0.25">
      <c r="G137" s="463"/>
      <c r="H137" s="10"/>
      <c r="I137" s="10"/>
      <c r="J137" s="10"/>
      <c r="K137" s="10"/>
      <c r="L137" s="10"/>
      <c r="M137" s="10"/>
      <c r="N137" s="10"/>
      <c r="O137" s="10"/>
      <c r="P137" s="10"/>
      <c r="Q137" s="464"/>
    </row>
    <row r="138" spans="7:17" hidden="1" x14ac:dyDescent="0.25">
      <c r="G138" s="463"/>
      <c r="H138" s="10"/>
      <c r="I138" s="10"/>
      <c r="J138" s="10"/>
      <c r="K138" s="10"/>
      <c r="L138" s="10"/>
      <c r="M138" s="10"/>
      <c r="N138" s="10"/>
      <c r="O138" s="10"/>
      <c r="P138" s="10"/>
      <c r="Q138" s="464"/>
    </row>
    <row r="139" spans="7:17" hidden="1" x14ac:dyDescent="0.25">
      <c r="G139" s="463"/>
      <c r="H139" s="10"/>
      <c r="I139" s="10"/>
      <c r="J139" s="10"/>
      <c r="K139" s="10"/>
      <c r="L139" s="10"/>
      <c r="M139" s="10"/>
      <c r="N139" s="10"/>
      <c r="O139" s="10"/>
      <c r="P139" s="10"/>
      <c r="Q139" s="464"/>
    </row>
    <row r="140" spans="7:17" hidden="1" x14ac:dyDescent="0.25">
      <c r="G140" s="463"/>
      <c r="H140" s="10"/>
      <c r="I140" s="10"/>
      <c r="J140" s="10"/>
      <c r="K140" s="10"/>
      <c r="L140" s="10"/>
      <c r="M140" s="10"/>
      <c r="N140" s="10"/>
      <c r="O140" s="10"/>
      <c r="P140" s="10"/>
      <c r="Q140" s="464"/>
    </row>
    <row r="141" spans="7:17" hidden="1" x14ac:dyDescent="0.25">
      <c r="G141" s="463"/>
      <c r="H141" s="10"/>
      <c r="I141" s="10"/>
      <c r="J141" s="10"/>
      <c r="K141" s="10"/>
      <c r="L141" s="10"/>
      <c r="M141" s="10"/>
      <c r="N141" s="10"/>
      <c r="O141" s="10"/>
      <c r="P141" s="10"/>
      <c r="Q141" s="464"/>
    </row>
    <row r="142" spans="7:17" hidden="1" x14ac:dyDescent="0.25">
      <c r="G142" s="463"/>
      <c r="H142" s="10"/>
      <c r="I142" s="10"/>
      <c r="J142" s="10"/>
      <c r="K142" s="10"/>
      <c r="L142" s="10"/>
      <c r="M142" s="10"/>
      <c r="N142" s="10"/>
      <c r="O142" s="10"/>
      <c r="P142" s="10"/>
      <c r="Q142" s="464"/>
    </row>
    <row r="143" spans="7:17" hidden="1" x14ac:dyDescent="0.25">
      <c r="G143" s="463"/>
      <c r="H143" s="10"/>
      <c r="I143" s="10"/>
      <c r="J143" s="10"/>
      <c r="K143" s="10"/>
      <c r="L143" s="10"/>
      <c r="M143" s="10"/>
      <c r="N143" s="10"/>
      <c r="O143" s="10"/>
      <c r="P143" s="10"/>
      <c r="Q143" s="464"/>
    </row>
    <row r="144" spans="7:17" hidden="1" x14ac:dyDescent="0.25">
      <c r="G144" s="463"/>
      <c r="H144" s="10"/>
      <c r="I144" s="10"/>
      <c r="J144" s="10"/>
      <c r="K144" s="10"/>
      <c r="L144" s="10"/>
      <c r="M144" s="10"/>
      <c r="N144" s="10"/>
      <c r="O144" s="10"/>
      <c r="P144" s="10"/>
      <c r="Q144" s="464"/>
    </row>
    <row r="145" spans="7:17" hidden="1" x14ac:dyDescent="0.25">
      <c r="G145" s="463"/>
      <c r="H145" s="10"/>
      <c r="I145" s="10"/>
      <c r="J145" s="10"/>
      <c r="K145" s="10"/>
      <c r="L145" s="10"/>
      <c r="M145" s="10"/>
      <c r="N145" s="10"/>
      <c r="O145" s="10"/>
      <c r="P145" s="10"/>
      <c r="Q145" s="464"/>
    </row>
    <row r="146" spans="7:17" hidden="1" x14ac:dyDescent="0.25">
      <c r="G146" s="463"/>
      <c r="H146" s="10"/>
      <c r="I146" s="10"/>
      <c r="J146" s="10"/>
      <c r="K146" s="10"/>
      <c r="L146" s="10"/>
      <c r="M146" s="10"/>
      <c r="N146" s="10"/>
      <c r="O146" s="10"/>
      <c r="P146" s="10"/>
      <c r="Q146" s="464"/>
    </row>
    <row r="147" spans="7:17" hidden="1" x14ac:dyDescent="0.25">
      <c r="G147" s="463"/>
      <c r="H147" s="10"/>
      <c r="I147" s="10"/>
      <c r="J147" s="10"/>
      <c r="K147" s="10"/>
      <c r="L147" s="10"/>
      <c r="M147" s="10"/>
      <c r="N147" s="10"/>
      <c r="O147" s="10"/>
      <c r="P147" s="10"/>
      <c r="Q147" s="464"/>
    </row>
    <row r="148" spans="7:17" hidden="1" x14ac:dyDescent="0.25">
      <c r="G148" s="463"/>
      <c r="H148" s="10"/>
      <c r="I148" s="10"/>
      <c r="J148" s="10"/>
      <c r="K148" s="10"/>
      <c r="L148" s="10"/>
      <c r="M148" s="10"/>
      <c r="N148" s="10"/>
      <c r="O148" s="10"/>
      <c r="P148" s="10"/>
      <c r="Q148" s="464"/>
    </row>
    <row r="149" spans="7:17" hidden="1" x14ac:dyDescent="0.25">
      <c r="G149" s="463"/>
      <c r="H149" s="10"/>
      <c r="I149" s="10"/>
      <c r="J149" s="10"/>
      <c r="K149" s="10"/>
      <c r="L149" s="10"/>
      <c r="M149" s="10"/>
      <c r="N149" s="10"/>
      <c r="O149" s="10"/>
      <c r="P149" s="10"/>
      <c r="Q149" s="464"/>
    </row>
    <row r="150" spans="7:17" hidden="1" x14ac:dyDescent="0.25">
      <c r="G150" s="463"/>
      <c r="H150" s="10"/>
      <c r="I150" s="10"/>
      <c r="J150" s="10"/>
      <c r="K150" s="10"/>
      <c r="L150" s="10"/>
      <c r="M150" s="10"/>
      <c r="N150" s="10"/>
      <c r="O150" s="10"/>
      <c r="P150" s="10"/>
      <c r="Q150" s="464"/>
    </row>
    <row r="151" spans="7:17" hidden="1" x14ac:dyDescent="0.25">
      <c r="G151" s="463"/>
      <c r="H151" s="10"/>
      <c r="I151" s="10"/>
      <c r="J151" s="10"/>
      <c r="K151" s="10"/>
      <c r="L151" s="10"/>
      <c r="M151" s="10"/>
      <c r="N151" s="10"/>
      <c r="O151" s="10"/>
      <c r="P151" s="10"/>
      <c r="Q151" s="464"/>
    </row>
    <row r="152" spans="7:17" hidden="1" x14ac:dyDescent="0.25">
      <c r="G152" s="463"/>
      <c r="H152" s="10"/>
      <c r="I152" s="10"/>
      <c r="J152" s="10"/>
      <c r="K152" s="10"/>
      <c r="L152" s="10"/>
      <c r="M152" s="10"/>
      <c r="N152" s="10"/>
      <c r="O152" s="10"/>
      <c r="P152" s="10"/>
      <c r="Q152" s="464"/>
    </row>
    <row r="153" spans="7:17" hidden="1" x14ac:dyDescent="0.25">
      <c r="G153" s="463"/>
      <c r="H153" s="10"/>
      <c r="I153" s="10"/>
      <c r="J153" s="10"/>
      <c r="K153" s="10"/>
      <c r="L153" s="10"/>
      <c r="M153" s="10"/>
      <c r="N153" s="10"/>
      <c r="O153" s="10"/>
      <c r="P153" s="10"/>
      <c r="Q153" s="464"/>
    </row>
    <row r="154" spans="7:17" hidden="1" x14ac:dyDescent="0.25">
      <c r="G154" s="463"/>
      <c r="H154" s="10"/>
      <c r="I154" s="10"/>
      <c r="J154" s="10"/>
      <c r="K154" s="10"/>
      <c r="L154" s="10"/>
      <c r="M154" s="10"/>
      <c r="N154" s="10"/>
      <c r="O154" s="10"/>
      <c r="P154" s="10"/>
      <c r="Q154" s="464"/>
    </row>
    <row r="155" spans="7:17" hidden="1" x14ac:dyDescent="0.25">
      <c r="G155" s="463"/>
      <c r="H155" s="10"/>
      <c r="I155" s="10"/>
      <c r="J155" s="10"/>
      <c r="K155" s="10"/>
      <c r="L155" s="10"/>
      <c r="M155" s="10"/>
      <c r="N155" s="10"/>
      <c r="O155" s="10"/>
      <c r="P155" s="10"/>
      <c r="Q155" s="464"/>
    </row>
    <row r="156" spans="7:17" hidden="1" x14ac:dyDescent="0.25">
      <c r="G156" s="463"/>
      <c r="H156" s="10"/>
      <c r="I156" s="10"/>
      <c r="J156" s="10"/>
      <c r="K156" s="10"/>
      <c r="L156" s="10"/>
      <c r="M156" s="10"/>
      <c r="N156" s="10"/>
      <c r="O156" s="10"/>
      <c r="P156" s="10"/>
      <c r="Q156" s="464"/>
    </row>
    <row r="157" spans="7:17" hidden="1" x14ac:dyDescent="0.25">
      <c r="G157" s="463"/>
      <c r="H157" s="10"/>
      <c r="I157" s="10"/>
      <c r="J157" s="10"/>
      <c r="K157" s="10"/>
      <c r="L157" s="10"/>
      <c r="M157" s="10"/>
      <c r="N157" s="10"/>
      <c r="O157" s="10"/>
      <c r="P157" s="10"/>
      <c r="Q157" s="464"/>
    </row>
    <row r="158" spans="7:17" hidden="1" x14ac:dyDescent="0.25">
      <c r="G158" s="463"/>
      <c r="H158" s="10"/>
      <c r="I158" s="10"/>
      <c r="J158" s="10"/>
      <c r="K158" s="10"/>
      <c r="L158" s="10"/>
      <c r="M158" s="10"/>
      <c r="N158" s="10"/>
      <c r="O158" s="10"/>
      <c r="P158" s="10"/>
      <c r="Q158" s="464"/>
    </row>
    <row r="159" spans="7:17" hidden="1" x14ac:dyDescent="0.25">
      <c r="G159" s="463"/>
      <c r="H159" s="10"/>
      <c r="I159" s="10"/>
      <c r="J159" s="10"/>
      <c r="K159" s="10"/>
      <c r="L159" s="10"/>
      <c r="M159" s="10"/>
      <c r="N159" s="10"/>
      <c r="O159" s="10"/>
      <c r="P159" s="10"/>
      <c r="Q159" s="464"/>
    </row>
    <row r="160" spans="7:17" hidden="1" x14ac:dyDescent="0.25">
      <c r="G160" s="463"/>
      <c r="H160" s="10"/>
      <c r="I160" s="10"/>
      <c r="J160" s="10"/>
      <c r="K160" s="10"/>
      <c r="L160" s="10"/>
      <c r="M160" s="10"/>
      <c r="N160" s="10"/>
      <c r="O160" s="10"/>
      <c r="P160" s="10"/>
      <c r="Q160" s="464"/>
    </row>
    <row r="161" spans="7:17" hidden="1" x14ac:dyDescent="0.25">
      <c r="G161" s="463"/>
      <c r="H161" s="10"/>
      <c r="I161" s="10"/>
      <c r="J161" s="10"/>
      <c r="K161" s="10"/>
      <c r="L161" s="10"/>
      <c r="M161" s="10"/>
      <c r="N161" s="10"/>
      <c r="O161" s="10"/>
      <c r="P161" s="10"/>
      <c r="Q161" s="464"/>
    </row>
    <row r="162" spans="7:17" hidden="1" x14ac:dyDescent="0.25">
      <c r="G162" s="463"/>
      <c r="H162" s="10"/>
      <c r="I162" s="10"/>
      <c r="J162" s="10"/>
      <c r="K162" s="10"/>
      <c r="L162" s="10"/>
      <c r="M162" s="10"/>
      <c r="N162" s="10"/>
      <c r="O162" s="10"/>
      <c r="P162" s="10"/>
      <c r="Q162" s="464"/>
    </row>
    <row r="163" spans="7:17" hidden="1" x14ac:dyDescent="0.25">
      <c r="G163" s="463"/>
      <c r="H163" s="10"/>
      <c r="I163" s="10"/>
      <c r="J163" s="10"/>
      <c r="K163" s="10"/>
      <c r="L163" s="10"/>
      <c r="M163" s="10"/>
      <c r="N163" s="10"/>
      <c r="O163" s="10"/>
      <c r="P163" s="10"/>
      <c r="Q163" s="464"/>
    </row>
    <row r="164" spans="7:17" hidden="1" x14ac:dyDescent="0.25">
      <c r="G164" s="463"/>
      <c r="H164" s="10"/>
      <c r="I164" s="10"/>
      <c r="J164" s="10"/>
      <c r="K164" s="10"/>
      <c r="L164" s="10"/>
      <c r="M164" s="10"/>
      <c r="N164" s="10"/>
      <c r="O164" s="10"/>
      <c r="P164" s="10"/>
      <c r="Q164" s="464"/>
    </row>
    <row r="165" spans="7:17" hidden="1" x14ac:dyDescent="0.25">
      <c r="G165" s="463"/>
      <c r="H165" s="10"/>
      <c r="I165" s="10"/>
      <c r="J165" s="10"/>
      <c r="K165" s="10"/>
      <c r="L165" s="10"/>
      <c r="M165" s="10"/>
      <c r="N165" s="10"/>
      <c r="O165" s="10"/>
      <c r="P165" s="10"/>
      <c r="Q165" s="464"/>
    </row>
    <row r="166" spans="7:17" hidden="1" x14ac:dyDescent="0.25">
      <c r="G166" s="463"/>
      <c r="H166" s="10"/>
      <c r="I166" s="10"/>
      <c r="J166" s="10"/>
      <c r="K166" s="10"/>
      <c r="L166" s="10"/>
      <c r="M166" s="10"/>
      <c r="N166" s="10"/>
      <c r="O166" s="10"/>
      <c r="P166" s="10"/>
      <c r="Q166" s="464"/>
    </row>
    <row r="167" spans="7:17" hidden="1" x14ac:dyDescent="0.25">
      <c r="G167" s="463"/>
      <c r="H167" s="10"/>
      <c r="I167" s="10"/>
      <c r="J167" s="10"/>
      <c r="K167" s="10"/>
      <c r="L167" s="10"/>
      <c r="M167" s="10"/>
      <c r="N167" s="10"/>
      <c r="O167" s="10"/>
      <c r="P167" s="10"/>
      <c r="Q167" s="464"/>
    </row>
    <row r="168" spans="7:17" hidden="1" x14ac:dyDescent="0.25">
      <c r="G168" s="463"/>
      <c r="H168" s="10"/>
      <c r="I168" s="10"/>
      <c r="J168" s="10"/>
      <c r="K168" s="10"/>
      <c r="L168" s="10"/>
      <c r="M168" s="10"/>
      <c r="N168" s="10"/>
      <c r="O168" s="10"/>
      <c r="P168" s="10"/>
      <c r="Q168" s="464"/>
    </row>
    <row r="169" spans="7:17" hidden="1" x14ac:dyDescent="0.25">
      <c r="G169" s="463"/>
      <c r="H169" s="10"/>
      <c r="I169" s="10"/>
      <c r="J169" s="10"/>
      <c r="K169" s="10"/>
      <c r="L169" s="10"/>
      <c r="M169" s="10"/>
      <c r="N169" s="10"/>
      <c r="O169" s="10"/>
      <c r="P169" s="10"/>
      <c r="Q169" s="464"/>
    </row>
    <row r="170" spans="7:17" hidden="1" x14ac:dyDescent="0.25">
      <c r="G170" s="463"/>
      <c r="H170" s="10"/>
      <c r="I170" s="10"/>
      <c r="J170" s="10"/>
      <c r="K170" s="10"/>
      <c r="L170" s="10"/>
      <c r="M170" s="10"/>
      <c r="N170" s="10"/>
      <c r="O170" s="10"/>
      <c r="P170" s="10"/>
      <c r="Q170" s="464"/>
    </row>
    <row r="171" spans="7:17" hidden="1" x14ac:dyDescent="0.25">
      <c r="G171" s="463"/>
      <c r="H171" s="10"/>
      <c r="I171" s="10"/>
      <c r="J171" s="10"/>
      <c r="K171" s="10"/>
      <c r="L171" s="10"/>
      <c r="M171" s="10"/>
      <c r="N171" s="10"/>
      <c r="O171" s="10"/>
      <c r="P171" s="10"/>
      <c r="Q171" s="464"/>
    </row>
    <row r="172" spans="7:17" hidden="1" x14ac:dyDescent="0.25">
      <c r="G172" s="463"/>
      <c r="H172" s="10"/>
      <c r="I172" s="10"/>
      <c r="J172" s="10"/>
      <c r="K172" s="10"/>
      <c r="L172" s="10"/>
      <c r="M172" s="10"/>
      <c r="N172" s="10"/>
      <c r="O172" s="10"/>
      <c r="P172" s="10"/>
      <c r="Q172" s="464"/>
    </row>
    <row r="173" spans="7:17" hidden="1" x14ac:dyDescent="0.25">
      <c r="G173" s="463"/>
      <c r="H173" s="10"/>
      <c r="I173" s="10"/>
      <c r="J173" s="10"/>
      <c r="K173" s="10"/>
      <c r="L173" s="10"/>
      <c r="M173" s="10"/>
      <c r="N173" s="10"/>
      <c r="O173" s="10"/>
      <c r="P173" s="10"/>
      <c r="Q173" s="464"/>
    </row>
    <row r="174" spans="7:17" hidden="1" x14ac:dyDescent="0.25">
      <c r="G174" s="463"/>
      <c r="H174" s="10"/>
      <c r="I174" s="10"/>
      <c r="J174" s="10"/>
      <c r="K174" s="10"/>
      <c r="L174" s="10"/>
      <c r="M174" s="10"/>
      <c r="N174" s="10"/>
      <c r="O174" s="10"/>
      <c r="P174" s="10"/>
      <c r="Q174" s="464"/>
    </row>
    <row r="175" spans="7:17" hidden="1" x14ac:dyDescent="0.25">
      <c r="G175" s="463"/>
      <c r="H175" s="10"/>
      <c r="I175" s="10"/>
      <c r="J175" s="10"/>
      <c r="K175" s="10"/>
      <c r="L175" s="10"/>
      <c r="M175" s="10"/>
      <c r="N175" s="10"/>
      <c r="O175" s="10"/>
      <c r="P175" s="10"/>
      <c r="Q175" s="464"/>
    </row>
    <row r="176" spans="7:17" hidden="1" x14ac:dyDescent="0.25">
      <c r="G176" s="463"/>
      <c r="H176" s="10"/>
      <c r="I176" s="10"/>
      <c r="J176" s="10"/>
      <c r="K176" s="10"/>
      <c r="L176" s="10"/>
      <c r="M176" s="10"/>
      <c r="N176" s="10"/>
      <c r="O176" s="10"/>
      <c r="P176" s="10"/>
      <c r="Q176" s="464"/>
    </row>
    <row r="177" spans="7:17" hidden="1" x14ac:dyDescent="0.25">
      <c r="G177" s="463"/>
      <c r="H177" s="10"/>
      <c r="I177" s="10"/>
      <c r="J177" s="10"/>
      <c r="K177" s="10"/>
      <c r="L177" s="10"/>
      <c r="M177" s="10"/>
      <c r="N177" s="10"/>
      <c r="O177" s="10"/>
      <c r="P177" s="10"/>
      <c r="Q177" s="464"/>
    </row>
    <row r="178" spans="7:17" hidden="1" x14ac:dyDescent="0.25">
      <c r="G178" s="463"/>
      <c r="H178" s="10"/>
      <c r="I178" s="10"/>
      <c r="J178" s="10"/>
      <c r="K178" s="10"/>
      <c r="L178" s="10"/>
      <c r="M178" s="10"/>
      <c r="N178" s="10"/>
      <c r="O178" s="10"/>
      <c r="P178" s="10"/>
      <c r="Q178" s="464"/>
    </row>
    <row r="179" spans="7:17" hidden="1" x14ac:dyDescent="0.25">
      <c r="G179" s="463"/>
      <c r="H179" s="10"/>
      <c r="I179" s="10"/>
      <c r="J179" s="10"/>
      <c r="K179" s="10"/>
      <c r="L179" s="10"/>
      <c r="M179" s="10"/>
      <c r="N179" s="10"/>
      <c r="O179" s="10"/>
      <c r="P179" s="10"/>
      <c r="Q179" s="464"/>
    </row>
    <row r="180" spans="7:17" hidden="1" x14ac:dyDescent="0.25">
      <c r="G180" s="463"/>
      <c r="H180" s="10"/>
      <c r="I180" s="10"/>
      <c r="J180" s="10"/>
      <c r="K180" s="10"/>
      <c r="L180" s="10"/>
      <c r="M180" s="10"/>
      <c r="N180" s="10"/>
      <c r="O180" s="10"/>
      <c r="P180" s="10"/>
      <c r="Q180" s="464"/>
    </row>
    <row r="181" spans="7:17" hidden="1" x14ac:dyDescent="0.25">
      <c r="G181" s="463"/>
      <c r="H181" s="10"/>
      <c r="I181" s="10"/>
      <c r="J181" s="10"/>
      <c r="K181" s="10"/>
      <c r="L181" s="10"/>
      <c r="M181" s="10"/>
      <c r="N181" s="10"/>
      <c r="O181" s="10"/>
      <c r="P181" s="10"/>
      <c r="Q181" s="464"/>
    </row>
    <row r="182" spans="7:17" hidden="1" x14ac:dyDescent="0.25">
      <c r="G182" s="463"/>
      <c r="H182" s="10"/>
      <c r="I182" s="10"/>
      <c r="J182" s="10"/>
      <c r="K182" s="10"/>
      <c r="L182" s="10"/>
      <c r="M182" s="10"/>
      <c r="N182" s="10"/>
      <c r="O182" s="10"/>
      <c r="P182" s="10"/>
      <c r="Q182" s="464"/>
    </row>
    <row r="183" spans="7:17" hidden="1" x14ac:dyDescent="0.25">
      <c r="G183" s="463"/>
      <c r="H183" s="10"/>
      <c r="I183" s="10"/>
      <c r="J183" s="10"/>
      <c r="K183" s="10"/>
      <c r="L183" s="10"/>
      <c r="M183" s="10"/>
      <c r="N183" s="10"/>
      <c r="O183" s="10"/>
      <c r="P183" s="10"/>
      <c r="Q183" s="464"/>
    </row>
    <row r="184" spans="7:17" hidden="1" x14ac:dyDescent="0.25">
      <c r="G184" s="463"/>
      <c r="H184" s="10"/>
      <c r="I184" s="10"/>
      <c r="J184" s="10"/>
      <c r="K184" s="10"/>
      <c r="L184" s="10"/>
      <c r="M184" s="10"/>
      <c r="N184" s="10"/>
      <c r="O184" s="10"/>
      <c r="P184" s="10"/>
      <c r="Q184" s="464"/>
    </row>
    <row r="185" spans="7:17" hidden="1" x14ac:dyDescent="0.25">
      <c r="G185" s="463"/>
      <c r="H185" s="10"/>
      <c r="I185" s="10"/>
      <c r="J185" s="10"/>
      <c r="K185" s="10"/>
      <c r="L185" s="10"/>
      <c r="M185" s="10"/>
      <c r="N185" s="10"/>
      <c r="O185" s="10"/>
      <c r="P185" s="10"/>
      <c r="Q185" s="464"/>
    </row>
    <row r="186" spans="7:17" hidden="1" x14ac:dyDescent="0.25">
      <c r="G186" s="463"/>
      <c r="H186" s="10"/>
      <c r="I186" s="10"/>
      <c r="J186" s="10"/>
      <c r="K186" s="10"/>
      <c r="L186" s="10"/>
      <c r="M186" s="10"/>
      <c r="N186" s="10"/>
      <c r="O186" s="10"/>
      <c r="P186" s="10"/>
      <c r="Q186" s="464"/>
    </row>
    <row r="187" spans="7:17" hidden="1" x14ac:dyDescent="0.25">
      <c r="G187" s="463"/>
      <c r="H187" s="10"/>
      <c r="I187" s="10"/>
      <c r="J187" s="10"/>
      <c r="K187" s="10"/>
      <c r="L187" s="10"/>
      <c r="M187" s="10"/>
      <c r="N187" s="10"/>
      <c r="O187" s="10"/>
      <c r="P187" s="10"/>
      <c r="Q187" s="464"/>
    </row>
    <row r="188" spans="7:17" hidden="1" x14ac:dyDescent="0.25">
      <c r="G188" s="463"/>
      <c r="H188" s="10"/>
      <c r="I188" s="10"/>
      <c r="J188" s="10"/>
      <c r="K188" s="10"/>
      <c r="L188" s="10"/>
      <c r="M188" s="10"/>
      <c r="N188" s="10"/>
      <c r="O188" s="10"/>
      <c r="P188" s="10"/>
      <c r="Q188" s="464"/>
    </row>
    <row r="189" spans="7:17" hidden="1" x14ac:dyDescent="0.25">
      <c r="G189" s="463"/>
      <c r="H189" s="10"/>
      <c r="I189" s="10"/>
      <c r="J189" s="10"/>
      <c r="K189" s="10"/>
      <c r="L189" s="10"/>
      <c r="M189" s="10"/>
      <c r="N189" s="10"/>
      <c r="O189" s="10"/>
      <c r="P189" s="10"/>
      <c r="Q189" s="464"/>
    </row>
    <row r="190" spans="7:17" hidden="1" x14ac:dyDescent="0.25">
      <c r="G190" s="463"/>
      <c r="H190" s="10"/>
      <c r="I190" s="10"/>
      <c r="J190" s="10"/>
      <c r="K190" s="10"/>
      <c r="L190" s="10"/>
      <c r="M190" s="10"/>
      <c r="N190" s="10"/>
      <c r="O190" s="10"/>
      <c r="P190" s="10"/>
      <c r="Q190" s="464"/>
    </row>
    <row r="191" spans="7:17" hidden="1" x14ac:dyDescent="0.25">
      <c r="G191" s="463"/>
      <c r="H191" s="10"/>
      <c r="I191" s="10"/>
      <c r="J191" s="10"/>
      <c r="K191" s="10"/>
      <c r="L191" s="10"/>
      <c r="M191" s="10"/>
      <c r="N191" s="10"/>
      <c r="O191" s="10"/>
      <c r="P191" s="10"/>
      <c r="Q191" s="464"/>
    </row>
    <row r="192" spans="7:17" hidden="1" x14ac:dyDescent="0.25">
      <c r="G192" s="463"/>
      <c r="H192" s="10"/>
      <c r="I192" s="10"/>
      <c r="J192" s="10"/>
      <c r="K192" s="10"/>
      <c r="L192" s="10"/>
      <c r="M192" s="10"/>
      <c r="N192" s="10"/>
      <c r="O192" s="10"/>
      <c r="P192" s="10"/>
      <c r="Q192" s="464"/>
    </row>
    <row r="193" spans="7:17" hidden="1" x14ac:dyDescent="0.25">
      <c r="G193" s="463"/>
      <c r="H193" s="10"/>
      <c r="I193" s="10"/>
      <c r="J193" s="10"/>
      <c r="K193" s="10"/>
      <c r="L193" s="10"/>
      <c r="M193" s="10"/>
      <c r="N193" s="10"/>
      <c r="O193" s="10"/>
      <c r="P193" s="10"/>
      <c r="Q193" s="464"/>
    </row>
    <row r="194" spans="7:17" hidden="1" x14ac:dyDescent="0.25">
      <c r="G194" s="463"/>
      <c r="H194" s="10"/>
      <c r="I194" s="10"/>
      <c r="J194" s="10"/>
      <c r="K194" s="10"/>
      <c r="L194" s="10"/>
      <c r="M194" s="10"/>
      <c r="N194" s="10"/>
      <c r="O194" s="10"/>
      <c r="P194" s="10"/>
      <c r="Q194" s="464"/>
    </row>
    <row r="195" spans="7:17" hidden="1" x14ac:dyDescent="0.25">
      <c r="G195" s="463"/>
      <c r="H195" s="10"/>
      <c r="I195" s="10"/>
      <c r="J195" s="10"/>
      <c r="K195" s="10"/>
      <c r="L195" s="10"/>
      <c r="M195" s="10"/>
      <c r="N195" s="10"/>
      <c r="O195" s="10"/>
      <c r="P195" s="10"/>
      <c r="Q195" s="464"/>
    </row>
    <row r="196" spans="7:17" hidden="1" x14ac:dyDescent="0.25">
      <c r="G196" s="463"/>
      <c r="H196" s="10"/>
      <c r="I196" s="10"/>
      <c r="J196" s="10"/>
      <c r="K196" s="10"/>
      <c r="L196" s="10"/>
      <c r="M196" s="10"/>
      <c r="N196" s="10"/>
      <c r="O196" s="10"/>
      <c r="P196" s="10"/>
      <c r="Q196" s="464"/>
    </row>
    <row r="197" spans="7:17" hidden="1" x14ac:dyDescent="0.25">
      <c r="G197" s="463"/>
      <c r="H197" s="10"/>
      <c r="I197" s="10"/>
      <c r="J197" s="10"/>
      <c r="K197" s="10"/>
      <c r="L197" s="10"/>
      <c r="M197" s="10"/>
      <c r="N197" s="10"/>
      <c r="O197" s="10"/>
      <c r="P197" s="10"/>
      <c r="Q197" s="464"/>
    </row>
    <row r="198" spans="7:17" hidden="1" x14ac:dyDescent="0.25">
      <c r="G198" s="463"/>
      <c r="H198" s="10"/>
      <c r="I198" s="10"/>
      <c r="J198" s="10"/>
      <c r="K198" s="10"/>
      <c r="L198" s="10"/>
      <c r="M198" s="10"/>
      <c r="N198" s="10"/>
      <c r="O198" s="10"/>
      <c r="P198" s="10"/>
      <c r="Q198" s="464"/>
    </row>
    <row r="199" spans="7:17" hidden="1" x14ac:dyDescent="0.25">
      <c r="G199" s="463"/>
      <c r="H199" s="10"/>
      <c r="I199" s="10"/>
      <c r="J199" s="10"/>
      <c r="K199" s="10"/>
      <c r="L199" s="10"/>
      <c r="M199" s="10"/>
      <c r="N199" s="10"/>
      <c r="O199" s="10"/>
      <c r="P199" s="10"/>
      <c r="Q199" s="464"/>
    </row>
    <row r="200" spans="7:17" hidden="1" x14ac:dyDescent="0.25">
      <c r="G200" s="463"/>
      <c r="H200" s="10"/>
      <c r="I200" s="10"/>
      <c r="J200" s="10"/>
      <c r="K200" s="10"/>
      <c r="L200" s="10"/>
      <c r="M200" s="10"/>
      <c r="N200" s="10"/>
      <c r="O200" s="10"/>
      <c r="P200" s="10"/>
      <c r="Q200" s="464"/>
    </row>
    <row r="201" spans="7:17" hidden="1" x14ac:dyDescent="0.25">
      <c r="G201" s="463"/>
      <c r="H201" s="10"/>
      <c r="I201" s="10"/>
      <c r="J201" s="10"/>
      <c r="K201" s="10"/>
      <c r="L201" s="10"/>
      <c r="M201" s="10"/>
      <c r="N201" s="10"/>
      <c r="O201" s="10"/>
      <c r="P201" s="10"/>
      <c r="Q201" s="464"/>
    </row>
    <row r="202" spans="7:17" hidden="1" x14ac:dyDescent="0.25">
      <c r="G202" s="463"/>
      <c r="H202" s="10"/>
      <c r="I202" s="10"/>
      <c r="J202" s="10"/>
      <c r="K202" s="10"/>
      <c r="L202" s="10"/>
      <c r="M202" s="10"/>
      <c r="N202" s="10"/>
      <c r="O202" s="10"/>
      <c r="P202" s="10"/>
      <c r="Q202" s="464"/>
    </row>
    <row r="203" spans="7:17" hidden="1" x14ac:dyDescent="0.25">
      <c r="G203" s="463"/>
      <c r="H203" s="10"/>
      <c r="I203" s="10"/>
      <c r="J203" s="10"/>
      <c r="K203" s="10"/>
      <c r="L203" s="10"/>
      <c r="M203" s="10"/>
      <c r="N203" s="10"/>
      <c r="O203" s="10"/>
      <c r="P203" s="10"/>
      <c r="Q203" s="464"/>
    </row>
    <row r="204" spans="7:17" hidden="1" x14ac:dyDescent="0.25">
      <c r="G204" s="463"/>
      <c r="H204" s="10"/>
      <c r="I204" s="10"/>
      <c r="J204" s="10"/>
      <c r="K204" s="10"/>
      <c r="L204" s="10"/>
      <c r="M204" s="10"/>
      <c r="N204" s="10"/>
      <c r="O204" s="10"/>
      <c r="P204" s="10"/>
      <c r="Q204" s="464"/>
    </row>
    <row r="205" spans="7:17" hidden="1" x14ac:dyDescent="0.25">
      <c r="G205" s="463"/>
      <c r="H205" s="10"/>
      <c r="I205" s="10"/>
      <c r="J205" s="10"/>
      <c r="K205" s="10"/>
      <c r="L205" s="10"/>
      <c r="M205" s="10"/>
      <c r="N205" s="10"/>
      <c r="O205" s="10"/>
      <c r="P205" s="10"/>
      <c r="Q205" s="464"/>
    </row>
    <row r="206" spans="7:17" hidden="1" x14ac:dyDescent="0.25">
      <c r="G206" s="463"/>
      <c r="H206" s="10"/>
      <c r="I206" s="10"/>
      <c r="J206" s="10"/>
      <c r="K206" s="10"/>
      <c r="L206" s="10"/>
      <c r="M206" s="10"/>
      <c r="N206" s="10"/>
      <c r="O206" s="10"/>
      <c r="P206" s="10"/>
      <c r="Q206" s="464"/>
    </row>
    <row r="207" spans="7:17" hidden="1" x14ac:dyDescent="0.25">
      <c r="G207" s="463"/>
      <c r="H207" s="10"/>
      <c r="I207" s="10"/>
      <c r="J207" s="10"/>
      <c r="K207" s="10"/>
      <c r="L207" s="10"/>
      <c r="M207" s="10"/>
      <c r="N207" s="10"/>
      <c r="O207" s="10"/>
      <c r="P207" s="10"/>
      <c r="Q207" s="464"/>
    </row>
    <row r="208" spans="7:17" hidden="1" x14ac:dyDescent="0.25">
      <c r="G208" s="463"/>
      <c r="H208" s="10"/>
      <c r="I208" s="10"/>
      <c r="J208" s="10"/>
      <c r="K208" s="10"/>
      <c r="L208" s="10"/>
      <c r="M208" s="10"/>
      <c r="N208" s="10"/>
      <c r="O208" s="10"/>
      <c r="P208" s="10"/>
      <c r="Q208" s="464"/>
    </row>
    <row r="209" spans="7:17" hidden="1" x14ac:dyDescent="0.25">
      <c r="G209" s="463"/>
      <c r="H209" s="10"/>
      <c r="I209" s="10"/>
      <c r="J209" s="10"/>
      <c r="K209" s="10"/>
      <c r="L209" s="10"/>
      <c r="M209" s="10"/>
      <c r="N209" s="10"/>
      <c r="O209" s="10"/>
      <c r="P209" s="10"/>
      <c r="Q209" s="464"/>
    </row>
    <row r="210" spans="7:17" hidden="1" x14ac:dyDescent="0.25">
      <c r="G210" s="463"/>
      <c r="H210" s="10"/>
      <c r="I210" s="10"/>
      <c r="J210" s="10"/>
      <c r="K210" s="10"/>
      <c r="L210" s="10"/>
      <c r="M210" s="10"/>
      <c r="N210" s="10"/>
      <c r="O210" s="10"/>
      <c r="P210" s="10"/>
      <c r="Q210" s="464"/>
    </row>
    <row r="211" spans="7:17" hidden="1" x14ac:dyDescent="0.25">
      <c r="G211" s="463"/>
      <c r="H211" s="10"/>
      <c r="I211" s="10"/>
      <c r="J211" s="10"/>
      <c r="K211" s="10"/>
      <c r="L211" s="10"/>
      <c r="M211" s="10"/>
      <c r="N211" s="10"/>
      <c r="O211" s="10"/>
      <c r="P211" s="10"/>
      <c r="Q211" s="464"/>
    </row>
    <row r="212" spans="7:17" hidden="1" x14ac:dyDescent="0.25">
      <c r="G212" s="463"/>
      <c r="H212" s="10"/>
      <c r="I212" s="10"/>
      <c r="J212" s="10"/>
      <c r="K212" s="10"/>
      <c r="L212" s="10"/>
      <c r="M212" s="10"/>
      <c r="N212" s="10"/>
      <c r="O212" s="10"/>
      <c r="P212" s="10"/>
      <c r="Q212" s="464"/>
    </row>
    <row r="213" spans="7:17" hidden="1" x14ac:dyDescent="0.25">
      <c r="G213" s="463"/>
      <c r="H213" s="10"/>
      <c r="I213" s="10"/>
      <c r="J213" s="10"/>
      <c r="K213" s="10"/>
      <c r="L213" s="10"/>
      <c r="M213" s="10"/>
      <c r="N213" s="10"/>
      <c r="O213" s="10"/>
      <c r="P213" s="10"/>
      <c r="Q213" s="464"/>
    </row>
    <row r="214" spans="7:17" hidden="1" x14ac:dyDescent="0.25">
      <c r="G214" s="463"/>
      <c r="H214" s="10"/>
      <c r="I214" s="10"/>
      <c r="J214" s="10"/>
      <c r="K214" s="10"/>
      <c r="L214" s="10"/>
      <c r="M214" s="10"/>
      <c r="N214" s="10"/>
      <c r="O214" s="10"/>
      <c r="P214" s="10"/>
      <c r="Q214" s="464"/>
    </row>
    <row r="215" spans="7:17" hidden="1" x14ac:dyDescent="0.25">
      <c r="G215" s="463"/>
      <c r="H215" s="10"/>
      <c r="I215" s="10"/>
      <c r="J215" s="10"/>
      <c r="K215" s="10"/>
      <c r="L215" s="10"/>
      <c r="M215" s="10"/>
      <c r="N215" s="10"/>
      <c r="O215" s="10"/>
      <c r="P215" s="10"/>
      <c r="Q215" s="464"/>
    </row>
    <row r="216" spans="7:17" hidden="1" x14ac:dyDescent="0.25">
      <c r="G216" s="463"/>
      <c r="H216" s="10"/>
      <c r="I216" s="10"/>
      <c r="J216" s="10"/>
      <c r="K216" s="10"/>
      <c r="L216" s="10"/>
      <c r="M216" s="10"/>
      <c r="N216" s="10"/>
      <c r="O216" s="10"/>
      <c r="P216" s="10"/>
      <c r="Q216" s="464"/>
    </row>
    <row r="217" spans="7:17" hidden="1" x14ac:dyDescent="0.25">
      <c r="G217" s="463"/>
      <c r="H217" s="10"/>
      <c r="I217" s="10"/>
      <c r="J217" s="10"/>
      <c r="K217" s="10"/>
      <c r="L217" s="10"/>
      <c r="M217" s="10"/>
      <c r="N217" s="10"/>
      <c r="O217" s="10"/>
      <c r="P217" s="10"/>
      <c r="Q217" s="464"/>
    </row>
    <row r="218" spans="7:17" hidden="1" x14ac:dyDescent="0.25">
      <c r="G218" s="463"/>
      <c r="H218" s="10"/>
      <c r="I218" s="10"/>
      <c r="J218" s="10"/>
      <c r="K218" s="10"/>
      <c r="L218" s="10"/>
      <c r="M218" s="10"/>
      <c r="N218" s="10"/>
      <c r="O218" s="10"/>
      <c r="P218" s="10"/>
      <c r="Q218" s="464"/>
    </row>
    <row r="219" spans="7:17" hidden="1" x14ac:dyDescent="0.25">
      <c r="G219" s="463"/>
      <c r="H219" s="10"/>
      <c r="I219" s="10"/>
      <c r="J219" s="10"/>
      <c r="K219" s="10"/>
      <c r="L219" s="10"/>
      <c r="M219" s="10"/>
      <c r="N219" s="10"/>
      <c r="O219" s="10"/>
      <c r="P219" s="10"/>
      <c r="Q219" s="464"/>
    </row>
    <row r="220" spans="7:17" hidden="1" x14ac:dyDescent="0.25">
      <c r="G220" s="463"/>
      <c r="H220" s="10"/>
      <c r="I220" s="10"/>
      <c r="J220" s="10"/>
      <c r="K220" s="10"/>
      <c r="L220" s="10"/>
      <c r="M220" s="10"/>
      <c r="N220" s="10"/>
      <c r="O220" s="10"/>
      <c r="P220" s="10"/>
      <c r="Q220" s="464"/>
    </row>
    <row r="221" spans="7:17" hidden="1" x14ac:dyDescent="0.25">
      <c r="G221" s="463"/>
      <c r="H221" s="10"/>
      <c r="I221" s="10"/>
      <c r="J221" s="10"/>
      <c r="K221" s="10"/>
      <c r="L221" s="10"/>
      <c r="M221" s="10"/>
      <c r="N221" s="10"/>
      <c r="O221" s="10"/>
      <c r="P221" s="10"/>
      <c r="Q221" s="464"/>
    </row>
    <row r="222" spans="7:17" hidden="1" x14ac:dyDescent="0.25">
      <c r="G222" s="463"/>
      <c r="H222" s="10"/>
      <c r="I222" s="10"/>
      <c r="J222" s="10"/>
      <c r="K222" s="10"/>
      <c r="L222" s="10"/>
      <c r="M222" s="10"/>
      <c r="N222" s="10"/>
      <c r="O222" s="10"/>
      <c r="P222" s="10"/>
      <c r="Q222" s="464"/>
    </row>
    <row r="223" spans="7:17" hidden="1" x14ac:dyDescent="0.25">
      <c r="G223" s="463"/>
      <c r="H223" s="10"/>
      <c r="I223" s="10"/>
      <c r="J223" s="10"/>
      <c r="K223" s="10"/>
      <c r="L223" s="10"/>
      <c r="M223" s="10"/>
      <c r="N223" s="10"/>
      <c r="O223" s="10"/>
      <c r="P223" s="10"/>
      <c r="Q223" s="464"/>
    </row>
    <row r="224" spans="7:17" hidden="1" x14ac:dyDescent="0.25">
      <c r="G224" s="463"/>
      <c r="H224" s="10"/>
      <c r="I224" s="10"/>
      <c r="J224" s="10"/>
      <c r="K224" s="10"/>
      <c r="L224" s="10"/>
      <c r="M224" s="10"/>
      <c r="N224" s="10"/>
      <c r="O224" s="10"/>
      <c r="P224" s="10"/>
      <c r="Q224" s="464"/>
    </row>
    <row r="225" spans="7:17" hidden="1" x14ac:dyDescent="0.25">
      <c r="G225" s="463"/>
      <c r="H225" s="10"/>
      <c r="I225" s="10"/>
      <c r="J225" s="10"/>
      <c r="K225" s="10"/>
      <c r="L225" s="10"/>
      <c r="M225" s="10"/>
      <c r="N225" s="10"/>
      <c r="O225" s="10"/>
      <c r="P225" s="10"/>
      <c r="Q225" s="464"/>
    </row>
    <row r="226" spans="7:17" hidden="1" x14ac:dyDescent="0.25">
      <c r="G226" s="463"/>
      <c r="H226" s="10"/>
      <c r="I226" s="10"/>
      <c r="J226" s="10"/>
      <c r="K226" s="10"/>
      <c r="L226" s="10"/>
      <c r="M226" s="10"/>
      <c r="N226" s="10"/>
      <c r="O226" s="10"/>
      <c r="P226" s="10"/>
      <c r="Q226" s="464"/>
    </row>
    <row r="227" spans="7:17" hidden="1" x14ac:dyDescent="0.25">
      <c r="G227" s="463"/>
      <c r="H227" s="10"/>
      <c r="I227" s="10"/>
      <c r="J227" s="10"/>
      <c r="K227" s="10"/>
      <c r="L227" s="10"/>
      <c r="M227" s="10"/>
      <c r="N227" s="10"/>
      <c r="O227" s="10"/>
      <c r="P227" s="10"/>
      <c r="Q227" s="464"/>
    </row>
    <row r="228" spans="7:17" hidden="1" x14ac:dyDescent="0.25">
      <c r="G228" s="463"/>
      <c r="H228" s="10"/>
      <c r="I228" s="10"/>
      <c r="J228" s="10"/>
      <c r="K228" s="10"/>
      <c r="L228" s="10"/>
      <c r="M228" s="10"/>
      <c r="N228" s="10"/>
      <c r="O228" s="10"/>
      <c r="P228" s="10"/>
      <c r="Q228" s="464"/>
    </row>
    <row r="229" spans="7:17" hidden="1" x14ac:dyDescent="0.25">
      <c r="G229" s="463"/>
      <c r="H229" s="10"/>
      <c r="I229" s="10"/>
      <c r="J229" s="10"/>
      <c r="K229" s="10"/>
      <c r="L229" s="10"/>
      <c r="M229" s="10"/>
      <c r="N229" s="10"/>
      <c r="O229" s="10"/>
      <c r="P229" s="10"/>
      <c r="Q229" s="464"/>
    </row>
    <row r="230" spans="7:17" hidden="1" x14ac:dyDescent="0.25">
      <c r="G230" s="463"/>
      <c r="H230" s="10"/>
      <c r="I230" s="10"/>
      <c r="J230" s="10"/>
      <c r="K230" s="10"/>
      <c r="L230" s="10"/>
      <c r="M230" s="10"/>
      <c r="N230" s="10"/>
      <c r="O230" s="10"/>
      <c r="P230" s="10"/>
      <c r="Q230" s="464"/>
    </row>
    <row r="231" spans="7:17" hidden="1" x14ac:dyDescent="0.25">
      <c r="G231" s="463"/>
      <c r="H231" s="10"/>
      <c r="I231" s="10"/>
      <c r="J231" s="10"/>
      <c r="K231" s="10"/>
      <c r="L231" s="10"/>
      <c r="M231" s="10"/>
      <c r="N231" s="10"/>
      <c r="O231" s="10"/>
      <c r="P231" s="10"/>
      <c r="Q231" s="464"/>
    </row>
    <row r="232" spans="7:17" hidden="1" x14ac:dyDescent="0.25">
      <c r="G232" s="463"/>
      <c r="H232" s="10"/>
      <c r="I232" s="10"/>
      <c r="J232" s="10"/>
      <c r="K232" s="10"/>
      <c r="L232" s="10"/>
      <c r="M232" s="10"/>
      <c r="N232" s="10"/>
      <c r="O232" s="10"/>
      <c r="P232" s="10"/>
      <c r="Q232" s="464"/>
    </row>
    <row r="233" spans="7:17" hidden="1" x14ac:dyDescent="0.25">
      <c r="G233" s="463"/>
      <c r="H233" s="10"/>
      <c r="I233" s="10"/>
      <c r="J233" s="10"/>
      <c r="K233" s="10"/>
      <c r="L233" s="10"/>
      <c r="M233" s="10"/>
      <c r="N233" s="10"/>
      <c r="O233" s="10"/>
      <c r="P233" s="10"/>
      <c r="Q233" s="464"/>
    </row>
    <row r="234" spans="7:17" hidden="1" x14ac:dyDescent="0.25">
      <c r="G234" s="463"/>
      <c r="H234" s="10"/>
      <c r="I234" s="10"/>
      <c r="J234" s="10"/>
      <c r="K234" s="10"/>
      <c r="L234" s="10"/>
      <c r="M234" s="10"/>
      <c r="N234" s="10"/>
      <c r="O234" s="10"/>
      <c r="P234" s="10"/>
      <c r="Q234" s="464"/>
    </row>
    <row r="235" spans="7:17" hidden="1" x14ac:dyDescent="0.25">
      <c r="G235" s="463"/>
      <c r="H235" s="10"/>
      <c r="I235" s="10"/>
      <c r="J235" s="10"/>
      <c r="K235" s="10"/>
      <c r="L235" s="10"/>
      <c r="M235" s="10"/>
      <c r="N235" s="10"/>
      <c r="O235" s="10"/>
      <c r="P235" s="10"/>
      <c r="Q235" s="464"/>
    </row>
    <row r="236" spans="7:17" hidden="1" x14ac:dyDescent="0.25">
      <c r="G236" s="463"/>
      <c r="H236" s="10"/>
      <c r="I236" s="10"/>
      <c r="J236" s="10"/>
      <c r="K236" s="10"/>
      <c r="L236" s="10"/>
      <c r="M236" s="10"/>
      <c r="N236" s="10"/>
      <c r="O236" s="10"/>
      <c r="P236" s="10"/>
      <c r="Q236" s="464"/>
    </row>
    <row r="237" spans="7:17" hidden="1" x14ac:dyDescent="0.25">
      <c r="G237" s="463"/>
      <c r="H237" s="10"/>
      <c r="I237" s="10"/>
      <c r="J237" s="10"/>
      <c r="K237" s="10"/>
      <c r="L237" s="10"/>
      <c r="M237" s="10"/>
      <c r="N237" s="10"/>
      <c r="O237" s="10"/>
      <c r="P237" s="10"/>
      <c r="Q237" s="464"/>
    </row>
    <row r="238" spans="7:17" hidden="1" x14ac:dyDescent="0.25">
      <c r="G238" s="463"/>
      <c r="H238" s="10"/>
      <c r="I238" s="10"/>
      <c r="J238" s="10"/>
      <c r="K238" s="10"/>
      <c r="L238" s="10"/>
      <c r="M238" s="10"/>
      <c r="N238" s="10"/>
      <c r="O238" s="10"/>
      <c r="P238" s="10"/>
      <c r="Q238" s="464"/>
    </row>
    <row r="239" spans="7:17" hidden="1" x14ac:dyDescent="0.25">
      <c r="G239" s="463"/>
      <c r="H239" s="10"/>
      <c r="I239" s="10"/>
      <c r="J239" s="10"/>
      <c r="K239" s="10"/>
      <c r="L239" s="10"/>
      <c r="M239" s="10"/>
      <c r="N239" s="10"/>
      <c r="O239" s="10"/>
      <c r="P239" s="10"/>
      <c r="Q239" s="464"/>
    </row>
    <row r="240" spans="7:17" hidden="1" x14ac:dyDescent="0.25">
      <c r="G240" s="463"/>
      <c r="H240" s="10"/>
      <c r="I240" s="10"/>
      <c r="J240" s="10"/>
      <c r="K240" s="10"/>
      <c r="L240" s="10"/>
      <c r="M240" s="10"/>
      <c r="N240" s="10"/>
      <c r="O240" s="10"/>
      <c r="P240" s="10"/>
      <c r="Q240" s="464"/>
    </row>
    <row r="241" spans="7:17" hidden="1" x14ac:dyDescent="0.25">
      <c r="G241" s="463"/>
      <c r="H241" s="10"/>
      <c r="I241" s="10"/>
      <c r="J241" s="10"/>
      <c r="K241" s="10"/>
      <c r="L241" s="10"/>
      <c r="M241" s="10"/>
      <c r="N241" s="10"/>
      <c r="O241" s="10"/>
      <c r="P241" s="10"/>
      <c r="Q241" s="464"/>
    </row>
    <row r="242" spans="7:17" hidden="1" x14ac:dyDescent="0.25">
      <c r="G242" s="463"/>
      <c r="H242" s="10"/>
      <c r="I242" s="10"/>
      <c r="J242" s="10"/>
      <c r="K242" s="10"/>
      <c r="L242" s="10"/>
      <c r="M242" s="10"/>
      <c r="N242" s="10"/>
      <c r="O242" s="10"/>
      <c r="P242" s="10"/>
      <c r="Q242" s="464"/>
    </row>
    <row r="243" spans="7:17" hidden="1" x14ac:dyDescent="0.25">
      <c r="G243" s="463"/>
      <c r="H243" s="10"/>
      <c r="I243" s="10"/>
      <c r="J243" s="10"/>
      <c r="K243" s="10"/>
      <c r="L243" s="10"/>
      <c r="M243" s="10"/>
      <c r="N243" s="10"/>
      <c r="O243" s="10"/>
      <c r="P243" s="10"/>
      <c r="Q243" s="464"/>
    </row>
    <row r="244" spans="7:17" hidden="1" x14ac:dyDescent="0.25">
      <c r="G244" s="463"/>
      <c r="H244" s="10"/>
      <c r="I244" s="10"/>
      <c r="J244" s="10"/>
      <c r="K244" s="10"/>
      <c r="L244" s="10"/>
      <c r="M244" s="10"/>
      <c r="N244" s="10"/>
      <c r="O244" s="10"/>
      <c r="P244" s="10"/>
      <c r="Q244" s="464"/>
    </row>
    <row r="245" spans="7:17" hidden="1" x14ac:dyDescent="0.25">
      <c r="G245" s="463"/>
      <c r="H245" s="10"/>
      <c r="I245" s="10"/>
      <c r="J245" s="10"/>
      <c r="K245" s="10"/>
      <c r="L245" s="10"/>
      <c r="M245" s="10"/>
      <c r="N245" s="10"/>
      <c r="O245" s="10"/>
      <c r="P245" s="10"/>
      <c r="Q245" s="464"/>
    </row>
    <row r="246" spans="7:17" hidden="1" x14ac:dyDescent="0.25">
      <c r="G246" s="463"/>
      <c r="H246" s="10"/>
      <c r="I246" s="10"/>
      <c r="J246" s="10"/>
      <c r="K246" s="10"/>
      <c r="L246" s="10"/>
      <c r="M246" s="10"/>
      <c r="N246" s="10"/>
      <c r="O246" s="10"/>
      <c r="P246" s="10"/>
      <c r="Q246" s="464"/>
    </row>
    <row r="247" spans="7:17" hidden="1" x14ac:dyDescent="0.25">
      <c r="G247" s="463"/>
      <c r="H247" s="10"/>
      <c r="I247" s="10"/>
      <c r="J247" s="10"/>
      <c r="K247" s="10"/>
      <c r="L247" s="10"/>
      <c r="M247" s="10"/>
      <c r="N247" s="10"/>
      <c r="O247" s="10"/>
      <c r="P247" s="10"/>
      <c r="Q247" s="464"/>
    </row>
    <row r="248" spans="7:17" hidden="1" x14ac:dyDescent="0.25">
      <c r="G248" s="463"/>
      <c r="H248" s="10"/>
      <c r="I248" s="10"/>
      <c r="J248" s="10"/>
      <c r="K248" s="10"/>
      <c r="L248" s="10"/>
      <c r="M248" s="10"/>
      <c r="N248" s="10"/>
      <c r="O248" s="10"/>
      <c r="P248" s="10"/>
      <c r="Q248" s="464"/>
    </row>
    <row r="249" spans="7:17" hidden="1" x14ac:dyDescent="0.25">
      <c r="G249" s="463"/>
      <c r="H249" s="10"/>
      <c r="I249" s="10"/>
      <c r="J249" s="10"/>
      <c r="K249" s="10"/>
      <c r="L249" s="10"/>
      <c r="M249" s="10"/>
      <c r="N249" s="10"/>
      <c r="O249" s="10"/>
      <c r="P249" s="10"/>
      <c r="Q249" s="464"/>
    </row>
    <row r="250" spans="7:17" hidden="1" x14ac:dyDescent="0.25">
      <c r="G250" s="463"/>
      <c r="H250" s="10"/>
      <c r="I250" s="10"/>
      <c r="J250" s="10"/>
      <c r="K250" s="10"/>
      <c r="L250" s="10"/>
      <c r="M250" s="10"/>
      <c r="N250" s="10"/>
      <c r="O250" s="10"/>
      <c r="P250" s="10"/>
      <c r="Q250" s="464"/>
    </row>
    <row r="251" spans="7:17" hidden="1" x14ac:dyDescent="0.25">
      <c r="G251" s="463"/>
      <c r="H251" s="10"/>
      <c r="I251" s="10"/>
      <c r="J251" s="10"/>
      <c r="K251" s="10"/>
      <c r="L251" s="10"/>
      <c r="M251" s="10"/>
      <c r="N251" s="10"/>
      <c r="O251" s="10"/>
      <c r="P251" s="10"/>
      <c r="Q251" s="464"/>
    </row>
    <row r="252" spans="7:17" hidden="1" x14ac:dyDescent="0.25">
      <c r="G252" s="463"/>
      <c r="H252" s="10"/>
      <c r="I252" s="10"/>
      <c r="J252" s="10"/>
      <c r="K252" s="10"/>
      <c r="L252" s="10"/>
      <c r="M252" s="10"/>
      <c r="N252" s="10"/>
      <c r="O252" s="10"/>
      <c r="P252" s="10"/>
      <c r="Q252" s="464"/>
    </row>
    <row r="253" spans="7:17" hidden="1" x14ac:dyDescent="0.25">
      <c r="G253" s="463"/>
      <c r="H253" s="10"/>
      <c r="I253" s="10"/>
      <c r="J253" s="10"/>
      <c r="K253" s="10"/>
      <c r="L253" s="10"/>
      <c r="M253" s="10"/>
      <c r="N253" s="10"/>
      <c r="O253" s="10"/>
      <c r="P253" s="10"/>
      <c r="Q253" s="464"/>
    </row>
    <row r="254" spans="7:17" hidden="1" x14ac:dyDescent="0.25">
      <c r="G254" s="463"/>
      <c r="H254" s="10"/>
      <c r="I254" s="10"/>
      <c r="J254" s="10"/>
      <c r="K254" s="10"/>
      <c r="L254" s="10"/>
      <c r="M254" s="10"/>
      <c r="N254" s="10"/>
      <c r="O254" s="10"/>
      <c r="P254" s="10"/>
      <c r="Q254" s="464"/>
    </row>
    <row r="255" spans="7:17" hidden="1" x14ac:dyDescent="0.25">
      <c r="G255" s="463"/>
      <c r="H255" s="10"/>
      <c r="I255" s="10"/>
      <c r="J255" s="10"/>
      <c r="K255" s="10"/>
      <c r="L255" s="10"/>
      <c r="M255" s="10"/>
      <c r="N255" s="10"/>
      <c r="O255" s="10"/>
      <c r="P255" s="10"/>
      <c r="Q255" s="464"/>
    </row>
    <row r="256" spans="7:17" hidden="1" x14ac:dyDescent="0.25">
      <c r="G256" s="463"/>
      <c r="H256" s="10"/>
      <c r="I256" s="10"/>
      <c r="J256" s="10"/>
      <c r="K256" s="10"/>
      <c r="L256" s="10"/>
      <c r="M256" s="10"/>
      <c r="N256" s="10"/>
      <c r="O256" s="10"/>
      <c r="P256" s="10"/>
      <c r="Q256" s="464"/>
    </row>
    <row r="257" spans="7:17" hidden="1" x14ac:dyDescent="0.25">
      <c r="G257" s="463"/>
      <c r="H257" s="10"/>
      <c r="I257" s="10"/>
      <c r="J257" s="10"/>
      <c r="K257" s="10"/>
      <c r="L257" s="10"/>
      <c r="M257" s="10"/>
      <c r="N257" s="10"/>
      <c r="O257" s="10"/>
      <c r="P257" s="10"/>
      <c r="Q257" s="464"/>
    </row>
    <row r="258" spans="7:17" hidden="1" x14ac:dyDescent="0.25">
      <c r="G258" s="463"/>
      <c r="H258" s="10"/>
      <c r="I258" s="10"/>
      <c r="J258" s="10"/>
      <c r="K258" s="10"/>
      <c r="L258" s="10"/>
      <c r="M258" s="10"/>
      <c r="N258" s="10"/>
      <c r="O258" s="10"/>
      <c r="P258" s="10"/>
      <c r="Q258" s="464"/>
    </row>
    <row r="259" spans="7:17" hidden="1" x14ac:dyDescent="0.25">
      <c r="G259" s="463"/>
      <c r="H259" s="10"/>
      <c r="I259" s="10"/>
      <c r="J259" s="10"/>
      <c r="K259" s="10"/>
      <c r="L259" s="10"/>
      <c r="M259" s="10"/>
      <c r="N259" s="10"/>
      <c r="O259" s="10"/>
      <c r="P259" s="10"/>
      <c r="Q259" s="464"/>
    </row>
    <row r="260" spans="7:17" hidden="1" x14ac:dyDescent="0.25">
      <c r="G260" s="463"/>
      <c r="H260" s="10"/>
      <c r="I260" s="10"/>
      <c r="J260" s="10"/>
      <c r="K260" s="10"/>
      <c r="L260" s="10"/>
      <c r="M260" s="10"/>
      <c r="N260" s="10"/>
      <c r="O260" s="10"/>
      <c r="P260" s="10"/>
      <c r="Q260" s="464"/>
    </row>
    <row r="261" spans="7:17" hidden="1" x14ac:dyDescent="0.25">
      <c r="G261" s="463"/>
      <c r="H261" s="10"/>
      <c r="I261" s="10"/>
      <c r="J261" s="10"/>
      <c r="K261" s="10"/>
      <c r="L261" s="10"/>
      <c r="M261" s="10"/>
      <c r="N261" s="10"/>
      <c r="O261" s="10"/>
      <c r="P261" s="10"/>
      <c r="Q261" s="464"/>
    </row>
    <row r="262" spans="7:17" hidden="1" x14ac:dyDescent="0.25">
      <c r="G262" s="463"/>
      <c r="H262" s="10"/>
      <c r="I262" s="10"/>
      <c r="J262" s="10"/>
      <c r="K262" s="10"/>
      <c r="L262" s="10"/>
      <c r="M262" s="10"/>
      <c r="N262" s="10"/>
      <c r="O262" s="10"/>
      <c r="P262" s="10"/>
      <c r="Q262" s="464"/>
    </row>
    <row r="263" spans="7:17" hidden="1" x14ac:dyDescent="0.25">
      <c r="G263" s="463"/>
      <c r="H263" s="10"/>
      <c r="I263" s="10"/>
      <c r="J263" s="10"/>
      <c r="K263" s="10"/>
      <c r="L263" s="10"/>
      <c r="M263" s="10"/>
      <c r="N263" s="10"/>
      <c r="O263" s="10"/>
      <c r="P263" s="10"/>
      <c r="Q263" s="464"/>
    </row>
    <row r="264" spans="7:17" hidden="1" x14ac:dyDescent="0.25">
      <c r="G264" s="463"/>
      <c r="H264" s="10"/>
      <c r="I264" s="10"/>
      <c r="J264" s="10"/>
      <c r="K264" s="10"/>
      <c r="L264" s="10"/>
      <c r="M264" s="10"/>
      <c r="N264" s="10"/>
      <c r="O264" s="10"/>
      <c r="P264" s="10"/>
      <c r="Q264" s="464"/>
    </row>
    <row r="265" spans="7:17" hidden="1" x14ac:dyDescent="0.25">
      <c r="G265" s="463"/>
      <c r="H265" s="10"/>
      <c r="I265" s="10"/>
      <c r="J265" s="10"/>
      <c r="K265" s="10"/>
      <c r="L265" s="10"/>
      <c r="M265" s="10"/>
      <c r="N265" s="10"/>
      <c r="O265" s="10"/>
      <c r="P265" s="10"/>
      <c r="Q265" s="464"/>
    </row>
    <row r="266" spans="7:17" hidden="1" x14ac:dyDescent="0.25">
      <c r="G266" s="463"/>
      <c r="H266" s="10"/>
      <c r="I266" s="10"/>
      <c r="J266" s="10"/>
      <c r="K266" s="10"/>
      <c r="L266" s="10"/>
      <c r="M266" s="10"/>
      <c r="N266" s="10"/>
      <c r="O266" s="10"/>
      <c r="P266" s="10"/>
      <c r="Q266" s="464"/>
    </row>
    <row r="267" spans="7:17" hidden="1" x14ac:dyDescent="0.25">
      <c r="G267" s="463"/>
      <c r="H267" s="10"/>
      <c r="I267" s="10"/>
      <c r="J267" s="10"/>
      <c r="K267" s="10"/>
      <c r="L267" s="10"/>
      <c r="M267" s="10"/>
      <c r="N267" s="10"/>
      <c r="O267" s="10"/>
      <c r="P267" s="10"/>
      <c r="Q267" s="464"/>
    </row>
    <row r="268" spans="7:17" hidden="1" x14ac:dyDescent="0.25">
      <c r="G268" s="463"/>
      <c r="H268" s="10"/>
      <c r="I268" s="10"/>
      <c r="J268" s="10"/>
      <c r="K268" s="10"/>
      <c r="L268" s="10"/>
      <c r="M268" s="10"/>
      <c r="N268" s="10"/>
      <c r="O268" s="10"/>
      <c r="P268" s="10"/>
      <c r="Q268" s="464"/>
    </row>
    <row r="269" spans="7:17" hidden="1" x14ac:dyDescent="0.25">
      <c r="G269" s="463"/>
      <c r="H269" s="10"/>
      <c r="I269" s="10"/>
      <c r="J269" s="10"/>
      <c r="K269" s="10"/>
      <c r="L269" s="10"/>
      <c r="M269" s="10"/>
      <c r="N269" s="10"/>
      <c r="O269" s="10"/>
      <c r="P269" s="10"/>
      <c r="Q269" s="464"/>
    </row>
    <row r="270" spans="7:17" hidden="1" x14ac:dyDescent="0.25">
      <c r="G270" s="463"/>
      <c r="H270" s="10"/>
      <c r="I270" s="10"/>
      <c r="J270" s="10"/>
      <c r="K270" s="10"/>
      <c r="L270" s="10"/>
      <c r="M270" s="10"/>
      <c r="N270" s="10"/>
      <c r="O270" s="10"/>
      <c r="P270" s="10"/>
      <c r="Q270" s="464"/>
    </row>
    <row r="271" spans="7:17" hidden="1" x14ac:dyDescent="0.25">
      <c r="G271" s="463"/>
      <c r="H271" s="10"/>
      <c r="I271" s="10"/>
      <c r="J271" s="10"/>
      <c r="K271" s="10"/>
      <c r="L271" s="10"/>
      <c r="M271" s="10"/>
      <c r="N271" s="10"/>
      <c r="O271" s="10"/>
      <c r="P271" s="10"/>
      <c r="Q271" s="464"/>
    </row>
    <row r="272" spans="7:17" hidden="1" x14ac:dyDescent="0.25">
      <c r="G272" s="463"/>
      <c r="H272" s="10"/>
      <c r="I272" s="10"/>
      <c r="J272" s="10"/>
      <c r="K272" s="10"/>
      <c r="L272" s="10"/>
      <c r="M272" s="10"/>
      <c r="N272" s="10"/>
      <c r="O272" s="10"/>
      <c r="P272" s="10"/>
      <c r="Q272" s="464"/>
    </row>
    <row r="273" spans="7:17" hidden="1" x14ac:dyDescent="0.25">
      <c r="G273" s="463"/>
      <c r="H273" s="10"/>
      <c r="I273" s="10"/>
      <c r="J273" s="10"/>
      <c r="K273" s="10"/>
      <c r="L273" s="10"/>
      <c r="M273" s="10"/>
      <c r="N273" s="10"/>
      <c r="O273" s="10"/>
      <c r="P273" s="10"/>
      <c r="Q273" s="464"/>
    </row>
    <row r="274" spans="7:17" hidden="1" x14ac:dyDescent="0.25">
      <c r="G274" s="463"/>
      <c r="H274" s="10"/>
      <c r="I274" s="10"/>
      <c r="J274" s="10"/>
      <c r="K274" s="10"/>
      <c r="L274" s="10"/>
      <c r="M274" s="10"/>
      <c r="N274" s="10"/>
      <c r="O274" s="10"/>
      <c r="P274" s="10"/>
      <c r="Q274" s="464"/>
    </row>
    <row r="275" spans="7:17" hidden="1" x14ac:dyDescent="0.25">
      <c r="G275" s="463"/>
      <c r="H275" s="10"/>
      <c r="I275" s="10"/>
      <c r="J275" s="10"/>
      <c r="K275" s="10"/>
      <c r="L275" s="10"/>
      <c r="M275" s="10"/>
      <c r="N275" s="10"/>
      <c r="O275" s="10"/>
      <c r="P275" s="10"/>
      <c r="Q275" s="464"/>
    </row>
    <row r="276" spans="7:17" hidden="1" x14ac:dyDescent="0.25">
      <c r="G276" s="463"/>
      <c r="H276" s="10"/>
      <c r="I276" s="10"/>
      <c r="J276" s="10"/>
      <c r="K276" s="10"/>
      <c r="L276" s="10"/>
      <c r="M276" s="10"/>
      <c r="N276" s="10"/>
      <c r="O276" s="10"/>
      <c r="P276" s="10"/>
      <c r="Q276" s="464"/>
    </row>
    <row r="277" spans="7:17" hidden="1" x14ac:dyDescent="0.25">
      <c r="G277" s="463"/>
      <c r="H277" s="10"/>
      <c r="I277" s="10"/>
      <c r="J277" s="10"/>
      <c r="K277" s="10"/>
      <c r="L277" s="10"/>
      <c r="M277" s="10"/>
      <c r="N277" s="10"/>
      <c r="O277" s="10"/>
      <c r="P277" s="10"/>
      <c r="Q277" s="464"/>
    </row>
    <row r="278" spans="7:17" hidden="1" x14ac:dyDescent="0.25">
      <c r="G278" s="463"/>
      <c r="H278" s="10"/>
      <c r="I278" s="10"/>
      <c r="J278" s="10"/>
      <c r="K278" s="10"/>
      <c r="L278" s="10"/>
      <c r="M278" s="10"/>
      <c r="N278" s="10"/>
      <c r="O278" s="10"/>
      <c r="P278" s="10"/>
      <c r="Q278" s="464"/>
    </row>
    <row r="279" spans="7:17" hidden="1" x14ac:dyDescent="0.25">
      <c r="G279" s="463"/>
      <c r="H279" s="10"/>
      <c r="I279" s="10"/>
      <c r="J279" s="10"/>
      <c r="K279" s="10"/>
      <c r="L279" s="10"/>
      <c r="M279" s="10"/>
      <c r="N279" s="10"/>
      <c r="O279" s="10"/>
      <c r="P279" s="10"/>
      <c r="Q279" s="464"/>
    </row>
    <row r="280" spans="7:17" hidden="1" x14ac:dyDescent="0.25">
      <c r="G280" s="463"/>
      <c r="H280" s="10"/>
      <c r="I280" s="10"/>
      <c r="J280" s="10"/>
      <c r="K280" s="10"/>
      <c r="L280" s="10"/>
      <c r="M280" s="10"/>
      <c r="N280" s="10"/>
      <c r="O280" s="10"/>
      <c r="P280" s="10"/>
      <c r="Q280" s="464"/>
    </row>
    <row r="281" spans="7:17" hidden="1" x14ac:dyDescent="0.25">
      <c r="G281" s="463"/>
      <c r="H281" s="10"/>
      <c r="I281" s="10"/>
      <c r="J281" s="10"/>
      <c r="K281" s="10"/>
      <c r="L281" s="10"/>
      <c r="M281" s="10"/>
      <c r="N281" s="10"/>
      <c r="O281" s="10"/>
      <c r="P281" s="10"/>
      <c r="Q281" s="464"/>
    </row>
    <row r="282" spans="7:17" hidden="1" x14ac:dyDescent="0.25">
      <c r="G282" s="463"/>
      <c r="H282" s="10"/>
      <c r="I282" s="10"/>
      <c r="J282" s="10"/>
      <c r="K282" s="10"/>
      <c r="L282" s="10"/>
      <c r="M282" s="10"/>
      <c r="N282" s="10"/>
      <c r="O282" s="10"/>
      <c r="P282" s="10"/>
      <c r="Q282" s="464"/>
    </row>
    <row r="283" spans="7:17" hidden="1" x14ac:dyDescent="0.25">
      <c r="G283" s="463"/>
      <c r="H283" s="10"/>
      <c r="I283" s="10"/>
      <c r="J283" s="10"/>
      <c r="K283" s="10"/>
      <c r="L283" s="10"/>
      <c r="M283" s="10"/>
      <c r="N283" s="10"/>
      <c r="O283" s="10"/>
      <c r="P283" s="10"/>
      <c r="Q283" s="464"/>
    </row>
    <row r="284" spans="7:17" hidden="1" x14ac:dyDescent="0.25">
      <c r="G284" s="463"/>
      <c r="H284" s="10"/>
      <c r="I284" s="10"/>
      <c r="J284" s="10"/>
      <c r="K284" s="10"/>
      <c r="L284" s="10"/>
      <c r="M284" s="10"/>
      <c r="N284" s="10"/>
      <c r="O284" s="10"/>
      <c r="P284" s="10"/>
      <c r="Q284" s="464"/>
    </row>
    <row r="285" spans="7:17" hidden="1" x14ac:dyDescent="0.25">
      <c r="G285" s="463"/>
      <c r="H285" s="10"/>
      <c r="I285" s="10"/>
      <c r="J285" s="10"/>
      <c r="K285" s="10"/>
      <c r="L285" s="10"/>
      <c r="M285" s="10"/>
      <c r="N285" s="10"/>
      <c r="O285" s="10"/>
      <c r="P285" s="10"/>
      <c r="Q285" s="464"/>
    </row>
    <row r="286" spans="7:17" hidden="1" x14ac:dyDescent="0.25">
      <c r="G286" s="463"/>
      <c r="H286" s="10"/>
      <c r="I286" s="10"/>
      <c r="J286" s="10"/>
      <c r="K286" s="10"/>
      <c r="L286" s="10"/>
      <c r="M286" s="10"/>
      <c r="N286" s="10"/>
      <c r="O286" s="10"/>
      <c r="P286" s="10"/>
      <c r="Q286" s="464"/>
    </row>
    <row r="287" spans="7:17" hidden="1" x14ac:dyDescent="0.25">
      <c r="G287" s="463"/>
      <c r="H287" s="10"/>
      <c r="I287" s="10"/>
      <c r="J287" s="10"/>
      <c r="K287" s="10"/>
      <c r="L287" s="10"/>
      <c r="M287" s="10"/>
      <c r="N287" s="10"/>
      <c r="O287" s="10"/>
      <c r="P287" s="10"/>
      <c r="Q287" s="464"/>
    </row>
    <row r="288" spans="7:17" hidden="1" x14ac:dyDescent="0.25">
      <c r="G288" s="463"/>
      <c r="H288" s="10"/>
      <c r="I288" s="10"/>
      <c r="J288" s="10"/>
      <c r="K288" s="10"/>
      <c r="L288" s="10"/>
      <c r="M288" s="10"/>
      <c r="N288" s="10"/>
      <c r="O288" s="10"/>
      <c r="P288" s="10"/>
      <c r="Q288" s="464"/>
    </row>
    <row r="289" spans="7:17" hidden="1" x14ac:dyDescent="0.25">
      <c r="G289" s="463"/>
      <c r="H289" s="10"/>
      <c r="I289" s="10"/>
      <c r="J289" s="10"/>
      <c r="K289" s="10"/>
      <c r="L289" s="10"/>
      <c r="M289" s="10"/>
      <c r="N289" s="10"/>
      <c r="O289" s="10"/>
      <c r="P289" s="10"/>
      <c r="Q289" s="464"/>
    </row>
    <row r="290" spans="7:17" hidden="1" x14ac:dyDescent="0.25">
      <c r="G290" s="463"/>
      <c r="H290" s="10"/>
      <c r="I290" s="10"/>
      <c r="J290" s="10"/>
      <c r="K290" s="10"/>
      <c r="L290" s="10"/>
      <c r="M290" s="10"/>
      <c r="N290" s="10"/>
      <c r="O290" s="10"/>
      <c r="P290" s="10"/>
      <c r="Q290" s="464"/>
    </row>
    <row r="291" spans="7:17" hidden="1" x14ac:dyDescent="0.25">
      <c r="G291" s="463"/>
      <c r="H291" s="10"/>
      <c r="I291" s="10"/>
      <c r="J291" s="10"/>
      <c r="K291" s="10"/>
      <c r="L291" s="10"/>
      <c r="M291" s="10"/>
      <c r="N291" s="10"/>
      <c r="O291" s="10"/>
      <c r="P291" s="10"/>
      <c r="Q291" s="464"/>
    </row>
    <row r="292" spans="7:17" hidden="1" x14ac:dyDescent="0.25">
      <c r="G292" s="463"/>
      <c r="H292" s="10"/>
      <c r="I292" s="10"/>
      <c r="J292" s="10"/>
      <c r="K292" s="10"/>
      <c r="L292" s="10"/>
      <c r="M292" s="10"/>
      <c r="N292" s="10"/>
      <c r="O292" s="10"/>
      <c r="P292" s="10"/>
      <c r="Q292" s="464"/>
    </row>
    <row r="293" spans="7:17" hidden="1" x14ac:dyDescent="0.25">
      <c r="G293" s="463"/>
      <c r="H293" s="10"/>
      <c r="I293" s="10"/>
      <c r="J293" s="10"/>
      <c r="K293" s="10"/>
      <c r="L293" s="10"/>
      <c r="M293" s="10"/>
      <c r="N293" s="10"/>
      <c r="O293" s="10"/>
      <c r="P293" s="10"/>
      <c r="Q293" s="464"/>
    </row>
    <row r="294" spans="7:17" hidden="1" x14ac:dyDescent="0.25">
      <c r="G294" s="463"/>
      <c r="H294" s="10"/>
      <c r="I294" s="10"/>
      <c r="J294" s="10"/>
      <c r="K294" s="10"/>
      <c r="L294" s="10"/>
      <c r="M294" s="10"/>
      <c r="N294" s="10"/>
      <c r="O294" s="10"/>
      <c r="P294" s="10"/>
      <c r="Q294" s="464"/>
    </row>
    <row r="295" spans="7:17" hidden="1" x14ac:dyDescent="0.25">
      <c r="G295" s="463"/>
      <c r="H295" s="10"/>
      <c r="I295" s="10"/>
      <c r="J295" s="10"/>
      <c r="K295" s="10"/>
      <c r="L295" s="10"/>
      <c r="M295" s="10"/>
      <c r="N295" s="10"/>
      <c r="O295" s="10"/>
      <c r="P295" s="10"/>
      <c r="Q295" s="464"/>
    </row>
    <row r="296" spans="7:17" hidden="1" x14ac:dyDescent="0.25">
      <c r="G296" s="463"/>
      <c r="H296" s="10"/>
      <c r="I296" s="10"/>
      <c r="J296" s="10"/>
      <c r="K296" s="10"/>
      <c r="L296" s="10"/>
      <c r="M296" s="10"/>
      <c r="N296" s="10"/>
      <c r="O296" s="10"/>
      <c r="P296" s="10"/>
      <c r="Q296" s="464"/>
    </row>
    <row r="297" spans="7:17" hidden="1" x14ac:dyDescent="0.25">
      <c r="G297" s="463"/>
      <c r="H297" s="10"/>
      <c r="I297" s="10"/>
      <c r="J297" s="10"/>
      <c r="K297" s="10"/>
      <c r="L297" s="10"/>
      <c r="M297" s="10"/>
      <c r="N297" s="10"/>
      <c r="O297" s="10"/>
      <c r="P297" s="10"/>
      <c r="Q297" s="464"/>
    </row>
    <row r="298" spans="7:17" hidden="1" x14ac:dyDescent="0.25">
      <c r="G298" s="463"/>
      <c r="H298" s="10"/>
      <c r="I298" s="10"/>
      <c r="J298" s="10"/>
      <c r="K298" s="10"/>
      <c r="L298" s="10"/>
      <c r="M298" s="10"/>
      <c r="N298" s="10"/>
      <c r="O298" s="10"/>
      <c r="P298" s="10"/>
      <c r="Q298" s="464"/>
    </row>
    <row r="299" spans="7:17" hidden="1" x14ac:dyDescent="0.25">
      <c r="G299" s="463"/>
      <c r="H299" s="10"/>
      <c r="I299" s="10"/>
      <c r="J299" s="10"/>
      <c r="K299" s="10"/>
      <c r="L299" s="10"/>
      <c r="M299" s="10"/>
      <c r="N299" s="10"/>
      <c r="O299" s="10"/>
      <c r="P299" s="10"/>
      <c r="Q299" s="464"/>
    </row>
    <row r="300" spans="7:17" hidden="1" x14ac:dyDescent="0.25">
      <c r="G300" s="463"/>
      <c r="H300" s="10"/>
      <c r="I300" s="10"/>
      <c r="J300" s="10"/>
      <c r="K300" s="10"/>
      <c r="L300" s="10"/>
      <c r="M300" s="10"/>
      <c r="N300" s="10"/>
      <c r="O300" s="10"/>
      <c r="P300" s="10"/>
      <c r="Q300" s="464"/>
    </row>
    <row r="301" spans="7:17" hidden="1" x14ac:dyDescent="0.25">
      <c r="G301" s="463"/>
      <c r="H301" s="10"/>
      <c r="I301" s="10"/>
      <c r="J301" s="10"/>
      <c r="K301" s="10"/>
      <c r="L301" s="10"/>
      <c r="M301" s="10"/>
      <c r="N301" s="10"/>
      <c r="O301" s="10"/>
      <c r="P301" s="10"/>
      <c r="Q301" s="464"/>
    </row>
    <row r="302" spans="7:17" hidden="1" x14ac:dyDescent="0.25">
      <c r="G302" s="463"/>
      <c r="H302" s="10"/>
      <c r="I302" s="10"/>
      <c r="J302" s="10"/>
      <c r="K302" s="10"/>
      <c r="L302" s="10"/>
      <c r="M302" s="10"/>
      <c r="N302" s="10"/>
      <c r="O302" s="10"/>
      <c r="P302" s="10"/>
      <c r="Q302" s="464"/>
    </row>
    <row r="303" spans="7:17" hidden="1" x14ac:dyDescent="0.25">
      <c r="G303" s="463"/>
      <c r="H303" s="10"/>
      <c r="I303" s="10"/>
      <c r="J303" s="10"/>
      <c r="K303" s="10"/>
      <c r="L303" s="10"/>
      <c r="M303" s="10"/>
      <c r="N303" s="10"/>
      <c r="O303" s="10"/>
      <c r="P303" s="10"/>
      <c r="Q303" s="464"/>
    </row>
    <row r="304" spans="7:17" hidden="1" x14ac:dyDescent="0.25">
      <c r="G304" s="463"/>
      <c r="H304" s="10"/>
      <c r="I304" s="10"/>
      <c r="J304" s="10"/>
      <c r="K304" s="10"/>
      <c r="L304" s="10"/>
      <c r="M304" s="10"/>
      <c r="N304" s="10"/>
      <c r="O304" s="10"/>
      <c r="P304" s="10"/>
      <c r="Q304" s="464"/>
    </row>
    <row r="305" spans="7:17" hidden="1" x14ac:dyDescent="0.25">
      <c r="G305" s="463"/>
      <c r="H305" s="10"/>
      <c r="I305" s="10"/>
      <c r="J305" s="10"/>
      <c r="K305" s="10"/>
      <c r="L305" s="10"/>
      <c r="M305" s="10"/>
      <c r="N305" s="10"/>
      <c r="O305" s="10"/>
      <c r="P305" s="10"/>
      <c r="Q305" s="464"/>
    </row>
    <row r="306" spans="7:17" hidden="1" x14ac:dyDescent="0.25">
      <c r="G306" s="463"/>
      <c r="H306" s="10"/>
      <c r="I306" s="10"/>
      <c r="J306" s="10"/>
      <c r="K306" s="10"/>
      <c r="L306" s="10"/>
      <c r="M306" s="10"/>
      <c r="N306" s="10"/>
      <c r="O306" s="10"/>
      <c r="P306" s="10"/>
      <c r="Q306" s="464"/>
    </row>
    <row r="307" spans="7:17" hidden="1" x14ac:dyDescent="0.25">
      <c r="G307" s="463"/>
      <c r="H307" s="10"/>
      <c r="I307" s="10"/>
      <c r="J307" s="10"/>
      <c r="K307" s="10"/>
      <c r="L307" s="10"/>
      <c r="M307" s="10"/>
      <c r="N307" s="10"/>
      <c r="O307" s="10"/>
      <c r="P307" s="10"/>
      <c r="Q307" s="464"/>
    </row>
    <row r="308" spans="7:17" hidden="1" x14ac:dyDescent="0.25">
      <c r="G308" s="463"/>
      <c r="H308" s="10"/>
      <c r="I308" s="10"/>
      <c r="J308" s="10"/>
      <c r="K308" s="10"/>
      <c r="L308" s="10"/>
      <c r="M308" s="10"/>
      <c r="N308" s="10"/>
      <c r="O308" s="10"/>
      <c r="P308" s="10"/>
      <c r="Q308" s="464"/>
    </row>
    <row r="309" spans="7:17" hidden="1" x14ac:dyDescent="0.25">
      <c r="G309" s="463"/>
      <c r="H309" s="10"/>
      <c r="I309" s="10"/>
      <c r="J309" s="10"/>
      <c r="K309" s="10"/>
      <c r="L309" s="10"/>
      <c r="M309" s="10"/>
      <c r="N309" s="10"/>
      <c r="O309" s="10"/>
      <c r="P309" s="10"/>
      <c r="Q309" s="464"/>
    </row>
    <row r="310" spans="7:17" hidden="1" x14ac:dyDescent="0.25">
      <c r="G310" s="463"/>
      <c r="H310" s="10"/>
      <c r="I310" s="10"/>
      <c r="J310" s="10"/>
      <c r="K310" s="10"/>
      <c r="L310" s="10"/>
      <c r="M310" s="10"/>
      <c r="N310" s="10"/>
      <c r="O310" s="10"/>
      <c r="P310" s="10"/>
      <c r="Q310" s="464"/>
    </row>
    <row r="311" spans="7:17" hidden="1" x14ac:dyDescent="0.25">
      <c r="G311" s="463"/>
      <c r="H311" s="10"/>
      <c r="I311" s="10"/>
      <c r="J311" s="10"/>
      <c r="K311" s="10"/>
      <c r="L311" s="10"/>
      <c r="M311" s="10"/>
      <c r="N311" s="10"/>
      <c r="O311" s="10"/>
      <c r="P311" s="10"/>
      <c r="Q311" s="464"/>
    </row>
    <row r="312" spans="7:17" hidden="1" x14ac:dyDescent="0.25">
      <c r="G312" s="463"/>
      <c r="H312" s="10"/>
      <c r="I312" s="10"/>
      <c r="J312" s="10"/>
      <c r="K312" s="10"/>
      <c r="L312" s="10"/>
      <c r="M312" s="10"/>
      <c r="N312" s="10"/>
      <c r="O312" s="10"/>
      <c r="P312" s="10"/>
      <c r="Q312" s="464"/>
    </row>
    <row r="313" spans="7:17" hidden="1" x14ac:dyDescent="0.25">
      <c r="G313" s="463"/>
      <c r="H313" s="10"/>
      <c r="I313" s="10"/>
      <c r="J313" s="10"/>
      <c r="K313" s="10"/>
      <c r="L313" s="10"/>
      <c r="M313" s="10"/>
      <c r="N313" s="10"/>
      <c r="O313" s="10"/>
      <c r="P313" s="10"/>
      <c r="Q313" s="464"/>
    </row>
    <row r="314" spans="7:17" hidden="1" x14ac:dyDescent="0.25">
      <c r="G314" s="463"/>
      <c r="H314" s="10"/>
      <c r="I314" s="10"/>
      <c r="J314" s="10"/>
      <c r="K314" s="10"/>
      <c r="L314" s="10"/>
      <c r="M314" s="10"/>
      <c r="N314" s="10"/>
      <c r="O314" s="10"/>
      <c r="P314" s="10"/>
      <c r="Q314" s="464"/>
    </row>
    <row r="315" spans="7:17" hidden="1" x14ac:dyDescent="0.25">
      <c r="G315" s="463"/>
      <c r="H315" s="10"/>
      <c r="I315" s="10"/>
      <c r="J315" s="10"/>
      <c r="K315" s="10"/>
      <c r="L315" s="10"/>
      <c r="M315" s="10"/>
      <c r="N315" s="10"/>
      <c r="O315" s="10"/>
      <c r="P315" s="10"/>
      <c r="Q315" s="464"/>
    </row>
    <row r="316" spans="7:17" hidden="1" x14ac:dyDescent="0.25">
      <c r="G316" s="463"/>
      <c r="H316" s="10"/>
      <c r="I316" s="10"/>
      <c r="J316" s="10"/>
      <c r="K316" s="10"/>
      <c r="L316" s="10"/>
      <c r="M316" s="10"/>
      <c r="N316" s="10"/>
      <c r="O316" s="10"/>
      <c r="P316" s="10"/>
      <c r="Q316" s="464"/>
    </row>
    <row r="317" spans="7:17" hidden="1" x14ac:dyDescent="0.25">
      <c r="G317" s="463"/>
      <c r="H317" s="10"/>
      <c r="I317" s="10"/>
      <c r="J317" s="10"/>
      <c r="K317" s="10"/>
      <c r="L317" s="10"/>
      <c r="M317" s="10"/>
      <c r="N317" s="10"/>
      <c r="O317" s="10"/>
      <c r="P317" s="10"/>
      <c r="Q317" s="464"/>
    </row>
    <row r="318" spans="7:17" hidden="1" x14ac:dyDescent="0.25">
      <c r="G318" s="463"/>
      <c r="H318" s="10"/>
      <c r="I318" s="10"/>
      <c r="J318" s="10"/>
      <c r="K318" s="10"/>
      <c r="L318" s="10"/>
      <c r="M318" s="10"/>
      <c r="N318" s="10"/>
      <c r="O318" s="10"/>
      <c r="P318" s="10"/>
      <c r="Q318" s="464"/>
    </row>
    <row r="319" spans="7:17" hidden="1" x14ac:dyDescent="0.25">
      <c r="G319" s="463"/>
      <c r="H319" s="10"/>
      <c r="I319" s="10"/>
      <c r="J319" s="10"/>
      <c r="K319" s="10"/>
      <c r="L319" s="10"/>
      <c r="M319" s="10"/>
      <c r="N319" s="10"/>
      <c r="O319" s="10"/>
      <c r="P319" s="10"/>
      <c r="Q319" s="464"/>
    </row>
    <row r="320" spans="7:17" hidden="1" x14ac:dyDescent="0.25">
      <c r="G320" s="463"/>
      <c r="H320" s="10"/>
      <c r="I320" s="10"/>
      <c r="J320" s="10"/>
      <c r="K320" s="10"/>
      <c r="L320" s="10"/>
      <c r="M320" s="10"/>
      <c r="N320" s="10"/>
      <c r="O320" s="10"/>
      <c r="P320" s="10"/>
      <c r="Q320" s="464"/>
    </row>
    <row r="321" spans="7:17" hidden="1" x14ac:dyDescent="0.25">
      <c r="G321" s="463"/>
      <c r="H321" s="10"/>
      <c r="I321" s="10"/>
      <c r="J321" s="10"/>
      <c r="K321" s="10"/>
      <c r="L321" s="10"/>
      <c r="M321" s="10"/>
      <c r="N321" s="10"/>
      <c r="O321" s="10"/>
      <c r="P321" s="10"/>
      <c r="Q321" s="464"/>
    </row>
    <row r="322" spans="7:17" hidden="1" x14ac:dyDescent="0.25">
      <c r="G322" s="463"/>
      <c r="H322" s="10"/>
      <c r="I322" s="10"/>
      <c r="J322" s="10"/>
      <c r="K322" s="10"/>
      <c r="L322" s="10"/>
      <c r="M322" s="10"/>
      <c r="N322" s="10"/>
      <c r="O322" s="10"/>
      <c r="P322" s="10"/>
      <c r="Q322" s="464"/>
    </row>
    <row r="323" spans="7:17" hidden="1" x14ac:dyDescent="0.25">
      <c r="G323" s="463"/>
      <c r="H323" s="10"/>
      <c r="I323" s="10"/>
      <c r="J323" s="10"/>
      <c r="K323" s="10"/>
      <c r="L323" s="10"/>
      <c r="M323" s="10"/>
      <c r="N323" s="10"/>
      <c r="O323" s="10"/>
      <c r="P323" s="10"/>
      <c r="Q323" s="464"/>
    </row>
    <row r="324" spans="7:17" hidden="1" x14ac:dyDescent="0.25">
      <c r="G324" s="463"/>
      <c r="H324" s="10"/>
      <c r="I324" s="10"/>
      <c r="J324" s="10"/>
      <c r="K324" s="10"/>
      <c r="L324" s="10"/>
      <c r="M324" s="10"/>
      <c r="N324" s="10"/>
      <c r="O324" s="10"/>
      <c r="P324" s="10"/>
      <c r="Q324" s="464"/>
    </row>
    <row r="325" spans="7:17" hidden="1" x14ac:dyDescent="0.25">
      <c r="G325" s="463"/>
      <c r="H325" s="10"/>
      <c r="I325" s="10"/>
      <c r="J325" s="10"/>
      <c r="K325" s="10"/>
      <c r="L325" s="10"/>
      <c r="M325" s="10"/>
      <c r="N325" s="10"/>
      <c r="O325" s="10"/>
      <c r="P325" s="10"/>
      <c r="Q325" s="464"/>
    </row>
    <row r="326" spans="7:17" hidden="1" x14ac:dyDescent="0.25">
      <c r="G326" s="463"/>
      <c r="H326" s="10"/>
      <c r="I326" s="10"/>
      <c r="J326" s="10"/>
      <c r="K326" s="10"/>
      <c r="L326" s="10"/>
      <c r="M326" s="10"/>
      <c r="N326" s="10"/>
      <c r="O326" s="10"/>
      <c r="P326" s="10"/>
      <c r="Q326" s="464"/>
    </row>
    <row r="327" spans="7:17" hidden="1" x14ac:dyDescent="0.25">
      <c r="G327" s="463"/>
      <c r="H327" s="10"/>
      <c r="I327" s="10"/>
      <c r="J327" s="10"/>
      <c r="K327" s="10"/>
      <c r="L327" s="10"/>
      <c r="M327" s="10"/>
      <c r="N327" s="10"/>
      <c r="O327" s="10"/>
      <c r="P327" s="10"/>
      <c r="Q327" s="464"/>
    </row>
    <row r="328" spans="7:17" hidden="1" x14ac:dyDescent="0.25">
      <c r="G328" s="463"/>
      <c r="H328" s="10"/>
      <c r="I328" s="10"/>
      <c r="J328" s="10"/>
      <c r="K328" s="10"/>
      <c r="L328" s="10"/>
      <c r="M328" s="10"/>
      <c r="N328" s="10"/>
      <c r="O328" s="10"/>
      <c r="P328" s="10"/>
      <c r="Q328" s="464"/>
    </row>
    <row r="329" spans="7:17" hidden="1" x14ac:dyDescent="0.25">
      <c r="G329" s="463"/>
      <c r="H329" s="10"/>
      <c r="I329" s="10"/>
      <c r="J329" s="10"/>
      <c r="K329" s="10"/>
      <c r="L329" s="10"/>
      <c r="M329" s="10"/>
      <c r="N329" s="10"/>
      <c r="O329" s="10"/>
      <c r="P329" s="10"/>
      <c r="Q329" s="464"/>
    </row>
    <row r="330" spans="7:17" hidden="1" x14ac:dyDescent="0.25">
      <c r="G330" s="463"/>
      <c r="H330" s="10"/>
      <c r="I330" s="10"/>
      <c r="J330" s="10"/>
      <c r="K330" s="10"/>
      <c r="L330" s="10"/>
      <c r="M330" s="10"/>
      <c r="N330" s="10"/>
      <c r="O330" s="10"/>
      <c r="P330" s="10"/>
      <c r="Q330" s="464"/>
    </row>
    <row r="331" spans="7:17" hidden="1" x14ac:dyDescent="0.25">
      <c r="G331" s="463"/>
      <c r="H331" s="10"/>
      <c r="I331" s="10"/>
      <c r="J331" s="10"/>
      <c r="K331" s="10"/>
      <c r="L331" s="10"/>
      <c r="M331" s="10"/>
      <c r="N331" s="10"/>
      <c r="O331" s="10"/>
      <c r="P331" s="10"/>
      <c r="Q331" s="464"/>
    </row>
    <row r="332" spans="7:17" hidden="1" x14ac:dyDescent="0.25">
      <c r="G332" s="463"/>
      <c r="H332" s="10"/>
      <c r="I332" s="10"/>
      <c r="J332" s="10"/>
      <c r="K332" s="10"/>
      <c r="L332" s="10"/>
      <c r="M332" s="10"/>
      <c r="N332" s="10"/>
      <c r="O332" s="10"/>
      <c r="P332" s="10"/>
      <c r="Q332" s="464"/>
    </row>
    <row r="333" spans="7:17" hidden="1" x14ac:dyDescent="0.25">
      <c r="G333" s="463"/>
      <c r="H333" s="10"/>
      <c r="I333" s="10"/>
      <c r="J333" s="10"/>
      <c r="K333" s="10"/>
      <c r="L333" s="10"/>
      <c r="M333" s="10"/>
      <c r="N333" s="10"/>
      <c r="O333" s="10"/>
      <c r="P333" s="10"/>
      <c r="Q333" s="464"/>
    </row>
    <row r="334" spans="7:17" hidden="1" x14ac:dyDescent="0.25">
      <c r="G334" s="463"/>
      <c r="H334" s="10"/>
      <c r="I334" s="10"/>
      <c r="J334" s="10"/>
      <c r="K334" s="10"/>
      <c r="L334" s="10"/>
      <c r="M334" s="10"/>
      <c r="N334" s="10"/>
      <c r="O334" s="10"/>
      <c r="P334" s="10"/>
      <c r="Q334" s="464"/>
    </row>
    <row r="335" spans="7:17" hidden="1" x14ac:dyDescent="0.25">
      <c r="G335" s="463"/>
      <c r="H335" s="10"/>
      <c r="I335" s="10"/>
      <c r="J335" s="10"/>
      <c r="K335" s="10"/>
      <c r="L335" s="10"/>
      <c r="M335" s="10"/>
      <c r="N335" s="10"/>
      <c r="O335" s="10"/>
      <c r="P335" s="10"/>
      <c r="Q335" s="464"/>
    </row>
    <row r="336" spans="7:17" hidden="1" x14ac:dyDescent="0.25">
      <c r="G336" s="463"/>
      <c r="H336" s="10"/>
      <c r="I336" s="10"/>
      <c r="J336" s="10"/>
      <c r="K336" s="10"/>
      <c r="L336" s="10"/>
      <c r="M336" s="10"/>
      <c r="N336" s="10"/>
      <c r="O336" s="10"/>
      <c r="P336" s="10"/>
      <c r="Q336" s="464"/>
    </row>
    <row r="337" spans="7:17" hidden="1" x14ac:dyDescent="0.25">
      <c r="G337" s="463"/>
      <c r="H337" s="10"/>
      <c r="I337" s="10"/>
      <c r="J337" s="10"/>
      <c r="K337" s="10"/>
      <c r="L337" s="10"/>
      <c r="M337" s="10"/>
      <c r="N337" s="10"/>
      <c r="O337" s="10"/>
      <c r="P337" s="10"/>
      <c r="Q337" s="464"/>
    </row>
    <row r="338" spans="7:17" hidden="1" x14ac:dyDescent="0.25">
      <c r="G338" s="463"/>
      <c r="H338" s="10"/>
      <c r="I338" s="10"/>
      <c r="J338" s="10"/>
      <c r="K338" s="10"/>
      <c r="L338" s="10"/>
      <c r="M338" s="10"/>
      <c r="N338" s="10"/>
      <c r="O338" s="10"/>
      <c r="P338" s="10"/>
      <c r="Q338" s="464"/>
    </row>
    <row r="339" spans="7:17" hidden="1" x14ac:dyDescent="0.25">
      <c r="G339" s="463"/>
      <c r="H339" s="10"/>
      <c r="I339" s="10"/>
      <c r="J339" s="10"/>
      <c r="K339" s="10"/>
      <c r="L339" s="10"/>
      <c r="M339" s="10"/>
      <c r="N339" s="10"/>
      <c r="O339" s="10"/>
      <c r="P339" s="10"/>
      <c r="Q339" s="464"/>
    </row>
    <row r="340" spans="7:17" hidden="1" x14ac:dyDescent="0.25">
      <c r="G340" s="463"/>
      <c r="H340" s="10"/>
      <c r="I340" s="10"/>
      <c r="J340" s="10"/>
      <c r="K340" s="10"/>
      <c r="L340" s="10"/>
      <c r="M340" s="10"/>
      <c r="N340" s="10"/>
      <c r="O340" s="10"/>
      <c r="P340" s="10"/>
      <c r="Q340" s="464"/>
    </row>
    <row r="341" spans="7:17" hidden="1" x14ac:dyDescent="0.25">
      <c r="G341" s="463"/>
      <c r="H341" s="10"/>
      <c r="I341" s="10"/>
      <c r="J341" s="10"/>
      <c r="K341" s="10"/>
      <c r="L341" s="10"/>
      <c r="M341" s="10"/>
      <c r="N341" s="10"/>
      <c r="O341" s="10"/>
      <c r="P341" s="10"/>
      <c r="Q341" s="464"/>
    </row>
    <row r="342" spans="7:17" hidden="1" x14ac:dyDescent="0.25">
      <c r="G342" s="463"/>
      <c r="H342" s="10"/>
      <c r="I342" s="10"/>
      <c r="J342" s="10"/>
      <c r="K342" s="10"/>
      <c r="L342" s="10"/>
      <c r="M342" s="10"/>
      <c r="N342" s="10"/>
      <c r="O342" s="10"/>
      <c r="P342" s="10"/>
      <c r="Q342" s="464"/>
    </row>
    <row r="343" spans="7:17" hidden="1" x14ac:dyDescent="0.25">
      <c r="G343" s="463"/>
      <c r="H343" s="10"/>
      <c r="I343" s="10"/>
      <c r="J343" s="10"/>
      <c r="K343" s="10"/>
      <c r="L343" s="10"/>
      <c r="M343" s="10"/>
      <c r="N343" s="10"/>
      <c r="O343" s="10"/>
      <c r="P343" s="10"/>
      <c r="Q343" s="464"/>
    </row>
    <row r="344" spans="7:17" hidden="1" x14ac:dyDescent="0.25">
      <c r="G344" s="463"/>
      <c r="H344" s="10"/>
      <c r="I344" s="10"/>
      <c r="J344" s="10"/>
      <c r="K344" s="10"/>
      <c r="L344" s="10"/>
      <c r="M344" s="10"/>
      <c r="N344" s="10"/>
      <c r="O344" s="10"/>
      <c r="P344" s="10"/>
      <c r="Q344" s="464"/>
    </row>
    <row r="345" spans="7:17" hidden="1" x14ac:dyDescent="0.25">
      <c r="G345" s="463"/>
      <c r="H345" s="10"/>
      <c r="I345" s="10"/>
      <c r="J345" s="10"/>
      <c r="K345" s="10"/>
      <c r="L345" s="10"/>
      <c r="M345" s="10"/>
      <c r="N345" s="10"/>
      <c r="O345" s="10"/>
      <c r="P345" s="10"/>
      <c r="Q345" s="464"/>
    </row>
    <row r="346" spans="7:17" hidden="1" x14ac:dyDescent="0.25">
      <c r="G346" s="463"/>
      <c r="H346" s="10"/>
      <c r="I346" s="10"/>
      <c r="J346" s="10"/>
      <c r="K346" s="10"/>
      <c r="L346" s="10"/>
      <c r="M346" s="10"/>
      <c r="N346" s="10"/>
      <c r="O346" s="10"/>
      <c r="P346" s="10"/>
      <c r="Q346" s="464"/>
    </row>
    <row r="347" spans="7:17" hidden="1" x14ac:dyDescent="0.25">
      <c r="G347" s="463"/>
      <c r="H347" s="10"/>
      <c r="I347" s="10"/>
      <c r="J347" s="10"/>
      <c r="K347" s="10"/>
      <c r="L347" s="10"/>
      <c r="M347" s="10"/>
      <c r="N347" s="10"/>
      <c r="O347" s="10"/>
      <c r="P347" s="10"/>
      <c r="Q347" s="464"/>
    </row>
    <row r="348" spans="7:17" hidden="1" x14ac:dyDescent="0.25">
      <c r="G348" s="463"/>
      <c r="H348" s="10"/>
      <c r="I348" s="10"/>
      <c r="J348" s="10"/>
      <c r="K348" s="10"/>
      <c r="L348" s="10"/>
      <c r="M348" s="10"/>
      <c r="N348" s="10"/>
      <c r="O348" s="10"/>
      <c r="P348" s="10"/>
      <c r="Q348" s="464"/>
    </row>
    <row r="349" spans="7:17" hidden="1" x14ac:dyDescent="0.25">
      <c r="G349" s="463"/>
      <c r="H349" s="10"/>
      <c r="I349" s="10"/>
      <c r="J349" s="10"/>
      <c r="K349" s="10"/>
      <c r="L349" s="10"/>
      <c r="M349" s="10"/>
      <c r="N349" s="10"/>
      <c r="O349" s="10"/>
      <c r="P349" s="10"/>
      <c r="Q349" s="464"/>
    </row>
    <row r="350" spans="7:17" hidden="1" x14ac:dyDescent="0.25">
      <c r="G350" s="463"/>
      <c r="H350" s="10"/>
      <c r="I350" s="10"/>
      <c r="J350" s="10"/>
      <c r="K350" s="10"/>
      <c r="L350" s="10"/>
      <c r="M350" s="10"/>
      <c r="N350" s="10"/>
      <c r="O350" s="10"/>
      <c r="P350" s="10"/>
      <c r="Q350" s="464"/>
    </row>
    <row r="351" spans="7:17" hidden="1" x14ac:dyDescent="0.25">
      <c r="G351" s="463"/>
      <c r="H351" s="10"/>
      <c r="I351" s="10"/>
      <c r="J351" s="10"/>
      <c r="K351" s="10"/>
      <c r="L351" s="10"/>
      <c r="M351" s="10"/>
      <c r="N351" s="10"/>
      <c r="O351" s="10"/>
      <c r="P351" s="10"/>
      <c r="Q351" s="464"/>
    </row>
    <row r="352" spans="7:17" hidden="1" x14ac:dyDescent="0.25">
      <c r="G352" s="463"/>
      <c r="H352" s="10"/>
      <c r="I352" s="10"/>
      <c r="J352" s="10"/>
      <c r="K352" s="10"/>
      <c r="L352" s="10"/>
      <c r="M352" s="10"/>
      <c r="N352" s="10"/>
      <c r="O352" s="10"/>
      <c r="P352" s="10"/>
      <c r="Q352" s="464"/>
    </row>
    <row r="353" spans="7:17" hidden="1" x14ac:dyDescent="0.25">
      <c r="G353" s="463"/>
      <c r="H353" s="10"/>
      <c r="I353" s="10"/>
      <c r="J353" s="10"/>
      <c r="K353" s="10"/>
      <c r="L353" s="10"/>
      <c r="M353" s="10"/>
      <c r="N353" s="10"/>
      <c r="O353" s="10"/>
      <c r="P353" s="10"/>
      <c r="Q353" s="464"/>
    </row>
    <row r="354" spans="7:17" hidden="1" x14ac:dyDescent="0.25">
      <c r="G354" s="463"/>
      <c r="H354" s="10"/>
      <c r="I354" s="10"/>
      <c r="J354" s="10"/>
      <c r="K354" s="10"/>
      <c r="L354" s="10"/>
      <c r="M354" s="10"/>
      <c r="N354" s="10"/>
      <c r="O354" s="10"/>
      <c r="P354" s="10"/>
      <c r="Q354" s="464"/>
    </row>
    <row r="355" spans="7:17" hidden="1" x14ac:dyDescent="0.25">
      <c r="G355" s="463"/>
      <c r="H355" s="10"/>
      <c r="I355" s="10"/>
      <c r="J355" s="10"/>
      <c r="K355" s="10"/>
      <c r="L355" s="10"/>
      <c r="M355" s="10"/>
      <c r="N355" s="10"/>
      <c r="O355" s="10"/>
      <c r="P355" s="10"/>
      <c r="Q355" s="464"/>
    </row>
    <row r="356" spans="7:17" hidden="1" x14ac:dyDescent="0.25">
      <c r="G356" s="463"/>
      <c r="H356" s="10"/>
      <c r="I356" s="10"/>
      <c r="J356" s="10"/>
      <c r="K356" s="10"/>
      <c r="L356" s="10"/>
      <c r="M356" s="10"/>
      <c r="N356" s="10"/>
      <c r="O356" s="10"/>
      <c r="P356" s="10"/>
      <c r="Q356" s="464"/>
    </row>
    <row r="357" spans="7:17" hidden="1" x14ac:dyDescent="0.25">
      <c r="G357" s="463"/>
      <c r="H357" s="10"/>
      <c r="I357" s="10"/>
      <c r="J357" s="10"/>
      <c r="K357" s="10"/>
      <c r="L357" s="10"/>
      <c r="M357" s="10"/>
      <c r="N357" s="10"/>
      <c r="O357" s="10"/>
      <c r="P357" s="10"/>
      <c r="Q357" s="464"/>
    </row>
    <row r="358" spans="7:17" hidden="1" x14ac:dyDescent="0.25">
      <c r="G358" s="463"/>
      <c r="H358" s="10"/>
      <c r="I358" s="10"/>
      <c r="J358" s="10"/>
      <c r="K358" s="10"/>
      <c r="L358" s="10"/>
      <c r="M358" s="10"/>
      <c r="N358" s="10"/>
      <c r="O358" s="10"/>
      <c r="P358" s="10"/>
      <c r="Q358" s="464"/>
    </row>
    <row r="359" spans="7:17" hidden="1" x14ac:dyDescent="0.25">
      <c r="G359" s="463"/>
      <c r="H359" s="10"/>
      <c r="I359" s="10"/>
      <c r="J359" s="10"/>
      <c r="K359" s="10"/>
      <c r="L359" s="10"/>
      <c r="M359" s="10"/>
      <c r="N359" s="10"/>
      <c r="O359" s="10"/>
      <c r="P359" s="10"/>
      <c r="Q359" s="464"/>
    </row>
    <row r="360" spans="7:17" hidden="1" x14ac:dyDescent="0.25">
      <c r="G360" s="463"/>
      <c r="H360" s="10"/>
      <c r="I360" s="10"/>
      <c r="J360" s="10"/>
      <c r="K360" s="10"/>
      <c r="L360" s="10"/>
      <c r="M360" s="10"/>
      <c r="N360" s="10"/>
      <c r="O360" s="10"/>
      <c r="P360" s="10"/>
      <c r="Q360" s="464"/>
    </row>
    <row r="361" spans="7:17" hidden="1" x14ac:dyDescent="0.25">
      <c r="G361" s="463"/>
      <c r="H361" s="10"/>
      <c r="I361" s="10"/>
      <c r="J361" s="10"/>
      <c r="K361" s="10"/>
      <c r="L361" s="10"/>
      <c r="M361" s="10"/>
      <c r="N361" s="10"/>
      <c r="O361" s="10"/>
      <c r="P361" s="10"/>
      <c r="Q361" s="464"/>
    </row>
    <row r="362" spans="7:17" hidden="1" x14ac:dyDescent="0.25">
      <c r="G362" s="463"/>
      <c r="H362" s="10"/>
      <c r="I362" s="10"/>
      <c r="J362" s="10"/>
      <c r="K362" s="10"/>
      <c r="L362" s="10"/>
      <c r="M362" s="10"/>
      <c r="N362" s="10"/>
      <c r="O362" s="10"/>
      <c r="P362" s="10"/>
      <c r="Q362" s="464"/>
    </row>
    <row r="363" spans="7:17" hidden="1" x14ac:dyDescent="0.25">
      <c r="G363" s="463"/>
      <c r="H363" s="10"/>
      <c r="I363" s="10"/>
      <c r="J363" s="10"/>
      <c r="K363" s="10"/>
      <c r="L363" s="10"/>
      <c r="M363" s="10"/>
      <c r="N363" s="10"/>
      <c r="O363" s="10"/>
      <c r="P363" s="10"/>
      <c r="Q363" s="464"/>
    </row>
    <row r="364" spans="7:17" hidden="1" x14ac:dyDescent="0.25">
      <c r="G364" s="463"/>
      <c r="H364" s="10"/>
      <c r="I364" s="10"/>
      <c r="J364" s="10"/>
      <c r="K364" s="10"/>
      <c r="L364" s="10"/>
      <c r="M364" s="10"/>
      <c r="N364" s="10"/>
      <c r="O364" s="10"/>
      <c r="P364" s="10"/>
      <c r="Q364" s="464"/>
    </row>
    <row r="365" spans="7:17" hidden="1" x14ac:dyDescent="0.25">
      <c r="G365" s="463"/>
      <c r="H365" s="10"/>
      <c r="I365" s="10"/>
      <c r="J365" s="10"/>
      <c r="K365" s="10"/>
      <c r="L365" s="10"/>
      <c r="M365" s="10"/>
      <c r="N365" s="10"/>
      <c r="O365" s="10"/>
      <c r="P365" s="10"/>
      <c r="Q365" s="464"/>
    </row>
    <row r="366" spans="7:17" hidden="1" x14ac:dyDescent="0.25">
      <c r="G366" s="463"/>
      <c r="H366" s="10"/>
      <c r="I366" s="10"/>
      <c r="J366" s="10"/>
      <c r="K366" s="10"/>
      <c r="L366" s="10"/>
      <c r="M366" s="10"/>
      <c r="N366" s="10"/>
      <c r="O366" s="10"/>
      <c r="P366" s="10"/>
      <c r="Q366" s="464"/>
    </row>
    <row r="367" spans="7:17" hidden="1" x14ac:dyDescent="0.25">
      <c r="G367" s="463"/>
      <c r="H367" s="10"/>
      <c r="I367" s="10"/>
      <c r="J367" s="10"/>
      <c r="K367" s="10"/>
      <c r="L367" s="10"/>
      <c r="M367" s="10"/>
      <c r="N367" s="10"/>
      <c r="O367" s="10"/>
      <c r="P367" s="10"/>
      <c r="Q367" s="464"/>
    </row>
    <row r="368" spans="7:17" hidden="1" x14ac:dyDescent="0.25">
      <c r="G368" s="463"/>
      <c r="H368" s="10"/>
      <c r="I368" s="10"/>
      <c r="J368" s="10"/>
      <c r="K368" s="10"/>
      <c r="L368" s="10"/>
      <c r="M368" s="10"/>
      <c r="N368" s="10"/>
      <c r="O368" s="10"/>
      <c r="P368" s="10"/>
      <c r="Q368" s="464"/>
    </row>
    <row r="369" spans="7:17" hidden="1" x14ac:dyDescent="0.25">
      <c r="G369" s="463"/>
      <c r="H369" s="10"/>
      <c r="I369" s="10"/>
      <c r="J369" s="10"/>
      <c r="K369" s="10"/>
      <c r="L369" s="10"/>
      <c r="M369" s="10"/>
      <c r="N369" s="10"/>
      <c r="O369" s="10"/>
      <c r="P369" s="10"/>
      <c r="Q369" s="464"/>
    </row>
    <row r="370" spans="7:17" hidden="1" x14ac:dyDescent="0.25">
      <c r="G370" s="463"/>
      <c r="H370" s="10"/>
      <c r="I370" s="10"/>
      <c r="J370" s="10"/>
      <c r="K370" s="10"/>
      <c r="L370" s="10"/>
      <c r="M370" s="10"/>
      <c r="N370" s="10"/>
      <c r="O370" s="10"/>
      <c r="P370" s="10"/>
      <c r="Q370" s="464"/>
    </row>
    <row r="371" spans="7:17" hidden="1" x14ac:dyDescent="0.25">
      <c r="G371" s="463"/>
      <c r="H371" s="10"/>
      <c r="I371" s="10"/>
      <c r="J371" s="10"/>
      <c r="K371" s="10"/>
      <c r="L371" s="10"/>
      <c r="M371" s="10"/>
      <c r="N371" s="10"/>
      <c r="O371" s="10"/>
      <c r="P371" s="10"/>
      <c r="Q371" s="464"/>
    </row>
    <row r="372" spans="7:17" hidden="1" x14ac:dyDescent="0.25">
      <c r="G372" s="463"/>
      <c r="H372" s="10"/>
      <c r="I372" s="10"/>
      <c r="J372" s="10"/>
      <c r="K372" s="10"/>
      <c r="L372" s="10"/>
      <c r="M372" s="10"/>
      <c r="N372" s="10"/>
      <c r="O372" s="10"/>
      <c r="P372" s="10"/>
      <c r="Q372" s="464"/>
    </row>
    <row r="373" spans="7:17" hidden="1" x14ac:dyDescent="0.25">
      <c r="G373" s="463"/>
      <c r="H373" s="10"/>
      <c r="I373" s="10"/>
      <c r="J373" s="10"/>
      <c r="K373" s="10"/>
      <c r="L373" s="10"/>
      <c r="M373" s="10"/>
      <c r="N373" s="10"/>
      <c r="O373" s="10"/>
      <c r="P373" s="10"/>
      <c r="Q373" s="464"/>
    </row>
    <row r="374" spans="7:17" hidden="1" x14ac:dyDescent="0.25">
      <c r="G374" s="463"/>
      <c r="H374" s="10"/>
      <c r="I374" s="10"/>
      <c r="J374" s="10"/>
      <c r="K374" s="10"/>
      <c r="L374" s="10"/>
      <c r="M374" s="10"/>
      <c r="N374" s="10"/>
      <c r="O374" s="10"/>
      <c r="P374" s="10"/>
      <c r="Q374" s="464"/>
    </row>
    <row r="375" spans="7:17" hidden="1" x14ac:dyDescent="0.25">
      <c r="G375" s="463"/>
      <c r="H375" s="10"/>
      <c r="I375" s="10"/>
      <c r="J375" s="10"/>
      <c r="K375" s="10"/>
      <c r="L375" s="10"/>
      <c r="M375" s="10"/>
      <c r="N375" s="10"/>
      <c r="O375" s="10"/>
      <c r="P375" s="10"/>
      <c r="Q375" s="464"/>
    </row>
    <row r="376" spans="7:17" hidden="1" x14ac:dyDescent="0.25">
      <c r="G376" s="463"/>
      <c r="H376" s="10"/>
      <c r="I376" s="10"/>
      <c r="J376" s="10"/>
      <c r="K376" s="10"/>
      <c r="L376" s="10"/>
      <c r="M376" s="10"/>
      <c r="N376" s="10"/>
      <c r="O376" s="10"/>
      <c r="P376" s="10"/>
      <c r="Q376" s="464"/>
    </row>
    <row r="377" spans="7:17" hidden="1" x14ac:dyDescent="0.25">
      <c r="G377" s="463"/>
      <c r="H377" s="10"/>
      <c r="I377" s="10"/>
      <c r="J377" s="10"/>
      <c r="K377" s="10"/>
      <c r="L377" s="10"/>
      <c r="M377" s="10"/>
      <c r="N377" s="10"/>
      <c r="O377" s="10"/>
      <c r="P377" s="10"/>
      <c r="Q377" s="464"/>
    </row>
    <row r="378" spans="7:17" hidden="1" x14ac:dyDescent="0.25">
      <c r="G378" s="463"/>
      <c r="H378" s="10"/>
      <c r="I378" s="10"/>
      <c r="J378" s="10"/>
      <c r="K378" s="10"/>
      <c r="L378" s="10"/>
      <c r="M378" s="10"/>
      <c r="N378" s="10"/>
      <c r="O378" s="10"/>
      <c r="P378" s="10"/>
      <c r="Q378" s="464"/>
    </row>
    <row r="379" spans="7:17" hidden="1" x14ac:dyDescent="0.25">
      <c r="G379" s="463"/>
      <c r="H379" s="10"/>
      <c r="I379" s="10"/>
      <c r="J379" s="10"/>
      <c r="K379" s="10"/>
      <c r="L379" s="10"/>
      <c r="M379" s="10"/>
      <c r="N379" s="10"/>
      <c r="O379" s="10"/>
      <c r="P379" s="10"/>
      <c r="Q379" s="464"/>
    </row>
    <row r="380" spans="7:17" hidden="1" x14ac:dyDescent="0.25">
      <c r="G380" s="463"/>
      <c r="H380" s="10"/>
      <c r="I380" s="10"/>
      <c r="J380" s="10"/>
      <c r="K380" s="10"/>
      <c r="L380" s="10"/>
      <c r="M380" s="10"/>
      <c r="N380" s="10"/>
      <c r="O380" s="10"/>
      <c r="P380" s="10"/>
      <c r="Q380" s="464"/>
    </row>
    <row r="381" spans="7:17" hidden="1" x14ac:dyDescent="0.25">
      <c r="G381" s="463"/>
      <c r="H381" s="10"/>
      <c r="I381" s="10"/>
      <c r="J381" s="10"/>
      <c r="K381" s="10"/>
      <c r="L381" s="10"/>
      <c r="M381" s="10"/>
      <c r="N381" s="10"/>
      <c r="O381" s="10"/>
      <c r="P381" s="10"/>
      <c r="Q381" s="464"/>
    </row>
    <row r="382" spans="7:17" hidden="1" x14ac:dyDescent="0.25">
      <c r="G382" s="463"/>
      <c r="H382" s="10"/>
      <c r="I382" s="10"/>
      <c r="J382" s="10"/>
      <c r="K382" s="10"/>
      <c r="L382" s="10"/>
      <c r="M382" s="10"/>
      <c r="N382" s="10"/>
      <c r="O382" s="10"/>
      <c r="P382" s="10"/>
      <c r="Q382" s="464"/>
    </row>
    <row r="383" spans="7:17" hidden="1" x14ac:dyDescent="0.25">
      <c r="G383" s="463"/>
      <c r="H383" s="10"/>
      <c r="I383" s="10"/>
      <c r="J383" s="10"/>
      <c r="K383" s="10"/>
      <c r="L383" s="10"/>
      <c r="M383" s="10"/>
      <c r="N383" s="10"/>
      <c r="O383" s="10"/>
      <c r="P383" s="10"/>
      <c r="Q383" s="464"/>
    </row>
    <row r="384" spans="7:17" hidden="1" x14ac:dyDescent="0.25">
      <c r="G384" s="463"/>
      <c r="H384" s="10"/>
      <c r="I384" s="10"/>
      <c r="J384" s="10"/>
      <c r="K384" s="10"/>
      <c r="L384" s="10"/>
      <c r="M384" s="10"/>
      <c r="N384" s="10"/>
      <c r="O384" s="10"/>
      <c r="P384" s="10"/>
      <c r="Q384" s="464"/>
    </row>
    <row r="385" spans="7:17" hidden="1" x14ac:dyDescent="0.25">
      <c r="G385" s="463"/>
      <c r="H385" s="10"/>
      <c r="I385" s="10"/>
      <c r="J385" s="10"/>
      <c r="K385" s="10"/>
      <c r="L385" s="10"/>
      <c r="M385" s="10"/>
      <c r="N385" s="10"/>
      <c r="O385" s="10"/>
      <c r="P385" s="10"/>
      <c r="Q385" s="464"/>
    </row>
    <row r="386" spans="7:17" hidden="1" x14ac:dyDescent="0.25">
      <c r="G386" s="463"/>
      <c r="H386" s="10"/>
      <c r="I386" s="10"/>
      <c r="J386" s="10"/>
      <c r="K386" s="10"/>
      <c r="L386" s="10"/>
      <c r="M386" s="10"/>
      <c r="N386" s="10"/>
      <c r="O386" s="10"/>
      <c r="P386" s="10"/>
      <c r="Q386" s="464"/>
    </row>
    <row r="387" spans="7:17" hidden="1" x14ac:dyDescent="0.25">
      <c r="G387" s="463"/>
      <c r="H387" s="10"/>
      <c r="I387" s="10"/>
      <c r="J387" s="10"/>
      <c r="K387" s="10"/>
      <c r="L387" s="10"/>
      <c r="M387" s="10"/>
      <c r="N387" s="10"/>
      <c r="O387" s="10"/>
      <c r="P387" s="10"/>
      <c r="Q387" s="464"/>
    </row>
    <row r="388" spans="7:17" ht="15.75" hidden="1" thickBot="1" x14ac:dyDescent="0.3">
      <c r="G388" s="465"/>
      <c r="H388" s="466"/>
      <c r="I388" s="466"/>
      <c r="J388" s="466"/>
      <c r="K388" s="466"/>
      <c r="L388" s="466"/>
      <c r="M388" s="466"/>
      <c r="N388" s="466"/>
      <c r="O388" s="466"/>
      <c r="P388" s="466"/>
      <c r="Q388" s="467"/>
    </row>
    <row r="389" spans="7:17" hidden="1" x14ac:dyDescent="0.25"/>
    <row r="390" spans="7:17" hidden="1" x14ac:dyDescent="0.25"/>
    <row r="391" spans="7:17" hidden="1" x14ac:dyDescent="0.25"/>
    <row r="392" spans="7:17" hidden="1" x14ac:dyDescent="0.25"/>
    <row r="393" spans="7:17" hidden="1" x14ac:dyDescent="0.25"/>
    <row r="394" spans="7:17" hidden="1" x14ac:dyDescent="0.25"/>
    <row r="395" spans="7:17" hidden="1" x14ac:dyDescent="0.25"/>
    <row r="396" spans="7:17" ht="15.75" hidden="1" thickBot="1" x14ac:dyDescent="0.3">
      <c r="K396" s="471"/>
      <c r="L396" s="471"/>
      <c r="M396" s="471"/>
    </row>
    <row r="397" spans="7:17" hidden="1" x14ac:dyDescent="0.25">
      <c r="G397" s="460"/>
      <c r="H397" s="461"/>
      <c r="I397" s="461"/>
      <c r="J397" s="461"/>
      <c r="K397" s="461"/>
      <c r="L397" s="461"/>
      <c r="M397" s="461"/>
      <c r="N397" s="461"/>
      <c r="O397" s="461"/>
      <c r="P397" s="461"/>
      <c r="Q397" s="462"/>
    </row>
    <row r="398" spans="7:17" hidden="1" x14ac:dyDescent="0.25">
      <c r="G398" s="463"/>
      <c r="H398" s="10"/>
      <c r="I398" s="10"/>
      <c r="J398" s="10"/>
      <c r="K398" s="10"/>
      <c r="L398" s="10"/>
      <c r="M398" s="10"/>
      <c r="N398" s="10"/>
      <c r="O398" s="10"/>
      <c r="P398" s="10"/>
      <c r="Q398" s="464"/>
    </row>
    <row r="399" spans="7:17" hidden="1" x14ac:dyDescent="0.25">
      <c r="G399" s="463"/>
      <c r="H399" s="10"/>
      <c r="I399" s="10"/>
      <c r="J399" s="10"/>
      <c r="K399" s="10"/>
      <c r="L399" s="10"/>
      <c r="M399" s="10"/>
      <c r="N399" s="10"/>
      <c r="O399" s="10"/>
      <c r="P399" s="10"/>
      <c r="Q399" s="464"/>
    </row>
    <row r="400" spans="7:17" hidden="1" x14ac:dyDescent="0.25">
      <c r="G400" s="463"/>
      <c r="H400" s="10"/>
      <c r="I400" s="10"/>
      <c r="J400" s="10"/>
      <c r="K400" s="10"/>
      <c r="L400" s="10"/>
      <c r="M400" s="10"/>
      <c r="N400" s="10"/>
      <c r="O400" s="10"/>
      <c r="P400" s="10"/>
      <c r="Q400" s="464"/>
    </row>
    <row r="401" spans="7:17" hidden="1" x14ac:dyDescent="0.25">
      <c r="G401" s="463"/>
      <c r="H401" s="10"/>
      <c r="I401" s="10"/>
      <c r="J401" s="10"/>
      <c r="K401" s="10"/>
      <c r="L401" s="10"/>
      <c r="M401" s="10"/>
      <c r="N401" s="10"/>
      <c r="O401" s="10"/>
      <c r="P401" s="10"/>
      <c r="Q401" s="464"/>
    </row>
    <row r="402" spans="7:17" hidden="1" x14ac:dyDescent="0.25">
      <c r="G402" s="463"/>
      <c r="H402" s="10"/>
      <c r="I402" s="10"/>
      <c r="J402" s="10"/>
      <c r="K402" s="10"/>
      <c r="L402" s="10"/>
      <c r="M402" s="10"/>
      <c r="N402" s="10"/>
      <c r="O402" s="10"/>
      <c r="P402" s="10"/>
      <c r="Q402" s="464"/>
    </row>
    <row r="403" spans="7:17" hidden="1" x14ac:dyDescent="0.25">
      <c r="G403" s="463"/>
      <c r="H403" s="10"/>
      <c r="I403" s="10"/>
      <c r="J403" s="10"/>
      <c r="K403" s="10"/>
      <c r="L403" s="10"/>
      <c r="M403" s="10"/>
      <c r="N403" s="10"/>
      <c r="O403" s="10"/>
      <c r="P403" s="10"/>
      <c r="Q403" s="464"/>
    </row>
    <row r="404" spans="7:17" hidden="1" x14ac:dyDescent="0.25">
      <c r="G404" s="463"/>
      <c r="H404" s="10"/>
      <c r="I404" s="10"/>
      <c r="J404" s="10"/>
      <c r="K404" s="10"/>
      <c r="L404" s="10"/>
      <c r="M404" s="10"/>
      <c r="N404" s="10"/>
      <c r="O404" s="10"/>
      <c r="P404" s="10"/>
      <c r="Q404" s="464"/>
    </row>
    <row r="405" spans="7:17" hidden="1" x14ac:dyDescent="0.25">
      <c r="G405" s="463"/>
      <c r="H405" s="10"/>
      <c r="I405" s="10"/>
      <c r="J405" s="10"/>
      <c r="K405" s="10"/>
      <c r="L405" s="10"/>
      <c r="M405" s="10"/>
      <c r="N405" s="10"/>
      <c r="O405" s="10"/>
      <c r="P405" s="10"/>
      <c r="Q405" s="464"/>
    </row>
    <row r="406" spans="7:17" hidden="1" x14ac:dyDescent="0.25">
      <c r="G406" s="463"/>
      <c r="H406" s="10"/>
      <c r="I406" s="10"/>
      <c r="J406" s="10"/>
      <c r="K406" s="10"/>
      <c r="L406" s="10"/>
      <c r="M406" s="10"/>
      <c r="N406" s="10"/>
      <c r="O406" s="10"/>
      <c r="P406" s="10"/>
      <c r="Q406" s="464"/>
    </row>
    <row r="407" spans="7:17" hidden="1" x14ac:dyDescent="0.25">
      <c r="G407" s="463"/>
      <c r="H407" s="10"/>
      <c r="I407" s="10"/>
      <c r="J407" s="10"/>
      <c r="K407" s="10"/>
      <c r="L407" s="10"/>
      <c r="M407" s="10"/>
      <c r="N407" s="10"/>
      <c r="O407" s="10"/>
      <c r="P407" s="10"/>
      <c r="Q407" s="464"/>
    </row>
    <row r="408" spans="7:17" hidden="1" x14ac:dyDescent="0.25">
      <c r="G408" s="463"/>
      <c r="H408" s="10"/>
      <c r="I408" s="10"/>
      <c r="J408" s="10"/>
      <c r="K408" s="10"/>
      <c r="L408" s="10"/>
      <c r="M408" s="10"/>
      <c r="N408" s="10"/>
      <c r="O408" s="10"/>
      <c r="P408" s="10"/>
      <c r="Q408" s="464"/>
    </row>
    <row r="409" spans="7:17" hidden="1" x14ac:dyDescent="0.25">
      <c r="G409" s="463"/>
      <c r="H409" s="10"/>
      <c r="I409" s="10"/>
      <c r="J409" s="10"/>
      <c r="K409" s="10"/>
      <c r="L409" s="10"/>
      <c r="M409" s="10"/>
      <c r="N409" s="10"/>
      <c r="O409" s="10"/>
      <c r="P409" s="10"/>
      <c r="Q409" s="464"/>
    </row>
    <row r="410" spans="7:17" hidden="1" x14ac:dyDescent="0.25">
      <c r="G410" s="463"/>
      <c r="H410" s="10"/>
      <c r="I410" s="10"/>
      <c r="J410" s="10"/>
      <c r="K410" s="10"/>
      <c r="L410" s="10"/>
      <c r="M410" s="10"/>
      <c r="N410" s="10"/>
      <c r="O410" s="10"/>
      <c r="P410" s="10"/>
      <c r="Q410" s="464"/>
    </row>
    <row r="411" spans="7:17" hidden="1" x14ac:dyDescent="0.25">
      <c r="G411" s="463"/>
      <c r="H411" s="10"/>
      <c r="I411" s="10"/>
      <c r="J411" s="10"/>
      <c r="K411" s="10"/>
      <c r="L411" s="10"/>
      <c r="M411" s="10"/>
      <c r="N411" s="10"/>
      <c r="O411" s="10"/>
      <c r="P411" s="10"/>
      <c r="Q411" s="464"/>
    </row>
    <row r="412" spans="7:17" hidden="1" x14ac:dyDescent="0.25">
      <c r="G412" s="463"/>
      <c r="H412" s="10"/>
      <c r="I412" s="10"/>
      <c r="J412" s="10"/>
      <c r="K412" s="10"/>
      <c r="L412" s="10"/>
      <c r="M412" s="10"/>
      <c r="N412" s="10"/>
      <c r="O412" s="10"/>
      <c r="P412" s="10"/>
      <c r="Q412" s="464"/>
    </row>
    <row r="413" spans="7:17" hidden="1" x14ac:dyDescent="0.25">
      <c r="G413" s="463"/>
      <c r="H413" s="10"/>
      <c r="I413" s="10"/>
      <c r="J413" s="10"/>
      <c r="K413" s="10"/>
      <c r="L413" s="10"/>
      <c r="M413" s="10"/>
      <c r="N413" s="10"/>
      <c r="O413" s="10"/>
      <c r="P413" s="10"/>
      <c r="Q413" s="464"/>
    </row>
    <row r="414" spans="7:17" hidden="1" x14ac:dyDescent="0.25">
      <c r="G414" s="463"/>
      <c r="H414" s="10"/>
      <c r="I414" s="10"/>
      <c r="J414" s="10"/>
      <c r="K414" s="10"/>
      <c r="L414" s="10"/>
      <c r="M414" s="10"/>
      <c r="N414" s="10"/>
      <c r="O414" s="10"/>
      <c r="P414" s="10"/>
      <c r="Q414" s="464"/>
    </row>
    <row r="415" spans="7:17" hidden="1" x14ac:dyDescent="0.25">
      <c r="G415" s="463"/>
      <c r="H415" s="10"/>
      <c r="I415" s="10"/>
      <c r="J415" s="10"/>
      <c r="K415" s="10"/>
      <c r="L415" s="10"/>
      <c r="M415" s="10"/>
      <c r="N415" s="10"/>
      <c r="O415" s="10"/>
      <c r="P415" s="10"/>
      <c r="Q415" s="464"/>
    </row>
    <row r="416" spans="7:17" ht="15.75" hidden="1" thickBot="1" x14ac:dyDescent="0.3">
      <c r="G416" s="465"/>
      <c r="H416" s="466"/>
      <c r="I416" s="466"/>
      <c r="J416" s="466"/>
      <c r="K416" s="466"/>
      <c r="L416" s="466"/>
      <c r="M416" s="466"/>
      <c r="N416" s="466"/>
      <c r="O416" s="466"/>
      <c r="P416" s="466"/>
      <c r="Q416" s="467"/>
    </row>
    <row r="417" spans="7:17" hidden="1" x14ac:dyDescent="0.25"/>
    <row r="418" spans="7:17" hidden="1" x14ac:dyDescent="0.25"/>
    <row r="419" spans="7:17" hidden="1" x14ac:dyDescent="0.25"/>
    <row r="420" spans="7:17" hidden="1" x14ac:dyDescent="0.25"/>
    <row r="421" spans="7:17" hidden="1" x14ac:dyDescent="0.25"/>
    <row r="422" spans="7:17" hidden="1" x14ac:dyDescent="0.25"/>
    <row r="423" spans="7:17" hidden="1" x14ac:dyDescent="0.25"/>
    <row r="424" spans="7:17" ht="15.75" hidden="1" thickBot="1" x14ac:dyDescent="0.3">
      <c r="K424" s="471"/>
      <c r="L424" s="471"/>
      <c r="M424" s="471"/>
    </row>
    <row r="425" spans="7:17" hidden="1" x14ac:dyDescent="0.25">
      <c r="G425" s="460"/>
      <c r="H425" s="461"/>
      <c r="I425" s="461"/>
      <c r="J425" s="461"/>
      <c r="K425" s="461"/>
      <c r="L425" s="461"/>
      <c r="M425" s="461"/>
      <c r="N425" s="461"/>
      <c r="O425" s="461"/>
      <c r="P425" s="461"/>
      <c r="Q425" s="462"/>
    </row>
    <row r="426" spans="7:17" hidden="1" x14ac:dyDescent="0.25">
      <c r="G426" s="463"/>
      <c r="H426" s="10"/>
      <c r="I426" s="10"/>
      <c r="J426" s="10"/>
      <c r="K426" s="10"/>
      <c r="L426" s="10"/>
      <c r="M426" s="10"/>
      <c r="N426" s="10"/>
      <c r="O426" s="10"/>
      <c r="P426" s="10"/>
      <c r="Q426" s="464"/>
    </row>
    <row r="427" spans="7:17" hidden="1" x14ac:dyDescent="0.25">
      <c r="G427" s="463"/>
      <c r="H427" s="10"/>
      <c r="I427" s="10"/>
      <c r="J427" s="10"/>
      <c r="K427" s="10"/>
      <c r="L427" s="10"/>
      <c r="M427" s="10"/>
      <c r="N427" s="10"/>
      <c r="O427" s="10"/>
      <c r="P427" s="10"/>
      <c r="Q427" s="464"/>
    </row>
    <row r="428" spans="7:17" hidden="1" x14ac:dyDescent="0.25">
      <c r="G428" s="463"/>
      <c r="H428" s="10"/>
      <c r="I428" s="10"/>
      <c r="J428" s="10"/>
      <c r="K428" s="10"/>
      <c r="L428" s="10"/>
      <c r="M428" s="10"/>
      <c r="N428" s="10"/>
      <c r="O428" s="10"/>
      <c r="P428" s="10"/>
      <c r="Q428" s="464"/>
    </row>
    <row r="429" spans="7:17" hidden="1" x14ac:dyDescent="0.25">
      <c r="G429" s="463"/>
      <c r="H429" s="10"/>
      <c r="I429" s="10"/>
      <c r="J429" s="10"/>
      <c r="K429" s="10"/>
      <c r="L429" s="10"/>
      <c r="M429" s="10"/>
      <c r="N429" s="10"/>
      <c r="O429" s="10"/>
      <c r="P429" s="10"/>
      <c r="Q429" s="464"/>
    </row>
    <row r="430" spans="7:17" hidden="1" x14ac:dyDescent="0.25">
      <c r="G430" s="463"/>
      <c r="H430" s="10"/>
      <c r="I430" s="10"/>
      <c r="J430" s="10"/>
      <c r="K430" s="10"/>
      <c r="L430" s="10"/>
      <c r="M430" s="10"/>
      <c r="N430" s="10"/>
      <c r="O430" s="10"/>
      <c r="P430" s="10"/>
      <c r="Q430" s="464"/>
    </row>
    <row r="431" spans="7:17" hidden="1" x14ac:dyDescent="0.25">
      <c r="G431" s="463"/>
      <c r="H431" s="10"/>
      <c r="I431" s="10"/>
      <c r="J431" s="10"/>
      <c r="K431" s="10"/>
      <c r="L431" s="10"/>
      <c r="M431" s="10"/>
      <c r="N431" s="10"/>
      <c r="O431" s="10"/>
      <c r="P431" s="10"/>
      <c r="Q431" s="464"/>
    </row>
    <row r="432" spans="7:17" hidden="1" x14ac:dyDescent="0.25">
      <c r="G432" s="463"/>
      <c r="H432" s="10"/>
      <c r="I432" s="10"/>
      <c r="J432" s="10"/>
      <c r="K432" s="10"/>
      <c r="L432" s="10"/>
      <c r="M432" s="10"/>
      <c r="N432" s="10"/>
      <c r="O432" s="10"/>
      <c r="P432" s="10"/>
      <c r="Q432" s="464"/>
    </row>
    <row r="433" spans="7:17" hidden="1" x14ac:dyDescent="0.25">
      <c r="G433" s="463"/>
      <c r="H433" s="10"/>
      <c r="I433" s="10"/>
      <c r="J433" s="10"/>
      <c r="K433" s="10"/>
      <c r="L433" s="10"/>
      <c r="M433" s="10"/>
      <c r="N433" s="10"/>
      <c r="O433" s="10"/>
      <c r="P433" s="10"/>
      <c r="Q433" s="464"/>
    </row>
    <row r="434" spans="7:17" hidden="1" x14ac:dyDescent="0.25">
      <c r="G434" s="463"/>
      <c r="H434" s="10"/>
      <c r="I434" s="10"/>
      <c r="J434" s="10"/>
      <c r="K434" s="10"/>
      <c r="L434" s="10"/>
      <c r="M434" s="10"/>
      <c r="N434" s="10"/>
      <c r="O434" s="10"/>
      <c r="P434" s="10"/>
      <c r="Q434" s="464"/>
    </row>
    <row r="435" spans="7:17" hidden="1" x14ac:dyDescent="0.25">
      <c r="G435" s="463"/>
      <c r="H435" s="10"/>
      <c r="I435" s="10"/>
      <c r="J435" s="10"/>
      <c r="K435" s="10"/>
      <c r="L435" s="10"/>
      <c r="M435" s="10"/>
      <c r="N435" s="10"/>
      <c r="O435" s="10"/>
      <c r="P435" s="10"/>
      <c r="Q435" s="464"/>
    </row>
    <row r="436" spans="7:17" hidden="1" x14ac:dyDescent="0.25">
      <c r="G436" s="463"/>
      <c r="H436" s="10"/>
      <c r="I436" s="10"/>
      <c r="J436" s="10"/>
      <c r="K436" s="10"/>
      <c r="L436" s="10"/>
      <c r="M436" s="10"/>
      <c r="N436" s="10"/>
      <c r="O436" s="10"/>
      <c r="P436" s="10"/>
      <c r="Q436" s="464"/>
    </row>
    <row r="437" spans="7:17" hidden="1" x14ac:dyDescent="0.25">
      <c r="G437" s="463"/>
      <c r="H437" s="10"/>
      <c r="I437" s="10"/>
      <c r="J437" s="10"/>
      <c r="K437" s="10"/>
      <c r="L437" s="10"/>
      <c r="M437" s="10"/>
      <c r="N437" s="10"/>
      <c r="O437" s="10"/>
      <c r="P437" s="10"/>
      <c r="Q437" s="464"/>
    </row>
    <row r="438" spans="7:17" hidden="1" x14ac:dyDescent="0.25">
      <c r="G438" s="463"/>
      <c r="H438" s="10"/>
      <c r="I438" s="10"/>
      <c r="J438" s="10"/>
      <c r="K438" s="10"/>
      <c r="L438" s="10"/>
      <c r="M438" s="10"/>
      <c r="N438" s="10"/>
      <c r="O438" s="10"/>
      <c r="P438" s="10"/>
      <c r="Q438" s="464"/>
    </row>
    <row r="439" spans="7:17" hidden="1" x14ac:dyDescent="0.25">
      <c r="G439" s="463"/>
      <c r="H439" s="10"/>
      <c r="I439" s="10"/>
      <c r="J439" s="10"/>
      <c r="K439" s="10"/>
      <c r="L439" s="10"/>
      <c r="M439" s="10"/>
      <c r="N439" s="10"/>
      <c r="O439" s="10"/>
      <c r="P439" s="10"/>
      <c r="Q439" s="464"/>
    </row>
    <row r="440" spans="7:17" hidden="1" x14ac:dyDescent="0.25">
      <c r="G440" s="463"/>
      <c r="H440" s="10"/>
      <c r="I440" s="10"/>
      <c r="J440" s="10"/>
      <c r="K440" s="10"/>
      <c r="L440" s="10"/>
      <c r="M440" s="10"/>
      <c r="N440" s="10"/>
      <c r="O440" s="10"/>
      <c r="P440" s="10"/>
      <c r="Q440" s="464"/>
    </row>
    <row r="441" spans="7:17" hidden="1" x14ac:dyDescent="0.25">
      <c r="G441" s="463"/>
      <c r="H441" s="10"/>
      <c r="I441" s="10"/>
      <c r="J441" s="10"/>
      <c r="K441" s="10"/>
      <c r="L441" s="10"/>
      <c r="M441" s="10"/>
      <c r="N441" s="10"/>
      <c r="O441" s="10"/>
      <c r="P441" s="10"/>
      <c r="Q441" s="464"/>
    </row>
    <row r="442" spans="7:17" hidden="1" x14ac:dyDescent="0.25">
      <c r="G442" s="463"/>
      <c r="H442" s="10"/>
      <c r="I442" s="10"/>
      <c r="J442" s="10"/>
      <c r="K442" s="10"/>
      <c r="L442" s="10"/>
      <c r="M442" s="10"/>
      <c r="N442" s="10"/>
      <c r="O442" s="10"/>
      <c r="P442" s="10"/>
      <c r="Q442" s="464"/>
    </row>
    <row r="443" spans="7:17" hidden="1" x14ac:dyDescent="0.25">
      <c r="G443" s="463"/>
      <c r="H443" s="10"/>
      <c r="I443" s="10"/>
      <c r="J443" s="10"/>
      <c r="K443" s="10"/>
      <c r="L443" s="10"/>
      <c r="M443" s="10"/>
      <c r="N443" s="10"/>
      <c r="O443" s="10"/>
      <c r="P443" s="10"/>
      <c r="Q443" s="464"/>
    </row>
    <row r="444" spans="7:17" hidden="1" x14ac:dyDescent="0.25">
      <c r="G444" s="463"/>
      <c r="H444" s="10"/>
      <c r="I444" s="10"/>
      <c r="J444" s="10"/>
      <c r="K444" s="10"/>
      <c r="L444" s="10"/>
      <c r="M444" s="10"/>
      <c r="N444" s="10"/>
      <c r="O444" s="10"/>
      <c r="P444" s="10"/>
      <c r="Q444" s="464"/>
    </row>
    <row r="445" spans="7:17" hidden="1" x14ac:dyDescent="0.25">
      <c r="G445" s="463"/>
      <c r="H445" s="10"/>
      <c r="I445" s="10"/>
      <c r="J445" s="10"/>
      <c r="K445" s="10"/>
      <c r="L445" s="10"/>
      <c r="M445" s="10"/>
      <c r="N445" s="10"/>
      <c r="O445" s="10"/>
      <c r="P445" s="10"/>
      <c r="Q445" s="464"/>
    </row>
    <row r="446" spans="7:17" hidden="1" x14ac:dyDescent="0.25">
      <c r="G446" s="463"/>
      <c r="H446" s="10"/>
      <c r="I446" s="10"/>
      <c r="J446" s="10"/>
      <c r="K446" s="10"/>
      <c r="L446" s="10"/>
      <c r="M446" s="10"/>
      <c r="N446" s="10"/>
      <c r="O446" s="10"/>
      <c r="P446" s="10"/>
      <c r="Q446" s="464"/>
    </row>
    <row r="447" spans="7:17" hidden="1" x14ac:dyDescent="0.25">
      <c r="G447" s="463"/>
      <c r="H447" s="10"/>
      <c r="I447" s="10"/>
      <c r="J447" s="10"/>
      <c r="K447" s="10"/>
      <c r="L447" s="10"/>
      <c r="M447" s="10"/>
      <c r="N447" s="10"/>
      <c r="O447" s="10"/>
      <c r="P447" s="10"/>
      <c r="Q447" s="464"/>
    </row>
    <row r="448" spans="7:17" hidden="1" x14ac:dyDescent="0.25">
      <c r="G448" s="463"/>
      <c r="H448" s="10"/>
      <c r="I448" s="10"/>
      <c r="J448" s="10"/>
      <c r="K448" s="10"/>
      <c r="L448" s="10"/>
      <c r="M448" s="10"/>
      <c r="N448" s="10"/>
      <c r="O448" s="10"/>
      <c r="P448" s="10"/>
      <c r="Q448" s="464"/>
    </row>
    <row r="449" spans="7:17" hidden="1" x14ac:dyDescent="0.25">
      <c r="G449" s="463"/>
      <c r="H449" s="10"/>
      <c r="I449" s="10"/>
      <c r="J449" s="10"/>
      <c r="K449" s="10"/>
      <c r="L449" s="10"/>
      <c r="M449" s="10"/>
      <c r="N449" s="10"/>
      <c r="O449" s="10"/>
      <c r="P449" s="10"/>
      <c r="Q449" s="464"/>
    </row>
    <row r="450" spans="7:17" hidden="1" x14ac:dyDescent="0.25">
      <c r="G450" s="463"/>
      <c r="H450" s="10"/>
      <c r="I450" s="10"/>
      <c r="J450" s="10"/>
      <c r="K450" s="10"/>
      <c r="L450" s="10"/>
      <c r="M450" s="10"/>
      <c r="N450" s="10"/>
      <c r="O450" s="10"/>
      <c r="P450" s="10"/>
      <c r="Q450" s="464"/>
    </row>
    <row r="451" spans="7:17" hidden="1" x14ac:dyDescent="0.25">
      <c r="G451" s="463"/>
      <c r="H451" s="10"/>
      <c r="I451" s="10"/>
      <c r="J451" s="10"/>
      <c r="K451" s="10"/>
      <c r="L451" s="10"/>
      <c r="M451" s="10"/>
      <c r="N451" s="10"/>
      <c r="O451" s="10"/>
      <c r="P451" s="10"/>
      <c r="Q451" s="464"/>
    </row>
    <row r="452" spans="7:17" hidden="1" x14ac:dyDescent="0.25">
      <c r="G452" s="463"/>
      <c r="H452" s="10"/>
      <c r="I452" s="10"/>
      <c r="J452" s="10"/>
      <c r="K452" s="10"/>
      <c r="L452" s="10"/>
      <c r="M452" s="10"/>
      <c r="N452" s="10"/>
      <c r="O452" s="10"/>
      <c r="P452" s="10"/>
      <c r="Q452" s="464"/>
    </row>
    <row r="453" spans="7:17" hidden="1" x14ac:dyDescent="0.25">
      <c r="G453" s="463"/>
      <c r="H453" s="10"/>
      <c r="I453" s="10"/>
      <c r="J453" s="10"/>
      <c r="K453" s="10"/>
      <c r="L453" s="10"/>
      <c r="M453" s="10"/>
      <c r="N453" s="10"/>
      <c r="O453" s="10"/>
      <c r="P453" s="10"/>
      <c r="Q453" s="464"/>
    </row>
    <row r="454" spans="7:17" hidden="1" x14ac:dyDescent="0.25">
      <c r="G454" s="463"/>
      <c r="H454" s="10"/>
      <c r="I454" s="10"/>
      <c r="J454" s="10"/>
      <c r="K454" s="10"/>
      <c r="L454" s="10"/>
      <c r="M454" s="10"/>
      <c r="N454" s="10"/>
      <c r="O454" s="10"/>
      <c r="P454" s="10"/>
      <c r="Q454" s="464"/>
    </row>
    <row r="455" spans="7:17" hidden="1" x14ac:dyDescent="0.25">
      <c r="G455" s="463"/>
      <c r="H455" s="10"/>
      <c r="I455" s="10"/>
      <c r="J455" s="10"/>
      <c r="K455" s="10"/>
      <c r="L455" s="10"/>
      <c r="M455" s="10"/>
      <c r="N455" s="10"/>
      <c r="O455" s="10"/>
      <c r="P455" s="10"/>
      <c r="Q455" s="464"/>
    </row>
    <row r="456" spans="7:17" hidden="1" x14ac:dyDescent="0.25">
      <c r="G456" s="463"/>
      <c r="H456" s="10"/>
      <c r="I456" s="10"/>
      <c r="J456" s="10"/>
      <c r="K456" s="10"/>
      <c r="L456" s="10"/>
      <c r="M456" s="10"/>
      <c r="N456" s="10"/>
      <c r="O456" s="10"/>
      <c r="P456" s="10"/>
      <c r="Q456" s="464"/>
    </row>
    <row r="457" spans="7:17" hidden="1" x14ac:dyDescent="0.25">
      <c r="G457" s="463"/>
      <c r="H457" s="10"/>
      <c r="I457" s="10"/>
      <c r="J457" s="10"/>
      <c r="K457" s="10"/>
      <c r="L457" s="10"/>
      <c r="M457" s="10"/>
      <c r="N457" s="10"/>
      <c r="O457" s="10"/>
      <c r="P457" s="10"/>
      <c r="Q457" s="464"/>
    </row>
    <row r="458" spans="7:17" hidden="1" x14ac:dyDescent="0.25">
      <c r="G458" s="463"/>
      <c r="H458" s="10"/>
      <c r="I458" s="10"/>
      <c r="J458" s="10"/>
      <c r="K458" s="10"/>
      <c r="L458" s="10"/>
      <c r="M458" s="10"/>
      <c r="N458" s="10"/>
      <c r="O458" s="10"/>
      <c r="P458" s="10"/>
      <c r="Q458" s="464"/>
    </row>
    <row r="459" spans="7:17" hidden="1" x14ac:dyDescent="0.25">
      <c r="G459" s="463"/>
      <c r="H459" s="10"/>
      <c r="I459" s="10"/>
      <c r="J459" s="10"/>
      <c r="K459" s="10"/>
      <c r="L459" s="10"/>
      <c r="M459" s="10"/>
      <c r="N459" s="10"/>
      <c r="O459" s="10"/>
      <c r="P459" s="10"/>
      <c r="Q459" s="464"/>
    </row>
    <row r="460" spans="7:17" hidden="1" x14ac:dyDescent="0.25">
      <c r="G460" s="463"/>
      <c r="H460" s="10"/>
      <c r="I460" s="10"/>
      <c r="J460" s="10"/>
      <c r="K460" s="10"/>
      <c r="L460" s="10"/>
      <c r="M460" s="10"/>
      <c r="N460" s="10"/>
      <c r="O460" s="10"/>
      <c r="P460" s="10"/>
      <c r="Q460" s="464"/>
    </row>
    <row r="461" spans="7:17" hidden="1" x14ac:dyDescent="0.25">
      <c r="G461" s="463"/>
      <c r="H461" s="10"/>
      <c r="I461" s="10"/>
      <c r="J461" s="10"/>
      <c r="K461" s="10"/>
      <c r="L461" s="10"/>
      <c r="M461" s="10"/>
      <c r="N461" s="10"/>
      <c r="O461" s="10"/>
      <c r="P461" s="10"/>
      <c r="Q461" s="464"/>
    </row>
    <row r="462" spans="7:17" hidden="1" x14ac:dyDescent="0.25">
      <c r="G462" s="463"/>
      <c r="H462" s="10"/>
      <c r="I462" s="10"/>
      <c r="J462" s="10"/>
      <c r="K462" s="10"/>
      <c r="L462" s="10"/>
      <c r="M462" s="10"/>
      <c r="N462" s="10"/>
      <c r="O462" s="10"/>
      <c r="P462" s="10"/>
      <c r="Q462" s="464"/>
    </row>
    <row r="463" spans="7:17" hidden="1" x14ac:dyDescent="0.25">
      <c r="G463" s="463"/>
      <c r="H463" s="10"/>
      <c r="I463" s="10"/>
      <c r="J463" s="10"/>
      <c r="K463" s="10"/>
      <c r="L463" s="10"/>
      <c r="M463" s="10"/>
      <c r="N463" s="10"/>
      <c r="O463" s="10"/>
      <c r="P463" s="10"/>
      <c r="Q463" s="464"/>
    </row>
    <row r="464" spans="7:17" hidden="1" x14ac:dyDescent="0.25">
      <c r="G464" s="463"/>
      <c r="H464" s="10"/>
      <c r="I464" s="10"/>
      <c r="J464" s="10"/>
      <c r="K464" s="10"/>
      <c r="L464" s="10"/>
      <c r="M464" s="10"/>
      <c r="N464" s="10"/>
      <c r="O464" s="10"/>
      <c r="P464" s="10"/>
      <c r="Q464" s="464"/>
    </row>
    <row r="465" spans="7:17" hidden="1" x14ac:dyDescent="0.25">
      <c r="G465" s="463"/>
      <c r="H465" s="10"/>
      <c r="I465" s="10"/>
      <c r="J465" s="10"/>
      <c r="K465" s="10"/>
      <c r="L465" s="10"/>
      <c r="M465" s="10"/>
      <c r="N465" s="10"/>
      <c r="O465" s="10"/>
      <c r="P465" s="10"/>
      <c r="Q465" s="464"/>
    </row>
    <row r="466" spans="7:17" hidden="1" x14ac:dyDescent="0.25">
      <c r="G466" s="463"/>
      <c r="H466" s="10"/>
      <c r="I466" s="10"/>
      <c r="J466" s="10"/>
      <c r="K466" s="10"/>
      <c r="L466" s="10"/>
      <c r="M466" s="10"/>
      <c r="N466" s="10"/>
      <c r="O466" s="10"/>
      <c r="P466" s="10"/>
      <c r="Q466" s="464"/>
    </row>
    <row r="467" spans="7:17" hidden="1" x14ac:dyDescent="0.25">
      <c r="G467" s="463"/>
      <c r="H467" s="10"/>
      <c r="I467" s="10"/>
      <c r="J467" s="10"/>
      <c r="K467" s="10"/>
      <c r="L467" s="10"/>
      <c r="M467" s="10"/>
      <c r="N467" s="10"/>
      <c r="O467" s="10"/>
      <c r="P467" s="10"/>
      <c r="Q467" s="464"/>
    </row>
    <row r="468" spans="7:17" hidden="1" x14ac:dyDescent="0.25">
      <c r="G468" s="463"/>
      <c r="H468" s="10"/>
      <c r="I468" s="10"/>
      <c r="J468" s="10"/>
      <c r="K468" s="10"/>
      <c r="L468" s="10"/>
      <c r="M468" s="10"/>
      <c r="N468" s="10"/>
      <c r="O468" s="10"/>
      <c r="P468" s="10"/>
      <c r="Q468" s="464"/>
    </row>
    <row r="469" spans="7:17" hidden="1" x14ac:dyDescent="0.25">
      <c r="G469" s="463"/>
      <c r="H469" s="10"/>
      <c r="I469" s="10"/>
      <c r="J469" s="10"/>
      <c r="K469" s="10"/>
      <c r="L469" s="10"/>
      <c r="M469" s="10"/>
      <c r="N469" s="10"/>
      <c r="O469" s="10"/>
      <c r="P469" s="10"/>
      <c r="Q469" s="464"/>
    </row>
    <row r="470" spans="7:17" hidden="1" x14ac:dyDescent="0.25">
      <c r="G470" s="463"/>
      <c r="H470" s="10"/>
      <c r="I470" s="10"/>
      <c r="J470" s="10"/>
      <c r="K470" s="10"/>
      <c r="L470" s="10"/>
      <c r="M470" s="10"/>
      <c r="N470" s="10"/>
      <c r="O470" s="10"/>
      <c r="P470" s="10"/>
      <c r="Q470" s="464"/>
    </row>
    <row r="471" spans="7:17" hidden="1" x14ac:dyDescent="0.25">
      <c r="G471" s="463"/>
      <c r="H471" s="10"/>
      <c r="I471" s="10"/>
      <c r="J471" s="10"/>
      <c r="K471" s="10"/>
      <c r="L471" s="10"/>
      <c r="M471" s="10"/>
      <c r="N471" s="10"/>
      <c r="O471" s="10"/>
      <c r="P471" s="10"/>
      <c r="Q471" s="464"/>
    </row>
    <row r="472" spans="7:17" hidden="1" x14ac:dyDescent="0.25">
      <c r="G472" s="463"/>
      <c r="H472" s="10"/>
      <c r="I472" s="10"/>
      <c r="J472" s="10"/>
      <c r="K472" s="10"/>
      <c r="L472" s="10"/>
      <c r="M472" s="10"/>
      <c r="N472" s="10"/>
      <c r="O472" s="10"/>
      <c r="P472" s="10"/>
      <c r="Q472" s="464"/>
    </row>
    <row r="473" spans="7:17" hidden="1" x14ac:dyDescent="0.25">
      <c r="G473" s="463"/>
      <c r="H473" s="10"/>
      <c r="I473" s="10"/>
      <c r="J473" s="10"/>
      <c r="K473" s="10"/>
      <c r="L473" s="10"/>
      <c r="M473" s="10"/>
      <c r="N473" s="10"/>
      <c r="O473" s="10"/>
      <c r="P473" s="10"/>
      <c r="Q473" s="464"/>
    </row>
    <row r="474" spans="7:17" hidden="1" x14ac:dyDescent="0.25">
      <c r="G474" s="463"/>
      <c r="H474" s="10"/>
      <c r="I474" s="10"/>
      <c r="J474" s="10"/>
      <c r="K474" s="10"/>
      <c r="L474" s="10"/>
      <c r="M474" s="10"/>
      <c r="N474" s="10"/>
      <c r="O474" s="10"/>
      <c r="P474" s="10"/>
      <c r="Q474" s="464"/>
    </row>
    <row r="475" spans="7:17" hidden="1" x14ac:dyDescent="0.25">
      <c r="G475" s="463"/>
      <c r="H475" s="10"/>
      <c r="I475" s="10"/>
      <c r="J475" s="10"/>
      <c r="K475" s="10"/>
      <c r="L475" s="10"/>
      <c r="M475" s="10"/>
      <c r="N475" s="10"/>
      <c r="O475" s="10"/>
      <c r="P475" s="10"/>
      <c r="Q475" s="464"/>
    </row>
    <row r="476" spans="7:17" hidden="1" x14ac:dyDescent="0.25">
      <c r="G476" s="463"/>
      <c r="H476" s="10"/>
      <c r="I476" s="10"/>
      <c r="J476" s="10"/>
      <c r="K476" s="10"/>
      <c r="L476" s="10"/>
      <c r="M476" s="10"/>
      <c r="N476" s="10"/>
      <c r="O476" s="10"/>
      <c r="P476" s="10"/>
      <c r="Q476" s="464"/>
    </row>
    <row r="477" spans="7:17" hidden="1" x14ac:dyDescent="0.25">
      <c r="G477" s="463"/>
      <c r="H477" s="10"/>
      <c r="I477" s="10"/>
      <c r="J477" s="10"/>
      <c r="K477" s="10"/>
      <c r="L477" s="10"/>
      <c r="M477" s="10"/>
      <c r="N477" s="10"/>
      <c r="O477" s="10"/>
      <c r="P477" s="10"/>
      <c r="Q477" s="464"/>
    </row>
    <row r="478" spans="7:17" hidden="1" x14ac:dyDescent="0.25">
      <c r="G478" s="463"/>
      <c r="H478" s="10"/>
      <c r="I478" s="10"/>
      <c r="J478" s="10"/>
      <c r="K478" s="10"/>
      <c r="L478" s="10"/>
      <c r="M478" s="10"/>
      <c r="N478" s="10"/>
      <c r="O478" s="10"/>
      <c r="P478" s="10"/>
      <c r="Q478" s="464"/>
    </row>
    <row r="479" spans="7:17" hidden="1" x14ac:dyDescent="0.25">
      <c r="G479" s="463"/>
      <c r="H479" s="10"/>
      <c r="I479" s="10"/>
      <c r="J479" s="10"/>
      <c r="K479" s="10"/>
      <c r="L479" s="10"/>
      <c r="M479" s="10"/>
      <c r="N479" s="10"/>
      <c r="O479" s="10"/>
      <c r="P479" s="10"/>
      <c r="Q479" s="464"/>
    </row>
    <row r="480" spans="7:17" hidden="1" x14ac:dyDescent="0.25">
      <c r="G480" s="463"/>
      <c r="H480" s="10"/>
      <c r="I480" s="10"/>
      <c r="J480" s="10"/>
      <c r="K480" s="10"/>
      <c r="L480" s="10"/>
      <c r="M480" s="10"/>
      <c r="N480" s="10"/>
      <c r="O480" s="10"/>
      <c r="P480" s="10"/>
      <c r="Q480" s="464"/>
    </row>
    <row r="481" spans="7:17" hidden="1" x14ac:dyDescent="0.25">
      <c r="G481" s="463"/>
      <c r="H481" s="10"/>
      <c r="I481" s="10"/>
      <c r="J481" s="10"/>
      <c r="K481" s="10"/>
      <c r="L481" s="10"/>
      <c r="M481" s="10"/>
      <c r="N481" s="10"/>
      <c r="O481" s="10"/>
      <c r="P481" s="10"/>
      <c r="Q481" s="464"/>
    </row>
    <row r="482" spans="7:17" hidden="1" x14ac:dyDescent="0.25">
      <c r="G482" s="463"/>
      <c r="H482" s="10"/>
      <c r="I482" s="10"/>
      <c r="J482" s="10"/>
      <c r="K482" s="10"/>
      <c r="L482" s="10"/>
      <c r="M482" s="10"/>
      <c r="N482" s="10"/>
      <c r="O482" s="10"/>
      <c r="P482" s="10"/>
      <c r="Q482" s="464"/>
    </row>
    <row r="483" spans="7:17" hidden="1" x14ac:dyDescent="0.25">
      <c r="G483" s="463"/>
      <c r="H483" s="10"/>
      <c r="I483" s="10"/>
      <c r="J483" s="10"/>
      <c r="K483" s="10"/>
      <c r="L483" s="10"/>
      <c r="M483" s="10"/>
      <c r="N483" s="10"/>
      <c r="O483" s="10"/>
      <c r="P483" s="10"/>
      <c r="Q483" s="464"/>
    </row>
    <row r="484" spans="7:17" hidden="1" x14ac:dyDescent="0.25">
      <c r="G484" s="463"/>
      <c r="H484" s="10"/>
      <c r="I484" s="10"/>
      <c r="J484" s="10"/>
      <c r="K484" s="10"/>
      <c r="L484" s="10"/>
      <c r="M484" s="10"/>
      <c r="N484" s="10"/>
      <c r="O484" s="10"/>
      <c r="P484" s="10"/>
      <c r="Q484" s="464"/>
    </row>
    <row r="485" spans="7:17" hidden="1" x14ac:dyDescent="0.25">
      <c r="G485" s="463"/>
      <c r="H485" s="10"/>
      <c r="I485" s="10"/>
      <c r="J485" s="10"/>
      <c r="K485" s="10"/>
      <c r="L485" s="10"/>
      <c r="M485" s="10"/>
      <c r="N485" s="10"/>
      <c r="O485" s="10"/>
      <c r="P485" s="10"/>
      <c r="Q485" s="464"/>
    </row>
    <row r="486" spans="7:17" hidden="1" x14ac:dyDescent="0.25">
      <c r="G486" s="463"/>
      <c r="H486" s="10"/>
      <c r="I486" s="10"/>
      <c r="J486" s="10"/>
      <c r="K486" s="10"/>
      <c r="L486" s="10"/>
      <c r="M486" s="10"/>
      <c r="N486" s="10"/>
      <c r="O486" s="10"/>
      <c r="P486" s="10"/>
      <c r="Q486" s="464"/>
    </row>
    <row r="487" spans="7:17" hidden="1" x14ac:dyDescent="0.25">
      <c r="G487" s="463"/>
      <c r="H487" s="10"/>
      <c r="I487" s="10"/>
      <c r="J487" s="10"/>
      <c r="K487" s="10"/>
      <c r="L487" s="10"/>
      <c r="M487" s="10"/>
      <c r="N487" s="10"/>
      <c r="O487" s="10"/>
      <c r="P487" s="10"/>
      <c r="Q487" s="464"/>
    </row>
    <row r="488" spans="7:17" hidden="1" x14ac:dyDescent="0.25">
      <c r="G488" s="463"/>
      <c r="H488" s="10"/>
      <c r="I488" s="10"/>
      <c r="J488" s="10"/>
      <c r="K488" s="10"/>
      <c r="L488" s="10"/>
      <c r="M488" s="10"/>
      <c r="N488" s="10"/>
      <c r="O488" s="10"/>
      <c r="P488" s="10"/>
      <c r="Q488" s="464"/>
    </row>
    <row r="489" spans="7:17" hidden="1" x14ac:dyDescent="0.25">
      <c r="G489" s="463"/>
      <c r="H489" s="10"/>
      <c r="I489" s="10"/>
      <c r="J489" s="10"/>
      <c r="K489" s="10"/>
      <c r="L489" s="10"/>
      <c r="M489" s="10"/>
      <c r="N489" s="10"/>
      <c r="O489" s="10"/>
      <c r="P489" s="10"/>
      <c r="Q489" s="464"/>
    </row>
    <row r="490" spans="7:17" hidden="1" x14ac:dyDescent="0.25">
      <c r="G490" s="463"/>
      <c r="H490" s="10"/>
      <c r="I490" s="10"/>
      <c r="J490" s="10"/>
      <c r="K490" s="10"/>
      <c r="L490" s="10"/>
      <c r="M490" s="10"/>
      <c r="N490" s="10"/>
      <c r="O490" s="10"/>
      <c r="P490" s="10"/>
      <c r="Q490" s="464"/>
    </row>
    <row r="491" spans="7:17" hidden="1" x14ac:dyDescent="0.25">
      <c r="G491" s="463"/>
      <c r="H491" s="10"/>
      <c r="I491" s="10"/>
      <c r="J491" s="10"/>
      <c r="K491" s="10"/>
      <c r="L491" s="10"/>
      <c r="M491" s="10"/>
      <c r="N491" s="10"/>
      <c r="O491" s="10"/>
      <c r="P491" s="10"/>
      <c r="Q491" s="464"/>
    </row>
    <row r="492" spans="7:17" hidden="1" x14ac:dyDescent="0.25">
      <c r="G492" s="463"/>
      <c r="H492" s="10"/>
      <c r="I492" s="10"/>
      <c r="J492" s="10"/>
      <c r="K492" s="10"/>
      <c r="L492" s="10"/>
      <c r="M492" s="10"/>
      <c r="N492" s="10"/>
      <c r="O492" s="10"/>
      <c r="P492" s="10"/>
      <c r="Q492" s="464"/>
    </row>
    <row r="493" spans="7:17" hidden="1" x14ac:dyDescent="0.25">
      <c r="G493" s="463"/>
      <c r="H493" s="10"/>
      <c r="I493" s="10"/>
      <c r="J493" s="10"/>
      <c r="K493" s="10"/>
      <c r="L493" s="10"/>
      <c r="M493" s="10"/>
      <c r="N493" s="10"/>
      <c r="O493" s="10"/>
      <c r="P493" s="10"/>
      <c r="Q493" s="464"/>
    </row>
    <row r="494" spans="7:17" hidden="1" x14ac:dyDescent="0.25">
      <c r="G494" s="463"/>
      <c r="H494" s="10"/>
      <c r="I494" s="10"/>
      <c r="J494" s="10"/>
      <c r="K494" s="10"/>
      <c r="L494" s="10"/>
      <c r="M494" s="10"/>
      <c r="N494" s="10"/>
      <c r="O494" s="10"/>
      <c r="P494" s="10"/>
      <c r="Q494" s="464"/>
    </row>
    <row r="495" spans="7:17" hidden="1" x14ac:dyDescent="0.25">
      <c r="G495" s="463"/>
      <c r="H495" s="10"/>
      <c r="I495" s="10"/>
      <c r="J495" s="10"/>
      <c r="K495" s="10"/>
      <c r="L495" s="10"/>
      <c r="M495" s="10"/>
      <c r="N495" s="10"/>
      <c r="O495" s="10"/>
      <c r="P495" s="10"/>
      <c r="Q495" s="464"/>
    </row>
    <row r="496" spans="7:17" hidden="1" x14ac:dyDescent="0.25">
      <c r="G496" s="463"/>
      <c r="H496" s="10"/>
      <c r="I496" s="10"/>
      <c r="J496" s="10"/>
      <c r="K496" s="10"/>
      <c r="L496" s="10"/>
      <c r="M496" s="10"/>
      <c r="N496" s="10"/>
      <c r="O496" s="10"/>
      <c r="P496" s="10"/>
      <c r="Q496" s="464"/>
    </row>
    <row r="497" spans="7:17" hidden="1" x14ac:dyDescent="0.25">
      <c r="G497" s="463"/>
      <c r="H497" s="10"/>
      <c r="I497" s="10"/>
      <c r="J497" s="10"/>
      <c r="K497" s="10"/>
      <c r="L497" s="10"/>
      <c r="M497" s="10"/>
      <c r="N497" s="10"/>
      <c r="O497" s="10"/>
      <c r="P497" s="10"/>
      <c r="Q497" s="464"/>
    </row>
    <row r="498" spans="7:17" hidden="1" x14ac:dyDescent="0.25">
      <c r="G498" s="463"/>
      <c r="H498" s="10"/>
      <c r="I498" s="10"/>
      <c r="J498" s="10"/>
      <c r="K498" s="10"/>
      <c r="L498" s="10"/>
      <c r="M498" s="10"/>
      <c r="N498" s="10"/>
      <c r="O498" s="10"/>
      <c r="P498" s="10"/>
      <c r="Q498" s="464"/>
    </row>
    <row r="499" spans="7:17" hidden="1" x14ac:dyDescent="0.25">
      <c r="G499" s="463"/>
      <c r="H499" s="10"/>
      <c r="I499" s="10"/>
      <c r="J499" s="10"/>
      <c r="K499" s="10"/>
      <c r="L499" s="10"/>
      <c r="M499" s="10"/>
      <c r="N499" s="10"/>
      <c r="O499" s="10"/>
      <c r="P499" s="10"/>
      <c r="Q499" s="464"/>
    </row>
    <row r="500" spans="7:17" hidden="1" x14ac:dyDescent="0.25">
      <c r="G500" s="463"/>
      <c r="H500" s="10"/>
      <c r="I500" s="10"/>
      <c r="J500" s="10"/>
      <c r="K500" s="10"/>
      <c r="L500" s="10"/>
      <c r="M500" s="10"/>
      <c r="N500" s="10"/>
      <c r="O500" s="10"/>
      <c r="P500" s="10"/>
      <c r="Q500" s="464"/>
    </row>
    <row r="501" spans="7:17" hidden="1" x14ac:dyDescent="0.25">
      <c r="G501" s="463"/>
      <c r="H501" s="10"/>
      <c r="I501" s="10"/>
      <c r="J501" s="10"/>
      <c r="K501" s="10"/>
      <c r="L501" s="10"/>
      <c r="M501" s="10"/>
      <c r="N501" s="10"/>
      <c r="O501" s="10"/>
      <c r="P501" s="10"/>
      <c r="Q501" s="464"/>
    </row>
    <row r="502" spans="7:17" hidden="1" x14ac:dyDescent="0.25">
      <c r="G502" s="463"/>
      <c r="H502" s="10"/>
      <c r="I502" s="10"/>
      <c r="J502" s="10"/>
      <c r="K502" s="10"/>
      <c r="L502" s="10"/>
      <c r="M502" s="10"/>
      <c r="N502" s="10"/>
      <c r="O502" s="10"/>
      <c r="P502" s="10"/>
      <c r="Q502" s="464"/>
    </row>
    <row r="503" spans="7:17" hidden="1" x14ac:dyDescent="0.25">
      <c r="G503" s="463"/>
      <c r="H503" s="10"/>
      <c r="I503" s="10"/>
      <c r="J503" s="10"/>
      <c r="K503" s="10"/>
      <c r="L503" s="10"/>
      <c r="M503" s="10"/>
      <c r="N503" s="10"/>
      <c r="O503" s="10"/>
      <c r="P503" s="10"/>
      <c r="Q503" s="464"/>
    </row>
    <row r="504" spans="7:17" hidden="1" x14ac:dyDescent="0.25">
      <c r="G504" s="463"/>
      <c r="H504" s="10"/>
      <c r="I504" s="10"/>
      <c r="J504" s="10"/>
      <c r="K504" s="10"/>
      <c r="L504" s="10"/>
      <c r="M504" s="10"/>
      <c r="N504" s="10"/>
      <c r="O504" s="10"/>
      <c r="P504" s="10"/>
      <c r="Q504" s="464"/>
    </row>
    <row r="505" spans="7:17" hidden="1" x14ac:dyDescent="0.25">
      <c r="G505" s="463"/>
      <c r="H505" s="10"/>
      <c r="I505" s="10"/>
      <c r="J505" s="10"/>
      <c r="K505" s="10"/>
      <c r="L505" s="10"/>
      <c r="M505" s="10"/>
      <c r="N505" s="10"/>
      <c r="O505" s="10"/>
      <c r="P505" s="10"/>
      <c r="Q505" s="464"/>
    </row>
    <row r="506" spans="7:17" hidden="1" x14ac:dyDescent="0.25">
      <c r="G506" s="463"/>
      <c r="H506" s="10"/>
      <c r="I506" s="10"/>
      <c r="J506" s="10"/>
      <c r="K506" s="10"/>
      <c r="L506" s="10"/>
      <c r="M506" s="10"/>
      <c r="N506" s="10"/>
      <c r="O506" s="10"/>
      <c r="P506" s="10"/>
      <c r="Q506" s="464"/>
    </row>
    <row r="507" spans="7:17" hidden="1" x14ac:dyDescent="0.25">
      <c r="G507" s="463"/>
      <c r="H507" s="10"/>
      <c r="I507" s="10"/>
      <c r="J507" s="10"/>
      <c r="K507" s="10"/>
      <c r="L507" s="10"/>
      <c r="M507" s="10"/>
      <c r="N507" s="10"/>
      <c r="O507" s="10"/>
      <c r="P507" s="10"/>
      <c r="Q507" s="464"/>
    </row>
    <row r="508" spans="7:17" hidden="1" x14ac:dyDescent="0.25">
      <c r="G508" s="463"/>
      <c r="H508" s="10"/>
      <c r="I508" s="10"/>
      <c r="J508" s="10"/>
      <c r="K508" s="10"/>
      <c r="L508" s="10"/>
      <c r="M508" s="10"/>
      <c r="N508" s="10"/>
      <c r="O508" s="10"/>
      <c r="P508" s="10"/>
      <c r="Q508" s="464"/>
    </row>
    <row r="509" spans="7:17" hidden="1" x14ac:dyDescent="0.25">
      <c r="G509" s="463"/>
      <c r="H509" s="10"/>
      <c r="I509" s="10"/>
      <c r="J509" s="10"/>
      <c r="K509" s="10"/>
      <c r="L509" s="10"/>
      <c r="M509" s="10"/>
      <c r="N509" s="10"/>
      <c r="O509" s="10"/>
      <c r="P509" s="10"/>
      <c r="Q509" s="464"/>
    </row>
    <row r="510" spans="7:17" hidden="1" x14ac:dyDescent="0.25">
      <c r="G510" s="463"/>
      <c r="H510" s="10"/>
      <c r="I510" s="10"/>
      <c r="J510" s="10"/>
      <c r="K510" s="10"/>
      <c r="L510" s="10"/>
      <c r="M510" s="10"/>
      <c r="N510" s="10"/>
      <c r="O510" s="10"/>
      <c r="P510" s="10"/>
      <c r="Q510" s="464"/>
    </row>
    <row r="511" spans="7:17" ht="15.75" hidden="1" thickBot="1" x14ac:dyDescent="0.3">
      <c r="G511" s="465"/>
      <c r="H511" s="466"/>
      <c r="I511" s="466"/>
      <c r="J511" s="466"/>
      <c r="K511" s="466"/>
      <c r="L511" s="466"/>
      <c r="M511" s="466"/>
      <c r="N511" s="466"/>
      <c r="O511" s="466"/>
      <c r="P511" s="466"/>
      <c r="Q511" s="467"/>
    </row>
    <row r="512" spans="7:17" hidden="1" x14ac:dyDescent="0.25"/>
    <row r="513" spans="7:17" hidden="1" x14ac:dyDescent="0.25"/>
    <row r="514" spans="7:17" hidden="1" x14ac:dyDescent="0.25"/>
    <row r="515" spans="7:17" hidden="1" x14ac:dyDescent="0.25"/>
    <row r="516" spans="7:17" hidden="1" x14ac:dyDescent="0.25"/>
    <row r="517" spans="7:17" hidden="1" x14ac:dyDescent="0.25"/>
    <row r="518" spans="7:17" hidden="1" x14ac:dyDescent="0.25"/>
    <row r="519" spans="7:17" ht="15.75" hidden="1" thickBot="1" x14ac:dyDescent="0.3">
      <c r="K519" s="471"/>
      <c r="L519" s="471"/>
      <c r="M519" s="471"/>
    </row>
    <row r="520" spans="7:17" hidden="1" x14ac:dyDescent="0.25">
      <c r="G520" s="460"/>
      <c r="H520" s="461"/>
      <c r="I520" s="461"/>
      <c r="J520" s="461"/>
      <c r="K520" s="461"/>
      <c r="L520" s="461"/>
      <c r="M520" s="461"/>
      <c r="N520" s="461"/>
      <c r="O520" s="461"/>
      <c r="P520" s="461"/>
      <c r="Q520" s="462"/>
    </row>
    <row r="521" spans="7:17" hidden="1" x14ac:dyDescent="0.25">
      <c r="G521" s="463"/>
      <c r="H521" s="10"/>
      <c r="I521" s="10"/>
      <c r="J521" s="10"/>
      <c r="K521" s="10"/>
      <c r="L521" s="10"/>
      <c r="M521" s="10"/>
      <c r="N521" s="10"/>
      <c r="O521" s="10"/>
      <c r="P521" s="10"/>
      <c r="Q521" s="464"/>
    </row>
    <row r="522" spans="7:17" hidden="1" x14ac:dyDescent="0.25">
      <c r="G522" s="463"/>
      <c r="H522" s="10"/>
      <c r="I522" s="10"/>
      <c r="J522" s="10"/>
      <c r="K522" s="10"/>
      <c r="L522" s="10"/>
      <c r="M522" s="10"/>
      <c r="N522" s="10"/>
      <c r="O522" s="10"/>
      <c r="P522" s="10"/>
      <c r="Q522" s="464"/>
    </row>
    <row r="523" spans="7:17" hidden="1" x14ac:dyDescent="0.25">
      <c r="G523" s="463"/>
      <c r="H523" s="10"/>
      <c r="I523" s="10"/>
      <c r="J523" s="10"/>
      <c r="K523" s="10"/>
      <c r="L523" s="10"/>
      <c r="M523" s="10"/>
      <c r="N523" s="10"/>
      <c r="O523" s="10"/>
      <c r="P523" s="10"/>
      <c r="Q523" s="464"/>
    </row>
    <row r="524" spans="7:17" hidden="1" x14ac:dyDescent="0.25">
      <c r="G524" s="463"/>
      <c r="H524" s="10"/>
      <c r="I524" s="10"/>
      <c r="J524" s="10"/>
      <c r="K524" s="10"/>
      <c r="L524" s="10"/>
      <c r="M524" s="10"/>
      <c r="N524" s="10"/>
      <c r="O524" s="10"/>
      <c r="P524" s="10"/>
      <c r="Q524" s="464"/>
    </row>
    <row r="525" spans="7:17" hidden="1" x14ac:dyDescent="0.25">
      <c r="G525" s="463"/>
      <c r="H525" s="10"/>
      <c r="I525" s="10"/>
      <c r="J525" s="10"/>
      <c r="K525" s="10"/>
      <c r="L525" s="10"/>
      <c r="M525" s="10"/>
      <c r="N525" s="10"/>
      <c r="O525" s="10"/>
      <c r="P525" s="10"/>
      <c r="Q525" s="464"/>
    </row>
    <row r="526" spans="7:17" hidden="1" x14ac:dyDescent="0.25">
      <c r="G526" s="463"/>
      <c r="H526" s="10"/>
      <c r="I526" s="10"/>
      <c r="J526" s="10"/>
      <c r="K526" s="10"/>
      <c r="L526" s="10"/>
      <c r="M526" s="10"/>
      <c r="N526" s="10"/>
      <c r="O526" s="10"/>
      <c r="P526" s="10"/>
      <c r="Q526" s="464"/>
    </row>
    <row r="527" spans="7:17" hidden="1" x14ac:dyDescent="0.25">
      <c r="G527" s="463"/>
      <c r="H527" s="10"/>
      <c r="I527" s="10"/>
      <c r="J527" s="10"/>
      <c r="K527" s="10"/>
      <c r="L527" s="10"/>
      <c r="M527" s="10"/>
      <c r="N527" s="10"/>
      <c r="O527" s="10"/>
      <c r="P527" s="10"/>
      <c r="Q527" s="464"/>
    </row>
    <row r="528" spans="7:17" hidden="1" x14ac:dyDescent="0.25">
      <c r="G528" s="463"/>
      <c r="H528" s="10"/>
      <c r="I528" s="10"/>
      <c r="J528" s="10"/>
      <c r="K528" s="10"/>
      <c r="L528" s="10"/>
      <c r="M528" s="10"/>
      <c r="N528" s="10"/>
      <c r="O528" s="10"/>
      <c r="P528" s="10"/>
      <c r="Q528" s="464"/>
    </row>
    <row r="529" spans="7:17" hidden="1" x14ac:dyDescent="0.25">
      <c r="G529" s="463"/>
      <c r="H529" s="10"/>
      <c r="I529" s="10"/>
      <c r="J529" s="10"/>
      <c r="K529" s="10"/>
      <c r="L529" s="10"/>
      <c r="M529" s="10"/>
      <c r="N529" s="10"/>
      <c r="O529" s="10"/>
      <c r="P529" s="10"/>
      <c r="Q529" s="464"/>
    </row>
    <row r="530" spans="7:17" hidden="1" x14ac:dyDescent="0.25">
      <c r="G530" s="463"/>
      <c r="H530" s="10"/>
      <c r="I530" s="10"/>
      <c r="J530" s="10"/>
      <c r="K530" s="10"/>
      <c r="L530" s="10"/>
      <c r="M530" s="10"/>
      <c r="N530" s="10"/>
      <c r="O530" s="10"/>
      <c r="P530" s="10"/>
      <c r="Q530" s="464"/>
    </row>
    <row r="531" spans="7:17" hidden="1" x14ac:dyDescent="0.25">
      <c r="G531" s="463"/>
      <c r="H531" s="10"/>
      <c r="I531" s="10"/>
      <c r="J531" s="10"/>
      <c r="K531" s="10"/>
      <c r="L531" s="10"/>
      <c r="M531" s="10"/>
      <c r="N531" s="10"/>
      <c r="O531" s="10"/>
      <c r="P531" s="10"/>
      <c r="Q531" s="464"/>
    </row>
    <row r="532" spans="7:17" hidden="1" x14ac:dyDescent="0.25">
      <c r="G532" s="463"/>
      <c r="H532" s="10"/>
      <c r="I532" s="10"/>
      <c r="J532" s="10"/>
      <c r="K532" s="10"/>
      <c r="L532" s="10"/>
      <c r="M532" s="10"/>
      <c r="N532" s="10"/>
      <c r="O532" s="10"/>
      <c r="P532" s="10"/>
      <c r="Q532" s="464"/>
    </row>
    <row r="533" spans="7:17" hidden="1" x14ac:dyDescent="0.25">
      <c r="G533" s="463"/>
      <c r="H533" s="10"/>
      <c r="I533" s="10"/>
      <c r="J533" s="10"/>
      <c r="K533" s="10"/>
      <c r="L533" s="10"/>
      <c r="M533" s="10"/>
      <c r="N533" s="10"/>
      <c r="O533" s="10"/>
      <c r="P533" s="10"/>
      <c r="Q533" s="464"/>
    </row>
    <row r="534" spans="7:17" hidden="1" x14ac:dyDescent="0.25">
      <c r="G534" s="463"/>
      <c r="H534" s="10"/>
      <c r="I534" s="10"/>
      <c r="J534" s="10"/>
      <c r="K534" s="10"/>
      <c r="L534" s="10"/>
      <c r="M534" s="10"/>
      <c r="N534" s="10"/>
      <c r="O534" s="10"/>
      <c r="P534" s="10"/>
      <c r="Q534" s="464"/>
    </row>
    <row r="535" spans="7:17" hidden="1" x14ac:dyDescent="0.25">
      <c r="G535" s="463"/>
      <c r="H535" s="10"/>
      <c r="I535" s="10"/>
      <c r="J535" s="10"/>
      <c r="K535" s="10"/>
      <c r="L535" s="10"/>
      <c r="M535" s="10"/>
      <c r="N535" s="10"/>
      <c r="O535" s="10"/>
      <c r="P535" s="10"/>
      <c r="Q535" s="464"/>
    </row>
    <row r="536" spans="7:17" hidden="1" x14ac:dyDescent="0.25">
      <c r="G536" s="463"/>
      <c r="H536" s="10"/>
      <c r="I536" s="10"/>
      <c r="J536" s="10"/>
      <c r="K536" s="10"/>
      <c r="L536" s="10"/>
      <c r="M536" s="10"/>
      <c r="N536" s="10"/>
      <c r="O536" s="10"/>
      <c r="P536" s="10"/>
      <c r="Q536" s="464"/>
    </row>
    <row r="537" spans="7:17" hidden="1" x14ac:dyDescent="0.25">
      <c r="G537" s="463"/>
      <c r="H537" s="10"/>
      <c r="I537" s="10"/>
      <c r="J537" s="10"/>
      <c r="K537" s="10"/>
      <c r="L537" s="10"/>
      <c r="M537" s="10"/>
      <c r="N537" s="10"/>
      <c r="O537" s="10"/>
      <c r="P537" s="10"/>
      <c r="Q537" s="464"/>
    </row>
    <row r="538" spans="7:17" hidden="1" x14ac:dyDescent="0.25">
      <c r="G538" s="463"/>
      <c r="H538" s="10"/>
      <c r="I538" s="10"/>
      <c r="J538" s="10"/>
      <c r="K538" s="10"/>
      <c r="L538" s="10"/>
      <c r="M538" s="10"/>
      <c r="N538" s="10"/>
      <c r="O538" s="10"/>
      <c r="P538" s="10"/>
      <c r="Q538" s="464"/>
    </row>
    <row r="539" spans="7:17" hidden="1" x14ac:dyDescent="0.25">
      <c r="G539" s="463"/>
      <c r="H539" s="10"/>
      <c r="I539" s="10"/>
      <c r="J539" s="10"/>
      <c r="K539" s="10"/>
      <c r="L539" s="10"/>
      <c r="M539" s="10"/>
      <c r="N539" s="10"/>
      <c r="O539" s="10"/>
      <c r="P539" s="10"/>
      <c r="Q539" s="464"/>
    </row>
    <row r="540" spans="7:17" hidden="1" x14ac:dyDescent="0.25">
      <c r="G540" s="463"/>
      <c r="H540" s="10"/>
      <c r="I540" s="10"/>
      <c r="J540" s="10"/>
      <c r="K540" s="10"/>
      <c r="L540" s="10"/>
      <c r="M540" s="10"/>
      <c r="N540" s="10"/>
      <c r="O540" s="10"/>
      <c r="P540" s="10"/>
      <c r="Q540" s="464"/>
    </row>
    <row r="541" spans="7:17" hidden="1" x14ac:dyDescent="0.25">
      <c r="G541" s="463"/>
      <c r="H541" s="10"/>
      <c r="I541" s="10"/>
      <c r="J541" s="10"/>
      <c r="K541" s="10"/>
      <c r="L541" s="10"/>
      <c r="M541" s="10"/>
      <c r="N541" s="10"/>
      <c r="O541" s="10"/>
      <c r="P541" s="10"/>
      <c r="Q541" s="464"/>
    </row>
    <row r="542" spans="7:17" hidden="1" x14ac:dyDescent="0.25">
      <c r="G542" s="463"/>
      <c r="H542" s="10"/>
      <c r="I542" s="10"/>
      <c r="J542" s="10"/>
      <c r="K542" s="10"/>
      <c r="L542" s="10"/>
      <c r="M542" s="10"/>
      <c r="N542" s="10"/>
      <c r="O542" s="10"/>
      <c r="P542" s="10"/>
      <c r="Q542" s="464"/>
    </row>
    <row r="543" spans="7:17" hidden="1" x14ac:dyDescent="0.25">
      <c r="G543" s="463"/>
      <c r="H543" s="10"/>
      <c r="I543" s="10"/>
      <c r="J543" s="10"/>
      <c r="K543" s="10"/>
      <c r="L543" s="10"/>
      <c r="M543" s="10"/>
      <c r="N543" s="10"/>
      <c r="O543" s="10"/>
      <c r="P543" s="10"/>
      <c r="Q543" s="464"/>
    </row>
    <row r="544" spans="7:17" hidden="1" x14ac:dyDescent="0.25">
      <c r="G544" s="463"/>
      <c r="H544" s="10"/>
      <c r="I544" s="10"/>
      <c r="J544" s="10"/>
      <c r="K544" s="10"/>
      <c r="L544" s="10"/>
      <c r="M544" s="10"/>
      <c r="N544" s="10"/>
      <c r="O544" s="10"/>
      <c r="P544" s="10"/>
      <c r="Q544" s="464"/>
    </row>
    <row r="545" spans="7:17" hidden="1" x14ac:dyDescent="0.25">
      <c r="G545" s="463"/>
      <c r="H545" s="10"/>
      <c r="I545" s="10"/>
      <c r="J545" s="10"/>
      <c r="K545" s="10"/>
      <c r="L545" s="10"/>
      <c r="M545" s="10"/>
      <c r="N545" s="10"/>
      <c r="O545" s="10"/>
      <c r="P545" s="10"/>
      <c r="Q545" s="464"/>
    </row>
    <row r="546" spans="7:17" hidden="1" x14ac:dyDescent="0.25">
      <c r="G546" s="463"/>
      <c r="H546" s="10"/>
      <c r="I546" s="10"/>
      <c r="J546" s="10"/>
      <c r="K546" s="10"/>
      <c r="L546" s="10"/>
      <c r="M546" s="10"/>
      <c r="N546" s="10"/>
      <c r="O546" s="10"/>
      <c r="P546" s="10"/>
      <c r="Q546" s="464"/>
    </row>
    <row r="547" spans="7:17" hidden="1" x14ac:dyDescent="0.25">
      <c r="G547" s="463"/>
      <c r="H547" s="10"/>
      <c r="I547" s="10"/>
      <c r="J547" s="10"/>
      <c r="K547" s="10"/>
      <c r="L547" s="10"/>
      <c r="M547" s="10"/>
      <c r="N547" s="10"/>
      <c r="O547" s="10"/>
      <c r="P547" s="10"/>
      <c r="Q547" s="464"/>
    </row>
    <row r="548" spans="7:17" hidden="1" x14ac:dyDescent="0.25">
      <c r="G548" s="463"/>
      <c r="H548" s="10"/>
      <c r="I548" s="10"/>
      <c r="J548" s="10"/>
      <c r="K548" s="10"/>
      <c r="L548" s="10"/>
      <c r="M548" s="10"/>
      <c r="N548" s="10"/>
      <c r="O548" s="10"/>
      <c r="P548" s="10"/>
      <c r="Q548" s="464"/>
    </row>
    <row r="549" spans="7:17" hidden="1" x14ac:dyDescent="0.25">
      <c r="G549" s="463"/>
      <c r="H549" s="10"/>
      <c r="I549" s="10"/>
      <c r="J549" s="10"/>
      <c r="K549" s="10"/>
      <c r="L549" s="10"/>
      <c r="M549" s="10"/>
      <c r="N549" s="10"/>
      <c r="O549" s="10"/>
      <c r="P549" s="10"/>
      <c r="Q549" s="464"/>
    </row>
    <row r="550" spans="7:17" hidden="1" x14ac:dyDescent="0.25">
      <c r="G550" s="463"/>
      <c r="H550" s="10"/>
      <c r="I550" s="10"/>
      <c r="J550" s="10"/>
      <c r="K550" s="10"/>
      <c r="L550" s="10"/>
      <c r="M550" s="10"/>
      <c r="N550" s="10"/>
      <c r="O550" s="10"/>
      <c r="P550" s="10"/>
      <c r="Q550" s="464"/>
    </row>
    <row r="551" spans="7:17" hidden="1" x14ac:dyDescent="0.25">
      <c r="G551" s="463"/>
      <c r="H551" s="10"/>
      <c r="I551" s="10"/>
      <c r="J551" s="10"/>
      <c r="K551" s="10"/>
      <c r="L551" s="10"/>
      <c r="M551" s="10"/>
      <c r="N551" s="10"/>
      <c r="O551" s="10"/>
      <c r="P551" s="10"/>
      <c r="Q551" s="464"/>
    </row>
    <row r="552" spans="7:17" hidden="1" x14ac:dyDescent="0.25">
      <c r="G552" s="463"/>
      <c r="H552" s="10"/>
      <c r="I552" s="10"/>
      <c r="J552" s="10"/>
      <c r="K552" s="10"/>
      <c r="L552" s="10"/>
      <c r="M552" s="10"/>
      <c r="N552" s="10"/>
      <c r="O552" s="10"/>
      <c r="P552" s="10"/>
      <c r="Q552" s="464"/>
    </row>
    <row r="553" spans="7:17" hidden="1" x14ac:dyDescent="0.25">
      <c r="G553" s="463"/>
      <c r="H553" s="10"/>
      <c r="I553" s="10"/>
      <c r="J553" s="10"/>
      <c r="K553" s="10"/>
      <c r="L553" s="10"/>
      <c r="M553" s="10"/>
      <c r="N553" s="10"/>
      <c r="O553" s="10"/>
      <c r="P553" s="10"/>
      <c r="Q553" s="464"/>
    </row>
    <row r="554" spans="7:17" hidden="1" x14ac:dyDescent="0.25">
      <c r="G554" s="463"/>
      <c r="H554" s="10"/>
      <c r="I554" s="10"/>
      <c r="J554" s="10"/>
      <c r="K554" s="10"/>
      <c r="L554" s="10"/>
      <c r="M554" s="10"/>
      <c r="N554" s="10"/>
      <c r="O554" s="10"/>
      <c r="P554" s="10"/>
      <c r="Q554" s="464"/>
    </row>
    <row r="555" spans="7:17" hidden="1" x14ac:dyDescent="0.25">
      <c r="G555" s="463"/>
      <c r="H555" s="10"/>
      <c r="I555" s="10"/>
      <c r="J555" s="10"/>
      <c r="K555" s="10"/>
      <c r="L555" s="10"/>
      <c r="M555" s="10"/>
      <c r="N555" s="10"/>
      <c r="O555" s="10"/>
      <c r="P555" s="10"/>
      <c r="Q555" s="464"/>
    </row>
    <row r="556" spans="7:17" hidden="1" x14ac:dyDescent="0.25">
      <c r="G556" s="463"/>
      <c r="H556" s="10"/>
      <c r="I556" s="10"/>
      <c r="J556" s="10"/>
      <c r="K556" s="10"/>
      <c r="L556" s="10"/>
      <c r="M556" s="10"/>
      <c r="N556" s="10"/>
      <c r="O556" s="10"/>
      <c r="P556" s="10"/>
      <c r="Q556" s="464"/>
    </row>
    <row r="557" spans="7:17" hidden="1" x14ac:dyDescent="0.25">
      <c r="G557" s="463"/>
      <c r="H557" s="10"/>
      <c r="I557" s="10"/>
      <c r="J557" s="10"/>
      <c r="K557" s="10"/>
      <c r="L557" s="10"/>
      <c r="M557" s="10"/>
      <c r="N557" s="10"/>
      <c r="O557" s="10"/>
      <c r="P557" s="10"/>
      <c r="Q557" s="464"/>
    </row>
    <row r="558" spans="7:17" hidden="1" x14ac:dyDescent="0.25">
      <c r="G558" s="463"/>
      <c r="H558" s="10"/>
      <c r="I558" s="10"/>
      <c r="J558" s="10"/>
      <c r="K558" s="10"/>
      <c r="L558" s="10"/>
      <c r="M558" s="10"/>
      <c r="N558" s="10"/>
      <c r="O558" s="10"/>
      <c r="P558" s="10"/>
      <c r="Q558" s="464"/>
    </row>
    <row r="559" spans="7:17" hidden="1" x14ac:dyDescent="0.25">
      <c r="G559" s="463"/>
      <c r="H559" s="10"/>
      <c r="I559" s="10"/>
      <c r="J559" s="10"/>
      <c r="K559" s="10"/>
      <c r="L559" s="10"/>
      <c r="M559" s="10"/>
      <c r="N559" s="10"/>
      <c r="O559" s="10"/>
      <c r="P559" s="10"/>
      <c r="Q559" s="464"/>
    </row>
    <row r="560" spans="7:17" hidden="1" x14ac:dyDescent="0.25">
      <c r="G560" s="463"/>
      <c r="H560" s="10"/>
      <c r="I560" s="10"/>
      <c r="J560" s="10"/>
      <c r="K560" s="10"/>
      <c r="L560" s="10"/>
      <c r="M560" s="10"/>
      <c r="N560" s="10"/>
      <c r="O560" s="10"/>
      <c r="P560" s="10"/>
      <c r="Q560" s="464"/>
    </row>
    <row r="561" spans="7:17" hidden="1" x14ac:dyDescent="0.25">
      <c r="G561" s="463"/>
      <c r="H561" s="10"/>
      <c r="I561" s="10"/>
      <c r="J561" s="10"/>
      <c r="K561" s="10"/>
      <c r="L561" s="10"/>
      <c r="M561" s="10"/>
      <c r="N561" s="10"/>
      <c r="O561" s="10"/>
      <c r="P561" s="10"/>
      <c r="Q561" s="464"/>
    </row>
    <row r="562" spans="7:17" hidden="1" x14ac:dyDescent="0.25">
      <c r="G562" s="463"/>
      <c r="H562" s="10"/>
      <c r="I562" s="10"/>
      <c r="J562" s="10"/>
      <c r="K562" s="10"/>
      <c r="L562" s="10"/>
      <c r="M562" s="10"/>
      <c r="N562" s="10"/>
      <c r="O562" s="10"/>
      <c r="P562" s="10"/>
      <c r="Q562" s="464"/>
    </row>
    <row r="563" spans="7:17" hidden="1" x14ac:dyDescent="0.25">
      <c r="G563" s="463"/>
      <c r="H563" s="10"/>
      <c r="I563" s="10"/>
      <c r="J563" s="10"/>
      <c r="K563" s="10"/>
      <c r="L563" s="10"/>
      <c r="M563" s="10"/>
      <c r="N563" s="10"/>
      <c r="O563" s="10"/>
      <c r="P563" s="10"/>
      <c r="Q563" s="464"/>
    </row>
    <row r="564" spans="7:17" hidden="1" x14ac:dyDescent="0.25">
      <c r="G564" s="463"/>
      <c r="H564" s="10"/>
      <c r="I564" s="10"/>
      <c r="J564" s="10"/>
      <c r="K564" s="10"/>
      <c r="L564" s="10"/>
      <c r="M564" s="10"/>
      <c r="N564" s="10"/>
      <c r="O564" s="10"/>
      <c r="P564" s="10"/>
      <c r="Q564" s="464"/>
    </row>
    <row r="565" spans="7:17" hidden="1" x14ac:dyDescent="0.25">
      <c r="G565" s="463"/>
      <c r="H565" s="10"/>
      <c r="I565" s="10"/>
      <c r="J565" s="10"/>
      <c r="K565" s="10"/>
      <c r="L565" s="10"/>
      <c r="M565" s="10"/>
      <c r="N565" s="10"/>
      <c r="O565" s="10"/>
      <c r="P565" s="10"/>
      <c r="Q565" s="464"/>
    </row>
    <row r="566" spans="7:17" hidden="1" x14ac:dyDescent="0.25">
      <c r="G566" s="463"/>
      <c r="H566" s="10"/>
      <c r="I566" s="10"/>
      <c r="J566" s="10"/>
      <c r="K566" s="10"/>
      <c r="L566" s="10"/>
      <c r="M566" s="10"/>
      <c r="N566" s="10"/>
      <c r="O566" s="10"/>
      <c r="P566" s="10"/>
      <c r="Q566" s="464"/>
    </row>
    <row r="567" spans="7:17" hidden="1" x14ac:dyDescent="0.25">
      <c r="G567" s="463"/>
      <c r="H567" s="10"/>
      <c r="I567" s="10"/>
      <c r="J567" s="10"/>
      <c r="K567" s="10"/>
      <c r="L567" s="10"/>
      <c r="M567" s="10"/>
      <c r="N567" s="10"/>
      <c r="O567" s="10"/>
      <c r="P567" s="10"/>
      <c r="Q567" s="464"/>
    </row>
    <row r="568" spans="7:17" hidden="1" x14ac:dyDescent="0.25">
      <c r="G568" s="463"/>
      <c r="H568" s="10"/>
      <c r="I568" s="10"/>
      <c r="J568" s="10"/>
      <c r="K568" s="10"/>
      <c r="L568" s="10"/>
      <c r="M568" s="10"/>
      <c r="N568" s="10"/>
      <c r="O568" s="10"/>
      <c r="P568" s="10"/>
      <c r="Q568" s="464"/>
    </row>
    <row r="569" spans="7:17" hidden="1" x14ac:dyDescent="0.25">
      <c r="G569" s="463"/>
      <c r="H569" s="10"/>
      <c r="I569" s="10"/>
      <c r="J569" s="10"/>
      <c r="K569" s="10"/>
      <c r="L569" s="10"/>
      <c r="M569" s="10"/>
      <c r="N569" s="10"/>
      <c r="O569" s="10"/>
      <c r="P569" s="10"/>
      <c r="Q569" s="464"/>
    </row>
    <row r="570" spans="7:17" hidden="1" x14ac:dyDescent="0.25">
      <c r="G570" s="463"/>
      <c r="H570" s="10"/>
      <c r="I570" s="10"/>
      <c r="J570" s="10"/>
      <c r="K570" s="10"/>
      <c r="L570" s="10"/>
      <c r="M570" s="10"/>
      <c r="N570" s="10"/>
      <c r="O570" s="10"/>
      <c r="P570" s="10"/>
      <c r="Q570" s="464"/>
    </row>
    <row r="571" spans="7:17" hidden="1" x14ac:dyDescent="0.25">
      <c r="G571" s="463"/>
      <c r="H571" s="10"/>
      <c r="I571" s="10"/>
      <c r="J571" s="10"/>
      <c r="K571" s="10"/>
      <c r="L571" s="10"/>
      <c r="M571" s="10"/>
      <c r="N571" s="10"/>
      <c r="O571" s="10"/>
      <c r="P571" s="10"/>
      <c r="Q571" s="464"/>
    </row>
    <row r="572" spans="7:17" hidden="1" x14ac:dyDescent="0.25">
      <c r="G572" s="463"/>
      <c r="H572" s="10"/>
      <c r="I572" s="10"/>
      <c r="J572" s="10"/>
      <c r="K572" s="10"/>
      <c r="L572" s="10"/>
      <c r="M572" s="10"/>
      <c r="N572" s="10"/>
      <c r="O572" s="10"/>
      <c r="P572" s="10"/>
      <c r="Q572" s="464"/>
    </row>
    <row r="573" spans="7:17" hidden="1" x14ac:dyDescent="0.25">
      <c r="G573" s="463"/>
      <c r="H573" s="10"/>
      <c r="I573" s="10"/>
      <c r="J573" s="10"/>
      <c r="K573" s="10"/>
      <c r="L573" s="10"/>
      <c r="M573" s="10"/>
      <c r="N573" s="10"/>
      <c r="O573" s="10"/>
      <c r="P573" s="10"/>
      <c r="Q573" s="464"/>
    </row>
    <row r="574" spans="7:17" hidden="1" x14ac:dyDescent="0.25">
      <c r="G574" s="463"/>
      <c r="H574" s="10"/>
      <c r="I574" s="10"/>
      <c r="J574" s="10"/>
      <c r="K574" s="10"/>
      <c r="L574" s="10"/>
      <c r="M574" s="10"/>
      <c r="N574" s="10"/>
      <c r="O574" s="10"/>
      <c r="P574" s="10"/>
      <c r="Q574" s="464"/>
    </row>
    <row r="575" spans="7:17" hidden="1" x14ac:dyDescent="0.25">
      <c r="G575" s="463"/>
      <c r="H575" s="10"/>
      <c r="I575" s="10"/>
      <c r="J575" s="10"/>
      <c r="K575" s="10"/>
      <c r="L575" s="10"/>
      <c r="M575" s="10"/>
      <c r="N575" s="10"/>
      <c r="O575" s="10"/>
      <c r="P575" s="10"/>
      <c r="Q575" s="464"/>
    </row>
    <row r="576" spans="7:17" hidden="1" x14ac:dyDescent="0.25">
      <c r="G576" s="463"/>
      <c r="H576" s="10"/>
      <c r="I576" s="10"/>
      <c r="J576" s="10"/>
      <c r="K576" s="10"/>
      <c r="L576" s="10"/>
      <c r="M576" s="10"/>
      <c r="N576" s="10"/>
      <c r="O576" s="10"/>
      <c r="P576" s="10"/>
      <c r="Q576" s="464"/>
    </row>
    <row r="577" spans="7:17" hidden="1" x14ac:dyDescent="0.25">
      <c r="G577" s="463"/>
      <c r="H577" s="10"/>
      <c r="I577" s="10"/>
      <c r="J577" s="10"/>
      <c r="K577" s="10"/>
      <c r="L577" s="10"/>
      <c r="M577" s="10"/>
      <c r="N577" s="10"/>
      <c r="O577" s="10"/>
      <c r="P577" s="10"/>
      <c r="Q577" s="464"/>
    </row>
    <row r="578" spans="7:17" hidden="1" x14ac:dyDescent="0.25">
      <c r="G578" s="463"/>
      <c r="H578" s="10"/>
      <c r="I578" s="10"/>
      <c r="J578" s="10"/>
      <c r="K578" s="10"/>
      <c r="L578" s="10"/>
      <c r="M578" s="10"/>
      <c r="N578" s="10"/>
      <c r="O578" s="10"/>
      <c r="P578" s="10"/>
      <c r="Q578" s="464"/>
    </row>
    <row r="579" spans="7:17" hidden="1" x14ac:dyDescent="0.25">
      <c r="G579" s="463"/>
      <c r="H579" s="10"/>
      <c r="I579" s="10"/>
      <c r="J579" s="10"/>
      <c r="K579" s="10"/>
      <c r="L579" s="10"/>
      <c r="M579" s="10"/>
      <c r="N579" s="10"/>
      <c r="O579" s="10"/>
      <c r="P579" s="10"/>
      <c r="Q579" s="464"/>
    </row>
    <row r="580" spans="7:17" hidden="1" x14ac:dyDescent="0.25">
      <c r="G580" s="463"/>
      <c r="H580" s="10"/>
      <c r="I580" s="10"/>
      <c r="J580" s="10"/>
      <c r="K580" s="10"/>
      <c r="L580" s="10"/>
      <c r="M580" s="10"/>
      <c r="N580" s="10"/>
      <c r="O580" s="10"/>
      <c r="P580" s="10"/>
      <c r="Q580" s="464"/>
    </row>
    <row r="581" spans="7:17" hidden="1" x14ac:dyDescent="0.25">
      <c r="G581" s="463"/>
      <c r="H581" s="10"/>
      <c r="I581" s="10"/>
      <c r="J581" s="10"/>
      <c r="K581" s="10"/>
      <c r="L581" s="10"/>
      <c r="M581" s="10"/>
      <c r="N581" s="10"/>
      <c r="O581" s="10"/>
      <c r="P581" s="10"/>
      <c r="Q581" s="464"/>
    </row>
    <row r="582" spans="7:17" hidden="1" x14ac:dyDescent="0.25">
      <c r="G582" s="463"/>
      <c r="H582" s="10"/>
      <c r="I582" s="10"/>
      <c r="J582" s="10"/>
      <c r="K582" s="10"/>
      <c r="L582" s="10"/>
      <c r="M582" s="10"/>
      <c r="N582" s="10"/>
      <c r="O582" s="10"/>
      <c r="P582" s="10"/>
      <c r="Q582" s="464"/>
    </row>
    <row r="583" spans="7:17" hidden="1" x14ac:dyDescent="0.25">
      <c r="G583" s="463"/>
      <c r="H583" s="10"/>
      <c r="I583" s="10"/>
      <c r="J583" s="10"/>
      <c r="K583" s="10"/>
      <c r="L583" s="10"/>
      <c r="M583" s="10"/>
      <c r="N583" s="10"/>
      <c r="O583" s="10"/>
      <c r="P583" s="10"/>
      <c r="Q583" s="464"/>
    </row>
    <row r="584" spans="7:17" hidden="1" x14ac:dyDescent="0.25">
      <c r="G584" s="463"/>
      <c r="H584" s="10"/>
      <c r="I584" s="10"/>
      <c r="J584" s="10"/>
      <c r="K584" s="10"/>
      <c r="L584" s="10"/>
      <c r="M584" s="10"/>
      <c r="N584" s="10"/>
      <c r="O584" s="10"/>
      <c r="P584" s="10"/>
      <c r="Q584" s="464"/>
    </row>
    <row r="585" spans="7:17" hidden="1" x14ac:dyDescent="0.25">
      <c r="G585" s="463"/>
      <c r="H585" s="10"/>
      <c r="I585" s="10"/>
      <c r="J585" s="10"/>
      <c r="K585" s="10"/>
      <c r="L585" s="10"/>
      <c r="M585" s="10"/>
      <c r="N585" s="10"/>
      <c r="O585" s="10"/>
      <c r="P585" s="10"/>
      <c r="Q585" s="464"/>
    </row>
    <row r="586" spans="7:17" hidden="1" x14ac:dyDescent="0.25">
      <c r="G586" s="463"/>
      <c r="H586" s="10"/>
      <c r="I586" s="10"/>
      <c r="J586" s="10"/>
      <c r="K586" s="10"/>
      <c r="L586" s="10"/>
      <c r="M586" s="10"/>
      <c r="N586" s="10"/>
      <c r="O586" s="10"/>
      <c r="P586" s="10"/>
      <c r="Q586" s="464"/>
    </row>
    <row r="587" spans="7:17" hidden="1" x14ac:dyDescent="0.25">
      <c r="G587" s="463"/>
      <c r="H587" s="10"/>
      <c r="I587" s="10"/>
      <c r="J587" s="10"/>
      <c r="K587" s="10"/>
      <c r="L587" s="10"/>
      <c r="M587" s="10"/>
      <c r="N587" s="10"/>
      <c r="O587" s="10"/>
      <c r="P587" s="10"/>
      <c r="Q587" s="464"/>
    </row>
    <row r="588" spans="7:17" hidden="1" x14ac:dyDescent="0.25">
      <c r="G588" s="463"/>
      <c r="H588" s="10"/>
      <c r="I588" s="10"/>
      <c r="J588" s="10"/>
      <c r="K588" s="10"/>
      <c r="L588" s="10"/>
      <c r="M588" s="10"/>
      <c r="N588" s="10"/>
      <c r="O588" s="10"/>
      <c r="P588" s="10"/>
      <c r="Q588" s="464"/>
    </row>
    <row r="589" spans="7:17" hidden="1" x14ac:dyDescent="0.25">
      <c r="G589" s="463"/>
      <c r="H589" s="10"/>
      <c r="I589" s="10"/>
      <c r="J589" s="10"/>
      <c r="K589" s="10"/>
      <c r="L589" s="10"/>
      <c r="M589" s="10"/>
      <c r="N589" s="10"/>
      <c r="O589" s="10"/>
      <c r="P589" s="10"/>
      <c r="Q589" s="464"/>
    </row>
    <row r="590" spans="7:17" hidden="1" x14ac:dyDescent="0.25">
      <c r="G590" s="463"/>
      <c r="H590" s="10"/>
      <c r="I590" s="10"/>
      <c r="J590" s="10"/>
      <c r="K590" s="10"/>
      <c r="L590" s="10"/>
      <c r="M590" s="10"/>
      <c r="N590" s="10"/>
      <c r="O590" s="10"/>
      <c r="P590" s="10"/>
      <c r="Q590" s="464"/>
    </row>
    <row r="591" spans="7:17" hidden="1" x14ac:dyDescent="0.25">
      <c r="G591" s="463"/>
      <c r="H591" s="10"/>
      <c r="I591" s="10"/>
      <c r="J591" s="10"/>
      <c r="K591" s="10"/>
      <c r="L591" s="10"/>
      <c r="M591" s="10"/>
      <c r="N591" s="10"/>
      <c r="O591" s="10"/>
      <c r="P591" s="10"/>
      <c r="Q591" s="464"/>
    </row>
    <row r="592" spans="7:17" hidden="1" x14ac:dyDescent="0.25">
      <c r="G592" s="463"/>
      <c r="H592" s="10"/>
      <c r="I592" s="10"/>
      <c r="J592" s="10"/>
      <c r="K592" s="10"/>
      <c r="L592" s="10"/>
      <c r="M592" s="10"/>
      <c r="N592" s="10"/>
      <c r="O592" s="10"/>
      <c r="P592" s="10"/>
      <c r="Q592" s="464"/>
    </row>
    <row r="593" spans="7:17" hidden="1" x14ac:dyDescent="0.25">
      <c r="G593" s="463"/>
      <c r="H593" s="10"/>
      <c r="I593" s="10"/>
      <c r="J593" s="10"/>
      <c r="K593" s="10"/>
      <c r="L593" s="10"/>
      <c r="M593" s="10"/>
      <c r="N593" s="10"/>
      <c r="O593" s="10"/>
      <c r="P593" s="10"/>
      <c r="Q593" s="464"/>
    </row>
    <row r="594" spans="7:17" hidden="1" x14ac:dyDescent="0.25">
      <c r="G594" s="463"/>
      <c r="H594" s="10"/>
      <c r="I594" s="10"/>
      <c r="J594" s="10"/>
      <c r="K594" s="10"/>
      <c r="L594" s="10"/>
      <c r="M594" s="10"/>
      <c r="N594" s="10"/>
      <c r="O594" s="10"/>
      <c r="P594" s="10"/>
      <c r="Q594" s="464"/>
    </row>
    <row r="595" spans="7:17" hidden="1" x14ac:dyDescent="0.25">
      <c r="G595" s="463"/>
      <c r="H595" s="10"/>
      <c r="I595" s="10"/>
      <c r="J595" s="10"/>
      <c r="K595" s="10"/>
      <c r="L595" s="10"/>
      <c r="M595" s="10"/>
      <c r="N595" s="10"/>
      <c r="O595" s="10"/>
      <c r="P595" s="10"/>
      <c r="Q595" s="464"/>
    </row>
    <row r="596" spans="7:17" hidden="1" x14ac:dyDescent="0.25">
      <c r="G596" s="463"/>
      <c r="H596" s="10"/>
      <c r="I596" s="10"/>
      <c r="J596" s="10"/>
      <c r="K596" s="10"/>
      <c r="L596" s="10"/>
      <c r="M596" s="10"/>
      <c r="N596" s="10"/>
      <c r="O596" s="10"/>
      <c r="P596" s="10"/>
      <c r="Q596" s="464"/>
    </row>
    <row r="597" spans="7:17" hidden="1" x14ac:dyDescent="0.25">
      <c r="G597" s="463"/>
      <c r="H597" s="10"/>
      <c r="I597" s="10"/>
      <c r="J597" s="10"/>
      <c r="K597" s="10"/>
      <c r="L597" s="10"/>
      <c r="M597" s="10"/>
      <c r="N597" s="10"/>
      <c r="O597" s="10"/>
      <c r="P597" s="10"/>
      <c r="Q597" s="464"/>
    </row>
    <row r="598" spans="7:17" hidden="1" x14ac:dyDescent="0.25">
      <c r="G598" s="463"/>
      <c r="H598" s="10"/>
      <c r="I598" s="10"/>
      <c r="J598" s="10"/>
      <c r="K598" s="10"/>
      <c r="L598" s="10"/>
      <c r="M598" s="10"/>
      <c r="N598" s="10"/>
      <c r="O598" s="10"/>
      <c r="P598" s="10"/>
      <c r="Q598" s="464"/>
    </row>
    <row r="599" spans="7:17" hidden="1" x14ac:dyDescent="0.25">
      <c r="G599" s="463"/>
      <c r="H599" s="10"/>
      <c r="I599" s="10"/>
      <c r="J599" s="10"/>
      <c r="K599" s="10"/>
      <c r="L599" s="10"/>
      <c r="M599" s="10"/>
      <c r="N599" s="10"/>
      <c r="O599" s="10"/>
      <c r="P599" s="10"/>
      <c r="Q599" s="464"/>
    </row>
    <row r="600" spans="7:17" hidden="1" x14ac:dyDescent="0.25">
      <c r="G600" s="463"/>
      <c r="H600" s="10"/>
      <c r="I600" s="10"/>
      <c r="J600" s="10"/>
      <c r="K600" s="10"/>
      <c r="L600" s="10"/>
      <c r="M600" s="10"/>
      <c r="N600" s="10"/>
      <c r="O600" s="10"/>
      <c r="P600" s="10"/>
      <c r="Q600" s="464"/>
    </row>
    <row r="601" spans="7:17" hidden="1" x14ac:dyDescent="0.25">
      <c r="G601" s="463"/>
      <c r="H601" s="10"/>
      <c r="I601" s="10"/>
      <c r="J601" s="10"/>
      <c r="K601" s="10"/>
      <c r="L601" s="10"/>
      <c r="M601" s="10"/>
      <c r="N601" s="10"/>
      <c r="O601" s="10"/>
      <c r="P601" s="10"/>
      <c r="Q601" s="464"/>
    </row>
    <row r="602" spans="7:17" hidden="1" x14ac:dyDescent="0.25">
      <c r="G602" s="463"/>
      <c r="H602" s="10"/>
      <c r="I602" s="10"/>
      <c r="J602" s="10"/>
      <c r="K602" s="10"/>
      <c r="L602" s="10"/>
      <c r="M602" s="10"/>
      <c r="N602" s="10"/>
      <c r="O602" s="10"/>
      <c r="P602" s="10"/>
      <c r="Q602" s="464"/>
    </row>
    <row r="603" spans="7:17" hidden="1" x14ac:dyDescent="0.25">
      <c r="G603" s="463"/>
      <c r="H603" s="10"/>
      <c r="I603" s="10"/>
      <c r="J603" s="10"/>
      <c r="K603" s="10"/>
      <c r="L603" s="10"/>
      <c r="M603" s="10"/>
      <c r="N603" s="10"/>
      <c r="O603" s="10"/>
      <c r="P603" s="10"/>
      <c r="Q603" s="464"/>
    </row>
    <row r="604" spans="7:17" hidden="1" x14ac:dyDescent="0.25">
      <c r="G604" s="463"/>
      <c r="H604" s="10"/>
      <c r="I604" s="10"/>
      <c r="J604" s="10"/>
      <c r="K604" s="10"/>
      <c r="L604" s="10"/>
      <c r="M604" s="10"/>
      <c r="N604" s="10"/>
      <c r="O604" s="10"/>
      <c r="P604" s="10"/>
      <c r="Q604" s="464"/>
    </row>
    <row r="605" spans="7:17" hidden="1" x14ac:dyDescent="0.25">
      <c r="G605" s="463"/>
      <c r="H605" s="10"/>
      <c r="I605" s="10"/>
      <c r="J605" s="10"/>
      <c r="K605" s="10"/>
      <c r="L605" s="10"/>
      <c r="M605" s="10"/>
      <c r="N605" s="10"/>
      <c r="O605" s="10"/>
      <c r="P605" s="10"/>
      <c r="Q605" s="464"/>
    </row>
    <row r="606" spans="7:17" hidden="1" x14ac:dyDescent="0.25">
      <c r="G606" s="463"/>
      <c r="H606" s="10"/>
      <c r="I606" s="10"/>
      <c r="J606" s="10"/>
      <c r="K606" s="10"/>
      <c r="L606" s="10"/>
      <c r="M606" s="10"/>
      <c r="N606" s="10"/>
      <c r="O606" s="10"/>
      <c r="P606" s="10"/>
      <c r="Q606" s="464"/>
    </row>
    <row r="607" spans="7:17" hidden="1" x14ac:dyDescent="0.25">
      <c r="G607" s="463"/>
      <c r="H607" s="10"/>
      <c r="I607" s="10"/>
      <c r="J607" s="10"/>
      <c r="K607" s="10"/>
      <c r="L607" s="10"/>
      <c r="M607" s="10"/>
      <c r="N607" s="10"/>
      <c r="O607" s="10"/>
      <c r="P607" s="10"/>
      <c r="Q607" s="464"/>
    </row>
    <row r="608" spans="7:17" hidden="1" x14ac:dyDescent="0.25">
      <c r="G608" s="463"/>
      <c r="H608" s="10"/>
      <c r="I608" s="10"/>
      <c r="J608" s="10"/>
      <c r="K608" s="10"/>
      <c r="L608" s="10"/>
      <c r="M608" s="10"/>
      <c r="N608" s="10"/>
      <c r="O608" s="10"/>
      <c r="P608" s="10"/>
      <c r="Q608" s="464"/>
    </row>
    <row r="609" spans="7:17" hidden="1" x14ac:dyDescent="0.25">
      <c r="G609" s="463"/>
      <c r="H609" s="10"/>
      <c r="I609" s="10"/>
      <c r="J609" s="10"/>
      <c r="K609" s="10"/>
      <c r="L609" s="10"/>
      <c r="M609" s="10"/>
      <c r="N609" s="10"/>
      <c r="O609" s="10"/>
      <c r="P609" s="10"/>
      <c r="Q609" s="464"/>
    </row>
    <row r="610" spans="7:17" ht="15.75" hidden="1" thickBot="1" x14ac:dyDescent="0.3">
      <c r="G610" s="465"/>
      <c r="H610" s="466"/>
      <c r="I610" s="466"/>
      <c r="J610" s="466"/>
      <c r="K610" s="466"/>
      <c r="L610" s="466"/>
      <c r="M610" s="466"/>
      <c r="N610" s="466"/>
      <c r="O610" s="466"/>
      <c r="P610" s="466"/>
      <c r="Q610" s="467"/>
    </row>
    <row r="611" spans="7:17" hidden="1" x14ac:dyDescent="0.25"/>
    <row r="612" spans="7:17" hidden="1" x14ac:dyDescent="0.25"/>
    <row r="613" spans="7:17" hidden="1" x14ac:dyDescent="0.25"/>
    <row r="614" spans="7:17" hidden="1" x14ac:dyDescent="0.25"/>
    <row r="615" spans="7:17" hidden="1" x14ac:dyDescent="0.25"/>
    <row r="616" spans="7:17" hidden="1" x14ac:dyDescent="0.25"/>
    <row r="617" spans="7:17" hidden="1" x14ac:dyDescent="0.25"/>
    <row r="618" spans="7:17" ht="15.75" hidden="1" thickBot="1" x14ac:dyDescent="0.3">
      <c r="K618" s="471"/>
      <c r="L618" s="471"/>
      <c r="M618" s="471"/>
    </row>
    <row r="619" spans="7:17" hidden="1" x14ac:dyDescent="0.25">
      <c r="G619" s="460"/>
      <c r="H619" s="461"/>
      <c r="I619" s="461"/>
      <c r="J619" s="461"/>
      <c r="K619" s="461"/>
      <c r="L619" s="461"/>
      <c r="M619" s="461"/>
      <c r="N619" s="461"/>
      <c r="O619" s="461"/>
      <c r="P619" s="461"/>
      <c r="Q619" s="462"/>
    </row>
    <row r="620" spans="7:17" hidden="1" x14ac:dyDescent="0.25">
      <c r="G620" s="463"/>
      <c r="H620" s="10"/>
      <c r="I620" s="10"/>
      <c r="J620" s="10"/>
      <c r="K620" s="10"/>
      <c r="L620" s="10"/>
      <c r="M620" s="10"/>
      <c r="N620" s="10"/>
      <c r="O620" s="10"/>
      <c r="P620" s="10"/>
      <c r="Q620" s="464"/>
    </row>
    <row r="621" spans="7:17" hidden="1" x14ac:dyDescent="0.25">
      <c r="G621" s="463"/>
      <c r="H621" s="10"/>
      <c r="I621" s="10"/>
      <c r="J621" s="10"/>
      <c r="K621" s="10"/>
      <c r="L621" s="10"/>
      <c r="M621" s="10"/>
      <c r="N621" s="10"/>
      <c r="O621" s="10"/>
      <c r="P621" s="10"/>
      <c r="Q621" s="464"/>
    </row>
    <row r="622" spans="7:17" hidden="1" x14ac:dyDescent="0.25">
      <c r="G622" s="463"/>
      <c r="H622" s="10"/>
      <c r="I622" s="10"/>
      <c r="J622" s="10"/>
      <c r="K622" s="10"/>
      <c r="L622" s="10"/>
      <c r="M622" s="10"/>
      <c r="N622" s="10"/>
      <c r="O622" s="10"/>
      <c r="P622" s="10"/>
      <c r="Q622" s="464"/>
    </row>
    <row r="623" spans="7:17" hidden="1" x14ac:dyDescent="0.25">
      <c r="G623" s="463"/>
      <c r="H623" s="10"/>
      <c r="I623" s="10"/>
      <c r="J623" s="10"/>
      <c r="K623" s="10"/>
      <c r="L623" s="10"/>
      <c r="M623" s="10"/>
      <c r="N623" s="10"/>
      <c r="O623" s="10"/>
      <c r="P623" s="10"/>
      <c r="Q623" s="464"/>
    </row>
    <row r="624" spans="7:17" hidden="1" x14ac:dyDescent="0.25">
      <c r="G624" s="463"/>
      <c r="H624" s="10"/>
      <c r="I624" s="10"/>
      <c r="J624" s="10"/>
      <c r="K624" s="10"/>
      <c r="L624" s="10"/>
      <c r="M624" s="10"/>
      <c r="N624" s="10"/>
      <c r="O624" s="10"/>
      <c r="P624" s="10"/>
      <c r="Q624" s="464"/>
    </row>
    <row r="625" spans="7:17" hidden="1" x14ac:dyDescent="0.25">
      <c r="G625" s="463"/>
      <c r="H625" s="10"/>
      <c r="I625" s="10"/>
      <c r="J625" s="10"/>
      <c r="K625" s="10"/>
      <c r="L625" s="10"/>
      <c r="M625" s="10"/>
      <c r="N625" s="10"/>
      <c r="O625" s="10"/>
      <c r="P625" s="10"/>
      <c r="Q625" s="464"/>
    </row>
    <row r="626" spans="7:17" hidden="1" x14ac:dyDescent="0.25">
      <c r="G626" s="463"/>
      <c r="H626" s="10"/>
      <c r="I626" s="10"/>
      <c r="J626" s="10"/>
      <c r="K626" s="10"/>
      <c r="L626" s="10"/>
      <c r="M626" s="10"/>
      <c r="N626" s="10"/>
      <c r="O626" s="10"/>
      <c r="P626" s="10"/>
      <c r="Q626" s="464"/>
    </row>
    <row r="627" spans="7:17" hidden="1" x14ac:dyDescent="0.25">
      <c r="G627" s="463"/>
      <c r="H627" s="10"/>
      <c r="I627" s="10"/>
      <c r="J627" s="10"/>
      <c r="K627" s="10"/>
      <c r="L627" s="10"/>
      <c r="M627" s="10"/>
      <c r="N627" s="10"/>
      <c r="O627" s="10"/>
      <c r="P627" s="10"/>
      <c r="Q627" s="464"/>
    </row>
    <row r="628" spans="7:17" hidden="1" x14ac:dyDescent="0.25">
      <c r="G628" s="463"/>
      <c r="H628" s="10"/>
      <c r="I628" s="10"/>
      <c r="J628" s="10"/>
      <c r="K628" s="10"/>
      <c r="L628" s="10"/>
      <c r="M628" s="10"/>
      <c r="N628" s="10"/>
      <c r="O628" s="10"/>
      <c r="P628" s="10"/>
      <c r="Q628" s="464"/>
    </row>
    <row r="629" spans="7:17" hidden="1" x14ac:dyDescent="0.25">
      <c r="G629" s="463"/>
      <c r="H629" s="10"/>
      <c r="I629" s="10"/>
      <c r="J629" s="10"/>
      <c r="K629" s="10"/>
      <c r="L629" s="10"/>
      <c r="M629" s="10"/>
      <c r="N629" s="10"/>
      <c r="O629" s="10"/>
      <c r="P629" s="10"/>
      <c r="Q629" s="464"/>
    </row>
    <row r="630" spans="7:17" hidden="1" x14ac:dyDescent="0.25">
      <c r="G630" s="463"/>
      <c r="H630" s="10"/>
      <c r="I630" s="10"/>
      <c r="J630" s="10"/>
      <c r="K630" s="10"/>
      <c r="L630" s="10"/>
      <c r="M630" s="10"/>
      <c r="N630" s="10"/>
      <c r="O630" s="10"/>
      <c r="P630" s="10"/>
      <c r="Q630" s="464"/>
    </row>
    <row r="631" spans="7:17" hidden="1" x14ac:dyDescent="0.25">
      <c r="G631" s="463"/>
      <c r="H631" s="10"/>
      <c r="I631" s="10"/>
      <c r="J631" s="10"/>
      <c r="K631" s="10"/>
      <c r="L631" s="10"/>
      <c r="M631" s="10"/>
      <c r="N631" s="10"/>
      <c r="O631" s="10"/>
      <c r="P631" s="10"/>
      <c r="Q631" s="464"/>
    </row>
    <row r="632" spans="7:17" hidden="1" x14ac:dyDescent="0.25">
      <c r="G632" s="463"/>
      <c r="H632" s="10"/>
      <c r="I632" s="10"/>
      <c r="J632" s="10"/>
      <c r="K632" s="10"/>
      <c r="L632" s="10"/>
      <c r="M632" s="10"/>
      <c r="N632" s="10"/>
      <c r="O632" s="10"/>
      <c r="P632" s="10"/>
      <c r="Q632" s="464"/>
    </row>
    <row r="633" spans="7:17" hidden="1" x14ac:dyDescent="0.25">
      <c r="G633" s="463"/>
      <c r="H633" s="10"/>
      <c r="I633" s="10"/>
      <c r="J633" s="10"/>
      <c r="K633" s="10"/>
      <c r="L633" s="10"/>
      <c r="M633" s="10"/>
      <c r="N633" s="10"/>
      <c r="O633" s="10"/>
      <c r="P633" s="10"/>
      <c r="Q633" s="464"/>
    </row>
    <row r="634" spans="7:17" hidden="1" x14ac:dyDescent="0.25">
      <c r="G634" s="463"/>
      <c r="H634" s="10"/>
      <c r="I634" s="10"/>
      <c r="J634" s="10"/>
      <c r="K634" s="10"/>
      <c r="L634" s="10"/>
      <c r="M634" s="10"/>
      <c r="N634" s="10"/>
      <c r="O634" s="10"/>
      <c r="P634" s="10"/>
      <c r="Q634" s="464"/>
    </row>
    <row r="635" spans="7:17" hidden="1" x14ac:dyDescent="0.25">
      <c r="G635" s="463"/>
      <c r="H635" s="10"/>
      <c r="I635" s="10"/>
      <c r="J635" s="10"/>
      <c r="K635" s="10"/>
      <c r="L635" s="10"/>
      <c r="M635" s="10"/>
      <c r="N635" s="10"/>
      <c r="O635" s="10"/>
      <c r="P635" s="10"/>
      <c r="Q635" s="464"/>
    </row>
    <row r="636" spans="7:17" hidden="1" x14ac:dyDescent="0.25">
      <c r="G636" s="463"/>
      <c r="H636" s="10"/>
      <c r="I636" s="10"/>
      <c r="J636" s="10"/>
      <c r="K636" s="10"/>
      <c r="L636" s="10"/>
      <c r="M636" s="10"/>
      <c r="N636" s="10"/>
      <c r="O636" s="10"/>
      <c r="P636" s="10"/>
      <c r="Q636" s="464"/>
    </row>
    <row r="637" spans="7:17" hidden="1" x14ac:dyDescent="0.25">
      <c r="G637" s="463"/>
      <c r="H637" s="10"/>
      <c r="I637" s="10"/>
      <c r="J637" s="10"/>
      <c r="K637" s="10"/>
      <c r="L637" s="10"/>
      <c r="M637" s="10"/>
      <c r="N637" s="10"/>
      <c r="O637" s="10"/>
      <c r="P637" s="10"/>
      <c r="Q637" s="464"/>
    </row>
    <row r="638" spans="7:17" hidden="1" x14ac:dyDescent="0.25">
      <c r="G638" s="463"/>
      <c r="H638" s="10"/>
      <c r="I638" s="10"/>
      <c r="J638" s="10"/>
      <c r="K638" s="10"/>
      <c r="L638" s="10"/>
      <c r="M638" s="10"/>
      <c r="N638" s="10"/>
      <c r="O638" s="10"/>
      <c r="P638" s="10"/>
      <c r="Q638" s="464"/>
    </row>
    <row r="639" spans="7:17" hidden="1" x14ac:dyDescent="0.25">
      <c r="G639" s="463"/>
      <c r="H639" s="10"/>
      <c r="I639" s="10"/>
      <c r="J639" s="10"/>
      <c r="K639" s="10"/>
      <c r="L639" s="10"/>
      <c r="M639" s="10"/>
      <c r="N639" s="10"/>
      <c r="O639" s="10"/>
      <c r="P639" s="10"/>
      <c r="Q639" s="464"/>
    </row>
    <row r="640" spans="7:17" hidden="1" x14ac:dyDescent="0.25">
      <c r="G640" s="463"/>
      <c r="H640" s="10"/>
      <c r="I640" s="10"/>
      <c r="J640" s="10"/>
      <c r="K640" s="10"/>
      <c r="L640" s="10"/>
      <c r="M640" s="10"/>
      <c r="N640" s="10"/>
      <c r="O640" s="10"/>
      <c r="P640" s="10"/>
      <c r="Q640" s="464"/>
    </row>
    <row r="641" spans="7:17" hidden="1" x14ac:dyDescent="0.25">
      <c r="G641" s="463"/>
      <c r="H641" s="10"/>
      <c r="I641" s="10"/>
      <c r="J641" s="10"/>
      <c r="K641" s="10"/>
      <c r="L641" s="10"/>
      <c r="M641" s="10"/>
      <c r="N641" s="10"/>
      <c r="O641" s="10"/>
      <c r="P641" s="10"/>
      <c r="Q641" s="464"/>
    </row>
    <row r="642" spans="7:17" hidden="1" x14ac:dyDescent="0.25">
      <c r="G642" s="463"/>
      <c r="H642" s="10"/>
      <c r="I642" s="10"/>
      <c r="J642" s="10"/>
      <c r="K642" s="10"/>
      <c r="L642" s="10"/>
      <c r="M642" s="10"/>
      <c r="N642" s="10"/>
      <c r="O642" s="10"/>
      <c r="P642" s="10"/>
      <c r="Q642" s="464"/>
    </row>
    <row r="643" spans="7:17" hidden="1" x14ac:dyDescent="0.25">
      <c r="G643" s="463"/>
      <c r="H643" s="10"/>
      <c r="I643" s="10"/>
      <c r="J643" s="10"/>
      <c r="K643" s="10"/>
      <c r="L643" s="10"/>
      <c r="M643" s="10"/>
      <c r="N643" s="10"/>
      <c r="O643" s="10"/>
      <c r="P643" s="10"/>
      <c r="Q643" s="464"/>
    </row>
    <row r="644" spans="7:17" hidden="1" x14ac:dyDescent="0.25">
      <c r="G644" s="463"/>
      <c r="H644" s="10"/>
      <c r="I644" s="10"/>
      <c r="J644" s="10"/>
      <c r="K644" s="10"/>
      <c r="L644" s="10"/>
      <c r="M644" s="10"/>
      <c r="N644" s="10"/>
      <c r="O644" s="10"/>
      <c r="P644" s="10"/>
      <c r="Q644" s="464"/>
    </row>
    <row r="645" spans="7:17" hidden="1" x14ac:dyDescent="0.25">
      <c r="G645" s="463"/>
      <c r="H645" s="10"/>
      <c r="I645" s="10"/>
      <c r="J645" s="10"/>
      <c r="K645" s="10"/>
      <c r="L645" s="10"/>
      <c r="M645" s="10"/>
      <c r="N645" s="10"/>
      <c r="O645" s="10"/>
      <c r="P645" s="10"/>
      <c r="Q645" s="464"/>
    </row>
    <row r="646" spans="7:17" hidden="1" x14ac:dyDescent="0.25">
      <c r="G646" s="463"/>
      <c r="H646" s="10"/>
      <c r="I646" s="10"/>
      <c r="J646" s="10"/>
      <c r="K646" s="10"/>
      <c r="L646" s="10"/>
      <c r="M646" s="10"/>
      <c r="N646" s="10"/>
      <c r="O646" s="10"/>
      <c r="P646" s="10"/>
      <c r="Q646" s="464"/>
    </row>
    <row r="647" spans="7:17" hidden="1" x14ac:dyDescent="0.25">
      <c r="G647" s="463"/>
      <c r="H647" s="10"/>
      <c r="I647" s="10"/>
      <c r="J647" s="10"/>
      <c r="K647" s="10"/>
      <c r="L647" s="10"/>
      <c r="M647" s="10"/>
      <c r="N647" s="10"/>
      <c r="O647" s="10"/>
      <c r="P647" s="10"/>
      <c r="Q647" s="464"/>
    </row>
    <row r="648" spans="7:17" hidden="1" x14ac:dyDescent="0.25">
      <c r="G648" s="463"/>
      <c r="H648" s="10"/>
      <c r="I648" s="10"/>
      <c r="J648" s="10"/>
      <c r="K648" s="10"/>
      <c r="L648" s="10"/>
      <c r="M648" s="10"/>
      <c r="N648" s="10"/>
      <c r="O648" s="10"/>
      <c r="P648" s="10"/>
      <c r="Q648" s="464"/>
    </row>
    <row r="649" spans="7:17" hidden="1" x14ac:dyDescent="0.25">
      <c r="G649" s="463"/>
      <c r="H649" s="10"/>
      <c r="I649" s="10"/>
      <c r="J649" s="10"/>
      <c r="K649" s="10"/>
      <c r="L649" s="10"/>
      <c r="M649" s="10"/>
      <c r="N649" s="10"/>
      <c r="O649" s="10"/>
      <c r="P649" s="10"/>
      <c r="Q649" s="464"/>
    </row>
    <row r="650" spans="7:17" hidden="1" x14ac:dyDescent="0.25">
      <c r="G650" s="463"/>
      <c r="H650" s="10"/>
      <c r="I650" s="10"/>
      <c r="J650" s="10"/>
      <c r="K650" s="10"/>
      <c r="L650" s="10"/>
      <c r="M650" s="10"/>
      <c r="N650" s="10"/>
      <c r="O650" s="10"/>
      <c r="P650" s="10"/>
      <c r="Q650" s="464"/>
    </row>
    <row r="651" spans="7:17" hidden="1" x14ac:dyDescent="0.25">
      <c r="G651" s="463"/>
      <c r="H651" s="10"/>
      <c r="I651" s="10"/>
      <c r="J651" s="10"/>
      <c r="K651" s="10"/>
      <c r="L651" s="10"/>
      <c r="M651" s="10"/>
      <c r="N651" s="10"/>
      <c r="O651" s="10"/>
      <c r="P651" s="10"/>
      <c r="Q651" s="464"/>
    </row>
    <row r="652" spans="7:17" hidden="1" x14ac:dyDescent="0.25">
      <c r="G652" s="463"/>
      <c r="H652" s="10"/>
      <c r="I652" s="10"/>
      <c r="J652" s="10"/>
      <c r="K652" s="10"/>
      <c r="L652" s="10"/>
      <c r="M652" s="10"/>
      <c r="N652" s="10"/>
      <c r="O652" s="10"/>
      <c r="P652" s="10"/>
      <c r="Q652" s="464"/>
    </row>
    <row r="653" spans="7:17" hidden="1" x14ac:dyDescent="0.25">
      <c r="G653" s="463"/>
      <c r="H653" s="10"/>
      <c r="I653" s="10"/>
      <c r="J653" s="10"/>
      <c r="K653" s="10"/>
      <c r="L653" s="10"/>
      <c r="M653" s="10"/>
      <c r="N653" s="10"/>
      <c r="O653" s="10"/>
      <c r="P653" s="10"/>
      <c r="Q653" s="464"/>
    </row>
    <row r="654" spans="7:17" hidden="1" x14ac:dyDescent="0.25">
      <c r="G654" s="463"/>
      <c r="H654" s="10"/>
      <c r="I654" s="10"/>
      <c r="J654" s="10"/>
      <c r="K654" s="10"/>
      <c r="L654" s="10"/>
      <c r="M654" s="10"/>
      <c r="N654" s="10"/>
      <c r="O654" s="10"/>
      <c r="P654" s="10"/>
      <c r="Q654" s="464"/>
    </row>
    <row r="655" spans="7:17" hidden="1" x14ac:dyDescent="0.25">
      <c r="G655" s="463"/>
      <c r="H655" s="10"/>
      <c r="I655" s="10"/>
      <c r="J655" s="10"/>
      <c r="K655" s="10"/>
      <c r="L655" s="10"/>
      <c r="M655" s="10"/>
      <c r="N655" s="10"/>
      <c r="O655" s="10"/>
      <c r="P655" s="10"/>
      <c r="Q655" s="464"/>
    </row>
    <row r="656" spans="7:17" hidden="1" x14ac:dyDescent="0.25">
      <c r="G656" s="463"/>
      <c r="H656" s="10"/>
      <c r="I656" s="10"/>
      <c r="J656" s="10"/>
      <c r="K656" s="10"/>
      <c r="L656" s="10"/>
      <c r="M656" s="10"/>
      <c r="N656" s="10"/>
      <c r="O656" s="10"/>
      <c r="P656" s="10"/>
      <c r="Q656" s="464"/>
    </row>
    <row r="657" spans="7:17" hidden="1" x14ac:dyDescent="0.25">
      <c r="G657" s="463"/>
      <c r="H657" s="10"/>
      <c r="I657" s="10"/>
      <c r="J657" s="10"/>
      <c r="K657" s="10"/>
      <c r="L657" s="10"/>
      <c r="M657" s="10"/>
      <c r="N657" s="10"/>
      <c r="O657" s="10"/>
      <c r="P657" s="10"/>
      <c r="Q657" s="464"/>
    </row>
    <row r="658" spans="7:17" hidden="1" x14ac:dyDescent="0.25">
      <c r="G658" s="463"/>
      <c r="H658" s="10"/>
      <c r="I658" s="10"/>
      <c r="J658" s="10"/>
      <c r="K658" s="10"/>
      <c r="L658" s="10"/>
      <c r="M658" s="10"/>
      <c r="N658" s="10"/>
      <c r="O658" s="10"/>
      <c r="P658" s="10"/>
      <c r="Q658" s="464"/>
    </row>
    <row r="659" spans="7:17" hidden="1" x14ac:dyDescent="0.25">
      <c r="G659" s="463"/>
      <c r="H659" s="10"/>
      <c r="I659" s="10"/>
      <c r="J659" s="10"/>
      <c r="K659" s="10"/>
      <c r="L659" s="10"/>
      <c r="M659" s="10"/>
      <c r="N659" s="10"/>
      <c r="O659" s="10"/>
      <c r="P659" s="10"/>
      <c r="Q659" s="464"/>
    </row>
    <row r="660" spans="7:17" hidden="1" x14ac:dyDescent="0.25">
      <c r="G660" s="463"/>
      <c r="H660" s="10"/>
      <c r="I660" s="10"/>
      <c r="J660" s="10"/>
      <c r="K660" s="10"/>
      <c r="L660" s="10"/>
      <c r="M660" s="10"/>
      <c r="N660" s="10"/>
      <c r="O660" s="10"/>
      <c r="P660" s="10"/>
      <c r="Q660" s="464"/>
    </row>
    <row r="661" spans="7:17" hidden="1" x14ac:dyDescent="0.25">
      <c r="G661" s="463"/>
      <c r="H661" s="10"/>
      <c r="I661" s="10"/>
      <c r="J661" s="10"/>
      <c r="K661" s="10"/>
      <c r="L661" s="10"/>
      <c r="M661" s="10"/>
      <c r="N661" s="10"/>
      <c r="O661" s="10"/>
      <c r="P661" s="10"/>
      <c r="Q661" s="464"/>
    </row>
    <row r="662" spans="7:17" hidden="1" x14ac:dyDescent="0.25">
      <c r="G662" s="463"/>
      <c r="H662" s="10"/>
      <c r="I662" s="10"/>
      <c r="J662" s="10"/>
      <c r="K662" s="10"/>
      <c r="L662" s="10"/>
      <c r="M662" s="10"/>
      <c r="N662" s="10"/>
      <c r="O662" s="10"/>
      <c r="P662" s="10"/>
      <c r="Q662" s="464"/>
    </row>
    <row r="663" spans="7:17" hidden="1" x14ac:dyDescent="0.25">
      <c r="G663" s="463"/>
      <c r="H663" s="10"/>
      <c r="I663" s="10"/>
      <c r="J663" s="10"/>
      <c r="K663" s="10"/>
      <c r="L663" s="10"/>
      <c r="M663" s="10"/>
      <c r="N663" s="10"/>
      <c r="O663" s="10"/>
      <c r="P663" s="10"/>
      <c r="Q663" s="464"/>
    </row>
    <row r="664" spans="7:17" hidden="1" x14ac:dyDescent="0.25">
      <c r="G664" s="463"/>
      <c r="H664" s="10"/>
      <c r="I664" s="10"/>
      <c r="J664" s="10"/>
      <c r="K664" s="10"/>
      <c r="L664" s="10"/>
      <c r="M664" s="10"/>
      <c r="N664" s="10"/>
      <c r="O664" s="10"/>
      <c r="P664" s="10"/>
      <c r="Q664" s="464"/>
    </row>
    <row r="665" spans="7:17" hidden="1" x14ac:dyDescent="0.25">
      <c r="G665" s="463"/>
      <c r="H665" s="10"/>
      <c r="I665" s="10"/>
      <c r="J665" s="10"/>
      <c r="K665" s="10"/>
      <c r="L665" s="10"/>
      <c r="M665" s="10"/>
      <c r="N665" s="10"/>
      <c r="O665" s="10"/>
      <c r="P665" s="10"/>
      <c r="Q665" s="464"/>
    </row>
    <row r="666" spans="7:17" hidden="1" x14ac:dyDescent="0.25">
      <c r="G666" s="463"/>
      <c r="H666" s="10"/>
      <c r="I666" s="10"/>
      <c r="J666" s="10"/>
      <c r="K666" s="10"/>
      <c r="L666" s="10"/>
      <c r="M666" s="10"/>
      <c r="N666" s="10"/>
      <c r="O666" s="10"/>
      <c r="P666" s="10"/>
      <c r="Q666" s="464"/>
    </row>
    <row r="667" spans="7:17" hidden="1" x14ac:dyDescent="0.25">
      <c r="G667" s="463"/>
      <c r="H667" s="10"/>
      <c r="I667" s="10"/>
      <c r="J667" s="10"/>
      <c r="K667" s="10"/>
      <c r="L667" s="10"/>
      <c r="M667" s="10"/>
      <c r="N667" s="10"/>
      <c r="O667" s="10"/>
      <c r="P667" s="10"/>
      <c r="Q667" s="464"/>
    </row>
    <row r="668" spans="7:17" hidden="1" x14ac:dyDescent="0.25">
      <c r="G668" s="463"/>
      <c r="H668" s="10"/>
      <c r="I668" s="10"/>
      <c r="J668" s="10"/>
      <c r="K668" s="10"/>
      <c r="L668" s="10"/>
      <c r="M668" s="10"/>
      <c r="N668" s="10"/>
      <c r="O668" s="10"/>
      <c r="P668" s="10"/>
      <c r="Q668" s="464"/>
    </row>
    <row r="669" spans="7:17" hidden="1" x14ac:dyDescent="0.25">
      <c r="G669" s="463"/>
      <c r="H669" s="10"/>
      <c r="I669" s="10"/>
      <c r="J669" s="10"/>
      <c r="K669" s="10"/>
      <c r="L669" s="10"/>
      <c r="M669" s="10"/>
      <c r="N669" s="10"/>
      <c r="O669" s="10"/>
      <c r="P669" s="10"/>
      <c r="Q669" s="464"/>
    </row>
    <row r="670" spans="7:17" hidden="1" x14ac:dyDescent="0.25">
      <c r="G670" s="463"/>
      <c r="H670" s="10"/>
      <c r="I670" s="10"/>
      <c r="J670" s="10"/>
      <c r="K670" s="10"/>
      <c r="L670" s="10"/>
      <c r="M670" s="10"/>
      <c r="N670" s="10"/>
      <c r="O670" s="10"/>
      <c r="P670" s="10"/>
      <c r="Q670" s="464"/>
    </row>
    <row r="671" spans="7:17" hidden="1" x14ac:dyDescent="0.25">
      <c r="G671" s="463"/>
      <c r="H671" s="10"/>
      <c r="I671" s="10"/>
      <c r="J671" s="10"/>
      <c r="K671" s="10"/>
      <c r="L671" s="10"/>
      <c r="M671" s="10"/>
      <c r="N671" s="10"/>
      <c r="O671" s="10"/>
      <c r="P671" s="10"/>
      <c r="Q671" s="464"/>
    </row>
    <row r="672" spans="7:17" hidden="1" x14ac:dyDescent="0.25">
      <c r="G672" s="463"/>
      <c r="H672" s="10"/>
      <c r="I672" s="10"/>
      <c r="J672" s="10"/>
      <c r="K672" s="10"/>
      <c r="L672" s="10"/>
      <c r="M672" s="10"/>
      <c r="N672" s="10"/>
      <c r="O672" s="10"/>
      <c r="P672" s="10"/>
      <c r="Q672" s="464"/>
    </row>
    <row r="673" spans="7:17" hidden="1" x14ac:dyDescent="0.25">
      <c r="G673" s="463"/>
      <c r="H673" s="10"/>
      <c r="I673" s="10"/>
      <c r="J673" s="10"/>
      <c r="K673" s="10"/>
      <c r="L673" s="10"/>
      <c r="M673" s="10"/>
      <c r="N673" s="10"/>
      <c r="O673" s="10"/>
      <c r="P673" s="10"/>
      <c r="Q673" s="464"/>
    </row>
    <row r="674" spans="7:17" hidden="1" x14ac:dyDescent="0.25">
      <c r="G674" s="463"/>
      <c r="H674" s="10"/>
      <c r="I674" s="10"/>
      <c r="J674" s="10"/>
      <c r="K674" s="10"/>
      <c r="L674" s="10"/>
      <c r="M674" s="10"/>
      <c r="N674" s="10"/>
      <c r="O674" s="10"/>
      <c r="P674" s="10"/>
      <c r="Q674" s="464"/>
    </row>
    <row r="675" spans="7:17" hidden="1" x14ac:dyDescent="0.25">
      <c r="G675" s="463"/>
      <c r="H675" s="10"/>
      <c r="I675" s="10"/>
      <c r="J675" s="10"/>
      <c r="K675" s="10"/>
      <c r="L675" s="10"/>
      <c r="M675" s="10"/>
      <c r="N675" s="10"/>
      <c r="O675" s="10"/>
      <c r="P675" s="10"/>
      <c r="Q675" s="464"/>
    </row>
    <row r="676" spans="7:17" hidden="1" x14ac:dyDescent="0.25">
      <c r="G676" s="463"/>
      <c r="H676" s="10"/>
      <c r="I676" s="10"/>
      <c r="J676" s="10"/>
      <c r="K676" s="10"/>
      <c r="L676" s="10"/>
      <c r="M676" s="10"/>
      <c r="N676" s="10"/>
      <c r="O676" s="10"/>
      <c r="P676" s="10"/>
      <c r="Q676" s="464"/>
    </row>
    <row r="677" spans="7:17" hidden="1" x14ac:dyDescent="0.25">
      <c r="G677" s="463"/>
      <c r="H677" s="10"/>
      <c r="I677" s="10"/>
      <c r="J677" s="10"/>
      <c r="K677" s="10"/>
      <c r="L677" s="10"/>
      <c r="M677" s="10"/>
      <c r="N677" s="10"/>
      <c r="O677" s="10"/>
      <c r="P677" s="10"/>
      <c r="Q677" s="464"/>
    </row>
    <row r="678" spans="7:17" hidden="1" x14ac:dyDescent="0.25">
      <c r="G678" s="463"/>
      <c r="H678" s="10"/>
      <c r="I678" s="10"/>
      <c r="J678" s="10"/>
      <c r="K678" s="10"/>
      <c r="L678" s="10"/>
      <c r="M678" s="10"/>
      <c r="N678" s="10"/>
      <c r="O678" s="10"/>
      <c r="P678" s="10"/>
      <c r="Q678" s="464"/>
    </row>
    <row r="679" spans="7:17" hidden="1" x14ac:dyDescent="0.25">
      <c r="G679" s="463"/>
      <c r="H679" s="10"/>
      <c r="I679" s="10"/>
      <c r="J679" s="10"/>
      <c r="K679" s="10"/>
      <c r="L679" s="10"/>
      <c r="M679" s="10"/>
      <c r="N679" s="10"/>
      <c r="O679" s="10"/>
      <c r="P679" s="10"/>
      <c r="Q679" s="464"/>
    </row>
    <row r="680" spans="7:17" hidden="1" x14ac:dyDescent="0.25">
      <c r="G680" s="463"/>
      <c r="H680" s="10"/>
      <c r="I680" s="10"/>
      <c r="J680" s="10"/>
      <c r="K680" s="10"/>
      <c r="L680" s="10"/>
      <c r="M680" s="10"/>
      <c r="N680" s="10"/>
      <c r="O680" s="10"/>
      <c r="P680" s="10"/>
      <c r="Q680" s="464"/>
    </row>
    <row r="681" spans="7:17" hidden="1" x14ac:dyDescent="0.25">
      <c r="G681" s="463"/>
      <c r="H681" s="10"/>
      <c r="I681" s="10"/>
      <c r="J681" s="10"/>
      <c r="K681" s="10"/>
      <c r="L681" s="10"/>
      <c r="M681" s="10"/>
      <c r="N681" s="10"/>
      <c r="O681" s="10"/>
      <c r="P681" s="10"/>
      <c r="Q681" s="464"/>
    </row>
    <row r="682" spans="7:17" hidden="1" x14ac:dyDescent="0.25">
      <c r="G682" s="463"/>
      <c r="H682" s="10"/>
      <c r="I682" s="10"/>
      <c r="J682" s="10"/>
      <c r="K682" s="10"/>
      <c r="L682" s="10"/>
      <c r="M682" s="10"/>
      <c r="N682" s="10"/>
      <c r="O682" s="10"/>
      <c r="P682" s="10"/>
      <c r="Q682" s="464"/>
    </row>
    <row r="683" spans="7:17" hidden="1" x14ac:dyDescent="0.25">
      <c r="G683" s="463"/>
      <c r="H683" s="10"/>
      <c r="I683" s="10"/>
      <c r="J683" s="10"/>
      <c r="K683" s="10"/>
      <c r="L683" s="10"/>
      <c r="M683" s="10"/>
      <c r="N683" s="10"/>
      <c r="O683" s="10"/>
      <c r="P683" s="10"/>
      <c r="Q683" s="464"/>
    </row>
    <row r="684" spans="7:17" hidden="1" x14ac:dyDescent="0.25">
      <c r="G684" s="463"/>
      <c r="H684" s="10"/>
      <c r="I684" s="10"/>
      <c r="J684" s="10"/>
      <c r="K684" s="10"/>
      <c r="L684" s="10"/>
      <c r="M684" s="10"/>
      <c r="N684" s="10"/>
      <c r="O684" s="10"/>
      <c r="P684" s="10"/>
      <c r="Q684" s="464"/>
    </row>
    <row r="685" spans="7:17" hidden="1" x14ac:dyDescent="0.25">
      <c r="G685" s="463"/>
      <c r="H685" s="10"/>
      <c r="I685" s="10"/>
      <c r="J685" s="10"/>
      <c r="K685" s="10"/>
      <c r="L685" s="10"/>
      <c r="M685" s="10"/>
      <c r="N685" s="10"/>
      <c r="O685" s="10"/>
      <c r="P685" s="10"/>
      <c r="Q685" s="464"/>
    </row>
    <row r="686" spans="7:17" hidden="1" x14ac:dyDescent="0.25">
      <c r="G686" s="463"/>
      <c r="H686" s="10"/>
      <c r="I686" s="10"/>
      <c r="J686" s="10"/>
      <c r="K686" s="10"/>
      <c r="L686" s="10"/>
      <c r="M686" s="10"/>
      <c r="N686" s="10"/>
      <c r="O686" s="10"/>
      <c r="P686" s="10"/>
      <c r="Q686" s="464"/>
    </row>
    <row r="687" spans="7:17" hidden="1" x14ac:dyDescent="0.25">
      <c r="G687" s="463"/>
      <c r="H687" s="10"/>
      <c r="I687" s="10"/>
      <c r="J687" s="10"/>
      <c r="K687" s="10"/>
      <c r="L687" s="10"/>
      <c r="M687" s="10"/>
      <c r="N687" s="10"/>
      <c r="O687" s="10"/>
      <c r="P687" s="10"/>
      <c r="Q687" s="464"/>
    </row>
    <row r="688" spans="7:17" hidden="1" x14ac:dyDescent="0.25">
      <c r="G688" s="463"/>
      <c r="H688" s="10"/>
      <c r="I688" s="10"/>
      <c r="J688" s="10"/>
      <c r="K688" s="10"/>
      <c r="L688" s="10"/>
      <c r="M688" s="10"/>
      <c r="N688" s="10"/>
      <c r="O688" s="10"/>
      <c r="P688" s="10"/>
      <c r="Q688" s="464"/>
    </row>
    <row r="689" spans="7:17" hidden="1" x14ac:dyDescent="0.25">
      <c r="G689" s="463"/>
      <c r="H689" s="10"/>
      <c r="I689" s="10"/>
      <c r="J689" s="10"/>
      <c r="K689" s="10"/>
      <c r="L689" s="10"/>
      <c r="M689" s="10"/>
      <c r="N689" s="10"/>
      <c r="O689" s="10"/>
      <c r="P689" s="10"/>
      <c r="Q689" s="464"/>
    </row>
    <row r="690" spans="7:17" hidden="1" x14ac:dyDescent="0.25">
      <c r="G690" s="463"/>
      <c r="H690" s="10"/>
      <c r="I690" s="10"/>
      <c r="J690" s="10"/>
      <c r="K690" s="10"/>
      <c r="L690" s="10"/>
      <c r="M690" s="10"/>
      <c r="N690" s="10"/>
      <c r="O690" s="10"/>
      <c r="P690" s="10"/>
      <c r="Q690" s="464"/>
    </row>
    <row r="691" spans="7:17" hidden="1" x14ac:dyDescent="0.25">
      <c r="G691" s="463"/>
      <c r="H691" s="10"/>
      <c r="I691" s="10"/>
      <c r="J691" s="10"/>
      <c r="K691" s="10"/>
      <c r="L691" s="10"/>
      <c r="M691" s="10"/>
      <c r="N691" s="10"/>
      <c r="O691" s="10"/>
      <c r="P691" s="10"/>
      <c r="Q691" s="464"/>
    </row>
    <row r="692" spans="7:17" hidden="1" x14ac:dyDescent="0.25">
      <c r="G692" s="463"/>
      <c r="H692" s="10"/>
      <c r="I692" s="10"/>
      <c r="J692" s="10"/>
      <c r="K692" s="10"/>
      <c r="L692" s="10"/>
      <c r="M692" s="10"/>
      <c r="N692" s="10"/>
      <c r="O692" s="10"/>
      <c r="P692" s="10"/>
      <c r="Q692" s="464"/>
    </row>
    <row r="693" spans="7:17" hidden="1" x14ac:dyDescent="0.25">
      <c r="G693" s="463"/>
      <c r="H693" s="10"/>
      <c r="I693" s="10"/>
      <c r="J693" s="10"/>
      <c r="K693" s="10"/>
      <c r="L693" s="10"/>
      <c r="M693" s="10"/>
      <c r="N693" s="10"/>
      <c r="O693" s="10"/>
      <c r="P693" s="10"/>
      <c r="Q693" s="464"/>
    </row>
    <row r="694" spans="7:17" hidden="1" x14ac:dyDescent="0.25">
      <c r="G694" s="463"/>
      <c r="H694" s="10"/>
      <c r="I694" s="10"/>
      <c r="J694" s="10"/>
      <c r="K694" s="10"/>
      <c r="L694" s="10"/>
      <c r="M694" s="10"/>
      <c r="N694" s="10"/>
      <c r="O694" s="10"/>
      <c r="P694" s="10"/>
      <c r="Q694" s="464"/>
    </row>
    <row r="695" spans="7:17" hidden="1" x14ac:dyDescent="0.25">
      <c r="G695" s="463"/>
      <c r="H695" s="10"/>
      <c r="I695" s="10"/>
      <c r="J695" s="10"/>
      <c r="K695" s="10"/>
      <c r="L695" s="10"/>
      <c r="M695" s="10"/>
      <c r="N695" s="10"/>
      <c r="O695" s="10"/>
      <c r="P695" s="10"/>
      <c r="Q695" s="464"/>
    </row>
    <row r="696" spans="7:17" hidden="1" x14ac:dyDescent="0.25">
      <c r="G696" s="463"/>
      <c r="H696" s="10"/>
      <c r="I696" s="10"/>
      <c r="J696" s="10"/>
      <c r="K696" s="10"/>
      <c r="L696" s="10"/>
      <c r="M696" s="10"/>
      <c r="N696" s="10"/>
      <c r="O696" s="10"/>
      <c r="P696" s="10"/>
      <c r="Q696" s="464"/>
    </row>
    <row r="697" spans="7:17" hidden="1" x14ac:dyDescent="0.25">
      <c r="G697" s="463"/>
      <c r="H697" s="10"/>
      <c r="I697" s="10"/>
      <c r="J697" s="10"/>
      <c r="K697" s="10"/>
      <c r="L697" s="10"/>
      <c r="M697" s="10"/>
      <c r="N697" s="10"/>
      <c r="O697" s="10"/>
      <c r="P697" s="10"/>
      <c r="Q697" s="464"/>
    </row>
    <row r="698" spans="7:17" hidden="1" x14ac:dyDescent="0.25">
      <c r="G698" s="463"/>
      <c r="H698" s="10"/>
      <c r="I698" s="10"/>
      <c r="J698" s="10"/>
      <c r="K698" s="10"/>
      <c r="L698" s="10"/>
      <c r="M698" s="10"/>
      <c r="N698" s="10"/>
      <c r="O698" s="10"/>
      <c r="P698" s="10"/>
      <c r="Q698" s="464"/>
    </row>
    <row r="699" spans="7:17" hidden="1" x14ac:dyDescent="0.25">
      <c r="G699" s="463"/>
      <c r="H699" s="10"/>
      <c r="I699" s="10"/>
      <c r="J699" s="10"/>
      <c r="K699" s="10"/>
      <c r="L699" s="10"/>
      <c r="M699" s="10"/>
      <c r="N699" s="10"/>
      <c r="O699" s="10"/>
      <c r="P699" s="10"/>
      <c r="Q699" s="464"/>
    </row>
    <row r="700" spans="7:17" hidden="1" x14ac:dyDescent="0.25">
      <c r="G700" s="463"/>
      <c r="H700" s="10"/>
      <c r="I700" s="10"/>
      <c r="J700" s="10"/>
      <c r="K700" s="10"/>
      <c r="L700" s="10"/>
      <c r="M700" s="10"/>
      <c r="N700" s="10"/>
      <c r="O700" s="10"/>
      <c r="P700" s="10"/>
      <c r="Q700" s="464"/>
    </row>
    <row r="701" spans="7:17" hidden="1" x14ac:dyDescent="0.25">
      <c r="G701" s="463"/>
      <c r="H701" s="10"/>
      <c r="I701" s="10"/>
      <c r="J701" s="10"/>
      <c r="K701" s="10"/>
      <c r="L701" s="10"/>
      <c r="M701" s="10"/>
      <c r="N701" s="10"/>
      <c r="O701" s="10"/>
      <c r="P701" s="10"/>
      <c r="Q701" s="464"/>
    </row>
    <row r="702" spans="7:17" hidden="1" x14ac:dyDescent="0.25">
      <c r="G702" s="463"/>
      <c r="H702" s="10"/>
      <c r="I702" s="10"/>
      <c r="J702" s="10"/>
      <c r="K702" s="10"/>
      <c r="L702" s="10"/>
      <c r="M702" s="10"/>
      <c r="N702" s="10"/>
      <c r="O702" s="10"/>
      <c r="P702" s="10"/>
      <c r="Q702" s="464"/>
    </row>
    <row r="703" spans="7:17" hidden="1" x14ac:dyDescent="0.25">
      <c r="G703" s="463"/>
      <c r="H703" s="10"/>
      <c r="I703" s="10"/>
      <c r="J703" s="10"/>
      <c r="K703" s="10"/>
      <c r="L703" s="10"/>
      <c r="M703" s="10"/>
      <c r="N703" s="10"/>
      <c r="O703" s="10"/>
      <c r="P703" s="10"/>
      <c r="Q703" s="464"/>
    </row>
    <row r="704" spans="7:17" hidden="1" x14ac:dyDescent="0.25">
      <c r="G704" s="463"/>
      <c r="H704" s="10"/>
      <c r="I704" s="10"/>
      <c r="J704" s="10"/>
      <c r="K704" s="10"/>
      <c r="L704" s="10"/>
      <c r="M704" s="10"/>
      <c r="N704" s="10"/>
      <c r="O704" s="10"/>
      <c r="P704" s="10"/>
      <c r="Q704" s="464"/>
    </row>
    <row r="705" spans="7:17" hidden="1" x14ac:dyDescent="0.25">
      <c r="G705" s="463"/>
      <c r="H705" s="10"/>
      <c r="I705" s="10"/>
      <c r="J705" s="10"/>
      <c r="K705" s="10"/>
      <c r="L705" s="10"/>
      <c r="M705" s="10"/>
      <c r="N705" s="10"/>
      <c r="O705" s="10"/>
      <c r="P705" s="10"/>
      <c r="Q705" s="464"/>
    </row>
    <row r="706" spans="7:17" hidden="1" x14ac:dyDescent="0.25">
      <c r="G706" s="463"/>
      <c r="H706" s="10"/>
      <c r="I706" s="10"/>
      <c r="J706" s="10"/>
      <c r="K706" s="10"/>
      <c r="L706" s="10"/>
      <c r="M706" s="10"/>
      <c r="N706" s="10"/>
      <c r="O706" s="10"/>
      <c r="P706" s="10"/>
      <c r="Q706" s="464"/>
    </row>
    <row r="707" spans="7:17" hidden="1" x14ac:dyDescent="0.25">
      <c r="G707" s="463"/>
      <c r="H707" s="10"/>
      <c r="I707" s="10"/>
      <c r="J707" s="10"/>
      <c r="K707" s="10"/>
      <c r="L707" s="10"/>
      <c r="M707" s="10"/>
      <c r="N707" s="10"/>
      <c r="O707" s="10"/>
      <c r="P707" s="10"/>
      <c r="Q707" s="464"/>
    </row>
    <row r="708" spans="7:17" hidden="1" x14ac:dyDescent="0.25">
      <c r="G708" s="463"/>
      <c r="H708" s="10"/>
      <c r="I708" s="10"/>
      <c r="J708" s="10"/>
      <c r="K708" s="10"/>
      <c r="L708" s="10"/>
      <c r="M708" s="10"/>
      <c r="N708" s="10"/>
      <c r="O708" s="10"/>
      <c r="P708" s="10"/>
      <c r="Q708" s="464"/>
    </row>
    <row r="709" spans="7:17" hidden="1" x14ac:dyDescent="0.25">
      <c r="G709" s="463"/>
      <c r="H709" s="10"/>
      <c r="I709" s="10"/>
      <c r="J709" s="10"/>
      <c r="K709" s="10"/>
      <c r="L709" s="10"/>
      <c r="M709" s="10"/>
      <c r="N709" s="10"/>
      <c r="O709" s="10"/>
      <c r="P709" s="10"/>
      <c r="Q709" s="464"/>
    </row>
    <row r="710" spans="7:17" hidden="1" x14ac:dyDescent="0.25">
      <c r="G710" s="463"/>
      <c r="H710" s="10"/>
      <c r="I710" s="10"/>
      <c r="J710" s="10"/>
      <c r="K710" s="10"/>
      <c r="L710" s="10"/>
      <c r="M710" s="10"/>
      <c r="N710" s="10"/>
      <c r="O710" s="10"/>
      <c r="P710" s="10"/>
      <c r="Q710" s="464"/>
    </row>
    <row r="711" spans="7:17" hidden="1" x14ac:dyDescent="0.25">
      <c r="G711" s="463"/>
      <c r="H711" s="10"/>
      <c r="I711" s="10"/>
      <c r="J711" s="10"/>
      <c r="K711" s="10"/>
      <c r="L711" s="10"/>
      <c r="M711" s="10"/>
      <c r="N711" s="10"/>
      <c r="O711" s="10"/>
      <c r="P711" s="10"/>
      <c r="Q711" s="464"/>
    </row>
    <row r="712" spans="7:17" hidden="1" x14ac:dyDescent="0.25">
      <c r="G712" s="463"/>
      <c r="H712" s="10"/>
      <c r="I712" s="10"/>
      <c r="J712" s="10"/>
      <c r="K712" s="10"/>
      <c r="L712" s="10"/>
      <c r="M712" s="10"/>
      <c r="N712" s="10"/>
      <c r="O712" s="10"/>
      <c r="P712" s="10"/>
      <c r="Q712" s="464"/>
    </row>
    <row r="713" spans="7:17" hidden="1" x14ac:dyDescent="0.25">
      <c r="G713" s="463"/>
      <c r="H713" s="10"/>
      <c r="I713" s="10"/>
      <c r="J713" s="10"/>
      <c r="K713" s="10"/>
      <c r="L713" s="10"/>
      <c r="M713" s="10"/>
      <c r="N713" s="10"/>
      <c r="O713" s="10"/>
      <c r="P713" s="10"/>
      <c r="Q713" s="464"/>
    </row>
    <row r="714" spans="7:17" hidden="1" x14ac:dyDescent="0.25">
      <c r="G714" s="463"/>
      <c r="H714" s="10"/>
      <c r="I714" s="10"/>
      <c r="J714" s="10"/>
      <c r="K714" s="10"/>
      <c r="L714" s="10"/>
      <c r="M714" s="10"/>
      <c r="N714" s="10"/>
      <c r="O714" s="10"/>
      <c r="P714" s="10"/>
      <c r="Q714" s="464"/>
    </row>
    <row r="715" spans="7:17" hidden="1" x14ac:dyDescent="0.25">
      <c r="G715" s="463"/>
      <c r="H715" s="10"/>
      <c r="I715" s="10"/>
      <c r="J715" s="10"/>
      <c r="K715" s="10"/>
      <c r="L715" s="10"/>
      <c r="M715" s="10"/>
      <c r="N715" s="10"/>
      <c r="O715" s="10"/>
      <c r="P715" s="10"/>
      <c r="Q715" s="464"/>
    </row>
    <row r="716" spans="7:17" hidden="1" x14ac:dyDescent="0.25">
      <c r="G716" s="463"/>
      <c r="H716" s="10"/>
      <c r="I716" s="10"/>
      <c r="J716" s="10"/>
      <c r="K716" s="10"/>
      <c r="L716" s="10"/>
      <c r="M716" s="10"/>
      <c r="N716" s="10"/>
      <c r="O716" s="10"/>
      <c r="P716" s="10"/>
      <c r="Q716" s="464"/>
    </row>
    <row r="717" spans="7:17" hidden="1" x14ac:dyDescent="0.25">
      <c r="G717" s="463"/>
      <c r="H717" s="10"/>
      <c r="I717" s="10"/>
      <c r="J717" s="10"/>
      <c r="K717" s="10"/>
      <c r="L717" s="10"/>
      <c r="M717" s="10"/>
      <c r="N717" s="10"/>
      <c r="O717" s="10"/>
      <c r="P717" s="10"/>
      <c r="Q717" s="464"/>
    </row>
    <row r="718" spans="7:17" hidden="1" x14ac:dyDescent="0.25">
      <c r="G718" s="463"/>
      <c r="H718" s="10"/>
      <c r="I718" s="10"/>
      <c r="J718" s="10"/>
      <c r="K718" s="10"/>
      <c r="L718" s="10"/>
      <c r="M718" s="10"/>
      <c r="N718" s="10"/>
      <c r="O718" s="10"/>
      <c r="P718" s="10"/>
      <c r="Q718" s="464"/>
    </row>
    <row r="719" spans="7:17" hidden="1" x14ac:dyDescent="0.25">
      <c r="G719" s="463"/>
      <c r="H719" s="10"/>
      <c r="I719" s="10"/>
      <c r="J719" s="10"/>
      <c r="K719" s="10"/>
      <c r="L719" s="10"/>
      <c r="M719" s="10"/>
      <c r="N719" s="10"/>
      <c r="O719" s="10"/>
      <c r="P719" s="10"/>
      <c r="Q719" s="464"/>
    </row>
    <row r="720" spans="7:17" hidden="1" x14ac:dyDescent="0.25">
      <c r="G720" s="463"/>
      <c r="H720" s="10"/>
      <c r="I720" s="10"/>
      <c r="J720" s="10"/>
      <c r="K720" s="10"/>
      <c r="L720" s="10"/>
      <c r="M720" s="10"/>
      <c r="N720" s="10"/>
      <c r="O720" s="10"/>
      <c r="P720" s="10"/>
      <c r="Q720" s="464"/>
    </row>
    <row r="721" spans="7:17" hidden="1" x14ac:dyDescent="0.25">
      <c r="G721" s="463"/>
      <c r="H721" s="10"/>
      <c r="I721" s="10"/>
      <c r="J721" s="10"/>
      <c r="K721" s="10"/>
      <c r="L721" s="10"/>
      <c r="M721" s="10"/>
      <c r="N721" s="10"/>
      <c r="O721" s="10"/>
      <c r="P721" s="10"/>
      <c r="Q721" s="464"/>
    </row>
    <row r="722" spans="7:17" hidden="1" x14ac:dyDescent="0.25">
      <c r="G722" s="463"/>
      <c r="H722" s="10"/>
      <c r="I722" s="10"/>
      <c r="J722" s="10"/>
      <c r="K722" s="10"/>
      <c r="L722" s="10"/>
      <c r="M722" s="10"/>
      <c r="N722" s="10"/>
      <c r="O722" s="10"/>
      <c r="P722" s="10"/>
      <c r="Q722" s="464"/>
    </row>
    <row r="723" spans="7:17" hidden="1" x14ac:dyDescent="0.25">
      <c r="G723" s="463"/>
      <c r="H723" s="10"/>
      <c r="I723" s="10"/>
      <c r="J723" s="10"/>
      <c r="K723" s="10"/>
      <c r="L723" s="10"/>
      <c r="M723" s="10"/>
      <c r="N723" s="10"/>
      <c r="O723" s="10"/>
      <c r="P723" s="10"/>
      <c r="Q723" s="464"/>
    </row>
    <row r="724" spans="7:17" hidden="1" x14ac:dyDescent="0.25">
      <c r="G724" s="463"/>
      <c r="H724" s="10"/>
      <c r="I724" s="10"/>
      <c r="J724" s="10"/>
      <c r="K724" s="10"/>
      <c r="L724" s="10"/>
      <c r="M724" s="10"/>
      <c r="N724" s="10"/>
      <c r="O724" s="10"/>
      <c r="P724" s="10"/>
      <c r="Q724" s="464"/>
    </row>
    <row r="725" spans="7:17" hidden="1" x14ac:dyDescent="0.25">
      <c r="G725" s="463"/>
      <c r="H725" s="10"/>
      <c r="I725" s="10"/>
      <c r="J725" s="10"/>
      <c r="K725" s="10"/>
      <c r="L725" s="10"/>
      <c r="M725" s="10"/>
      <c r="N725" s="10"/>
      <c r="O725" s="10"/>
      <c r="P725" s="10"/>
      <c r="Q725" s="464"/>
    </row>
    <row r="726" spans="7:17" hidden="1" x14ac:dyDescent="0.25">
      <c r="G726" s="463"/>
      <c r="H726" s="10"/>
      <c r="I726" s="10"/>
      <c r="J726" s="10"/>
      <c r="K726" s="10"/>
      <c r="L726" s="10"/>
      <c r="M726" s="10"/>
      <c r="N726" s="10"/>
      <c r="O726" s="10"/>
      <c r="P726" s="10"/>
      <c r="Q726" s="464"/>
    </row>
    <row r="727" spans="7:17" hidden="1" x14ac:dyDescent="0.25">
      <c r="G727" s="463"/>
      <c r="H727" s="10"/>
      <c r="I727" s="10"/>
      <c r="J727" s="10"/>
      <c r="K727" s="10"/>
      <c r="L727" s="10"/>
      <c r="M727" s="10"/>
      <c r="N727" s="10"/>
      <c r="O727" s="10"/>
      <c r="P727" s="10"/>
      <c r="Q727" s="464"/>
    </row>
    <row r="728" spans="7:17" hidden="1" x14ac:dyDescent="0.25">
      <c r="G728" s="463"/>
      <c r="H728" s="10"/>
      <c r="I728" s="10"/>
      <c r="J728" s="10"/>
      <c r="K728" s="10"/>
      <c r="L728" s="10"/>
      <c r="M728" s="10"/>
      <c r="N728" s="10"/>
      <c r="O728" s="10"/>
      <c r="P728" s="10"/>
      <c r="Q728" s="464"/>
    </row>
    <row r="729" spans="7:17" hidden="1" x14ac:dyDescent="0.25">
      <c r="G729" s="463"/>
      <c r="H729" s="10"/>
      <c r="I729" s="10"/>
      <c r="J729" s="10"/>
      <c r="K729" s="10"/>
      <c r="L729" s="10"/>
      <c r="M729" s="10"/>
      <c r="N729" s="10"/>
      <c r="O729" s="10"/>
      <c r="P729" s="10"/>
      <c r="Q729" s="464"/>
    </row>
    <row r="730" spans="7:17" hidden="1" x14ac:dyDescent="0.25">
      <c r="G730" s="463"/>
      <c r="H730" s="10"/>
      <c r="I730" s="10"/>
      <c r="J730" s="10"/>
      <c r="K730" s="10"/>
      <c r="L730" s="10"/>
      <c r="M730" s="10"/>
      <c r="N730" s="10"/>
      <c r="O730" s="10"/>
      <c r="P730" s="10"/>
      <c r="Q730" s="464"/>
    </row>
    <row r="731" spans="7:17" hidden="1" x14ac:dyDescent="0.25">
      <c r="G731" s="463"/>
      <c r="H731" s="10"/>
      <c r="I731" s="10"/>
      <c r="J731" s="10"/>
      <c r="K731" s="10"/>
      <c r="L731" s="10"/>
      <c r="M731" s="10"/>
      <c r="N731" s="10"/>
      <c r="O731" s="10"/>
      <c r="P731" s="10"/>
      <c r="Q731" s="464"/>
    </row>
    <row r="732" spans="7:17" hidden="1" x14ac:dyDescent="0.25">
      <c r="G732" s="463"/>
      <c r="H732" s="10"/>
      <c r="I732" s="10"/>
      <c r="J732" s="10"/>
      <c r="K732" s="10"/>
      <c r="L732" s="10"/>
      <c r="M732" s="10"/>
      <c r="N732" s="10"/>
      <c r="O732" s="10"/>
      <c r="P732" s="10"/>
      <c r="Q732" s="464"/>
    </row>
    <row r="733" spans="7:17" hidden="1" x14ac:dyDescent="0.25">
      <c r="G733" s="463"/>
      <c r="H733" s="10"/>
      <c r="I733" s="10"/>
      <c r="J733" s="10"/>
      <c r="K733" s="10"/>
      <c r="L733" s="10"/>
      <c r="M733" s="10"/>
      <c r="N733" s="10"/>
      <c r="O733" s="10"/>
      <c r="P733" s="10"/>
      <c r="Q733" s="464"/>
    </row>
    <row r="734" spans="7:17" hidden="1" x14ac:dyDescent="0.25">
      <c r="G734" s="463"/>
      <c r="H734" s="10"/>
      <c r="I734" s="10"/>
      <c r="J734" s="10"/>
      <c r="K734" s="10"/>
      <c r="L734" s="10"/>
      <c r="M734" s="10"/>
      <c r="N734" s="10"/>
      <c r="O734" s="10"/>
      <c r="P734" s="10"/>
      <c r="Q734" s="464"/>
    </row>
    <row r="735" spans="7:17" hidden="1" x14ac:dyDescent="0.25">
      <c r="G735" s="463"/>
      <c r="H735" s="10"/>
      <c r="I735" s="10"/>
      <c r="J735" s="10"/>
      <c r="K735" s="10"/>
      <c r="L735" s="10"/>
      <c r="M735" s="10"/>
      <c r="N735" s="10"/>
      <c r="O735" s="10"/>
      <c r="P735" s="10"/>
      <c r="Q735" s="464"/>
    </row>
    <row r="736" spans="7:17" hidden="1" x14ac:dyDescent="0.25">
      <c r="G736" s="463"/>
      <c r="H736" s="10"/>
      <c r="I736" s="10"/>
      <c r="J736" s="10"/>
      <c r="K736" s="10"/>
      <c r="L736" s="10"/>
      <c r="M736" s="10"/>
      <c r="N736" s="10"/>
      <c r="O736" s="10"/>
      <c r="P736" s="10"/>
      <c r="Q736" s="464"/>
    </row>
    <row r="737" spans="7:17" hidden="1" x14ac:dyDescent="0.25">
      <c r="G737" s="463"/>
      <c r="H737" s="10"/>
      <c r="I737" s="10"/>
      <c r="J737" s="10"/>
      <c r="K737" s="10"/>
      <c r="L737" s="10"/>
      <c r="M737" s="10"/>
      <c r="N737" s="10"/>
      <c r="O737" s="10"/>
      <c r="P737" s="10"/>
      <c r="Q737" s="464"/>
    </row>
    <row r="738" spans="7:17" hidden="1" x14ac:dyDescent="0.25">
      <c r="G738" s="463"/>
      <c r="H738" s="10"/>
      <c r="I738" s="10"/>
      <c r="J738" s="10"/>
      <c r="K738" s="10"/>
      <c r="L738" s="10"/>
      <c r="M738" s="10"/>
      <c r="N738" s="10"/>
      <c r="O738" s="10"/>
      <c r="P738" s="10"/>
      <c r="Q738" s="464"/>
    </row>
    <row r="739" spans="7:17" hidden="1" x14ac:dyDescent="0.25">
      <c r="G739" s="463"/>
      <c r="H739" s="10"/>
      <c r="I739" s="10"/>
      <c r="J739" s="10"/>
      <c r="K739" s="10"/>
      <c r="L739" s="10"/>
      <c r="M739" s="10"/>
      <c r="N739" s="10"/>
      <c r="O739" s="10"/>
      <c r="P739" s="10"/>
      <c r="Q739" s="464"/>
    </row>
    <row r="740" spans="7:17" hidden="1" x14ac:dyDescent="0.25">
      <c r="G740" s="463"/>
      <c r="H740" s="10"/>
      <c r="I740" s="10"/>
      <c r="J740" s="10"/>
      <c r="K740" s="10"/>
      <c r="L740" s="10"/>
      <c r="M740" s="10"/>
      <c r="N740" s="10"/>
      <c r="O740" s="10"/>
      <c r="P740" s="10"/>
      <c r="Q740" s="464"/>
    </row>
    <row r="741" spans="7:17" hidden="1" x14ac:dyDescent="0.25">
      <c r="G741" s="463"/>
      <c r="H741" s="10"/>
      <c r="I741" s="10"/>
      <c r="J741" s="10"/>
      <c r="K741" s="10"/>
      <c r="L741" s="10"/>
      <c r="M741" s="10"/>
      <c r="N741" s="10"/>
      <c r="O741" s="10"/>
      <c r="P741" s="10"/>
      <c r="Q741" s="464"/>
    </row>
    <row r="742" spans="7:17" hidden="1" x14ac:dyDescent="0.25">
      <c r="G742" s="463"/>
      <c r="H742" s="10"/>
      <c r="I742" s="10"/>
      <c r="J742" s="10"/>
      <c r="K742" s="10"/>
      <c r="L742" s="10"/>
      <c r="M742" s="10"/>
      <c r="N742" s="10"/>
      <c r="O742" s="10"/>
      <c r="P742" s="10"/>
      <c r="Q742" s="464"/>
    </row>
    <row r="743" spans="7:17" hidden="1" x14ac:dyDescent="0.25">
      <c r="G743" s="463"/>
      <c r="H743" s="10"/>
      <c r="I743" s="10"/>
      <c r="J743" s="10"/>
      <c r="K743" s="10"/>
      <c r="L743" s="10"/>
      <c r="M743" s="10"/>
      <c r="N743" s="10"/>
      <c r="O743" s="10"/>
      <c r="P743" s="10"/>
      <c r="Q743" s="464"/>
    </row>
    <row r="744" spans="7:17" hidden="1" x14ac:dyDescent="0.25">
      <c r="G744" s="463"/>
      <c r="H744" s="10"/>
      <c r="I744" s="10"/>
      <c r="J744" s="10"/>
      <c r="K744" s="10"/>
      <c r="L744" s="10"/>
      <c r="M744" s="10"/>
      <c r="N744" s="10"/>
      <c r="O744" s="10"/>
      <c r="P744" s="10"/>
      <c r="Q744" s="464"/>
    </row>
    <row r="745" spans="7:17" hidden="1" x14ac:dyDescent="0.25">
      <c r="G745" s="463"/>
      <c r="H745" s="10"/>
      <c r="I745" s="10"/>
      <c r="J745" s="10"/>
      <c r="K745" s="10"/>
      <c r="L745" s="10"/>
      <c r="M745" s="10"/>
      <c r="N745" s="10"/>
      <c r="O745" s="10"/>
      <c r="P745" s="10"/>
      <c r="Q745" s="464"/>
    </row>
    <row r="746" spans="7:17" hidden="1" x14ac:dyDescent="0.25">
      <c r="G746" s="463"/>
      <c r="H746" s="10"/>
      <c r="I746" s="10"/>
      <c r="J746" s="10"/>
      <c r="K746" s="10"/>
      <c r="L746" s="10"/>
      <c r="M746" s="10"/>
      <c r="N746" s="10"/>
      <c r="O746" s="10"/>
      <c r="P746" s="10"/>
      <c r="Q746" s="464"/>
    </row>
    <row r="747" spans="7:17" hidden="1" x14ac:dyDescent="0.25">
      <c r="G747" s="463"/>
      <c r="H747" s="10"/>
      <c r="I747" s="10"/>
      <c r="J747" s="10"/>
      <c r="K747" s="10"/>
      <c r="L747" s="10"/>
      <c r="M747" s="10"/>
      <c r="N747" s="10"/>
      <c r="O747" s="10"/>
      <c r="P747" s="10"/>
      <c r="Q747" s="464"/>
    </row>
    <row r="748" spans="7:17" hidden="1" x14ac:dyDescent="0.25">
      <c r="G748" s="463"/>
      <c r="H748" s="10"/>
      <c r="I748" s="10"/>
      <c r="J748" s="10"/>
      <c r="K748" s="10"/>
      <c r="L748" s="10"/>
      <c r="M748" s="10"/>
      <c r="N748" s="10"/>
      <c r="O748" s="10"/>
      <c r="P748" s="10"/>
      <c r="Q748" s="464"/>
    </row>
    <row r="749" spans="7:17" hidden="1" x14ac:dyDescent="0.25">
      <c r="G749" s="463"/>
      <c r="H749" s="10"/>
      <c r="I749" s="10"/>
      <c r="J749" s="10"/>
      <c r="K749" s="10"/>
      <c r="L749" s="10"/>
      <c r="M749" s="10"/>
      <c r="N749" s="10"/>
      <c r="O749" s="10"/>
      <c r="P749" s="10"/>
      <c r="Q749" s="464"/>
    </row>
    <row r="750" spans="7:17" hidden="1" x14ac:dyDescent="0.25">
      <c r="G750" s="463"/>
      <c r="H750" s="10"/>
      <c r="I750" s="10"/>
      <c r="J750" s="10"/>
      <c r="K750" s="10"/>
      <c r="L750" s="10"/>
      <c r="M750" s="10"/>
      <c r="N750" s="10"/>
      <c r="O750" s="10"/>
      <c r="P750" s="10"/>
      <c r="Q750" s="464"/>
    </row>
    <row r="751" spans="7:17" hidden="1" x14ac:dyDescent="0.25">
      <c r="G751" s="463"/>
      <c r="H751" s="10"/>
      <c r="I751" s="10"/>
      <c r="J751" s="10"/>
      <c r="K751" s="10"/>
      <c r="L751" s="10"/>
      <c r="M751" s="10"/>
      <c r="N751" s="10"/>
      <c r="O751" s="10"/>
      <c r="P751" s="10"/>
      <c r="Q751" s="464"/>
    </row>
    <row r="752" spans="7:17" hidden="1" x14ac:dyDescent="0.25">
      <c r="G752" s="463"/>
      <c r="H752" s="10"/>
      <c r="I752" s="10"/>
      <c r="J752" s="10"/>
      <c r="K752" s="10"/>
      <c r="L752" s="10"/>
      <c r="M752" s="10"/>
      <c r="N752" s="10"/>
      <c r="O752" s="10"/>
      <c r="P752" s="10"/>
      <c r="Q752" s="464"/>
    </row>
    <row r="753" spans="7:17" hidden="1" x14ac:dyDescent="0.25">
      <c r="G753" s="463"/>
      <c r="H753" s="10"/>
      <c r="I753" s="10"/>
      <c r="J753" s="10"/>
      <c r="K753" s="10"/>
      <c r="L753" s="10"/>
      <c r="M753" s="10"/>
      <c r="N753" s="10"/>
      <c r="O753" s="10"/>
      <c r="P753" s="10"/>
      <c r="Q753" s="464"/>
    </row>
    <row r="754" spans="7:17" hidden="1" x14ac:dyDescent="0.25">
      <c r="G754" s="463"/>
      <c r="H754" s="10"/>
      <c r="I754" s="10"/>
      <c r="J754" s="10"/>
      <c r="K754" s="10"/>
      <c r="L754" s="10"/>
      <c r="M754" s="10"/>
      <c r="N754" s="10"/>
      <c r="O754" s="10"/>
      <c r="P754" s="10"/>
      <c r="Q754" s="464"/>
    </row>
    <row r="755" spans="7:17" hidden="1" x14ac:dyDescent="0.25">
      <c r="G755" s="463"/>
      <c r="H755" s="10"/>
      <c r="I755" s="10"/>
      <c r="J755" s="10"/>
      <c r="K755" s="10"/>
      <c r="L755" s="10"/>
      <c r="M755" s="10"/>
      <c r="N755" s="10"/>
      <c r="O755" s="10"/>
      <c r="P755" s="10"/>
      <c r="Q755" s="464"/>
    </row>
    <row r="756" spans="7:17" hidden="1" x14ac:dyDescent="0.25">
      <c r="G756" s="463"/>
      <c r="H756" s="10"/>
      <c r="I756" s="10"/>
      <c r="J756" s="10"/>
      <c r="K756" s="10"/>
      <c r="L756" s="10"/>
      <c r="M756" s="10"/>
      <c r="N756" s="10"/>
      <c r="O756" s="10"/>
      <c r="P756" s="10"/>
      <c r="Q756" s="464"/>
    </row>
    <row r="757" spans="7:17" hidden="1" x14ac:dyDescent="0.25">
      <c r="G757" s="463"/>
      <c r="H757" s="10"/>
      <c r="I757" s="10"/>
      <c r="J757" s="10"/>
      <c r="K757" s="10"/>
      <c r="L757" s="10"/>
      <c r="M757" s="10"/>
      <c r="N757" s="10"/>
      <c r="O757" s="10"/>
      <c r="P757" s="10"/>
      <c r="Q757" s="464"/>
    </row>
    <row r="758" spans="7:17" hidden="1" x14ac:dyDescent="0.25">
      <c r="G758" s="463"/>
      <c r="H758" s="10"/>
      <c r="I758" s="10"/>
      <c r="J758" s="10"/>
      <c r="K758" s="10"/>
      <c r="L758" s="10"/>
      <c r="M758" s="10"/>
      <c r="N758" s="10"/>
      <c r="O758" s="10"/>
      <c r="P758" s="10"/>
      <c r="Q758" s="464"/>
    </row>
    <row r="759" spans="7:17" hidden="1" x14ac:dyDescent="0.25">
      <c r="G759" s="463"/>
      <c r="H759" s="10"/>
      <c r="I759" s="10"/>
      <c r="J759" s="10"/>
      <c r="K759" s="10"/>
      <c r="L759" s="10"/>
      <c r="M759" s="10"/>
      <c r="N759" s="10"/>
      <c r="O759" s="10"/>
      <c r="P759" s="10"/>
      <c r="Q759" s="464"/>
    </row>
    <row r="760" spans="7:17" hidden="1" x14ac:dyDescent="0.25">
      <c r="G760" s="463"/>
      <c r="H760" s="10"/>
      <c r="I760" s="10"/>
      <c r="J760" s="10"/>
      <c r="K760" s="10"/>
      <c r="L760" s="10"/>
      <c r="M760" s="10"/>
      <c r="N760" s="10"/>
      <c r="O760" s="10"/>
      <c r="P760" s="10"/>
      <c r="Q760" s="464"/>
    </row>
    <row r="761" spans="7:17" hidden="1" x14ac:dyDescent="0.25">
      <c r="G761" s="463"/>
      <c r="H761" s="10"/>
      <c r="I761" s="10"/>
      <c r="J761" s="10"/>
      <c r="K761" s="10"/>
      <c r="L761" s="10"/>
      <c r="M761" s="10"/>
      <c r="N761" s="10"/>
      <c r="O761" s="10"/>
      <c r="P761" s="10"/>
      <c r="Q761" s="464"/>
    </row>
    <row r="762" spans="7:17" hidden="1" x14ac:dyDescent="0.25">
      <c r="G762" s="463"/>
      <c r="H762" s="10"/>
      <c r="I762" s="10"/>
      <c r="J762" s="10"/>
      <c r="K762" s="10"/>
      <c r="L762" s="10"/>
      <c r="M762" s="10"/>
      <c r="N762" s="10"/>
      <c r="O762" s="10"/>
      <c r="P762" s="10"/>
      <c r="Q762" s="464"/>
    </row>
    <row r="763" spans="7:17" hidden="1" x14ac:dyDescent="0.25">
      <c r="G763" s="463"/>
      <c r="H763" s="10"/>
      <c r="I763" s="10"/>
      <c r="J763" s="10"/>
      <c r="K763" s="10"/>
      <c r="L763" s="10"/>
      <c r="M763" s="10"/>
      <c r="N763" s="10"/>
      <c r="O763" s="10"/>
      <c r="P763" s="10"/>
      <c r="Q763" s="464"/>
    </row>
    <row r="764" spans="7:17" hidden="1" x14ac:dyDescent="0.25">
      <c r="G764" s="463"/>
      <c r="H764" s="10"/>
      <c r="I764" s="10"/>
      <c r="J764" s="10"/>
      <c r="K764" s="10"/>
      <c r="L764" s="10"/>
      <c r="M764" s="10"/>
      <c r="N764" s="10"/>
      <c r="O764" s="10"/>
      <c r="P764" s="10"/>
      <c r="Q764" s="464"/>
    </row>
    <row r="765" spans="7:17" hidden="1" x14ac:dyDescent="0.25">
      <c r="G765" s="463"/>
      <c r="H765" s="10"/>
      <c r="I765" s="10"/>
      <c r="J765" s="10"/>
      <c r="K765" s="10"/>
      <c r="L765" s="10"/>
      <c r="M765" s="10"/>
      <c r="N765" s="10"/>
      <c r="O765" s="10"/>
      <c r="P765" s="10"/>
      <c r="Q765" s="464"/>
    </row>
    <row r="766" spans="7:17" hidden="1" x14ac:dyDescent="0.25">
      <c r="G766" s="463"/>
      <c r="H766" s="10"/>
      <c r="I766" s="10"/>
      <c r="J766" s="10"/>
      <c r="K766" s="10"/>
      <c r="L766" s="10"/>
      <c r="M766" s="10"/>
      <c r="N766" s="10"/>
      <c r="O766" s="10"/>
      <c r="P766" s="10"/>
      <c r="Q766" s="464"/>
    </row>
    <row r="767" spans="7:17" hidden="1" x14ac:dyDescent="0.25">
      <c r="G767" s="463"/>
      <c r="H767" s="10"/>
      <c r="I767" s="10"/>
      <c r="J767" s="10"/>
      <c r="K767" s="10"/>
      <c r="L767" s="10"/>
      <c r="M767" s="10"/>
      <c r="N767" s="10"/>
      <c r="O767" s="10"/>
      <c r="P767" s="10"/>
      <c r="Q767" s="464"/>
    </row>
    <row r="768" spans="7:17" hidden="1" x14ac:dyDescent="0.25">
      <c r="G768" s="463"/>
      <c r="H768" s="10"/>
      <c r="I768" s="10"/>
      <c r="J768" s="10"/>
      <c r="K768" s="10"/>
      <c r="L768" s="10"/>
      <c r="M768" s="10"/>
      <c r="N768" s="10"/>
      <c r="O768" s="10"/>
      <c r="P768" s="10"/>
      <c r="Q768" s="464"/>
    </row>
    <row r="769" spans="7:17" hidden="1" x14ac:dyDescent="0.25">
      <c r="G769" s="463"/>
      <c r="H769" s="10"/>
      <c r="I769" s="10"/>
      <c r="J769" s="10"/>
      <c r="K769" s="10"/>
      <c r="L769" s="10"/>
      <c r="M769" s="10"/>
      <c r="N769" s="10"/>
      <c r="O769" s="10"/>
      <c r="P769" s="10"/>
      <c r="Q769" s="464"/>
    </row>
    <row r="770" spans="7:17" hidden="1" x14ac:dyDescent="0.25">
      <c r="G770" s="463"/>
      <c r="H770" s="10"/>
      <c r="I770" s="10"/>
      <c r="J770" s="10"/>
      <c r="K770" s="10"/>
      <c r="L770" s="10"/>
      <c r="M770" s="10"/>
      <c r="N770" s="10"/>
      <c r="O770" s="10"/>
      <c r="P770" s="10"/>
      <c r="Q770" s="464"/>
    </row>
    <row r="771" spans="7:17" hidden="1" x14ac:dyDescent="0.25">
      <c r="G771" s="463"/>
      <c r="H771" s="10"/>
      <c r="I771" s="10"/>
      <c r="J771" s="10"/>
      <c r="K771" s="10"/>
      <c r="L771" s="10"/>
      <c r="M771" s="10"/>
      <c r="N771" s="10"/>
      <c r="O771" s="10"/>
      <c r="P771" s="10"/>
      <c r="Q771" s="464"/>
    </row>
    <row r="772" spans="7:17" hidden="1" x14ac:dyDescent="0.25">
      <c r="G772" s="463"/>
      <c r="H772" s="10"/>
      <c r="I772" s="10"/>
      <c r="J772" s="10"/>
      <c r="K772" s="10"/>
      <c r="L772" s="10"/>
      <c r="M772" s="10"/>
      <c r="N772" s="10"/>
      <c r="O772" s="10"/>
      <c r="P772" s="10"/>
      <c r="Q772" s="464"/>
    </row>
    <row r="773" spans="7:17" hidden="1" x14ac:dyDescent="0.25">
      <c r="G773" s="463"/>
      <c r="H773" s="10"/>
      <c r="I773" s="10"/>
      <c r="J773" s="10"/>
      <c r="K773" s="10"/>
      <c r="L773" s="10"/>
      <c r="M773" s="10"/>
      <c r="N773" s="10"/>
      <c r="O773" s="10"/>
      <c r="P773" s="10"/>
      <c r="Q773" s="464"/>
    </row>
    <row r="774" spans="7:17" hidden="1" x14ac:dyDescent="0.25">
      <c r="G774" s="463"/>
      <c r="H774" s="10"/>
      <c r="I774" s="10"/>
      <c r="J774" s="10"/>
      <c r="K774" s="10"/>
      <c r="L774" s="10"/>
      <c r="M774" s="10"/>
      <c r="N774" s="10"/>
      <c r="O774" s="10"/>
      <c r="P774" s="10"/>
      <c r="Q774" s="464"/>
    </row>
    <row r="775" spans="7:17" hidden="1" x14ac:dyDescent="0.25">
      <c r="G775" s="463"/>
      <c r="H775" s="10"/>
      <c r="I775" s="10"/>
      <c r="J775" s="10"/>
      <c r="K775" s="10"/>
      <c r="L775" s="10"/>
      <c r="M775" s="10"/>
      <c r="N775" s="10"/>
      <c r="O775" s="10"/>
      <c r="P775" s="10"/>
      <c r="Q775" s="464"/>
    </row>
    <row r="776" spans="7:17" hidden="1" x14ac:dyDescent="0.25">
      <c r="G776" s="463"/>
      <c r="H776" s="10"/>
      <c r="I776" s="10"/>
      <c r="J776" s="10"/>
      <c r="K776" s="10"/>
      <c r="L776" s="10"/>
      <c r="M776" s="10"/>
      <c r="N776" s="10"/>
      <c r="O776" s="10"/>
      <c r="P776" s="10"/>
      <c r="Q776" s="464"/>
    </row>
    <row r="777" spans="7:17" hidden="1" x14ac:dyDescent="0.25">
      <c r="G777" s="463"/>
      <c r="H777" s="10"/>
      <c r="I777" s="10"/>
      <c r="J777" s="10"/>
      <c r="K777" s="10"/>
      <c r="L777" s="10"/>
      <c r="M777" s="10"/>
      <c r="N777" s="10"/>
      <c r="O777" s="10"/>
      <c r="P777" s="10"/>
      <c r="Q777" s="464"/>
    </row>
    <row r="778" spans="7:17" hidden="1" x14ac:dyDescent="0.25">
      <c r="G778" s="463"/>
      <c r="H778" s="10"/>
      <c r="I778" s="10"/>
      <c r="J778" s="10"/>
      <c r="K778" s="10"/>
      <c r="L778" s="10"/>
      <c r="M778" s="10"/>
      <c r="N778" s="10"/>
      <c r="O778" s="10"/>
      <c r="P778" s="10"/>
      <c r="Q778" s="464"/>
    </row>
    <row r="779" spans="7:17" hidden="1" x14ac:dyDescent="0.25">
      <c r="G779" s="463"/>
      <c r="H779" s="10"/>
      <c r="I779" s="10"/>
      <c r="J779" s="10"/>
      <c r="K779" s="10"/>
      <c r="L779" s="10"/>
      <c r="M779" s="10"/>
      <c r="N779" s="10"/>
      <c r="O779" s="10"/>
      <c r="P779" s="10"/>
      <c r="Q779" s="464"/>
    </row>
    <row r="780" spans="7:17" hidden="1" x14ac:dyDescent="0.25">
      <c r="G780" s="463"/>
      <c r="H780" s="10"/>
      <c r="I780" s="10"/>
      <c r="J780" s="10"/>
      <c r="K780" s="10"/>
      <c r="L780" s="10"/>
      <c r="M780" s="10"/>
      <c r="N780" s="10"/>
      <c r="O780" s="10"/>
      <c r="P780" s="10"/>
      <c r="Q780" s="464"/>
    </row>
    <row r="781" spans="7:17" hidden="1" x14ac:dyDescent="0.25">
      <c r="G781" s="463"/>
      <c r="H781" s="10"/>
      <c r="I781" s="10"/>
      <c r="J781" s="10"/>
      <c r="K781" s="10"/>
      <c r="L781" s="10"/>
      <c r="M781" s="10"/>
      <c r="N781" s="10"/>
      <c r="O781" s="10"/>
      <c r="P781" s="10"/>
      <c r="Q781" s="464"/>
    </row>
    <row r="782" spans="7:17" hidden="1" x14ac:dyDescent="0.25">
      <c r="G782" s="463"/>
      <c r="H782" s="10"/>
      <c r="I782" s="10"/>
      <c r="J782" s="10"/>
      <c r="K782" s="10"/>
      <c r="L782" s="10"/>
      <c r="M782" s="10"/>
      <c r="N782" s="10"/>
      <c r="O782" s="10"/>
      <c r="P782" s="10"/>
      <c r="Q782" s="464"/>
    </row>
    <row r="783" spans="7:17" hidden="1" x14ac:dyDescent="0.25">
      <c r="G783" s="463"/>
      <c r="H783" s="10"/>
      <c r="I783" s="10"/>
      <c r="J783" s="10"/>
      <c r="K783" s="10"/>
      <c r="L783" s="10"/>
      <c r="M783" s="10"/>
      <c r="N783" s="10"/>
      <c r="O783" s="10"/>
      <c r="P783" s="10"/>
      <c r="Q783" s="464"/>
    </row>
    <row r="784" spans="7:17" hidden="1" x14ac:dyDescent="0.25">
      <c r="G784" s="463"/>
      <c r="H784" s="10"/>
      <c r="I784" s="10"/>
      <c r="J784" s="10"/>
      <c r="K784" s="10"/>
      <c r="L784" s="10"/>
      <c r="M784" s="10"/>
      <c r="N784" s="10"/>
      <c r="O784" s="10"/>
      <c r="P784" s="10"/>
      <c r="Q784" s="464"/>
    </row>
    <row r="785" spans="7:17" hidden="1" x14ac:dyDescent="0.25">
      <c r="G785" s="463"/>
      <c r="H785" s="10"/>
      <c r="I785" s="10"/>
      <c r="J785" s="10"/>
      <c r="K785" s="10"/>
      <c r="L785" s="10"/>
      <c r="M785" s="10"/>
      <c r="N785" s="10"/>
      <c r="O785" s="10"/>
      <c r="P785" s="10"/>
      <c r="Q785" s="464"/>
    </row>
    <row r="786" spans="7:17" hidden="1" x14ac:dyDescent="0.25">
      <c r="G786" s="463"/>
      <c r="H786" s="10"/>
      <c r="I786" s="10"/>
      <c r="J786" s="10"/>
      <c r="K786" s="10"/>
      <c r="L786" s="10"/>
      <c r="M786" s="10"/>
      <c r="N786" s="10"/>
      <c r="O786" s="10"/>
      <c r="P786" s="10"/>
      <c r="Q786" s="464"/>
    </row>
    <row r="787" spans="7:17" hidden="1" x14ac:dyDescent="0.25">
      <c r="G787" s="463"/>
      <c r="H787" s="10"/>
      <c r="I787" s="10"/>
      <c r="J787" s="10"/>
      <c r="K787" s="10"/>
      <c r="L787" s="10"/>
      <c r="M787" s="10"/>
      <c r="N787" s="10"/>
      <c r="O787" s="10"/>
      <c r="P787" s="10"/>
      <c r="Q787" s="464"/>
    </row>
    <row r="788" spans="7:17" hidden="1" x14ac:dyDescent="0.25">
      <c r="G788" s="463"/>
      <c r="H788" s="10"/>
      <c r="I788" s="10"/>
      <c r="J788" s="10"/>
      <c r="K788" s="10"/>
      <c r="L788" s="10"/>
      <c r="M788" s="10"/>
      <c r="N788" s="10"/>
      <c r="O788" s="10"/>
      <c r="P788" s="10"/>
      <c r="Q788" s="464"/>
    </row>
    <row r="789" spans="7:17" hidden="1" x14ac:dyDescent="0.25">
      <c r="G789" s="463"/>
      <c r="H789" s="10"/>
      <c r="I789" s="10"/>
      <c r="J789" s="10"/>
      <c r="K789" s="10"/>
      <c r="L789" s="10"/>
      <c r="M789" s="10"/>
      <c r="N789" s="10"/>
      <c r="O789" s="10"/>
      <c r="P789" s="10"/>
      <c r="Q789" s="464"/>
    </row>
    <row r="790" spans="7:17" hidden="1" x14ac:dyDescent="0.25">
      <c r="G790" s="463"/>
      <c r="H790" s="10"/>
      <c r="I790" s="10"/>
      <c r="J790" s="10"/>
      <c r="K790" s="10"/>
      <c r="L790" s="10"/>
      <c r="M790" s="10"/>
      <c r="N790" s="10"/>
      <c r="O790" s="10"/>
      <c r="P790" s="10"/>
      <c r="Q790" s="464"/>
    </row>
    <row r="791" spans="7:17" hidden="1" x14ac:dyDescent="0.25">
      <c r="G791" s="463"/>
      <c r="H791" s="10"/>
      <c r="I791" s="10"/>
      <c r="J791" s="10"/>
      <c r="K791" s="10"/>
      <c r="L791" s="10"/>
      <c r="M791" s="10"/>
      <c r="N791" s="10"/>
      <c r="O791" s="10"/>
      <c r="P791" s="10"/>
      <c r="Q791" s="464"/>
    </row>
    <row r="792" spans="7:17" hidden="1" x14ac:dyDescent="0.25">
      <c r="G792" s="463"/>
      <c r="H792" s="10"/>
      <c r="I792" s="10"/>
      <c r="J792" s="10"/>
      <c r="K792" s="10"/>
      <c r="L792" s="10"/>
      <c r="M792" s="10"/>
      <c r="N792" s="10"/>
      <c r="O792" s="10"/>
      <c r="P792" s="10"/>
      <c r="Q792" s="464"/>
    </row>
    <row r="793" spans="7:17" hidden="1" x14ac:dyDescent="0.25">
      <c r="G793" s="463"/>
      <c r="H793" s="10"/>
      <c r="I793" s="10"/>
      <c r="J793" s="10"/>
      <c r="K793" s="10"/>
      <c r="L793" s="10"/>
      <c r="M793" s="10"/>
      <c r="N793" s="10"/>
      <c r="O793" s="10"/>
      <c r="P793" s="10"/>
      <c r="Q793" s="464"/>
    </row>
    <row r="794" spans="7:17" hidden="1" x14ac:dyDescent="0.25">
      <c r="G794" s="463"/>
      <c r="H794" s="10"/>
      <c r="I794" s="10"/>
      <c r="J794" s="10"/>
      <c r="K794" s="10"/>
      <c r="L794" s="10"/>
      <c r="M794" s="10"/>
      <c r="N794" s="10"/>
      <c r="O794" s="10"/>
      <c r="P794" s="10"/>
      <c r="Q794" s="464"/>
    </row>
    <row r="795" spans="7:17" hidden="1" x14ac:dyDescent="0.25">
      <c r="G795" s="463"/>
      <c r="H795" s="10"/>
      <c r="I795" s="10"/>
      <c r="J795" s="10"/>
      <c r="K795" s="10"/>
      <c r="L795" s="10"/>
      <c r="M795" s="10"/>
      <c r="N795" s="10"/>
      <c r="O795" s="10"/>
      <c r="P795" s="10"/>
      <c r="Q795" s="464"/>
    </row>
    <row r="796" spans="7:17" hidden="1" x14ac:dyDescent="0.25">
      <c r="G796" s="463"/>
      <c r="H796" s="10"/>
      <c r="I796" s="10"/>
      <c r="J796" s="10"/>
      <c r="K796" s="10"/>
      <c r="L796" s="10"/>
      <c r="M796" s="10"/>
      <c r="N796" s="10"/>
      <c r="O796" s="10"/>
      <c r="P796" s="10"/>
      <c r="Q796" s="464"/>
    </row>
    <row r="797" spans="7:17" hidden="1" x14ac:dyDescent="0.25">
      <c r="G797" s="463"/>
      <c r="H797" s="10"/>
      <c r="I797" s="10"/>
      <c r="J797" s="10"/>
      <c r="K797" s="10"/>
      <c r="L797" s="10"/>
      <c r="M797" s="10"/>
      <c r="N797" s="10"/>
      <c r="O797" s="10"/>
      <c r="P797" s="10"/>
      <c r="Q797" s="464"/>
    </row>
    <row r="798" spans="7:17" hidden="1" x14ac:dyDescent="0.25">
      <c r="G798" s="463"/>
      <c r="H798" s="10"/>
      <c r="I798" s="10"/>
      <c r="J798" s="10"/>
      <c r="K798" s="10"/>
      <c r="L798" s="10"/>
      <c r="M798" s="10"/>
      <c r="N798" s="10"/>
      <c r="O798" s="10"/>
      <c r="P798" s="10"/>
      <c r="Q798" s="464"/>
    </row>
    <row r="799" spans="7:17" hidden="1" x14ac:dyDescent="0.25">
      <c r="G799" s="463"/>
      <c r="H799" s="10"/>
      <c r="I799" s="10"/>
      <c r="J799" s="10"/>
      <c r="K799" s="10"/>
      <c r="L799" s="10"/>
      <c r="M799" s="10"/>
      <c r="N799" s="10"/>
      <c r="O799" s="10"/>
      <c r="P799" s="10"/>
      <c r="Q799" s="464"/>
    </row>
    <row r="800" spans="7:17" hidden="1" x14ac:dyDescent="0.25">
      <c r="G800" s="463"/>
      <c r="H800" s="10"/>
      <c r="I800" s="10"/>
      <c r="J800" s="10"/>
      <c r="K800" s="10"/>
      <c r="L800" s="10"/>
      <c r="M800" s="10"/>
      <c r="N800" s="10"/>
      <c r="O800" s="10"/>
      <c r="P800" s="10"/>
      <c r="Q800" s="464"/>
    </row>
    <row r="801" spans="7:17" hidden="1" x14ac:dyDescent="0.25">
      <c r="G801" s="463"/>
      <c r="H801" s="10"/>
      <c r="I801" s="10"/>
      <c r="J801" s="10"/>
      <c r="K801" s="10"/>
      <c r="L801" s="10"/>
      <c r="M801" s="10"/>
      <c r="N801" s="10"/>
      <c r="O801" s="10"/>
      <c r="P801" s="10"/>
      <c r="Q801" s="464"/>
    </row>
    <row r="802" spans="7:17" hidden="1" x14ac:dyDescent="0.25">
      <c r="G802" s="463"/>
      <c r="H802" s="10"/>
      <c r="I802" s="10"/>
      <c r="J802" s="10"/>
      <c r="K802" s="10"/>
      <c r="L802" s="10"/>
      <c r="M802" s="10"/>
      <c r="N802" s="10"/>
      <c r="O802" s="10"/>
      <c r="P802" s="10"/>
      <c r="Q802" s="464"/>
    </row>
    <row r="803" spans="7:17" hidden="1" x14ac:dyDescent="0.25">
      <c r="G803" s="463"/>
      <c r="H803" s="10"/>
      <c r="I803" s="10"/>
      <c r="J803" s="10"/>
      <c r="K803" s="10"/>
      <c r="L803" s="10"/>
      <c r="M803" s="10"/>
      <c r="N803" s="10"/>
      <c r="O803" s="10"/>
      <c r="P803" s="10"/>
      <c r="Q803" s="464"/>
    </row>
    <row r="804" spans="7:17" hidden="1" x14ac:dyDescent="0.25">
      <c r="G804" s="463"/>
      <c r="H804" s="10"/>
      <c r="I804" s="10"/>
      <c r="J804" s="10"/>
      <c r="K804" s="10"/>
      <c r="L804" s="10"/>
      <c r="M804" s="10"/>
      <c r="N804" s="10"/>
      <c r="O804" s="10"/>
      <c r="P804" s="10"/>
      <c r="Q804" s="464"/>
    </row>
    <row r="805" spans="7:17" hidden="1" x14ac:dyDescent="0.25">
      <c r="G805" s="463"/>
      <c r="H805" s="10"/>
      <c r="I805" s="10"/>
      <c r="J805" s="10"/>
      <c r="K805" s="10"/>
      <c r="L805" s="10"/>
      <c r="M805" s="10"/>
      <c r="N805" s="10"/>
      <c r="O805" s="10"/>
      <c r="P805" s="10"/>
      <c r="Q805" s="464"/>
    </row>
    <row r="806" spans="7:17" hidden="1" x14ac:dyDescent="0.25">
      <c r="G806" s="463"/>
      <c r="H806" s="10"/>
      <c r="I806" s="10"/>
      <c r="J806" s="10"/>
      <c r="K806" s="10"/>
      <c r="L806" s="10"/>
      <c r="M806" s="10"/>
      <c r="N806" s="10"/>
      <c r="O806" s="10"/>
      <c r="P806" s="10"/>
      <c r="Q806" s="464"/>
    </row>
    <row r="807" spans="7:17" hidden="1" x14ac:dyDescent="0.25">
      <c r="G807" s="463"/>
      <c r="H807" s="10"/>
      <c r="I807" s="10"/>
      <c r="J807" s="10"/>
      <c r="K807" s="10"/>
      <c r="L807" s="10"/>
      <c r="M807" s="10"/>
      <c r="N807" s="10"/>
      <c r="O807" s="10"/>
      <c r="P807" s="10"/>
      <c r="Q807" s="464"/>
    </row>
    <row r="808" spans="7:17" hidden="1" x14ac:dyDescent="0.25">
      <c r="G808" s="463"/>
      <c r="H808" s="10"/>
      <c r="I808" s="10"/>
      <c r="J808" s="10"/>
      <c r="K808" s="10"/>
      <c r="L808" s="10"/>
      <c r="M808" s="10"/>
      <c r="N808" s="10"/>
      <c r="O808" s="10"/>
      <c r="P808" s="10"/>
      <c r="Q808" s="464"/>
    </row>
    <row r="809" spans="7:17" hidden="1" x14ac:dyDescent="0.25">
      <c r="G809" s="463"/>
      <c r="H809" s="10"/>
      <c r="I809" s="10"/>
      <c r="J809" s="10"/>
      <c r="K809" s="10"/>
      <c r="L809" s="10"/>
      <c r="M809" s="10"/>
      <c r="N809" s="10"/>
      <c r="O809" s="10"/>
      <c r="P809" s="10"/>
      <c r="Q809" s="464"/>
    </row>
    <row r="810" spans="7:17" hidden="1" x14ac:dyDescent="0.25">
      <c r="G810" s="463"/>
      <c r="H810" s="10"/>
      <c r="I810" s="10"/>
      <c r="J810" s="10"/>
      <c r="K810" s="10"/>
      <c r="L810" s="10"/>
      <c r="M810" s="10"/>
      <c r="N810" s="10"/>
      <c r="O810" s="10"/>
      <c r="P810" s="10"/>
      <c r="Q810" s="464"/>
    </row>
    <row r="811" spans="7:17" hidden="1" x14ac:dyDescent="0.25">
      <c r="G811" s="463"/>
      <c r="H811" s="10"/>
      <c r="I811" s="10"/>
      <c r="J811" s="10"/>
      <c r="K811" s="10"/>
      <c r="L811" s="10"/>
      <c r="M811" s="10"/>
      <c r="N811" s="10"/>
      <c r="O811" s="10"/>
      <c r="P811" s="10"/>
      <c r="Q811" s="464"/>
    </row>
    <row r="812" spans="7:17" hidden="1" x14ac:dyDescent="0.25">
      <c r="G812" s="463"/>
      <c r="H812" s="10"/>
      <c r="I812" s="10"/>
      <c r="J812" s="10"/>
      <c r="K812" s="10"/>
      <c r="L812" s="10"/>
      <c r="M812" s="10"/>
      <c r="N812" s="10"/>
      <c r="O812" s="10"/>
      <c r="P812" s="10"/>
      <c r="Q812" s="464"/>
    </row>
    <row r="813" spans="7:17" hidden="1" x14ac:dyDescent="0.25">
      <c r="G813" s="463"/>
      <c r="H813" s="10"/>
      <c r="I813" s="10"/>
      <c r="J813" s="10"/>
      <c r="K813" s="10"/>
      <c r="L813" s="10"/>
      <c r="M813" s="10"/>
      <c r="N813" s="10"/>
      <c r="O813" s="10"/>
      <c r="P813" s="10"/>
      <c r="Q813" s="464"/>
    </row>
    <row r="814" spans="7:17" hidden="1" x14ac:dyDescent="0.25">
      <c r="G814" s="463"/>
      <c r="H814" s="10"/>
      <c r="I814" s="10"/>
      <c r="J814" s="10"/>
      <c r="K814" s="10"/>
      <c r="L814" s="10"/>
      <c r="M814" s="10"/>
      <c r="N814" s="10"/>
      <c r="O814" s="10"/>
      <c r="P814" s="10"/>
      <c r="Q814" s="464"/>
    </row>
    <row r="815" spans="7:17" hidden="1" x14ac:dyDescent="0.25">
      <c r="G815" s="463"/>
      <c r="H815" s="10"/>
      <c r="I815" s="10"/>
      <c r="J815" s="10"/>
      <c r="K815" s="10"/>
      <c r="L815" s="10"/>
      <c r="M815" s="10"/>
      <c r="N815" s="10"/>
      <c r="O815" s="10"/>
      <c r="P815" s="10"/>
      <c r="Q815" s="464"/>
    </row>
    <row r="816" spans="7:17" hidden="1" x14ac:dyDescent="0.25">
      <c r="G816" s="463"/>
      <c r="H816" s="10"/>
      <c r="I816" s="10"/>
      <c r="J816" s="10"/>
      <c r="K816" s="10"/>
      <c r="L816" s="10"/>
      <c r="M816" s="10"/>
      <c r="N816" s="10"/>
      <c r="O816" s="10"/>
      <c r="P816" s="10"/>
      <c r="Q816" s="464"/>
    </row>
    <row r="817" spans="7:17" hidden="1" x14ac:dyDescent="0.25">
      <c r="G817" s="463"/>
      <c r="H817" s="10"/>
      <c r="I817" s="10"/>
      <c r="J817" s="10"/>
      <c r="K817" s="10"/>
      <c r="L817" s="10"/>
      <c r="M817" s="10"/>
      <c r="N817" s="10"/>
      <c r="O817" s="10"/>
      <c r="P817" s="10"/>
      <c r="Q817" s="464"/>
    </row>
    <row r="818" spans="7:17" hidden="1" x14ac:dyDescent="0.25">
      <c r="G818" s="463"/>
      <c r="H818" s="10"/>
      <c r="I818" s="10"/>
      <c r="J818" s="10"/>
      <c r="K818" s="10"/>
      <c r="L818" s="10"/>
      <c r="M818" s="10"/>
      <c r="N818" s="10"/>
      <c r="O818" s="10"/>
      <c r="P818" s="10"/>
      <c r="Q818" s="464"/>
    </row>
    <row r="819" spans="7:17" hidden="1" x14ac:dyDescent="0.25">
      <c r="G819" s="463"/>
      <c r="H819" s="10"/>
      <c r="I819" s="10"/>
      <c r="J819" s="10"/>
      <c r="K819" s="10"/>
      <c r="L819" s="10"/>
      <c r="M819" s="10"/>
      <c r="N819" s="10"/>
      <c r="O819" s="10"/>
      <c r="P819" s="10"/>
      <c r="Q819" s="464"/>
    </row>
    <row r="820" spans="7:17" hidden="1" x14ac:dyDescent="0.25">
      <c r="G820" s="463"/>
      <c r="H820" s="10"/>
      <c r="I820" s="10"/>
      <c r="J820" s="10"/>
      <c r="K820" s="10"/>
      <c r="L820" s="10"/>
      <c r="M820" s="10"/>
      <c r="N820" s="10"/>
      <c r="O820" s="10"/>
      <c r="P820" s="10"/>
      <c r="Q820" s="464"/>
    </row>
    <row r="821" spans="7:17" hidden="1" x14ac:dyDescent="0.25">
      <c r="G821" s="463"/>
      <c r="H821" s="10"/>
      <c r="I821" s="10"/>
      <c r="J821" s="10"/>
      <c r="K821" s="10"/>
      <c r="L821" s="10"/>
      <c r="M821" s="10"/>
      <c r="N821" s="10"/>
      <c r="O821" s="10"/>
      <c r="P821" s="10"/>
      <c r="Q821" s="464"/>
    </row>
    <row r="822" spans="7:17" hidden="1" x14ac:dyDescent="0.25">
      <c r="G822" s="463"/>
      <c r="H822" s="10"/>
      <c r="I822" s="10"/>
      <c r="J822" s="10"/>
      <c r="K822" s="10"/>
      <c r="L822" s="10"/>
      <c r="M822" s="10"/>
      <c r="N822" s="10"/>
      <c r="O822" s="10"/>
      <c r="P822" s="10"/>
      <c r="Q822" s="464"/>
    </row>
    <row r="823" spans="7:17" hidden="1" x14ac:dyDescent="0.25">
      <c r="G823" s="463"/>
      <c r="H823" s="10"/>
      <c r="I823" s="10"/>
      <c r="J823" s="10"/>
      <c r="K823" s="10"/>
      <c r="L823" s="10"/>
      <c r="M823" s="10"/>
      <c r="N823" s="10"/>
      <c r="O823" s="10"/>
      <c r="P823" s="10"/>
      <c r="Q823" s="464"/>
    </row>
    <row r="824" spans="7:17" hidden="1" x14ac:dyDescent="0.25">
      <c r="G824" s="463"/>
      <c r="H824" s="10"/>
      <c r="I824" s="10"/>
      <c r="J824" s="10"/>
      <c r="K824" s="10"/>
      <c r="L824" s="10"/>
      <c r="M824" s="10"/>
      <c r="N824" s="10"/>
      <c r="O824" s="10"/>
      <c r="P824" s="10"/>
      <c r="Q824" s="464"/>
    </row>
    <row r="825" spans="7:17" hidden="1" x14ac:dyDescent="0.25">
      <c r="G825" s="463"/>
      <c r="H825" s="10"/>
      <c r="I825" s="10"/>
      <c r="J825" s="10"/>
      <c r="K825" s="10"/>
      <c r="L825" s="10"/>
      <c r="M825" s="10"/>
      <c r="N825" s="10"/>
      <c r="O825" s="10"/>
      <c r="P825" s="10"/>
      <c r="Q825" s="464"/>
    </row>
    <row r="826" spans="7:17" hidden="1" x14ac:dyDescent="0.25">
      <c r="G826" s="463"/>
      <c r="H826" s="10"/>
      <c r="I826" s="10"/>
      <c r="J826" s="10"/>
      <c r="K826" s="10"/>
      <c r="L826" s="10"/>
      <c r="M826" s="10"/>
      <c r="N826" s="10"/>
      <c r="O826" s="10"/>
      <c r="P826" s="10"/>
      <c r="Q826" s="464"/>
    </row>
    <row r="827" spans="7:17" hidden="1" x14ac:dyDescent="0.25">
      <c r="G827" s="463"/>
      <c r="H827" s="10"/>
      <c r="I827" s="10"/>
      <c r="J827" s="10"/>
      <c r="K827" s="10"/>
      <c r="L827" s="10"/>
      <c r="M827" s="10"/>
      <c r="N827" s="10"/>
      <c r="O827" s="10"/>
      <c r="P827" s="10"/>
      <c r="Q827" s="464"/>
    </row>
    <row r="828" spans="7:17" hidden="1" x14ac:dyDescent="0.25">
      <c r="G828" s="463"/>
      <c r="H828" s="10"/>
      <c r="I828" s="10"/>
      <c r="J828" s="10"/>
      <c r="K828" s="10"/>
      <c r="L828" s="10"/>
      <c r="M828" s="10"/>
      <c r="N828" s="10"/>
      <c r="O828" s="10"/>
      <c r="P828" s="10"/>
      <c r="Q828" s="464"/>
    </row>
    <row r="829" spans="7:17" hidden="1" x14ac:dyDescent="0.25">
      <c r="G829" s="463"/>
      <c r="H829" s="10"/>
      <c r="I829" s="10"/>
      <c r="J829" s="10"/>
      <c r="K829" s="10"/>
      <c r="L829" s="10"/>
      <c r="M829" s="10"/>
      <c r="N829" s="10"/>
      <c r="O829" s="10"/>
      <c r="P829" s="10"/>
      <c r="Q829" s="464"/>
    </row>
    <row r="830" spans="7:17" hidden="1" x14ac:dyDescent="0.25">
      <c r="G830" s="463"/>
      <c r="H830" s="10"/>
      <c r="I830" s="10"/>
      <c r="J830" s="10"/>
      <c r="K830" s="10"/>
      <c r="L830" s="10"/>
      <c r="M830" s="10"/>
      <c r="N830" s="10"/>
      <c r="O830" s="10"/>
      <c r="P830" s="10"/>
      <c r="Q830" s="464"/>
    </row>
    <row r="831" spans="7:17" hidden="1" x14ac:dyDescent="0.25">
      <c r="G831" s="463"/>
      <c r="H831" s="10"/>
      <c r="I831" s="10"/>
      <c r="J831" s="10"/>
      <c r="K831" s="10"/>
      <c r="L831" s="10"/>
      <c r="M831" s="10"/>
      <c r="N831" s="10"/>
      <c r="O831" s="10"/>
      <c r="P831" s="10"/>
      <c r="Q831" s="464"/>
    </row>
    <row r="832" spans="7:17" hidden="1" x14ac:dyDescent="0.25">
      <c r="G832" s="463"/>
      <c r="H832" s="10"/>
      <c r="I832" s="10"/>
      <c r="J832" s="10"/>
      <c r="K832" s="10"/>
      <c r="L832" s="10"/>
      <c r="M832" s="10"/>
      <c r="N832" s="10"/>
      <c r="O832" s="10"/>
      <c r="P832" s="10"/>
      <c r="Q832" s="464"/>
    </row>
    <row r="833" spans="7:17" hidden="1" x14ac:dyDescent="0.25">
      <c r="G833" s="463"/>
      <c r="H833" s="10"/>
      <c r="I833" s="10"/>
      <c r="J833" s="10"/>
      <c r="K833" s="10"/>
      <c r="L833" s="10"/>
      <c r="M833" s="10"/>
      <c r="N833" s="10"/>
      <c r="O833" s="10"/>
      <c r="P833" s="10"/>
      <c r="Q833" s="464"/>
    </row>
    <row r="834" spans="7:17" ht="15.75" hidden="1" thickBot="1" x14ac:dyDescent="0.3">
      <c r="G834" s="465"/>
      <c r="H834" s="466"/>
      <c r="I834" s="466"/>
      <c r="J834" s="466"/>
      <c r="K834" s="466"/>
      <c r="L834" s="466"/>
      <c r="M834" s="466"/>
      <c r="N834" s="466"/>
      <c r="O834" s="466"/>
      <c r="P834" s="466"/>
      <c r="Q834" s="467"/>
    </row>
    <row r="835" spans="7:17" hidden="1" x14ac:dyDescent="0.25"/>
    <row r="836" spans="7:17" hidden="1" x14ac:dyDescent="0.25"/>
    <row r="837" spans="7:17" hidden="1" x14ac:dyDescent="0.25"/>
    <row r="838" spans="7:17" hidden="1" x14ac:dyDescent="0.25"/>
    <row r="839" spans="7:17" hidden="1" x14ac:dyDescent="0.25"/>
    <row r="840" spans="7:17" hidden="1" x14ac:dyDescent="0.25"/>
    <row r="841" spans="7:17" hidden="1" x14ac:dyDescent="0.25"/>
    <row r="842" spans="7:17" ht="15.75" hidden="1" thickBot="1" x14ac:dyDescent="0.3">
      <c r="K842" s="471"/>
      <c r="L842" s="471"/>
      <c r="M842" s="471"/>
    </row>
    <row r="843" spans="7:17" hidden="1" x14ac:dyDescent="0.25">
      <c r="G843" s="460"/>
      <c r="H843" s="461"/>
      <c r="I843" s="461"/>
      <c r="J843" s="461"/>
      <c r="K843" s="461"/>
      <c r="L843" s="461"/>
      <c r="M843" s="461"/>
      <c r="N843" s="461"/>
      <c r="O843" s="461"/>
      <c r="P843" s="461"/>
      <c r="Q843" s="462"/>
    </row>
    <row r="844" spans="7:17" hidden="1" x14ac:dyDescent="0.25">
      <c r="G844" s="463"/>
      <c r="H844" s="10"/>
      <c r="I844" s="10"/>
      <c r="J844" s="10"/>
      <c r="K844" s="10"/>
      <c r="L844" s="10"/>
      <c r="M844" s="10"/>
      <c r="N844" s="10"/>
      <c r="O844" s="10"/>
      <c r="P844" s="10"/>
      <c r="Q844" s="464"/>
    </row>
    <row r="845" spans="7:17" hidden="1" x14ac:dyDescent="0.25">
      <c r="G845" s="463"/>
      <c r="H845" s="10"/>
      <c r="I845" s="10"/>
      <c r="J845" s="10"/>
      <c r="K845" s="10"/>
      <c r="L845" s="10"/>
      <c r="M845" s="10"/>
      <c r="N845" s="10"/>
      <c r="O845" s="10"/>
      <c r="P845" s="10"/>
      <c r="Q845" s="464"/>
    </row>
    <row r="846" spans="7:17" hidden="1" x14ac:dyDescent="0.25">
      <c r="G846" s="463"/>
      <c r="H846" s="10"/>
      <c r="I846" s="10"/>
      <c r="J846" s="10"/>
      <c r="K846" s="10"/>
      <c r="L846" s="10"/>
      <c r="M846" s="10"/>
      <c r="N846" s="10"/>
      <c r="O846" s="10"/>
      <c r="P846" s="10"/>
      <c r="Q846" s="464"/>
    </row>
    <row r="847" spans="7:17" hidden="1" x14ac:dyDescent="0.25">
      <c r="G847" s="463"/>
      <c r="H847" s="10"/>
      <c r="I847" s="10"/>
      <c r="J847" s="10"/>
      <c r="K847" s="10"/>
      <c r="L847" s="10"/>
      <c r="M847" s="10"/>
      <c r="N847" s="10"/>
      <c r="O847" s="10"/>
      <c r="P847" s="10"/>
      <c r="Q847" s="464"/>
    </row>
    <row r="848" spans="7:17" hidden="1" x14ac:dyDescent="0.25">
      <c r="G848" s="463"/>
      <c r="H848" s="10"/>
      <c r="I848" s="10"/>
      <c r="J848" s="10"/>
      <c r="K848" s="10"/>
      <c r="L848" s="10"/>
      <c r="M848" s="10"/>
      <c r="N848" s="10"/>
      <c r="O848" s="10"/>
      <c r="P848" s="10"/>
      <c r="Q848" s="464"/>
    </row>
    <row r="849" spans="7:17" hidden="1" x14ac:dyDescent="0.25">
      <c r="G849" s="463"/>
      <c r="H849" s="10"/>
      <c r="I849" s="10"/>
      <c r="J849" s="10"/>
      <c r="K849" s="10"/>
      <c r="L849" s="10"/>
      <c r="M849" s="10"/>
      <c r="N849" s="10"/>
      <c r="O849" s="10"/>
      <c r="P849" s="10"/>
      <c r="Q849" s="464"/>
    </row>
    <row r="850" spans="7:17" hidden="1" x14ac:dyDescent="0.25">
      <c r="G850" s="463"/>
      <c r="H850" s="10"/>
      <c r="I850" s="10"/>
      <c r="J850" s="10"/>
      <c r="K850" s="10"/>
      <c r="L850" s="10"/>
      <c r="M850" s="10"/>
      <c r="N850" s="10"/>
      <c r="O850" s="10"/>
      <c r="P850" s="10"/>
      <c r="Q850" s="464"/>
    </row>
    <row r="851" spans="7:17" hidden="1" x14ac:dyDescent="0.25">
      <c r="G851" s="463"/>
      <c r="H851" s="10"/>
      <c r="I851" s="10"/>
      <c r="J851" s="10"/>
      <c r="K851" s="10"/>
      <c r="L851" s="10"/>
      <c r="M851" s="10"/>
      <c r="N851" s="10"/>
      <c r="O851" s="10"/>
      <c r="P851" s="10"/>
      <c r="Q851" s="464"/>
    </row>
    <row r="852" spans="7:17" hidden="1" x14ac:dyDescent="0.25">
      <c r="G852" s="463"/>
      <c r="H852" s="10"/>
      <c r="I852" s="10"/>
      <c r="J852" s="10"/>
      <c r="K852" s="10"/>
      <c r="L852" s="10"/>
      <c r="M852" s="10"/>
      <c r="N852" s="10"/>
      <c r="O852" s="10"/>
      <c r="P852" s="10"/>
      <c r="Q852" s="464"/>
    </row>
    <row r="853" spans="7:17" hidden="1" x14ac:dyDescent="0.25">
      <c r="G853" s="463"/>
      <c r="H853" s="10"/>
      <c r="I853" s="10"/>
      <c r="J853" s="10"/>
      <c r="K853" s="10"/>
      <c r="L853" s="10"/>
      <c r="M853" s="10"/>
      <c r="N853" s="10"/>
      <c r="O853" s="10"/>
      <c r="P853" s="10"/>
      <c r="Q853" s="464"/>
    </row>
    <row r="854" spans="7:17" hidden="1" x14ac:dyDescent="0.25">
      <c r="G854" s="463"/>
      <c r="H854" s="10"/>
      <c r="I854" s="10"/>
      <c r="J854" s="10"/>
      <c r="K854" s="10"/>
      <c r="L854" s="10"/>
      <c r="M854" s="10"/>
      <c r="N854" s="10"/>
      <c r="O854" s="10"/>
      <c r="P854" s="10"/>
      <c r="Q854" s="464"/>
    </row>
    <row r="855" spans="7:17" hidden="1" x14ac:dyDescent="0.25">
      <c r="G855" s="463"/>
      <c r="H855" s="10"/>
      <c r="I855" s="10"/>
      <c r="J855" s="10"/>
      <c r="K855" s="10"/>
      <c r="L855" s="10"/>
      <c r="M855" s="10"/>
      <c r="N855" s="10"/>
      <c r="O855" s="10"/>
      <c r="P855" s="10"/>
      <c r="Q855" s="464"/>
    </row>
    <row r="856" spans="7:17" hidden="1" x14ac:dyDescent="0.25">
      <c r="G856" s="463"/>
      <c r="H856" s="10"/>
      <c r="I856" s="10"/>
      <c r="J856" s="10"/>
      <c r="K856" s="10"/>
      <c r="L856" s="10"/>
      <c r="M856" s="10"/>
      <c r="N856" s="10"/>
      <c r="O856" s="10"/>
      <c r="P856" s="10"/>
      <c r="Q856" s="464"/>
    </row>
    <row r="857" spans="7:17" hidden="1" x14ac:dyDescent="0.25">
      <c r="G857" s="463"/>
      <c r="H857" s="10"/>
      <c r="I857" s="10"/>
      <c r="J857" s="10"/>
      <c r="K857" s="10"/>
      <c r="L857" s="10"/>
      <c r="M857" s="10"/>
      <c r="N857" s="10"/>
      <c r="O857" s="10"/>
      <c r="P857" s="10"/>
      <c r="Q857" s="464"/>
    </row>
    <row r="858" spans="7:17" hidden="1" x14ac:dyDescent="0.25">
      <c r="G858" s="463"/>
      <c r="H858" s="10"/>
      <c r="I858" s="10"/>
      <c r="J858" s="10"/>
      <c r="K858" s="10"/>
      <c r="L858" s="10"/>
      <c r="M858" s="10"/>
      <c r="N858" s="10"/>
      <c r="O858" s="10"/>
      <c r="P858" s="10"/>
      <c r="Q858" s="464"/>
    </row>
    <row r="859" spans="7:17" hidden="1" x14ac:dyDescent="0.25">
      <c r="G859" s="463"/>
      <c r="H859" s="10"/>
      <c r="I859" s="10"/>
      <c r="J859" s="10"/>
      <c r="K859" s="10"/>
      <c r="L859" s="10"/>
      <c r="M859" s="10"/>
      <c r="N859" s="10"/>
      <c r="O859" s="10"/>
      <c r="P859" s="10"/>
      <c r="Q859" s="464"/>
    </row>
    <row r="860" spans="7:17" hidden="1" x14ac:dyDescent="0.25">
      <c r="G860" s="463"/>
      <c r="H860" s="10"/>
      <c r="I860" s="10"/>
      <c r="J860" s="10"/>
      <c r="K860" s="10"/>
      <c r="L860" s="10"/>
      <c r="M860" s="10"/>
      <c r="N860" s="10"/>
      <c r="O860" s="10"/>
      <c r="P860" s="10"/>
      <c r="Q860" s="464"/>
    </row>
    <row r="861" spans="7:17" hidden="1" x14ac:dyDescent="0.25">
      <c r="G861" s="463"/>
      <c r="H861" s="10"/>
      <c r="I861" s="10"/>
      <c r="J861" s="10"/>
      <c r="K861" s="10"/>
      <c r="L861" s="10"/>
      <c r="M861" s="10"/>
      <c r="N861" s="10"/>
      <c r="O861" s="10"/>
      <c r="P861" s="10"/>
      <c r="Q861" s="464"/>
    </row>
    <row r="862" spans="7:17" hidden="1" x14ac:dyDescent="0.25">
      <c r="G862" s="463"/>
      <c r="H862" s="10"/>
      <c r="I862" s="10"/>
      <c r="J862" s="10"/>
      <c r="K862" s="10"/>
      <c r="L862" s="10"/>
      <c r="M862" s="10"/>
      <c r="N862" s="10"/>
      <c r="O862" s="10"/>
      <c r="P862" s="10"/>
      <c r="Q862" s="464"/>
    </row>
    <row r="863" spans="7:17" hidden="1" x14ac:dyDescent="0.25">
      <c r="G863" s="463"/>
      <c r="H863" s="10"/>
      <c r="I863" s="10"/>
      <c r="J863" s="10"/>
      <c r="K863" s="10"/>
      <c r="L863" s="10"/>
      <c r="M863" s="10"/>
      <c r="N863" s="10"/>
      <c r="O863" s="10"/>
      <c r="P863" s="10"/>
      <c r="Q863" s="464"/>
    </row>
    <row r="864" spans="7:17" hidden="1" x14ac:dyDescent="0.25">
      <c r="G864" s="463"/>
      <c r="H864" s="10"/>
      <c r="I864" s="10"/>
      <c r="J864" s="10"/>
      <c r="K864" s="10"/>
      <c r="L864" s="10"/>
      <c r="M864" s="10"/>
      <c r="N864" s="10"/>
      <c r="O864" s="10"/>
      <c r="P864" s="10"/>
      <c r="Q864" s="464"/>
    </row>
    <row r="865" spans="7:17" hidden="1" x14ac:dyDescent="0.25">
      <c r="G865" s="463"/>
      <c r="H865" s="10"/>
      <c r="I865" s="10"/>
      <c r="J865" s="10"/>
      <c r="K865" s="10"/>
      <c r="L865" s="10"/>
      <c r="M865" s="10"/>
      <c r="N865" s="10"/>
      <c r="O865" s="10"/>
      <c r="P865" s="10"/>
      <c r="Q865" s="464"/>
    </row>
    <row r="866" spans="7:17" hidden="1" x14ac:dyDescent="0.25">
      <c r="G866" s="463"/>
      <c r="H866" s="10"/>
      <c r="I866" s="10"/>
      <c r="J866" s="10"/>
      <c r="K866" s="10"/>
      <c r="L866" s="10"/>
      <c r="M866" s="10"/>
      <c r="N866" s="10"/>
      <c r="O866" s="10"/>
      <c r="P866" s="10"/>
      <c r="Q866" s="464"/>
    </row>
    <row r="867" spans="7:17" hidden="1" x14ac:dyDescent="0.25">
      <c r="G867" s="463"/>
      <c r="H867" s="10"/>
      <c r="I867" s="10"/>
      <c r="J867" s="10"/>
      <c r="K867" s="10"/>
      <c r="L867" s="10"/>
      <c r="M867" s="10"/>
      <c r="N867" s="10"/>
      <c r="O867" s="10"/>
      <c r="P867" s="10"/>
      <c r="Q867" s="464"/>
    </row>
    <row r="868" spans="7:17" hidden="1" x14ac:dyDescent="0.25">
      <c r="G868" s="463"/>
      <c r="H868" s="10"/>
      <c r="I868" s="10"/>
      <c r="J868" s="10"/>
      <c r="K868" s="10"/>
      <c r="L868" s="10"/>
      <c r="M868" s="10"/>
      <c r="N868" s="10"/>
      <c r="O868" s="10"/>
      <c r="P868" s="10"/>
      <c r="Q868" s="464"/>
    </row>
    <row r="869" spans="7:17" hidden="1" x14ac:dyDescent="0.25">
      <c r="G869" s="463"/>
      <c r="H869" s="10"/>
      <c r="I869" s="10"/>
      <c r="J869" s="10"/>
      <c r="K869" s="10"/>
      <c r="L869" s="10"/>
      <c r="M869" s="10"/>
      <c r="N869" s="10"/>
      <c r="O869" s="10"/>
      <c r="P869" s="10"/>
      <c r="Q869" s="464"/>
    </row>
    <row r="870" spans="7:17" hidden="1" x14ac:dyDescent="0.25">
      <c r="G870" s="463"/>
      <c r="H870" s="10"/>
      <c r="I870" s="10"/>
      <c r="J870" s="10"/>
      <c r="K870" s="10"/>
      <c r="L870" s="10"/>
      <c r="M870" s="10"/>
      <c r="N870" s="10"/>
      <c r="O870" s="10"/>
      <c r="P870" s="10"/>
      <c r="Q870" s="464"/>
    </row>
    <row r="871" spans="7:17" hidden="1" x14ac:dyDescent="0.25">
      <c r="G871" s="463"/>
      <c r="H871" s="10"/>
      <c r="I871" s="10"/>
      <c r="J871" s="10"/>
      <c r="K871" s="10"/>
      <c r="L871" s="10"/>
      <c r="M871" s="10"/>
      <c r="N871" s="10"/>
      <c r="O871" s="10"/>
      <c r="P871" s="10"/>
      <c r="Q871" s="464"/>
    </row>
    <row r="872" spans="7:17" hidden="1" x14ac:dyDescent="0.25">
      <c r="G872" s="463"/>
      <c r="H872" s="10"/>
      <c r="I872" s="10"/>
      <c r="J872" s="10"/>
      <c r="K872" s="10"/>
      <c r="L872" s="10"/>
      <c r="M872" s="10"/>
      <c r="N872" s="10"/>
      <c r="O872" s="10"/>
      <c r="P872" s="10"/>
      <c r="Q872" s="464"/>
    </row>
    <row r="873" spans="7:17" hidden="1" x14ac:dyDescent="0.25">
      <c r="G873" s="463"/>
      <c r="H873" s="10"/>
      <c r="I873" s="10"/>
      <c r="J873" s="10"/>
      <c r="K873" s="10"/>
      <c r="L873" s="10"/>
      <c r="M873" s="10"/>
      <c r="N873" s="10"/>
      <c r="O873" s="10"/>
      <c r="P873" s="10"/>
      <c r="Q873" s="464"/>
    </row>
    <row r="874" spans="7:17" ht="15.75" hidden="1" thickBot="1" x14ac:dyDescent="0.3">
      <c r="G874" s="465"/>
      <c r="H874" s="466"/>
      <c r="I874" s="466"/>
      <c r="J874" s="466"/>
      <c r="K874" s="466"/>
      <c r="L874" s="466"/>
      <c r="M874" s="466"/>
      <c r="N874" s="466"/>
      <c r="O874" s="466"/>
      <c r="P874" s="466"/>
      <c r="Q874" s="467"/>
    </row>
    <row r="875" spans="7:17" hidden="1" x14ac:dyDescent="0.25"/>
    <row r="876" spans="7:17" hidden="1" x14ac:dyDescent="0.25"/>
    <row r="877" spans="7:17" hidden="1" x14ac:dyDescent="0.25"/>
    <row r="878" spans="7:17" hidden="1" x14ac:dyDescent="0.25"/>
    <row r="879" spans="7:17" hidden="1" x14ac:dyDescent="0.25"/>
    <row r="880" spans="7:17" hidden="1" x14ac:dyDescent="0.25"/>
    <row r="881" spans="7:17" hidden="1" x14ac:dyDescent="0.25"/>
    <row r="882" spans="7:17" ht="15.75" hidden="1" thickBot="1" x14ac:dyDescent="0.3">
      <c r="K882" s="471"/>
      <c r="L882" s="471"/>
      <c r="M882" s="471"/>
    </row>
    <row r="883" spans="7:17" hidden="1" x14ac:dyDescent="0.25">
      <c r="G883" s="460"/>
      <c r="H883" s="461"/>
      <c r="I883" s="461"/>
      <c r="J883" s="461"/>
      <c r="K883" s="461"/>
      <c r="L883" s="461"/>
      <c r="M883" s="461"/>
      <c r="N883" s="461"/>
      <c r="O883" s="461"/>
      <c r="P883" s="461"/>
      <c r="Q883" s="462"/>
    </row>
    <row r="884" spans="7:17" hidden="1" x14ac:dyDescent="0.25">
      <c r="G884" s="463"/>
      <c r="H884" s="10"/>
      <c r="I884" s="10"/>
      <c r="J884" s="10"/>
      <c r="K884" s="10"/>
      <c r="L884" s="10"/>
      <c r="M884" s="10"/>
      <c r="N884" s="10"/>
      <c r="O884" s="10"/>
      <c r="P884" s="10"/>
      <c r="Q884" s="464"/>
    </row>
    <row r="885" spans="7:17" hidden="1" x14ac:dyDescent="0.25">
      <c r="G885" s="463"/>
      <c r="H885" s="10"/>
      <c r="I885" s="10"/>
      <c r="J885" s="10"/>
      <c r="K885" s="10"/>
      <c r="L885" s="10"/>
      <c r="M885" s="10"/>
      <c r="N885" s="10"/>
      <c r="O885" s="10"/>
      <c r="P885" s="10"/>
      <c r="Q885" s="464"/>
    </row>
    <row r="886" spans="7:17" hidden="1" x14ac:dyDescent="0.25">
      <c r="G886" s="463"/>
      <c r="H886" s="10"/>
      <c r="I886" s="10"/>
      <c r="J886" s="10"/>
      <c r="K886" s="10"/>
      <c r="L886" s="10"/>
      <c r="M886" s="10"/>
      <c r="N886" s="10"/>
      <c r="O886" s="10"/>
      <c r="P886" s="10"/>
      <c r="Q886" s="464"/>
    </row>
    <row r="887" spans="7:17" hidden="1" x14ac:dyDescent="0.25">
      <c r="G887" s="463"/>
      <c r="H887" s="10"/>
      <c r="I887" s="10"/>
      <c r="J887" s="10"/>
      <c r="K887" s="10"/>
      <c r="L887" s="10"/>
      <c r="M887" s="10"/>
      <c r="N887" s="10"/>
      <c r="O887" s="10"/>
      <c r="P887" s="10"/>
      <c r="Q887" s="464"/>
    </row>
    <row r="888" spans="7:17" hidden="1" x14ac:dyDescent="0.25">
      <c r="G888" s="463"/>
      <c r="H888" s="10"/>
      <c r="I888" s="10"/>
      <c r="J888" s="10"/>
      <c r="K888" s="10"/>
      <c r="L888" s="10"/>
      <c r="M888" s="10"/>
      <c r="N888" s="10"/>
      <c r="O888" s="10"/>
      <c r="P888" s="10"/>
      <c r="Q888" s="464"/>
    </row>
    <row r="889" spans="7:17" hidden="1" x14ac:dyDescent="0.25">
      <c r="G889" s="463"/>
      <c r="H889" s="10"/>
      <c r="I889" s="10"/>
      <c r="J889" s="10"/>
      <c r="K889" s="10"/>
      <c r="L889" s="10"/>
      <c r="M889" s="10"/>
      <c r="N889" s="10"/>
      <c r="O889" s="10"/>
      <c r="P889" s="10"/>
      <c r="Q889" s="464"/>
    </row>
    <row r="890" spans="7:17" hidden="1" x14ac:dyDescent="0.25">
      <c r="G890" s="463"/>
      <c r="H890" s="10"/>
      <c r="I890" s="10"/>
      <c r="J890" s="10"/>
      <c r="K890" s="10"/>
      <c r="L890" s="10"/>
      <c r="M890" s="10"/>
      <c r="N890" s="10"/>
      <c r="O890" s="10"/>
      <c r="P890" s="10"/>
      <c r="Q890" s="464"/>
    </row>
    <row r="891" spans="7:17" hidden="1" x14ac:dyDescent="0.25">
      <c r="G891" s="463"/>
      <c r="H891" s="10"/>
      <c r="I891" s="10"/>
      <c r="J891" s="10"/>
      <c r="K891" s="10"/>
      <c r="L891" s="10"/>
      <c r="M891" s="10"/>
      <c r="N891" s="10"/>
      <c r="O891" s="10"/>
      <c r="P891" s="10"/>
      <c r="Q891" s="464"/>
    </row>
    <row r="892" spans="7:17" hidden="1" x14ac:dyDescent="0.25">
      <c r="G892" s="463"/>
      <c r="H892" s="10"/>
      <c r="I892" s="10"/>
      <c r="J892" s="10"/>
      <c r="K892" s="10"/>
      <c r="L892" s="10"/>
      <c r="M892" s="10"/>
      <c r="N892" s="10"/>
      <c r="O892" s="10"/>
      <c r="P892" s="10"/>
      <c r="Q892" s="464"/>
    </row>
    <row r="893" spans="7:17" hidden="1" x14ac:dyDescent="0.25">
      <c r="G893" s="463"/>
      <c r="H893" s="10"/>
      <c r="I893" s="10"/>
      <c r="J893" s="10"/>
      <c r="K893" s="10"/>
      <c r="L893" s="10"/>
      <c r="M893" s="10"/>
      <c r="N893" s="10"/>
      <c r="O893" s="10"/>
      <c r="P893" s="10"/>
      <c r="Q893" s="464"/>
    </row>
    <row r="894" spans="7:17" hidden="1" x14ac:dyDescent="0.25">
      <c r="G894" s="463"/>
      <c r="H894" s="10"/>
      <c r="I894" s="10"/>
      <c r="J894" s="10"/>
      <c r="K894" s="10"/>
      <c r="L894" s="10"/>
      <c r="M894" s="10"/>
      <c r="N894" s="10"/>
      <c r="O894" s="10"/>
      <c r="P894" s="10"/>
      <c r="Q894" s="464"/>
    </row>
    <row r="895" spans="7:17" hidden="1" x14ac:dyDescent="0.25">
      <c r="G895" s="463"/>
      <c r="H895" s="10"/>
      <c r="I895" s="10"/>
      <c r="J895" s="10"/>
      <c r="K895" s="10"/>
      <c r="L895" s="10"/>
      <c r="M895" s="10"/>
      <c r="N895" s="10"/>
      <c r="O895" s="10"/>
      <c r="P895" s="10"/>
      <c r="Q895" s="464"/>
    </row>
    <row r="896" spans="7:17" hidden="1" x14ac:dyDescent="0.25">
      <c r="G896" s="463"/>
      <c r="H896" s="10"/>
      <c r="I896" s="10"/>
      <c r="J896" s="10"/>
      <c r="K896" s="10"/>
      <c r="L896" s="10"/>
      <c r="M896" s="10"/>
      <c r="N896" s="10"/>
      <c r="O896" s="10"/>
      <c r="P896" s="10"/>
      <c r="Q896" s="464"/>
    </row>
    <row r="897" spans="7:17" hidden="1" x14ac:dyDescent="0.25">
      <c r="G897" s="463"/>
      <c r="H897" s="10"/>
      <c r="I897" s="10"/>
      <c r="J897" s="10"/>
      <c r="K897" s="10"/>
      <c r="L897" s="10"/>
      <c r="M897" s="10"/>
      <c r="N897" s="10"/>
      <c r="O897" s="10"/>
      <c r="P897" s="10"/>
      <c r="Q897" s="464"/>
    </row>
    <row r="898" spans="7:17" hidden="1" x14ac:dyDescent="0.25">
      <c r="G898" s="463"/>
      <c r="H898" s="10"/>
      <c r="I898" s="10"/>
      <c r="J898" s="10"/>
      <c r="K898" s="10"/>
      <c r="L898" s="10"/>
      <c r="M898" s="10"/>
      <c r="N898" s="10"/>
      <c r="O898" s="10"/>
      <c r="P898" s="10"/>
      <c r="Q898" s="464"/>
    </row>
    <row r="899" spans="7:17" hidden="1" x14ac:dyDescent="0.25">
      <c r="G899" s="463"/>
      <c r="H899" s="10"/>
      <c r="I899" s="10"/>
      <c r="J899" s="10"/>
      <c r="K899" s="10"/>
      <c r="L899" s="10"/>
      <c r="M899" s="10"/>
      <c r="N899" s="10"/>
      <c r="O899" s="10"/>
      <c r="P899" s="10"/>
      <c r="Q899" s="464"/>
    </row>
    <row r="900" spans="7:17" hidden="1" x14ac:dyDescent="0.25">
      <c r="G900" s="463"/>
      <c r="H900" s="10"/>
      <c r="I900" s="10"/>
      <c r="J900" s="10"/>
      <c r="K900" s="10"/>
      <c r="L900" s="10"/>
      <c r="M900" s="10"/>
      <c r="N900" s="10"/>
      <c r="O900" s="10"/>
      <c r="P900" s="10"/>
      <c r="Q900" s="464"/>
    </row>
    <row r="901" spans="7:17" hidden="1" x14ac:dyDescent="0.25">
      <c r="G901" s="463"/>
      <c r="H901" s="10"/>
      <c r="I901" s="10"/>
      <c r="J901" s="10"/>
      <c r="K901" s="10"/>
      <c r="L901" s="10"/>
      <c r="M901" s="10"/>
      <c r="N901" s="10"/>
      <c r="O901" s="10"/>
      <c r="P901" s="10"/>
      <c r="Q901" s="464"/>
    </row>
    <row r="902" spans="7:17" hidden="1" x14ac:dyDescent="0.25">
      <c r="G902" s="463"/>
      <c r="H902" s="10"/>
      <c r="I902" s="10"/>
      <c r="J902" s="10"/>
      <c r="K902" s="10"/>
      <c r="L902" s="10"/>
      <c r="M902" s="10"/>
      <c r="N902" s="10"/>
      <c r="O902" s="10"/>
      <c r="P902" s="10"/>
      <c r="Q902" s="464"/>
    </row>
    <row r="903" spans="7:17" hidden="1" x14ac:dyDescent="0.25">
      <c r="G903" s="463"/>
      <c r="H903" s="10"/>
      <c r="I903" s="10"/>
      <c r="J903" s="10"/>
      <c r="K903" s="10"/>
      <c r="L903" s="10"/>
      <c r="M903" s="10"/>
      <c r="N903" s="10"/>
      <c r="O903" s="10"/>
      <c r="P903" s="10"/>
      <c r="Q903" s="464"/>
    </row>
    <row r="904" spans="7:17" hidden="1" x14ac:dyDescent="0.25">
      <c r="G904" s="463"/>
      <c r="H904" s="10"/>
      <c r="I904" s="10"/>
      <c r="J904" s="10"/>
      <c r="K904" s="10"/>
      <c r="L904" s="10"/>
      <c r="M904" s="10"/>
      <c r="N904" s="10"/>
      <c r="O904" s="10"/>
      <c r="P904" s="10"/>
      <c r="Q904" s="464"/>
    </row>
    <row r="905" spans="7:17" hidden="1" x14ac:dyDescent="0.25">
      <c r="G905" s="463"/>
      <c r="H905" s="10"/>
      <c r="I905" s="10"/>
      <c r="J905" s="10"/>
      <c r="K905" s="10"/>
      <c r="L905" s="10"/>
      <c r="M905" s="10"/>
      <c r="N905" s="10"/>
      <c r="O905" s="10"/>
      <c r="P905" s="10"/>
      <c r="Q905" s="464"/>
    </row>
    <row r="906" spans="7:17" hidden="1" x14ac:dyDescent="0.25">
      <c r="G906" s="463"/>
      <c r="H906" s="10"/>
      <c r="I906" s="10"/>
      <c r="J906" s="10"/>
      <c r="K906" s="10"/>
      <c r="L906" s="10"/>
      <c r="M906" s="10"/>
      <c r="N906" s="10"/>
      <c r="O906" s="10"/>
      <c r="P906" s="10"/>
      <c r="Q906" s="464"/>
    </row>
    <row r="907" spans="7:17" hidden="1" x14ac:dyDescent="0.25">
      <c r="G907" s="463"/>
      <c r="H907" s="10"/>
      <c r="I907" s="10"/>
      <c r="J907" s="10"/>
      <c r="K907" s="10"/>
      <c r="L907" s="10"/>
      <c r="M907" s="10"/>
      <c r="N907" s="10"/>
      <c r="O907" s="10"/>
      <c r="P907" s="10"/>
      <c r="Q907" s="464"/>
    </row>
    <row r="908" spans="7:17" hidden="1" x14ac:dyDescent="0.25">
      <c r="G908" s="463"/>
      <c r="H908" s="10"/>
      <c r="I908" s="10"/>
      <c r="J908" s="10"/>
      <c r="K908" s="10"/>
      <c r="L908" s="10"/>
      <c r="M908" s="10"/>
      <c r="N908" s="10"/>
      <c r="O908" s="10"/>
      <c r="P908" s="10"/>
      <c r="Q908" s="464"/>
    </row>
    <row r="909" spans="7:17" hidden="1" x14ac:dyDescent="0.25">
      <c r="G909" s="463"/>
      <c r="H909" s="10"/>
      <c r="I909" s="10"/>
      <c r="J909" s="10"/>
      <c r="K909" s="10"/>
      <c r="L909" s="10"/>
      <c r="M909" s="10"/>
      <c r="N909" s="10"/>
      <c r="O909" s="10"/>
      <c r="P909" s="10"/>
      <c r="Q909" s="464"/>
    </row>
    <row r="910" spans="7:17" hidden="1" x14ac:dyDescent="0.25">
      <c r="G910" s="463"/>
      <c r="H910" s="10"/>
      <c r="I910" s="10"/>
      <c r="J910" s="10"/>
      <c r="K910" s="10"/>
      <c r="L910" s="10"/>
      <c r="M910" s="10"/>
      <c r="N910" s="10"/>
      <c r="O910" s="10"/>
      <c r="P910" s="10"/>
      <c r="Q910" s="464"/>
    </row>
    <row r="911" spans="7:17" hidden="1" x14ac:dyDescent="0.25">
      <c r="G911" s="463"/>
      <c r="H911" s="10"/>
      <c r="I911" s="10"/>
      <c r="J911" s="10"/>
      <c r="K911" s="10"/>
      <c r="L911" s="10"/>
      <c r="M911" s="10"/>
      <c r="N911" s="10"/>
      <c r="O911" s="10"/>
      <c r="P911" s="10"/>
      <c r="Q911" s="464"/>
    </row>
    <row r="912" spans="7:17" hidden="1" x14ac:dyDescent="0.25">
      <c r="G912" s="463"/>
      <c r="H912" s="10"/>
      <c r="I912" s="10"/>
      <c r="J912" s="10"/>
      <c r="K912" s="10"/>
      <c r="L912" s="10"/>
      <c r="M912" s="10"/>
      <c r="N912" s="10"/>
      <c r="O912" s="10"/>
      <c r="P912" s="10"/>
      <c r="Q912" s="464"/>
    </row>
    <row r="913" spans="7:17" hidden="1" x14ac:dyDescent="0.25">
      <c r="G913" s="463"/>
      <c r="H913" s="10"/>
      <c r="I913" s="10"/>
      <c r="J913" s="10"/>
      <c r="K913" s="10"/>
      <c r="L913" s="10"/>
      <c r="M913" s="10"/>
      <c r="N913" s="10"/>
      <c r="O913" s="10"/>
      <c r="P913" s="10"/>
      <c r="Q913" s="464"/>
    </row>
    <row r="914" spans="7:17" hidden="1" x14ac:dyDescent="0.25">
      <c r="G914" s="463"/>
      <c r="H914" s="10"/>
      <c r="I914" s="10"/>
      <c r="J914" s="10"/>
      <c r="K914" s="10"/>
      <c r="L914" s="10"/>
      <c r="M914" s="10"/>
      <c r="N914" s="10"/>
      <c r="O914" s="10"/>
      <c r="P914" s="10"/>
      <c r="Q914" s="464"/>
    </row>
    <row r="915" spans="7:17" hidden="1" x14ac:dyDescent="0.25">
      <c r="G915" s="463"/>
      <c r="H915" s="10"/>
      <c r="I915" s="10"/>
      <c r="J915" s="10"/>
      <c r="K915" s="10"/>
      <c r="L915" s="10"/>
      <c r="M915" s="10"/>
      <c r="N915" s="10"/>
      <c r="O915" s="10"/>
      <c r="P915" s="10"/>
      <c r="Q915" s="464"/>
    </row>
    <row r="916" spans="7:17" hidden="1" x14ac:dyDescent="0.25">
      <c r="G916" s="463"/>
      <c r="H916" s="10"/>
      <c r="I916" s="10"/>
      <c r="J916" s="10"/>
      <c r="K916" s="10"/>
      <c r="L916" s="10"/>
      <c r="M916" s="10"/>
      <c r="N916" s="10"/>
      <c r="O916" s="10"/>
      <c r="P916" s="10"/>
      <c r="Q916" s="464"/>
    </row>
    <row r="917" spans="7:17" hidden="1" x14ac:dyDescent="0.25">
      <c r="G917" s="463"/>
      <c r="H917" s="10"/>
      <c r="I917" s="10"/>
      <c r="J917" s="10"/>
      <c r="K917" s="10"/>
      <c r="L917" s="10"/>
      <c r="M917" s="10"/>
      <c r="N917" s="10"/>
      <c r="O917" s="10"/>
      <c r="P917" s="10"/>
      <c r="Q917" s="464"/>
    </row>
    <row r="918" spans="7:17" hidden="1" x14ac:dyDescent="0.25">
      <c r="G918" s="463"/>
      <c r="H918" s="10"/>
      <c r="I918" s="10"/>
      <c r="J918" s="10"/>
      <c r="K918" s="10"/>
      <c r="L918" s="10"/>
      <c r="M918" s="10"/>
      <c r="N918" s="10"/>
      <c r="O918" s="10"/>
      <c r="P918" s="10"/>
      <c r="Q918" s="464"/>
    </row>
    <row r="919" spans="7:17" hidden="1" x14ac:dyDescent="0.25">
      <c r="G919" s="463"/>
      <c r="H919" s="10"/>
      <c r="I919" s="10"/>
      <c r="J919" s="10"/>
      <c r="K919" s="10"/>
      <c r="L919" s="10"/>
      <c r="M919" s="10"/>
      <c r="N919" s="10"/>
      <c r="O919" s="10"/>
      <c r="P919" s="10"/>
      <c r="Q919" s="464"/>
    </row>
    <row r="920" spans="7:17" hidden="1" x14ac:dyDescent="0.25">
      <c r="G920" s="463"/>
      <c r="H920" s="10"/>
      <c r="I920" s="10"/>
      <c r="J920" s="10"/>
      <c r="K920" s="10"/>
      <c r="L920" s="10"/>
      <c r="M920" s="10"/>
      <c r="N920" s="10"/>
      <c r="O920" s="10"/>
      <c r="P920" s="10"/>
      <c r="Q920" s="464"/>
    </row>
    <row r="921" spans="7:17" hidden="1" x14ac:dyDescent="0.25">
      <c r="G921" s="463"/>
      <c r="H921" s="10"/>
      <c r="I921" s="10"/>
      <c r="J921" s="10"/>
      <c r="K921" s="10"/>
      <c r="L921" s="10"/>
      <c r="M921" s="10"/>
      <c r="N921" s="10"/>
      <c r="O921" s="10"/>
      <c r="P921" s="10"/>
      <c r="Q921" s="464"/>
    </row>
    <row r="922" spans="7:17" hidden="1" x14ac:dyDescent="0.25">
      <c r="G922" s="463"/>
      <c r="H922" s="10"/>
      <c r="I922" s="10"/>
      <c r="J922" s="10"/>
      <c r="K922" s="10"/>
      <c r="L922" s="10"/>
      <c r="M922" s="10"/>
      <c r="N922" s="10"/>
      <c r="O922" s="10"/>
      <c r="P922" s="10"/>
      <c r="Q922" s="464"/>
    </row>
    <row r="923" spans="7:17" hidden="1" x14ac:dyDescent="0.25">
      <c r="G923" s="463"/>
      <c r="H923" s="10"/>
      <c r="I923" s="10"/>
      <c r="J923" s="10"/>
      <c r="K923" s="10"/>
      <c r="L923" s="10"/>
      <c r="M923" s="10"/>
      <c r="N923" s="10"/>
      <c r="O923" s="10"/>
      <c r="P923" s="10"/>
      <c r="Q923" s="464"/>
    </row>
    <row r="924" spans="7:17" hidden="1" x14ac:dyDescent="0.25">
      <c r="G924" s="463"/>
      <c r="H924" s="10"/>
      <c r="I924" s="10"/>
      <c r="J924" s="10"/>
      <c r="K924" s="10"/>
      <c r="L924" s="10"/>
      <c r="M924" s="10"/>
      <c r="N924" s="10"/>
      <c r="O924" s="10"/>
      <c r="P924" s="10"/>
      <c r="Q924" s="464"/>
    </row>
    <row r="925" spans="7:17" hidden="1" x14ac:dyDescent="0.25">
      <c r="G925" s="463"/>
      <c r="H925" s="10"/>
      <c r="I925" s="10"/>
      <c r="J925" s="10"/>
      <c r="K925" s="10"/>
      <c r="L925" s="10"/>
      <c r="M925" s="10"/>
      <c r="N925" s="10"/>
      <c r="O925" s="10"/>
      <c r="P925" s="10"/>
      <c r="Q925" s="464"/>
    </row>
    <row r="926" spans="7:17" hidden="1" x14ac:dyDescent="0.25">
      <c r="G926" s="463"/>
      <c r="H926" s="10"/>
      <c r="I926" s="10"/>
      <c r="J926" s="10"/>
      <c r="K926" s="10"/>
      <c r="L926" s="10"/>
      <c r="M926" s="10"/>
      <c r="N926" s="10"/>
      <c r="O926" s="10"/>
      <c r="P926" s="10"/>
      <c r="Q926" s="464"/>
    </row>
    <row r="927" spans="7:17" hidden="1" x14ac:dyDescent="0.25">
      <c r="G927" s="463"/>
      <c r="H927" s="10"/>
      <c r="I927" s="10"/>
      <c r="J927" s="10"/>
      <c r="K927" s="10"/>
      <c r="L927" s="10"/>
      <c r="M927" s="10"/>
      <c r="N927" s="10"/>
      <c r="O927" s="10"/>
      <c r="P927" s="10"/>
      <c r="Q927" s="464"/>
    </row>
    <row r="928" spans="7:17" hidden="1" x14ac:dyDescent="0.25">
      <c r="G928" s="463"/>
      <c r="H928" s="10"/>
      <c r="I928" s="10"/>
      <c r="J928" s="10"/>
      <c r="K928" s="10"/>
      <c r="L928" s="10"/>
      <c r="M928" s="10"/>
      <c r="N928" s="10"/>
      <c r="O928" s="10"/>
      <c r="P928" s="10"/>
      <c r="Q928" s="464"/>
    </row>
    <row r="929" spans="7:17" hidden="1" x14ac:dyDescent="0.25">
      <c r="G929" s="463"/>
      <c r="H929" s="10"/>
      <c r="I929" s="10"/>
      <c r="J929" s="10"/>
      <c r="K929" s="10"/>
      <c r="L929" s="10"/>
      <c r="M929" s="10"/>
      <c r="N929" s="10"/>
      <c r="O929" s="10"/>
      <c r="P929" s="10"/>
      <c r="Q929" s="464"/>
    </row>
    <row r="930" spans="7:17" ht="15.75" hidden="1" thickBot="1" x14ac:dyDescent="0.3">
      <c r="G930" s="465"/>
      <c r="H930" s="466"/>
      <c r="I930" s="466"/>
      <c r="J930" s="466"/>
      <c r="K930" s="466"/>
      <c r="L930" s="466"/>
      <c r="M930" s="466"/>
      <c r="N930" s="466"/>
      <c r="O930" s="466"/>
      <c r="P930" s="466"/>
      <c r="Q930" s="467"/>
    </row>
    <row r="931" spans="7:17" hidden="1" x14ac:dyDescent="0.25"/>
  </sheetData>
  <sheetProtection formatRows="0" selectLockedCells="1"/>
  <mergeCells count="1">
    <mergeCell ref="B2:F9"/>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5163" r:id="rId4">
          <objectPr defaultSize="0" r:id="rId5">
            <anchor moveWithCells="1" sizeWithCells="1">
              <from>
                <xdr:col>6</xdr:col>
                <xdr:colOff>57150</xdr:colOff>
                <xdr:row>571</xdr:row>
                <xdr:rowOff>0</xdr:rowOff>
              </from>
              <to>
                <xdr:col>16</xdr:col>
                <xdr:colOff>552450</xdr:colOff>
                <xdr:row>572</xdr:row>
                <xdr:rowOff>47625</xdr:rowOff>
              </to>
            </anchor>
          </objectPr>
        </oleObject>
      </mc:Choice>
      <mc:Fallback>
        <oleObject progId="Equation.3" shapeId="5163" r:id="rId4"/>
      </mc:Fallback>
    </mc:AlternateContent>
    <mc:AlternateContent xmlns:mc="http://schemas.openxmlformats.org/markup-compatibility/2006">
      <mc:Choice Requires="x14">
        <oleObject progId="Equation.3" shapeId="5164" r:id="rId6">
          <objectPr defaultSize="0" autoPict="0" r:id="rId7">
            <anchor moveWithCells="1" sizeWithCells="1">
              <from>
                <xdr:col>6</xdr:col>
                <xdr:colOff>228600</xdr:colOff>
                <xdr:row>574</xdr:row>
                <xdr:rowOff>19050</xdr:rowOff>
              </from>
              <to>
                <xdr:col>16</xdr:col>
                <xdr:colOff>285750</xdr:colOff>
                <xdr:row>575</xdr:row>
                <xdr:rowOff>66675</xdr:rowOff>
              </to>
            </anchor>
          </objectPr>
        </oleObject>
      </mc:Choice>
      <mc:Fallback>
        <oleObject progId="Equation.3" shapeId="5164"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0"/>
  <sheetViews>
    <sheetView showGridLines="0" topLeftCell="A7" workbookViewId="0">
      <selection activeCell="O18" sqref="O18:P18"/>
    </sheetView>
  </sheetViews>
  <sheetFormatPr defaultColWidth="0" defaultRowHeight="14.1" customHeight="1" zeroHeight="1" x14ac:dyDescent="0.25"/>
  <cols>
    <col min="1" max="1" width="2.42578125" style="333" customWidth="1"/>
    <col min="2" max="2" width="10.85546875" style="191" customWidth="1"/>
    <col min="3" max="3" width="28.85546875" style="191" customWidth="1"/>
    <col min="4" max="4" width="8.85546875" style="191" customWidth="1"/>
    <col min="5" max="5" width="2.140625" style="191" customWidth="1"/>
    <col min="6" max="6" width="10.85546875" style="191" customWidth="1"/>
    <col min="7" max="7" width="28.85546875" style="191" customWidth="1"/>
    <col min="8" max="8" width="8.85546875" style="191" customWidth="1"/>
    <col min="9" max="9" width="2.140625" style="191" customWidth="1"/>
    <col min="10" max="10" width="10.85546875" style="191" customWidth="1"/>
    <col min="11" max="11" width="28.85546875" style="191" customWidth="1"/>
    <col min="12" max="12" width="8.85546875" style="191" customWidth="1"/>
    <col min="13" max="13" width="3.140625" style="191" customWidth="1"/>
    <col min="14" max="14" width="10.85546875" style="191" customWidth="1"/>
    <col min="15" max="15" width="28.85546875" style="191" customWidth="1"/>
    <col min="16" max="16" width="8.85546875" style="191" customWidth="1"/>
    <col min="17" max="17" width="2.7109375" style="191" customWidth="1"/>
    <col min="18" max="18" width="8.85546875" style="191" hidden="1" customWidth="1"/>
    <col min="19" max="19" width="2.85546875" style="192" hidden="1" customWidth="1"/>
    <col min="20" max="21" width="8.85546875" style="196" hidden="1" customWidth="1"/>
    <col min="22" max="22" width="2.85546875" style="196" hidden="1" customWidth="1"/>
    <col min="23" max="16384" width="8.85546875" style="196" hidden="1"/>
  </cols>
  <sheetData>
    <row r="1" spans="1:19" ht="14.1" customHeight="1" x14ac:dyDescent="0.25">
      <c r="B1" s="470"/>
      <c r="C1" s="470"/>
      <c r="D1" s="470"/>
      <c r="E1" s="470"/>
      <c r="F1" s="470"/>
      <c r="G1" s="470"/>
      <c r="H1" s="470"/>
      <c r="I1" s="470"/>
      <c r="J1" s="470"/>
      <c r="K1" s="470"/>
      <c r="L1" s="470"/>
      <c r="M1" s="470"/>
      <c r="N1" s="470"/>
      <c r="O1" s="470"/>
      <c r="P1" s="470"/>
      <c r="Q1" s="470"/>
      <c r="R1" s="470"/>
    </row>
    <row r="2" spans="1:19" ht="14.1" customHeight="1" x14ac:dyDescent="0.25">
      <c r="B2" s="470"/>
      <c r="C2" s="470"/>
      <c r="D2" s="470"/>
      <c r="E2" s="470"/>
      <c r="F2" s="470"/>
      <c r="G2" s="470"/>
      <c r="H2" s="470"/>
      <c r="I2" s="470"/>
      <c r="J2" s="470"/>
      <c r="K2" s="470"/>
      <c r="L2" s="470"/>
      <c r="M2" s="470"/>
      <c r="N2" s="470"/>
      <c r="O2" s="470"/>
      <c r="P2" s="470"/>
      <c r="Q2" s="470"/>
      <c r="R2" s="470"/>
    </row>
    <row r="3" spans="1:19" ht="14.1" customHeight="1" x14ac:dyDescent="0.25">
      <c r="B3" s="470"/>
      <c r="C3" s="470"/>
      <c r="D3" s="470"/>
      <c r="E3" s="470"/>
      <c r="F3" s="470"/>
      <c r="G3" s="470"/>
      <c r="H3" s="470"/>
      <c r="I3" s="470"/>
      <c r="J3" s="470"/>
      <c r="K3" s="470"/>
      <c r="L3" s="470"/>
      <c r="M3" s="470"/>
      <c r="N3" s="470"/>
      <c r="O3" s="470"/>
      <c r="P3" s="470"/>
      <c r="Q3" s="470"/>
      <c r="R3" s="470"/>
    </row>
    <row r="4" spans="1:19" ht="15" x14ac:dyDescent="0.25">
      <c r="B4" s="333"/>
      <c r="C4" s="333"/>
      <c r="D4" s="333"/>
      <c r="E4" s="333"/>
      <c r="F4" s="333"/>
      <c r="G4" s="333"/>
      <c r="H4" s="333"/>
      <c r="I4" s="333"/>
      <c r="J4" s="333"/>
      <c r="K4" s="333"/>
      <c r="L4" s="333"/>
      <c r="M4" s="333"/>
      <c r="N4" s="333"/>
      <c r="O4" s="333"/>
      <c r="P4" s="333"/>
      <c r="Q4" s="333"/>
    </row>
    <row r="5" spans="1:19" ht="18.75" x14ac:dyDescent="0.3">
      <c r="B5" s="658" t="s">
        <v>1215</v>
      </c>
      <c r="C5" s="658"/>
      <c r="D5" s="658"/>
      <c r="E5" s="658"/>
      <c r="F5" s="658"/>
      <c r="G5" s="658"/>
      <c r="H5" s="658"/>
      <c r="I5" s="658"/>
      <c r="J5" s="658"/>
      <c r="K5" s="658"/>
      <c r="L5" s="658"/>
      <c r="M5" s="333"/>
      <c r="N5" s="658" t="s">
        <v>1143</v>
      </c>
      <c r="O5" s="658"/>
      <c r="P5" s="658"/>
      <c r="Q5" s="333"/>
    </row>
    <row r="6" spans="1:19" s="338" customFormat="1" ht="15" x14ac:dyDescent="0.25">
      <c r="A6" s="333"/>
      <c r="B6" s="660" t="s">
        <v>1100</v>
      </c>
      <c r="C6" s="660"/>
      <c r="D6" s="333"/>
      <c r="E6" s="333"/>
      <c r="F6" s="333"/>
      <c r="G6" s="333"/>
      <c r="H6" s="333"/>
      <c r="I6" s="333"/>
      <c r="J6" s="333"/>
      <c r="K6" s="333"/>
      <c r="L6" s="333"/>
      <c r="M6" s="333"/>
      <c r="N6" s="333"/>
      <c r="O6" s="333"/>
      <c r="P6" s="333"/>
      <c r="Q6" s="333"/>
      <c r="R6" s="333"/>
      <c r="S6" s="337"/>
    </row>
    <row r="7" spans="1:19" s="338" customFormat="1" ht="15" x14ac:dyDescent="0.25">
      <c r="A7" s="333"/>
      <c r="B7" s="661" t="s">
        <v>1151</v>
      </c>
      <c r="C7" s="661"/>
      <c r="D7" s="333"/>
      <c r="E7" s="333"/>
      <c r="F7" s="333"/>
      <c r="G7" s="333"/>
      <c r="H7" s="333"/>
      <c r="I7" s="333"/>
      <c r="J7" s="333"/>
      <c r="K7" s="333"/>
      <c r="L7" s="333"/>
      <c r="M7" s="333"/>
      <c r="N7" s="333"/>
      <c r="O7" s="333"/>
      <c r="P7" s="333"/>
      <c r="Q7" s="333"/>
      <c r="R7" s="333"/>
      <c r="S7" s="337"/>
    </row>
    <row r="8" spans="1:19" s="338" customFormat="1" ht="15" x14ac:dyDescent="0.25">
      <c r="A8" s="334"/>
      <c r="B8" s="340"/>
      <c r="C8" s="346"/>
      <c r="D8" s="333"/>
      <c r="E8" s="333"/>
      <c r="F8" s="333"/>
      <c r="G8" s="333"/>
      <c r="H8" s="333"/>
      <c r="I8" s="333"/>
      <c r="J8" s="333"/>
      <c r="K8" s="333"/>
      <c r="L8" s="333"/>
      <c r="M8" s="333"/>
      <c r="N8" s="333"/>
      <c r="O8" s="333"/>
      <c r="P8" s="333"/>
      <c r="Q8" s="333"/>
      <c r="R8" s="333"/>
      <c r="S8" s="337"/>
    </row>
    <row r="9" spans="1:19" s="337" customFormat="1" ht="15" x14ac:dyDescent="0.25">
      <c r="A9" s="333"/>
      <c r="B9" s="659" t="s">
        <v>1144</v>
      </c>
      <c r="C9" s="659"/>
      <c r="D9" s="659"/>
      <c r="E9" s="334"/>
      <c r="F9" s="653" t="s">
        <v>1145</v>
      </c>
      <c r="G9" s="654"/>
      <c r="H9" s="655"/>
      <c r="I9" s="336"/>
      <c r="J9" s="653" t="s">
        <v>1403</v>
      </c>
      <c r="K9" s="654"/>
      <c r="L9" s="655"/>
      <c r="M9" s="333"/>
      <c r="N9" s="653" t="s">
        <v>1149</v>
      </c>
      <c r="O9" s="654"/>
      <c r="P9" s="655"/>
      <c r="Q9" s="333"/>
      <c r="R9" s="333"/>
    </row>
    <row r="10" spans="1:19" s="338" customFormat="1" ht="15" x14ac:dyDescent="0.25">
      <c r="A10" s="333"/>
      <c r="B10" s="347" t="s">
        <v>1111</v>
      </c>
      <c r="C10" s="348"/>
      <c r="D10" s="503" t="s">
        <v>851</v>
      </c>
      <c r="E10" s="333"/>
      <c r="F10" s="347" t="s">
        <v>1146</v>
      </c>
      <c r="G10" s="348"/>
      <c r="H10" s="503" t="s">
        <v>851</v>
      </c>
      <c r="I10" s="333"/>
      <c r="J10" s="347" t="s">
        <v>1147</v>
      </c>
      <c r="K10" s="348"/>
      <c r="L10" s="503" t="s">
        <v>851</v>
      </c>
      <c r="M10" s="333"/>
      <c r="N10" s="347" t="s">
        <v>1150</v>
      </c>
      <c r="O10" s="348"/>
      <c r="P10" s="503" t="s">
        <v>851</v>
      </c>
      <c r="Q10" s="333"/>
      <c r="R10" s="333"/>
      <c r="S10" s="337"/>
    </row>
    <row r="11" spans="1:19" s="337" customFormat="1" ht="15" x14ac:dyDescent="0.25">
      <c r="A11" s="333"/>
      <c r="B11" s="349" t="s">
        <v>1112</v>
      </c>
      <c r="C11" s="350"/>
      <c r="D11" s="504">
        <v>10</v>
      </c>
      <c r="E11" s="344"/>
      <c r="F11" s="349" t="s">
        <v>1112</v>
      </c>
      <c r="G11" s="350"/>
      <c r="H11" s="503">
        <v>20</v>
      </c>
      <c r="I11" s="333"/>
      <c r="J11" s="349" t="s">
        <v>1112</v>
      </c>
      <c r="K11" s="350"/>
      <c r="L11" s="503">
        <v>11</v>
      </c>
      <c r="M11" s="333"/>
      <c r="N11" s="349" t="s">
        <v>1148</v>
      </c>
      <c r="O11" s="350"/>
      <c r="P11" s="504">
        <v>5</v>
      </c>
      <c r="Q11" s="333"/>
      <c r="R11" s="333"/>
    </row>
    <row r="12" spans="1:19" s="337" customFormat="1" ht="15" x14ac:dyDescent="0.25">
      <c r="A12" s="333"/>
      <c r="B12" s="333"/>
      <c r="C12" s="333"/>
      <c r="D12" s="333"/>
      <c r="E12" s="345"/>
      <c r="F12" s="333"/>
      <c r="G12" s="333"/>
      <c r="H12" s="333"/>
      <c r="I12" s="333"/>
      <c r="J12" s="333"/>
      <c r="K12" s="333"/>
      <c r="L12" s="333"/>
      <c r="M12" s="333"/>
      <c r="N12" s="333"/>
      <c r="O12" s="333"/>
      <c r="P12" s="333"/>
      <c r="Q12" s="333"/>
      <c r="R12" s="333"/>
    </row>
    <row r="13" spans="1:19" s="337" customFormat="1" ht="15" x14ac:dyDescent="0.25">
      <c r="A13" s="333"/>
      <c r="B13" s="351" t="s">
        <v>1101</v>
      </c>
      <c r="C13" s="656" t="s">
        <v>120</v>
      </c>
      <c r="D13" s="656"/>
      <c r="E13" s="336"/>
      <c r="F13" s="195" t="s">
        <v>1101</v>
      </c>
      <c r="G13" s="648" t="s">
        <v>178</v>
      </c>
      <c r="H13" s="648"/>
      <c r="I13" s="333"/>
      <c r="J13" s="195" t="s">
        <v>1123</v>
      </c>
      <c r="K13" s="648" t="s">
        <v>197</v>
      </c>
      <c r="L13" s="648"/>
      <c r="M13" s="336"/>
      <c r="N13" s="195" t="s">
        <v>1430</v>
      </c>
      <c r="O13" s="651" t="s">
        <v>152</v>
      </c>
      <c r="P13" s="652"/>
      <c r="Q13" s="333"/>
      <c r="R13" s="333"/>
    </row>
    <row r="14" spans="1:19" s="338" customFormat="1" ht="15" x14ac:dyDescent="0.25">
      <c r="A14" s="333"/>
      <c r="B14" s="351" t="s">
        <v>1102</v>
      </c>
      <c r="C14" s="656" t="s">
        <v>121</v>
      </c>
      <c r="D14" s="656"/>
      <c r="E14" s="333"/>
      <c r="F14" s="195" t="s">
        <v>1102</v>
      </c>
      <c r="G14" s="648" t="s">
        <v>179</v>
      </c>
      <c r="H14" s="648"/>
      <c r="I14" s="333"/>
      <c r="J14" s="195" t="s">
        <v>1124</v>
      </c>
      <c r="K14" s="648" t="s">
        <v>198</v>
      </c>
      <c r="L14" s="648"/>
      <c r="M14" s="333"/>
      <c r="N14" s="195" t="s">
        <v>1431</v>
      </c>
      <c r="O14" s="651" t="s">
        <v>153</v>
      </c>
      <c r="P14" s="652"/>
      <c r="Q14" s="333"/>
      <c r="R14" s="333"/>
      <c r="S14" s="337"/>
    </row>
    <row r="15" spans="1:19" s="337" customFormat="1" ht="15" x14ac:dyDescent="0.25">
      <c r="A15" s="333"/>
      <c r="B15" s="351" t="s">
        <v>1103</v>
      </c>
      <c r="C15" s="656" t="s">
        <v>122</v>
      </c>
      <c r="D15" s="656"/>
      <c r="E15" s="336"/>
      <c r="F15" s="195" t="s">
        <v>1103</v>
      </c>
      <c r="G15" s="648" t="s">
        <v>180</v>
      </c>
      <c r="H15" s="648"/>
      <c r="I15" s="336"/>
      <c r="J15" s="195" t="s">
        <v>1125</v>
      </c>
      <c r="K15" s="648" t="s">
        <v>199</v>
      </c>
      <c r="L15" s="648"/>
      <c r="M15" s="336"/>
      <c r="N15" s="195" t="s">
        <v>1432</v>
      </c>
      <c r="O15" s="651" t="s">
        <v>154</v>
      </c>
      <c r="P15" s="652"/>
      <c r="Q15" s="333"/>
      <c r="R15" s="333"/>
    </row>
    <row r="16" spans="1:19" s="337" customFormat="1" ht="15" x14ac:dyDescent="0.25">
      <c r="A16" s="333"/>
      <c r="B16" s="351" t="s">
        <v>1104</v>
      </c>
      <c r="C16" s="656" t="s">
        <v>123</v>
      </c>
      <c r="D16" s="656"/>
      <c r="E16" s="336"/>
      <c r="F16" s="195" t="s">
        <v>1104</v>
      </c>
      <c r="G16" s="648" t="s">
        <v>181</v>
      </c>
      <c r="H16" s="648"/>
      <c r="I16" s="336"/>
      <c r="J16" s="195" t="s">
        <v>1126</v>
      </c>
      <c r="K16" s="648" t="s">
        <v>200</v>
      </c>
      <c r="L16" s="648"/>
      <c r="M16" s="336"/>
      <c r="N16" s="195" t="s">
        <v>1433</v>
      </c>
      <c r="O16" s="651" t="s">
        <v>155</v>
      </c>
      <c r="P16" s="652"/>
      <c r="Q16" s="333"/>
      <c r="R16" s="333"/>
    </row>
    <row r="17" spans="1:19" s="337" customFormat="1" ht="15" x14ac:dyDescent="0.25">
      <c r="A17" s="333"/>
      <c r="B17" s="351" t="s">
        <v>1105</v>
      </c>
      <c r="C17" s="656" t="s">
        <v>124</v>
      </c>
      <c r="D17" s="656"/>
      <c r="E17" s="336"/>
      <c r="F17" s="195" t="s">
        <v>1105</v>
      </c>
      <c r="G17" s="648" t="s">
        <v>182</v>
      </c>
      <c r="H17" s="648"/>
      <c r="I17" s="336"/>
      <c r="J17" s="195" t="s">
        <v>1127</v>
      </c>
      <c r="K17" s="648" t="s">
        <v>201</v>
      </c>
      <c r="L17" s="648"/>
      <c r="M17" s="336"/>
      <c r="N17" s="195" t="s">
        <v>1434</v>
      </c>
      <c r="O17" s="651" t="s">
        <v>41</v>
      </c>
      <c r="P17" s="652"/>
      <c r="Q17" s="333"/>
      <c r="R17" s="333"/>
    </row>
    <row r="18" spans="1:19" s="337" customFormat="1" ht="15" x14ac:dyDescent="0.25">
      <c r="A18" s="333"/>
      <c r="B18" s="351" t="s">
        <v>1106</v>
      </c>
      <c r="C18" s="656" t="s">
        <v>125</v>
      </c>
      <c r="D18" s="656"/>
      <c r="E18" s="336"/>
      <c r="F18" s="195" t="s">
        <v>1106</v>
      </c>
      <c r="G18" s="648" t="s">
        <v>183</v>
      </c>
      <c r="H18" s="648"/>
      <c r="I18" s="336"/>
      <c r="J18" s="195" t="s">
        <v>1128</v>
      </c>
      <c r="K18" s="648" t="s">
        <v>202</v>
      </c>
      <c r="L18" s="648"/>
      <c r="M18" s="336"/>
      <c r="N18" s="195" t="s">
        <v>1435</v>
      </c>
      <c r="O18" s="651"/>
      <c r="P18" s="652"/>
      <c r="Q18" s="333"/>
      <c r="R18" s="333"/>
    </row>
    <row r="19" spans="1:19" s="337" customFormat="1" ht="15" x14ac:dyDescent="0.25">
      <c r="A19" s="333"/>
      <c r="B19" s="351" t="s">
        <v>1107</v>
      </c>
      <c r="C19" s="656" t="s">
        <v>126</v>
      </c>
      <c r="D19" s="656"/>
      <c r="E19" s="336"/>
      <c r="F19" s="195" t="s">
        <v>1107</v>
      </c>
      <c r="G19" s="648" t="s">
        <v>184</v>
      </c>
      <c r="H19" s="648"/>
      <c r="I19" s="336"/>
      <c r="J19" s="195" t="s">
        <v>1129</v>
      </c>
      <c r="K19" s="648" t="s">
        <v>203</v>
      </c>
      <c r="L19" s="648"/>
      <c r="M19" s="336"/>
      <c r="N19" s="195" t="s">
        <v>1436</v>
      </c>
      <c r="O19" s="651"/>
      <c r="P19" s="652"/>
      <c r="Q19" s="333"/>
      <c r="R19" s="333"/>
    </row>
    <row r="20" spans="1:19" s="337" customFormat="1" ht="15" x14ac:dyDescent="0.25">
      <c r="A20" s="333"/>
      <c r="B20" s="351" t="s">
        <v>1108</v>
      </c>
      <c r="C20" s="656" t="s">
        <v>127</v>
      </c>
      <c r="D20" s="656"/>
      <c r="E20" s="336"/>
      <c r="F20" s="195" t="s">
        <v>1108</v>
      </c>
      <c r="G20" s="648" t="s">
        <v>185</v>
      </c>
      <c r="H20" s="648"/>
      <c r="I20" s="336"/>
      <c r="J20" s="195" t="s">
        <v>1130</v>
      </c>
      <c r="K20" s="648" t="s">
        <v>204</v>
      </c>
      <c r="L20" s="648"/>
      <c r="M20" s="336"/>
      <c r="N20" s="195" t="s">
        <v>1437</v>
      </c>
      <c r="O20" s="651"/>
      <c r="P20" s="652"/>
      <c r="Q20" s="333"/>
      <c r="R20" s="333"/>
    </row>
    <row r="21" spans="1:19" s="337" customFormat="1" ht="15" x14ac:dyDescent="0.25">
      <c r="A21" s="333"/>
      <c r="B21" s="351" t="s">
        <v>1109</v>
      </c>
      <c r="C21" s="656" t="s">
        <v>30</v>
      </c>
      <c r="D21" s="656"/>
      <c r="E21" s="336"/>
      <c r="F21" s="195" t="s">
        <v>1109</v>
      </c>
      <c r="G21" s="648" t="s">
        <v>186</v>
      </c>
      <c r="H21" s="648"/>
      <c r="I21" s="336"/>
      <c r="J21" s="195" t="s">
        <v>1131</v>
      </c>
      <c r="K21" s="648" t="s">
        <v>205</v>
      </c>
      <c r="L21" s="648"/>
      <c r="M21" s="336"/>
      <c r="N21" s="195" t="s">
        <v>1438</v>
      </c>
      <c r="O21" s="651"/>
      <c r="P21" s="652"/>
      <c r="Q21" s="333"/>
      <c r="R21" s="333"/>
    </row>
    <row r="22" spans="1:19" s="337" customFormat="1" ht="15" x14ac:dyDescent="0.25">
      <c r="A22" s="333"/>
      <c r="B22" s="351" t="s">
        <v>1110</v>
      </c>
      <c r="C22" s="656" t="s">
        <v>128</v>
      </c>
      <c r="D22" s="656"/>
      <c r="E22" s="336"/>
      <c r="F22" s="195" t="s">
        <v>1110</v>
      </c>
      <c r="G22" s="648" t="s">
        <v>187</v>
      </c>
      <c r="H22" s="648"/>
      <c r="I22" s="336"/>
      <c r="J22" s="195" t="s">
        <v>1132</v>
      </c>
      <c r="K22" s="648" t="s">
        <v>206</v>
      </c>
      <c r="L22" s="648"/>
      <c r="M22" s="336"/>
      <c r="N22" s="195" t="s">
        <v>1439</v>
      </c>
      <c r="O22" s="651"/>
      <c r="P22" s="652"/>
      <c r="Q22" s="333"/>
      <c r="R22" s="333"/>
    </row>
    <row r="23" spans="1:19" s="337" customFormat="1" ht="15" x14ac:dyDescent="0.25">
      <c r="A23" s="333"/>
      <c r="B23" s="333"/>
      <c r="C23" s="657"/>
      <c r="D23" s="657"/>
      <c r="E23" s="336"/>
      <c r="F23" s="195" t="s">
        <v>1113</v>
      </c>
      <c r="G23" s="648" t="s">
        <v>188</v>
      </c>
      <c r="H23" s="648"/>
      <c r="I23" s="336"/>
      <c r="J23" s="195" t="s">
        <v>1133</v>
      </c>
      <c r="K23" s="648" t="s">
        <v>41</v>
      </c>
      <c r="L23" s="648"/>
      <c r="M23" s="336"/>
      <c r="N23" s="336"/>
      <c r="O23" s="333"/>
      <c r="P23" s="333"/>
      <c r="Q23" s="333"/>
      <c r="R23" s="333"/>
    </row>
    <row r="24" spans="1:19" s="337" customFormat="1" ht="15" x14ac:dyDescent="0.25">
      <c r="A24" s="333"/>
      <c r="B24" s="333"/>
      <c r="C24" s="333"/>
      <c r="D24" s="333"/>
      <c r="E24" s="336"/>
      <c r="F24" s="195" t="s">
        <v>1114</v>
      </c>
      <c r="G24" s="648" t="s">
        <v>189</v>
      </c>
      <c r="H24" s="648"/>
      <c r="I24" s="336"/>
      <c r="J24" s="195" t="s">
        <v>1134</v>
      </c>
      <c r="K24" s="648"/>
      <c r="L24" s="648"/>
      <c r="M24" s="336"/>
      <c r="N24" s="653" t="s">
        <v>1370</v>
      </c>
      <c r="O24" s="654"/>
      <c r="P24" s="655"/>
      <c r="Q24" s="333"/>
      <c r="R24" s="333"/>
    </row>
    <row r="25" spans="1:19" s="338" customFormat="1" ht="15" x14ac:dyDescent="0.25">
      <c r="A25" s="333"/>
      <c r="B25" s="650" t="s">
        <v>1216</v>
      </c>
      <c r="C25" s="650"/>
      <c r="D25" s="650"/>
      <c r="E25" s="333"/>
      <c r="F25" s="195" t="s">
        <v>1115</v>
      </c>
      <c r="G25" s="648" t="s">
        <v>41</v>
      </c>
      <c r="H25" s="648"/>
      <c r="I25" s="333"/>
      <c r="J25" s="195" t="s">
        <v>1135</v>
      </c>
      <c r="K25" s="648"/>
      <c r="L25" s="648"/>
      <c r="M25" s="333"/>
      <c r="N25" s="347" t="s">
        <v>1440</v>
      </c>
      <c r="O25" s="348"/>
      <c r="P25" s="503" t="s">
        <v>851</v>
      </c>
      <c r="Q25" s="333"/>
      <c r="R25" s="333"/>
      <c r="S25" s="337"/>
    </row>
    <row r="26" spans="1:19" s="338" customFormat="1" ht="15" x14ac:dyDescent="0.25">
      <c r="A26" s="333"/>
      <c r="B26" s="650"/>
      <c r="C26" s="650"/>
      <c r="D26" s="650"/>
      <c r="E26" s="333"/>
      <c r="F26" s="195" t="s">
        <v>1116</v>
      </c>
      <c r="G26" s="648" t="s">
        <v>190</v>
      </c>
      <c r="H26" s="648"/>
      <c r="I26" s="333"/>
      <c r="J26" s="195" t="s">
        <v>1136</v>
      </c>
      <c r="K26" s="648"/>
      <c r="L26" s="648"/>
      <c r="M26" s="333"/>
      <c r="N26" s="349" t="s">
        <v>1148</v>
      </c>
      <c r="O26" s="350"/>
      <c r="P26" s="504">
        <v>6</v>
      </c>
      <c r="Q26" s="333"/>
      <c r="R26" s="333"/>
      <c r="S26" s="337"/>
    </row>
    <row r="27" spans="1:19" s="338" customFormat="1" ht="15" x14ac:dyDescent="0.25">
      <c r="A27" s="333"/>
      <c r="B27" s="650"/>
      <c r="C27" s="650"/>
      <c r="D27" s="650"/>
      <c r="E27" s="333"/>
      <c r="F27" s="195" t="s">
        <v>1117</v>
      </c>
      <c r="G27" s="648" t="s">
        <v>191</v>
      </c>
      <c r="H27" s="648"/>
      <c r="I27" s="333"/>
      <c r="J27" s="195" t="s">
        <v>1137</v>
      </c>
      <c r="K27" s="648"/>
      <c r="L27" s="648"/>
      <c r="M27" s="333"/>
      <c r="N27" s="334"/>
      <c r="O27" s="334"/>
      <c r="P27" s="334"/>
      <c r="Q27" s="333"/>
      <c r="R27" s="333"/>
      <c r="S27" s="337"/>
    </row>
    <row r="28" spans="1:19" s="338" customFormat="1" ht="15" x14ac:dyDescent="0.25">
      <c r="A28" s="333"/>
      <c r="B28" s="650"/>
      <c r="C28" s="650"/>
      <c r="D28" s="650"/>
      <c r="E28" s="333"/>
      <c r="F28" s="195" t="s">
        <v>1118</v>
      </c>
      <c r="G28" s="648" t="s">
        <v>192</v>
      </c>
      <c r="H28" s="648"/>
      <c r="I28" s="333"/>
      <c r="J28" s="195" t="s">
        <v>1138</v>
      </c>
      <c r="K28" s="648"/>
      <c r="L28" s="648"/>
      <c r="M28" s="333"/>
      <c r="N28" s="195" t="s">
        <v>1123</v>
      </c>
      <c r="O28" s="648" t="s">
        <v>152</v>
      </c>
      <c r="P28" s="648"/>
      <c r="Q28" s="333"/>
      <c r="R28" s="333"/>
      <c r="S28" s="337"/>
    </row>
    <row r="29" spans="1:19" s="338" customFormat="1" ht="15" x14ac:dyDescent="0.25">
      <c r="A29" s="333"/>
      <c r="B29" s="650"/>
      <c r="C29" s="650"/>
      <c r="D29" s="650"/>
      <c r="E29" s="333"/>
      <c r="F29" s="195" t="s">
        <v>1119</v>
      </c>
      <c r="G29" s="648" t="s">
        <v>127</v>
      </c>
      <c r="H29" s="648"/>
      <c r="I29" s="333"/>
      <c r="J29" s="195" t="s">
        <v>1139</v>
      </c>
      <c r="K29" s="648"/>
      <c r="L29" s="648"/>
      <c r="M29" s="333"/>
      <c r="N29" s="195" t="s">
        <v>1124</v>
      </c>
      <c r="O29" s="648" t="s">
        <v>153</v>
      </c>
      <c r="P29" s="648"/>
      <c r="Q29" s="333"/>
      <c r="R29" s="333"/>
      <c r="S29" s="337"/>
    </row>
    <row r="30" spans="1:19" s="338" customFormat="1" ht="15" x14ac:dyDescent="0.25">
      <c r="A30" s="333"/>
      <c r="B30" s="650"/>
      <c r="C30" s="650"/>
      <c r="D30" s="650"/>
      <c r="E30" s="333"/>
      <c r="F30" s="195" t="s">
        <v>1120</v>
      </c>
      <c r="G30" s="648" t="s">
        <v>30</v>
      </c>
      <c r="H30" s="648"/>
      <c r="I30" s="333"/>
      <c r="J30" s="195" t="s">
        <v>1140</v>
      </c>
      <c r="K30" s="648"/>
      <c r="L30" s="648"/>
      <c r="M30" s="333"/>
      <c r="N30" s="195" t="s">
        <v>1125</v>
      </c>
      <c r="O30" s="648" t="s">
        <v>154</v>
      </c>
      <c r="P30" s="648"/>
      <c r="Q30" s="333"/>
      <c r="R30" s="333"/>
      <c r="S30" s="337"/>
    </row>
    <row r="31" spans="1:19" s="338" customFormat="1" ht="15" x14ac:dyDescent="0.25">
      <c r="A31" s="333"/>
      <c r="B31" s="650"/>
      <c r="C31" s="650"/>
      <c r="D31" s="650"/>
      <c r="E31" s="333"/>
      <c r="F31" s="195" t="s">
        <v>1121</v>
      </c>
      <c r="G31" s="648" t="s">
        <v>193</v>
      </c>
      <c r="H31" s="648"/>
      <c r="I31" s="333"/>
      <c r="J31" s="195" t="s">
        <v>1141</v>
      </c>
      <c r="K31" s="648"/>
      <c r="L31" s="648"/>
      <c r="M31" s="333"/>
      <c r="N31" s="195" t="s">
        <v>1126</v>
      </c>
      <c r="O31" s="648" t="s">
        <v>155</v>
      </c>
      <c r="P31" s="648"/>
      <c r="Q31" s="333"/>
      <c r="R31" s="333"/>
      <c r="S31" s="337"/>
    </row>
    <row r="32" spans="1:19" s="338" customFormat="1" ht="15" x14ac:dyDescent="0.25">
      <c r="A32" s="333"/>
      <c r="B32" s="333"/>
      <c r="C32" s="333"/>
      <c r="D32" s="333"/>
      <c r="E32" s="333"/>
      <c r="F32" s="197" t="s">
        <v>1122</v>
      </c>
      <c r="G32" s="648" t="s">
        <v>128</v>
      </c>
      <c r="H32" s="648"/>
      <c r="I32" s="333"/>
      <c r="J32" s="195" t="s">
        <v>1142</v>
      </c>
      <c r="K32" s="648"/>
      <c r="L32" s="648"/>
      <c r="M32" s="333"/>
      <c r="N32" s="195" t="s">
        <v>1127</v>
      </c>
      <c r="O32" s="648" t="s">
        <v>41</v>
      </c>
      <c r="P32" s="648"/>
      <c r="Q32" s="333"/>
      <c r="R32" s="333"/>
      <c r="S32" s="337"/>
    </row>
    <row r="33" spans="1:19" s="338" customFormat="1" ht="18.75" x14ac:dyDescent="0.3">
      <c r="A33" s="333"/>
      <c r="B33" s="339"/>
      <c r="C33" s="334"/>
      <c r="D33" s="334"/>
      <c r="E33" s="334"/>
      <c r="F33" s="334"/>
      <c r="G33" s="334"/>
      <c r="H33" s="334"/>
      <c r="I33" s="333"/>
      <c r="J33" s="333"/>
      <c r="K33" s="333"/>
      <c r="L33" s="333"/>
      <c r="M33" s="333"/>
      <c r="N33" s="195" t="s">
        <v>1128</v>
      </c>
      <c r="O33" s="648"/>
      <c r="P33" s="648"/>
      <c r="Q33" s="333"/>
      <c r="R33" s="333"/>
      <c r="S33" s="337"/>
    </row>
    <row r="34" spans="1:19" s="338" customFormat="1" ht="15" x14ac:dyDescent="0.25">
      <c r="A34" s="333"/>
      <c r="B34" s="646"/>
      <c r="C34" s="646"/>
      <c r="D34" s="646"/>
      <c r="E34" s="334"/>
      <c r="F34" s="646"/>
      <c r="G34" s="646"/>
      <c r="H34" s="646"/>
      <c r="I34" s="333"/>
      <c r="J34" s="647" t="s">
        <v>1217</v>
      </c>
      <c r="K34" s="647"/>
      <c r="L34" s="647"/>
      <c r="M34" s="333"/>
      <c r="N34" s="352" t="s">
        <v>1129</v>
      </c>
      <c r="O34" s="648"/>
      <c r="P34" s="648"/>
      <c r="Q34" s="333"/>
      <c r="R34" s="333"/>
      <c r="S34" s="337"/>
    </row>
    <row r="35" spans="1:19" s="333" customFormat="1" ht="15" x14ac:dyDescent="0.25">
      <c r="B35" s="334"/>
      <c r="C35" s="334"/>
      <c r="D35" s="340"/>
      <c r="E35" s="334"/>
      <c r="F35" s="334"/>
      <c r="G35" s="334"/>
      <c r="H35" s="340"/>
      <c r="J35" s="505"/>
      <c r="K35" s="649" t="s">
        <v>1218</v>
      </c>
      <c r="L35" s="649"/>
      <c r="N35" s="352" t="s">
        <v>1130</v>
      </c>
      <c r="O35" s="648"/>
      <c r="P35" s="648"/>
      <c r="S35" s="337"/>
    </row>
    <row r="36" spans="1:19" s="333" customFormat="1" ht="15" x14ac:dyDescent="0.25">
      <c r="B36" s="341"/>
      <c r="C36" s="334"/>
      <c r="D36" s="340"/>
      <c r="E36" s="334"/>
      <c r="F36" s="341"/>
      <c r="G36" s="334"/>
      <c r="H36" s="336"/>
      <c r="J36" s="342"/>
      <c r="K36" s="649" t="s">
        <v>1219</v>
      </c>
      <c r="L36" s="649"/>
      <c r="N36" s="352" t="s">
        <v>1131</v>
      </c>
      <c r="O36" s="648"/>
      <c r="P36" s="648"/>
      <c r="S36" s="337"/>
    </row>
    <row r="37" spans="1:19" s="333" customFormat="1" ht="15" x14ac:dyDescent="0.25">
      <c r="B37" s="334"/>
      <c r="C37" s="334"/>
      <c r="D37" s="334"/>
      <c r="E37" s="334"/>
      <c r="F37" s="334"/>
      <c r="G37" s="334"/>
      <c r="H37" s="334"/>
      <c r="J37" s="343"/>
      <c r="K37" s="649" t="s">
        <v>1220</v>
      </c>
      <c r="L37" s="649"/>
      <c r="N37" s="352" t="s">
        <v>1132</v>
      </c>
      <c r="O37" s="648"/>
      <c r="P37" s="648"/>
      <c r="S37" s="337"/>
    </row>
    <row r="38" spans="1:19" s="338" customFormat="1" ht="15" x14ac:dyDescent="0.25">
      <c r="A38" s="333"/>
      <c r="B38" s="335"/>
      <c r="C38" s="645"/>
      <c r="D38" s="645"/>
      <c r="E38" s="336"/>
      <c r="F38" s="335"/>
      <c r="G38" s="645"/>
      <c r="H38" s="645"/>
      <c r="I38" s="336"/>
      <c r="J38" s="336"/>
      <c r="K38" s="336"/>
      <c r="L38" s="336"/>
      <c r="M38" s="333"/>
      <c r="N38" s="333"/>
      <c r="O38" s="333"/>
      <c r="P38" s="333"/>
      <c r="Q38" s="333"/>
      <c r="R38" s="333"/>
      <c r="S38" s="337"/>
    </row>
    <row r="39" spans="1:19" ht="15" hidden="1" x14ac:dyDescent="0.25">
      <c r="B39" s="198"/>
      <c r="C39" s="644"/>
      <c r="D39" s="644"/>
      <c r="E39" s="193"/>
      <c r="F39" s="198"/>
      <c r="G39" s="644"/>
      <c r="H39" s="644"/>
      <c r="I39" s="193"/>
      <c r="J39" s="194"/>
      <c r="K39" s="194"/>
      <c r="L39" s="194"/>
      <c r="M39" s="193"/>
      <c r="N39" s="193"/>
    </row>
    <row r="40" spans="1:19" s="191" customFormat="1" ht="15" hidden="1" x14ac:dyDescent="0.25">
      <c r="A40" s="333"/>
      <c r="B40" s="198"/>
      <c r="C40" s="644"/>
      <c r="D40" s="644"/>
      <c r="E40" s="194"/>
      <c r="F40" s="198"/>
      <c r="G40" s="644"/>
      <c r="H40" s="644"/>
      <c r="I40" s="194"/>
      <c r="J40" s="194"/>
      <c r="K40" s="194"/>
      <c r="L40" s="194"/>
      <c r="M40" s="194"/>
      <c r="N40" s="194"/>
      <c r="S40" s="192"/>
    </row>
    <row r="41" spans="1:19" s="191" customFormat="1" ht="15" hidden="1" x14ac:dyDescent="0.25">
      <c r="A41" s="333"/>
      <c r="B41" s="198"/>
      <c r="C41" s="644"/>
      <c r="D41" s="644"/>
      <c r="E41" s="194"/>
      <c r="F41" s="198"/>
      <c r="G41" s="644"/>
      <c r="H41" s="644"/>
      <c r="I41" s="194"/>
      <c r="J41" s="194"/>
      <c r="K41" s="194"/>
      <c r="L41" s="194"/>
      <c r="M41" s="194"/>
      <c r="N41" s="194"/>
      <c r="S41" s="192"/>
    </row>
    <row r="42" spans="1:19" s="191" customFormat="1" ht="15" hidden="1" x14ac:dyDescent="0.25">
      <c r="A42" s="333"/>
      <c r="B42" s="198"/>
      <c r="C42" s="644"/>
      <c r="D42" s="644"/>
      <c r="E42" s="194"/>
      <c r="F42" s="198"/>
      <c r="G42" s="644"/>
      <c r="H42" s="644"/>
      <c r="I42" s="194"/>
      <c r="J42" s="194"/>
      <c r="K42" s="194"/>
      <c r="L42" s="194"/>
      <c r="M42" s="194"/>
      <c r="N42" s="194"/>
      <c r="S42" s="192"/>
    </row>
    <row r="43" spans="1:19" s="191" customFormat="1" ht="15" hidden="1" x14ac:dyDescent="0.25">
      <c r="A43" s="333"/>
      <c r="B43" s="198"/>
      <c r="C43" s="644"/>
      <c r="D43" s="644"/>
      <c r="E43" s="194"/>
      <c r="F43" s="198"/>
      <c r="G43" s="644"/>
      <c r="H43" s="644"/>
      <c r="I43" s="194"/>
      <c r="J43" s="194"/>
      <c r="K43" s="194"/>
      <c r="L43" s="194"/>
      <c r="M43" s="194"/>
      <c r="N43" s="194"/>
      <c r="S43" s="192"/>
    </row>
    <row r="44" spans="1:19" s="191" customFormat="1" ht="15" hidden="1" x14ac:dyDescent="0.25">
      <c r="A44" s="333"/>
      <c r="B44" s="198"/>
      <c r="C44" s="644"/>
      <c r="D44" s="644"/>
      <c r="E44" s="194"/>
      <c r="F44" s="198"/>
      <c r="G44" s="644"/>
      <c r="H44" s="644"/>
      <c r="I44" s="194"/>
      <c r="J44" s="194"/>
      <c r="K44" s="194"/>
      <c r="L44" s="194"/>
      <c r="M44" s="194"/>
      <c r="N44" s="194"/>
      <c r="S44" s="192"/>
    </row>
    <row r="45" spans="1:19" s="191" customFormat="1" ht="15" hidden="1" x14ac:dyDescent="0.25">
      <c r="A45" s="333"/>
      <c r="B45" s="198"/>
      <c r="C45" s="644"/>
      <c r="D45" s="644"/>
      <c r="E45" s="194"/>
      <c r="F45" s="198"/>
      <c r="G45" s="644"/>
      <c r="H45" s="644"/>
      <c r="I45" s="194"/>
      <c r="J45" s="194"/>
      <c r="K45" s="194"/>
      <c r="L45" s="194"/>
      <c r="M45" s="194"/>
      <c r="N45" s="194"/>
      <c r="S45" s="192"/>
    </row>
    <row r="46" spans="1:19" s="191" customFormat="1" ht="15" hidden="1" x14ac:dyDescent="0.25">
      <c r="A46" s="333"/>
      <c r="B46" s="198"/>
      <c r="C46" s="644"/>
      <c r="D46" s="644"/>
      <c r="E46" s="194"/>
      <c r="F46" s="198"/>
      <c r="G46" s="644"/>
      <c r="H46" s="644"/>
      <c r="I46" s="194"/>
      <c r="J46" s="194"/>
      <c r="K46" s="194"/>
      <c r="L46" s="194"/>
      <c r="M46" s="194"/>
      <c r="N46" s="194"/>
      <c r="S46" s="192"/>
    </row>
    <row r="47" spans="1:19" s="191" customFormat="1" ht="15" hidden="1" x14ac:dyDescent="0.25">
      <c r="A47" s="333"/>
      <c r="B47" s="198"/>
      <c r="C47" s="644"/>
      <c r="D47" s="644"/>
      <c r="E47" s="194"/>
      <c r="F47" s="198"/>
      <c r="G47" s="644"/>
      <c r="H47" s="644"/>
      <c r="I47" s="194"/>
      <c r="J47" s="194"/>
      <c r="K47" s="194"/>
      <c r="L47" s="194"/>
      <c r="M47" s="194"/>
      <c r="N47" s="194"/>
      <c r="S47" s="192"/>
    </row>
    <row r="48" spans="1:19" s="191" customFormat="1" ht="15" hidden="1" x14ac:dyDescent="0.25">
      <c r="A48" s="333"/>
      <c r="B48" s="193"/>
      <c r="C48" s="193"/>
      <c r="D48" s="193"/>
      <c r="E48" s="194"/>
      <c r="F48" s="193"/>
      <c r="G48" s="193"/>
      <c r="H48" s="193"/>
      <c r="I48" s="194"/>
      <c r="J48" s="193"/>
      <c r="K48" s="193"/>
      <c r="L48" s="193"/>
      <c r="M48" s="194"/>
      <c r="N48" s="194"/>
      <c r="S48" s="192"/>
    </row>
    <row r="49" spans="1:19" s="191" customFormat="1" ht="15" hidden="1" x14ac:dyDescent="0.25">
      <c r="A49" s="333"/>
      <c r="B49" s="193"/>
      <c r="C49" s="193"/>
      <c r="D49" s="193"/>
      <c r="E49" s="194"/>
      <c r="F49" s="193"/>
      <c r="G49" s="193"/>
      <c r="H49" s="193"/>
      <c r="I49" s="194"/>
      <c r="M49" s="194"/>
      <c r="N49" s="194"/>
      <c r="S49" s="192"/>
    </row>
    <row r="50" spans="1:19" ht="15" hidden="1" x14ac:dyDescent="0.25">
      <c r="E50" s="193"/>
      <c r="I50" s="193"/>
      <c r="M50" s="193"/>
      <c r="N50" s="193"/>
    </row>
  </sheetData>
  <sheetProtection formatCells="0" selectLockedCells="1"/>
  <mergeCells count="107">
    <mergeCell ref="C18:D18"/>
    <mergeCell ref="C19:D19"/>
    <mergeCell ref="C20:D20"/>
    <mergeCell ref="C21:D21"/>
    <mergeCell ref="C13:D13"/>
    <mergeCell ref="C14:D14"/>
    <mergeCell ref="C15:D15"/>
    <mergeCell ref="C16:D16"/>
    <mergeCell ref="C17:D17"/>
    <mergeCell ref="B5:L5"/>
    <mergeCell ref="N5:P5"/>
    <mergeCell ref="B9:D9"/>
    <mergeCell ref="F9:H9"/>
    <mergeCell ref="J9:L9"/>
    <mergeCell ref="N9:P9"/>
    <mergeCell ref="G13:H13"/>
    <mergeCell ref="K13:L13"/>
    <mergeCell ref="O13:P13"/>
    <mergeCell ref="B6:C6"/>
    <mergeCell ref="B7:C7"/>
    <mergeCell ref="G14:H14"/>
    <mergeCell ref="K14:L14"/>
    <mergeCell ref="O14:P14"/>
    <mergeCell ref="G15:H15"/>
    <mergeCell ref="K15:L15"/>
    <mergeCell ref="O15:P15"/>
    <mergeCell ref="G16:H16"/>
    <mergeCell ref="K16:L16"/>
    <mergeCell ref="O16:P16"/>
    <mergeCell ref="G17:H17"/>
    <mergeCell ref="K17:L17"/>
    <mergeCell ref="O17:P17"/>
    <mergeCell ref="G18:H18"/>
    <mergeCell ref="K18:L18"/>
    <mergeCell ref="O18:P18"/>
    <mergeCell ref="G19:H19"/>
    <mergeCell ref="K19:L19"/>
    <mergeCell ref="O19:P19"/>
    <mergeCell ref="G20:H20"/>
    <mergeCell ref="K20:L20"/>
    <mergeCell ref="O20:P20"/>
    <mergeCell ref="N24:P24"/>
    <mergeCell ref="G21:H21"/>
    <mergeCell ref="K21:L21"/>
    <mergeCell ref="O21:P21"/>
    <mergeCell ref="C22:D22"/>
    <mergeCell ref="G22:H22"/>
    <mergeCell ref="K22:L22"/>
    <mergeCell ref="O22:P22"/>
    <mergeCell ref="C23:D23"/>
    <mergeCell ref="G23:H23"/>
    <mergeCell ref="K23:L23"/>
    <mergeCell ref="G24:H24"/>
    <mergeCell ref="K24:L24"/>
    <mergeCell ref="B25:D31"/>
    <mergeCell ref="G25:H25"/>
    <mergeCell ref="K25:L25"/>
    <mergeCell ref="G26:H26"/>
    <mergeCell ref="K26:L26"/>
    <mergeCell ref="G27:H27"/>
    <mergeCell ref="K27:L27"/>
    <mergeCell ref="G28:H28"/>
    <mergeCell ref="K28:L28"/>
    <mergeCell ref="G31:H31"/>
    <mergeCell ref="O33:P33"/>
    <mergeCell ref="O28:P28"/>
    <mergeCell ref="G29:H29"/>
    <mergeCell ref="K29:L29"/>
    <mergeCell ref="O29:P29"/>
    <mergeCell ref="G30:H30"/>
    <mergeCell ref="K30:L30"/>
    <mergeCell ref="O30:P30"/>
    <mergeCell ref="K31:L31"/>
    <mergeCell ref="O31:P31"/>
    <mergeCell ref="G32:H32"/>
    <mergeCell ref="K32:L32"/>
    <mergeCell ref="O32:P32"/>
    <mergeCell ref="B34:D34"/>
    <mergeCell ref="F34:H34"/>
    <mergeCell ref="J34:L34"/>
    <mergeCell ref="O34:P34"/>
    <mergeCell ref="K35:L35"/>
    <mergeCell ref="O35:P35"/>
    <mergeCell ref="K36:L36"/>
    <mergeCell ref="O36:P36"/>
    <mergeCell ref="K37:L37"/>
    <mergeCell ref="O37:P37"/>
    <mergeCell ref="C38:D38"/>
    <mergeCell ref="G38:H38"/>
    <mergeCell ref="C39:D39"/>
    <mergeCell ref="G39:H39"/>
    <mergeCell ref="C40:D40"/>
    <mergeCell ref="G40:H40"/>
    <mergeCell ref="C41:D41"/>
    <mergeCell ref="G41:H41"/>
    <mergeCell ref="C42:D42"/>
    <mergeCell ref="G42:H42"/>
    <mergeCell ref="C43:D43"/>
    <mergeCell ref="G43:H43"/>
    <mergeCell ref="C44:D44"/>
    <mergeCell ref="G44:H44"/>
    <mergeCell ref="C45:D45"/>
    <mergeCell ref="G45:H45"/>
    <mergeCell ref="C46:D46"/>
    <mergeCell ref="G46:H46"/>
    <mergeCell ref="C47:D47"/>
    <mergeCell ref="G47:H47"/>
  </mergeCells>
  <conditionalFormatting sqref="B14:D22">
    <cfRule type="expression" dxfId="29" priority="16">
      <formula>IF($D$11&lt;(ROW($B14)-12),TRUE,FALSE)</formula>
    </cfRule>
  </conditionalFormatting>
  <conditionalFormatting sqref="F14:H32">
    <cfRule type="expression" dxfId="28" priority="15">
      <formula>IF($H$11&lt;(ROW($F14)-12),TRUE,FALSE)</formula>
    </cfRule>
  </conditionalFormatting>
  <conditionalFormatting sqref="B11:D11">
    <cfRule type="expression" dxfId="27" priority="13">
      <formula>IF($D$10="Yes",FALSE,TRUE)</formula>
    </cfRule>
  </conditionalFormatting>
  <conditionalFormatting sqref="F11:H11">
    <cfRule type="expression" dxfId="26" priority="12">
      <formula>IF($H$10="Yes",FALSE,TRUE)</formula>
    </cfRule>
  </conditionalFormatting>
  <conditionalFormatting sqref="J11:L11">
    <cfRule type="expression" dxfId="25" priority="11">
      <formula>IF($L$10="Yes",FALSE,TRUE)</formula>
    </cfRule>
  </conditionalFormatting>
  <conditionalFormatting sqref="N11:P11">
    <cfRule type="expression" dxfId="24" priority="10">
      <formula>IF($P$10="Yes",FALSE,TRUE)</formula>
    </cfRule>
  </conditionalFormatting>
  <conditionalFormatting sqref="N26:P26">
    <cfRule type="expression" dxfId="23" priority="9">
      <formula>IF($P$25="Yes",FALSE,TRUE)</formula>
    </cfRule>
  </conditionalFormatting>
  <conditionalFormatting sqref="O13:P22 K13:L32 G13:H32 C13:D22">
    <cfRule type="expression" dxfId="22" priority="8">
      <formula>IF(D$10="No",TRUE,FALSE)</formula>
    </cfRule>
  </conditionalFormatting>
  <conditionalFormatting sqref="B13:B22 F13:F32 J13:J32 N13:N22">
    <cfRule type="expression" dxfId="21" priority="7">
      <formula>IF(D$10="No",TRUE,FALSE)</formula>
    </cfRule>
  </conditionalFormatting>
  <conditionalFormatting sqref="J14:L32">
    <cfRule type="expression" dxfId="20" priority="6">
      <formula>IF($L$11&lt;(ROW($J14)-12),TRUE,FALSE)</formula>
    </cfRule>
  </conditionalFormatting>
  <conditionalFormatting sqref="N14:P22">
    <cfRule type="expression" dxfId="19" priority="5">
      <formula>IF($P$11&lt;(ROW($N14)-12),TRUE,FALSE)</formula>
    </cfRule>
  </conditionalFormatting>
  <conditionalFormatting sqref="N29:P37">
    <cfRule type="expression" dxfId="18" priority="4">
      <formula>IF($P$26&lt;(ROW($N29)-27),TRUE,FALSE)</formula>
    </cfRule>
  </conditionalFormatting>
  <conditionalFormatting sqref="N28:P37">
    <cfRule type="expression" dxfId="17" priority="1">
      <formula>IF($P$25="No",TRUE,FALSE)</formula>
    </cfRule>
  </conditionalFormatting>
  <pageMargins left="0.7" right="0.7" top="0.75" bottom="0.75" header="0.3" footer="0.3"/>
  <pageSetup orientation="portrait" horizontalDpi="4294967292" verticalDpi="4294967292"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[1]Variables!#REF!</xm:f>
          </x14:formula1>
          <xm:sqref>H35 E12 D35</xm:sqref>
        </x14:dataValidation>
        <x14:dataValidation type="list" allowBlank="1" showInputMessage="1" showErrorMessage="1">
          <x14:formula1>
            <xm:f>[1]Variables!#REF!</xm:f>
          </x14:formula1>
          <xm:sqref>D36 E38 M13 E13 H36 I38 B8 I9</xm:sqref>
        </x14:dataValidation>
        <x14:dataValidation type="list" allowBlank="1" showInputMessage="1" showErrorMessage="1">
          <x14:formula1>
            <xm:f>Variables!$AE$2:$AE$3</xm:f>
          </x14:formula1>
          <xm:sqref>B7</xm:sqref>
        </x14:dataValidation>
        <x14:dataValidation type="list" allowBlank="1" showInputMessage="1" showErrorMessage="1">
          <x14:formula1>
            <xm:f>Variables!$O$2:$O$3</xm:f>
          </x14:formula1>
          <xm:sqref>D10 H10 L10 P10 P25</xm:sqref>
        </x14:dataValidation>
        <x14:dataValidation type="list" allowBlank="1" showInputMessage="1" showErrorMessage="1">
          <x14:formula1>
            <xm:f>Variables!$AS$2:$AS$11</xm:f>
          </x14:formula1>
          <xm:sqref>D11 P11 P26</xm:sqref>
        </x14:dataValidation>
        <x14:dataValidation type="list" allowBlank="1" showInputMessage="1" showErrorMessage="1">
          <x14:formula1>
            <xm:f>Variables!$AS$2:$AS$21</xm:f>
          </x14:formula1>
          <xm:sqref>H11 L11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54"/>
  <sheetViews>
    <sheetView showGridLines="0" tabSelected="1" zoomScaleNormal="100" workbookViewId="0">
      <selection activeCell="O73" sqref="O73:P73"/>
    </sheetView>
  </sheetViews>
  <sheetFormatPr defaultColWidth="0" defaultRowHeight="15" zeroHeight="1" x14ac:dyDescent="0.25"/>
  <cols>
    <col min="1" max="1" width="2.85546875" style="353" customWidth="1"/>
    <col min="2" max="5" width="8.85546875" style="354" customWidth="1"/>
    <col min="6" max="6" width="9.5703125" style="354" bestFit="1" customWidth="1"/>
    <col min="7" max="7" width="8.85546875" style="354" customWidth="1"/>
    <col min="8" max="8" width="2.140625" style="354" customWidth="1"/>
    <col min="9" max="9" width="3.42578125" style="355" customWidth="1"/>
    <col min="10" max="10" width="9.140625" style="355" customWidth="1"/>
    <col min="11" max="12" width="8.85546875" style="354" customWidth="1"/>
    <col min="13" max="13" width="9.5703125" style="354" bestFit="1" customWidth="1"/>
    <col min="14" max="14" width="7.85546875" style="354" customWidth="1"/>
    <col min="15" max="16" width="8.85546875" style="354" customWidth="1"/>
    <col min="17" max="17" width="3" style="353" customWidth="1"/>
    <col min="18" max="18" width="2.85546875" style="353" customWidth="1"/>
    <col min="19" max="19" width="8.85546875" style="353" customWidth="1"/>
    <col min="20" max="20" width="9.5703125" style="353" bestFit="1" customWidth="1"/>
    <col min="21" max="21" width="5.140625" style="353" customWidth="1"/>
    <col min="22" max="22" width="10.7109375" style="353" customWidth="1"/>
    <col min="23" max="23" width="2.28515625" style="353" customWidth="1"/>
    <col min="24" max="25" width="8.85546875" style="356" customWidth="1"/>
    <col min="26" max="27" width="9.42578125" style="356" customWidth="1"/>
    <col min="28" max="28" width="2.85546875" style="356" customWidth="1"/>
    <col min="29" max="16384" width="8.85546875" style="356" hidden="1"/>
  </cols>
  <sheetData>
    <row r="1" spans="2:16384" x14ac:dyDescent="0.25">
      <c r="I1" s="469"/>
      <c r="J1" s="469"/>
      <c r="X1" s="353"/>
      <c r="Y1" s="353"/>
      <c r="Z1" s="353"/>
      <c r="AA1" s="353"/>
      <c r="AB1" s="353"/>
      <c r="AC1" s="353"/>
      <c r="AD1" s="353"/>
      <c r="AE1" s="353"/>
      <c r="AF1" s="353"/>
      <c r="AG1" s="353"/>
      <c r="AH1" s="353"/>
      <c r="AI1" s="353"/>
      <c r="AJ1" s="353"/>
      <c r="AK1" s="353"/>
      <c r="AL1" s="353"/>
      <c r="AM1" s="353"/>
      <c r="AN1" s="353"/>
      <c r="AO1" s="353"/>
      <c r="AP1" s="353"/>
      <c r="AQ1" s="353"/>
      <c r="AR1" s="353"/>
      <c r="AS1" s="353"/>
      <c r="AT1" s="353"/>
      <c r="AU1" s="353"/>
      <c r="AV1" s="353"/>
      <c r="AW1" s="353"/>
      <c r="AX1" s="353"/>
      <c r="AY1" s="353"/>
      <c r="AZ1" s="353"/>
      <c r="BA1" s="353"/>
      <c r="BB1" s="353"/>
      <c r="BC1" s="353"/>
      <c r="BD1" s="353"/>
      <c r="BE1" s="353"/>
      <c r="BF1" s="353"/>
      <c r="BG1" s="353"/>
      <c r="BH1" s="353"/>
      <c r="BI1" s="353"/>
      <c r="BJ1" s="353"/>
      <c r="BK1" s="353"/>
      <c r="BL1" s="353"/>
      <c r="BM1" s="353"/>
      <c r="BN1" s="353"/>
      <c r="BO1" s="353"/>
      <c r="BP1" s="353"/>
      <c r="BQ1" s="353"/>
      <c r="BR1" s="353"/>
      <c r="BS1" s="353"/>
      <c r="BT1" s="353"/>
      <c r="BU1" s="353"/>
      <c r="BV1" s="353"/>
      <c r="BW1" s="353"/>
      <c r="BX1" s="353"/>
      <c r="BY1" s="353"/>
      <c r="BZ1" s="353"/>
      <c r="CA1" s="353"/>
      <c r="CB1" s="353"/>
      <c r="CC1" s="353"/>
      <c r="CD1" s="353"/>
      <c r="CE1" s="353"/>
      <c r="CF1" s="353"/>
      <c r="CG1" s="353"/>
      <c r="CH1" s="353"/>
      <c r="CI1" s="353"/>
      <c r="CJ1" s="353"/>
      <c r="CK1" s="353"/>
      <c r="CL1" s="353"/>
      <c r="CM1" s="353"/>
      <c r="CN1" s="353"/>
      <c r="CO1" s="353"/>
      <c r="CP1" s="353"/>
      <c r="CQ1" s="353"/>
      <c r="CR1" s="353"/>
      <c r="CS1" s="353"/>
      <c r="CT1" s="353"/>
      <c r="CU1" s="353"/>
      <c r="CV1" s="353"/>
      <c r="CW1" s="353"/>
      <c r="CX1" s="353"/>
      <c r="CY1" s="353"/>
      <c r="CZ1" s="353"/>
      <c r="DA1" s="353"/>
      <c r="DB1" s="353"/>
      <c r="DC1" s="353"/>
      <c r="DD1" s="353"/>
      <c r="DE1" s="353"/>
      <c r="DF1" s="353"/>
      <c r="DG1" s="353"/>
      <c r="DH1" s="353"/>
      <c r="DI1" s="353"/>
      <c r="DJ1" s="353"/>
      <c r="DK1" s="353"/>
      <c r="DL1" s="353"/>
      <c r="DM1" s="353"/>
      <c r="DN1" s="353"/>
      <c r="DO1" s="353"/>
      <c r="DP1" s="353"/>
      <c r="DQ1" s="353"/>
      <c r="DR1" s="353"/>
      <c r="DS1" s="353"/>
      <c r="DT1" s="353"/>
      <c r="DU1" s="353"/>
      <c r="DV1" s="353"/>
      <c r="DW1" s="353"/>
      <c r="DX1" s="353"/>
      <c r="DY1" s="353"/>
      <c r="DZ1" s="353"/>
      <c r="EA1" s="353"/>
      <c r="EB1" s="353"/>
      <c r="EC1" s="353"/>
      <c r="ED1" s="353"/>
      <c r="EE1" s="353"/>
      <c r="EF1" s="353"/>
      <c r="EG1" s="353"/>
      <c r="EH1" s="353"/>
      <c r="EI1" s="353"/>
      <c r="EJ1" s="353"/>
      <c r="EK1" s="353"/>
      <c r="EL1" s="353"/>
      <c r="EM1" s="353"/>
      <c r="EN1" s="353"/>
      <c r="EO1" s="353"/>
      <c r="EP1" s="353"/>
      <c r="EQ1" s="353"/>
      <c r="ER1" s="353"/>
      <c r="ES1" s="353"/>
      <c r="ET1" s="353"/>
      <c r="EU1" s="353"/>
      <c r="EV1" s="353"/>
      <c r="EW1" s="353"/>
      <c r="EX1" s="353"/>
      <c r="EY1" s="353"/>
      <c r="EZ1" s="353"/>
      <c r="FA1" s="353"/>
      <c r="FB1" s="353"/>
      <c r="FC1" s="353"/>
      <c r="FD1" s="353"/>
      <c r="FE1" s="353"/>
      <c r="FF1" s="353"/>
      <c r="FG1" s="353"/>
      <c r="FH1" s="353"/>
      <c r="FI1" s="353"/>
      <c r="FJ1" s="353"/>
      <c r="FK1" s="353"/>
      <c r="FL1" s="353"/>
      <c r="FM1" s="353"/>
      <c r="FN1" s="353"/>
      <c r="FO1" s="353"/>
      <c r="FP1" s="353"/>
      <c r="FQ1" s="353"/>
      <c r="FR1" s="353"/>
      <c r="FS1" s="353"/>
      <c r="FT1" s="353"/>
      <c r="FU1" s="353"/>
      <c r="FV1" s="353"/>
      <c r="FW1" s="353"/>
      <c r="FX1" s="353"/>
      <c r="FY1" s="353"/>
      <c r="FZ1" s="353"/>
      <c r="GA1" s="353"/>
      <c r="GB1" s="353"/>
      <c r="GC1" s="353"/>
      <c r="GD1" s="353"/>
      <c r="GE1" s="353"/>
      <c r="GF1" s="353"/>
      <c r="GG1" s="353"/>
      <c r="GH1" s="353"/>
      <c r="GI1" s="353"/>
      <c r="GJ1" s="353"/>
      <c r="GK1" s="353"/>
      <c r="GL1" s="353"/>
      <c r="GM1" s="353"/>
      <c r="GN1" s="353"/>
      <c r="GO1" s="353"/>
      <c r="GP1" s="353"/>
      <c r="GQ1" s="353"/>
      <c r="GR1" s="353"/>
      <c r="GS1" s="353"/>
      <c r="GT1" s="353"/>
      <c r="GU1" s="353"/>
      <c r="GV1" s="353"/>
      <c r="GW1" s="353"/>
      <c r="GX1" s="353"/>
      <c r="GY1" s="353"/>
      <c r="GZ1" s="353"/>
      <c r="HA1" s="353"/>
      <c r="HB1" s="353"/>
      <c r="HC1" s="353"/>
      <c r="HD1" s="353"/>
      <c r="HE1" s="353"/>
      <c r="HF1" s="353"/>
      <c r="HG1" s="353"/>
      <c r="HH1" s="353"/>
      <c r="HI1" s="353"/>
      <c r="HJ1" s="353"/>
      <c r="HK1" s="353"/>
      <c r="HL1" s="353"/>
      <c r="HM1" s="353"/>
      <c r="HN1" s="353"/>
      <c r="HO1" s="353"/>
      <c r="HP1" s="353"/>
      <c r="HQ1" s="353"/>
      <c r="HR1" s="353"/>
      <c r="HS1" s="353"/>
      <c r="HT1" s="353"/>
      <c r="HU1" s="353"/>
      <c r="HV1" s="353"/>
      <c r="HW1" s="353"/>
      <c r="HX1" s="353"/>
      <c r="HY1" s="353"/>
      <c r="HZ1" s="353"/>
      <c r="IA1" s="353"/>
      <c r="IB1" s="353"/>
      <c r="IC1" s="353"/>
      <c r="ID1" s="353"/>
      <c r="IE1" s="353"/>
      <c r="IF1" s="353"/>
      <c r="IG1" s="353"/>
      <c r="IH1" s="353"/>
      <c r="II1" s="353"/>
      <c r="IJ1" s="353"/>
      <c r="IK1" s="353"/>
      <c r="IL1" s="353"/>
      <c r="IM1" s="353"/>
      <c r="IN1" s="353"/>
      <c r="IO1" s="353"/>
      <c r="IP1" s="353"/>
      <c r="IQ1" s="353"/>
      <c r="IR1" s="353"/>
      <c r="IS1" s="353"/>
      <c r="IT1" s="353"/>
      <c r="IU1" s="353"/>
      <c r="IV1" s="353"/>
      <c r="IW1" s="353"/>
      <c r="IX1" s="353"/>
      <c r="IY1" s="353"/>
      <c r="IZ1" s="353"/>
      <c r="JA1" s="353"/>
      <c r="JB1" s="353"/>
      <c r="JC1" s="353"/>
      <c r="JD1" s="353"/>
      <c r="JE1" s="353"/>
      <c r="JF1" s="353"/>
      <c r="JG1" s="353"/>
      <c r="JH1" s="353"/>
      <c r="JI1" s="353"/>
      <c r="JJ1" s="353"/>
      <c r="JK1" s="353"/>
      <c r="JL1" s="353"/>
      <c r="JM1" s="353"/>
      <c r="JN1" s="353"/>
      <c r="JO1" s="353"/>
      <c r="JP1" s="353"/>
      <c r="JQ1" s="353"/>
      <c r="JR1" s="353"/>
      <c r="JS1" s="353"/>
      <c r="JT1" s="353"/>
      <c r="JU1" s="353"/>
      <c r="JV1" s="353"/>
      <c r="JW1" s="353"/>
      <c r="JX1" s="353"/>
      <c r="JY1" s="353"/>
      <c r="JZ1" s="353"/>
      <c r="KA1" s="353"/>
      <c r="KB1" s="353"/>
      <c r="KC1" s="353"/>
      <c r="KD1" s="353"/>
      <c r="KE1" s="353"/>
      <c r="KF1" s="353"/>
      <c r="KG1" s="353"/>
      <c r="KH1" s="353"/>
      <c r="KI1" s="353"/>
      <c r="KJ1" s="353"/>
      <c r="KK1" s="353"/>
      <c r="KL1" s="353"/>
      <c r="KM1" s="353"/>
      <c r="KN1" s="353"/>
      <c r="KO1" s="353"/>
      <c r="KP1" s="353"/>
      <c r="KQ1" s="353"/>
      <c r="KR1" s="353"/>
      <c r="KS1" s="353"/>
      <c r="KT1" s="353"/>
      <c r="KU1" s="353"/>
      <c r="KV1" s="353"/>
      <c r="KW1" s="353"/>
      <c r="KX1" s="353"/>
      <c r="KY1" s="353"/>
      <c r="KZ1" s="353"/>
      <c r="LA1" s="353"/>
      <c r="LB1" s="353"/>
      <c r="LC1" s="353"/>
      <c r="LD1" s="353"/>
      <c r="LE1" s="353"/>
      <c r="LF1" s="353"/>
      <c r="LG1" s="353"/>
      <c r="LH1" s="353"/>
      <c r="LI1" s="353"/>
      <c r="LJ1" s="353"/>
      <c r="LK1" s="353"/>
      <c r="LL1" s="353"/>
      <c r="LM1" s="353"/>
      <c r="LN1" s="353"/>
      <c r="LO1" s="353"/>
      <c r="LP1" s="353"/>
      <c r="LQ1" s="353"/>
      <c r="LR1" s="353"/>
      <c r="LS1" s="353"/>
      <c r="LT1" s="353"/>
      <c r="LU1" s="353"/>
      <c r="LV1" s="353"/>
      <c r="LW1" s="353"/>
      <c r="LX1" s="353"/>
      <c r="LY1" s="353"/>
      <c r="LZ1" s="353"/>
      <c r="MA1" s="353"/>
      <c r="MB1" s="353"/>
      <c r="MC1" s="353"/>
      <c r="MD1" s="353"/>
      <c r="ME1" s="353"/>
      <c r="MF1" s="353"/>
      <c r="MG1" s="353"/>
      <c r="MH1" s="353"/>
      <c r="MI1" s="353"/>
      <c r="MJ1" s="353"/>
      <c r="MK1" s="353"/>
      <c r="ML1" s="353"/>
      <c r="MM1" s="353"/>
      <c r="MN1" s="353"/>
      <c r="MO1" s="353"/>
      <c r="MP1" s="353"/>
      <c r="MQ1" s="353"/>
      <c r="MR1" s="353"/>
      <c r="MS1" s="353"/>
      <c r="MT1" s="353"/>
      <c r="MU1" s="353"/>
      <c r="MV1" s="353"/>
      <c r="MW1" s="353"/>
      <c r="MX1" s="353"/>
      <c r="MY1" s="353"/>
      <c r="MZ1" s="353"/>
      <c r="NA1" s="353"/>
      <c r="NB1" s="353"/>
      <c r="NC1" s="353"/>
      <c r="ND1" s="353"/>
      <c r="NE1" s="353"/>
      <c r="NF1" s="353"/>
      <c r="NG1" s="353"/>
      <c r="NH1" s="353"/>
      <c r="NI1" s="353"/>
      <c r="NJ1" s="353"/>
      <c r="NK1" s="353"/>
      <c r="NL1" s="353"/>
      <c r="NM1" s="353"/>
      <c r="NN1" s="353"/>
      <c r="NO1" s="353"/>
      <c r="NP1" s="353"/>
      <c r="NQ1" s="353"/>
      <c r="NR1" s="353"/>
      <c r="NS1" s="353"/>
      <c r="NT1" s="353"/>
      <c r="NU1" s="353"/>
      <c r="NV1" s="353"/>
      <c r="NW1" s="353"/>
      <c r="NX1" s="353"/>
      <c r="NY1" s="353"/>
      <c r="NZ1" s="353"/>
      <c r="OA1" s="353"/>
      <c r="OB1" s="353"/>
      <c r="OC1" s="353"/>
      <c r="OD1" s="353"/>
      <c r="OE1" s="353"/>
      <c r="OF1" s="353"/>
      <c r="OG1" s="353"/>
      <c r="OH1" s="353"/>
      <c r="OI1" s="353"/>
      <c r="OJ1" s="353"/>
      <c r="OK1" s="353"/>
      <c r="OL1" s="353"/>
      <c r="OM1" s="353"/>
      <c r="ON1" s="353"/>
      <c r="OO1" s="353"/>
      <c r="OP1" s="353"/>
      <c r="OQ1" s="353"/>
      <c r="OR1" s="353"/>
      <c r="OS1" s="353"/>
      <c r="OT1" s="353"/>
      <c r="OU1" s="353"/>
      <c r="OV1" s="353"/>
      <c r="OW1" s="353"/>
      <c r="OX1" s="353"/>
      <c r="OY1" s="353"/>
      <c r="OZ1" s="353"/>
      <c r="PA1" s="353"/>
      <c r="PB1" s="353"/>
      <c r="PC1" s="353"/>
      <c r="PD1" s="353"/>
      <c r="PE1" s="353"/>
      <c r="PF1" s="353"/>
      <c r="PG1" s="353"/>
      <c r="PH1" s="353"/>
      <c r="PI1" s="353"/>
      <c r="PJ1" s="353"/>
      <c r="PK1" s="353"/>
      <c r="PL1" s="353"/>
      <c r="PM1" s="353"/>
      <c r="PN1" s="353"/>
      <c r="PO1" s="353"/>
      <c r="PP1" s="353"/>
      <c r="PQ1" s="353"/>
      <c r="PR1" s="353"/>
      <c r="PS1" s="353"/>
      <c r="PT1" s="353"/>
      <c r="PU1" s="353"/>
      <c r="PV1" s="353"/>
      <c r="PW1" s="353"/>
      <c r="PX1" s="353"/>
      <c r="PY1" s="353"/>
      <c r="PZ1" s="353"/>
      <c r="QA1" s="353"/>
      <c r="QB1" s="353"/>
      <c r="QC1" s="353"/>
      <c r="QD1" s="353"/>
      <c r="QE1" s="353"/>
      <c r="QF1" s="353"/>
      <c r="QG1" s="353"/>
      <c r="QH1" s="353"/>
      <c r="QI1" s="353"/>
      <c r="QJ1" s="353"/>
      <c r="QK1" s="353"/>
      <c r="QL1" s="353"/>
      <c r="QM1" s="353"/>
      <c r="QN1" s="353"/>
      <c r="QO1" s="353"/>
      <c r="QP1" s="353"/>
      <c r="QQ1" s="353"/>
      <c r="QR1" s="353"/>
      <c r="QS1" s="353"/>
      <c r="QT1" s="353"/>
      <c r="QU1" s="353"/>
      <c r="QV1" s="353"/>
      <c r="QW1" s="353"/>
      <c r="QX1" s="353"/>
      <c r="QY1" s="353"/>
      <c r="QZ1" s="353"/>
      <c r="RA1" s="353"/>
      <c r="RB1" s="353"/>
      <c r="RC1" s="353"/>
      <c r="RD1" s="353"/>
      <c r="RE1" s="353"/>
      <c r="RF1" s="353"/>
      <c r="RG1" s="353"/>
      <c r="RH1" s="353"/>
      <c r="RI1" s="353"/>
      <c r="RJ1" s="353"/>
      <c r="RK1" s="353"/>
      <c r="RL1" s="353"/>
      <c r="RM1" s="353"/>
      <c r="RN1" s="353"/>
      <c r="RO1" s="353"/>
      <c r="RP1" s="353"/>
      <c r="RQ1" s="353"/>
      <c r="RR1" s="353"/>
      <c r="RS1" s="353"/>
      <c r="RT1" s="353"/>
      <c r="RU1" s="353"/>
      <c r="RV1" s="353"/>
      <c r="RW1" s="353"/>
      <c r="RX1" s="353"/>
      <c r="RY1" s="353"/>
      <c r="RZ1" s="353"/>
      <c r="SA1" s="353"/>
      <c r="SB1" s="353"/>
      <c r="SC1" s="353"/>
      <c r="SD1" s="353"/>
      <c r="SE1" s="353"/>
      <c r="SF1" s="353"/>
      <c r="SG1" s="353"/>
      <c r="SH1" s="353"/>
      <c r="SI1" s="353"/>
      <c r="SJ1" s="353"/>
      <c r="SK1" s="353"/>
      <c r="SL1" s="353"/>
      <c r="SM1" s="353"/>
      <c r="SN1" s="353"/>
      <c r="SO1" s="353"/>
      <c r="SP1" s="353"/>
      <c r="SQ1" s="353"/>
      <c r="SR1" s="353"/>
      <c r="SS1" s="353"/>
      <c r="ST1" s="353"/>
      <c r="SU1" s="353"/>
      <c r="SV1" s="353"/>
      <c r="SW1" s="353"/>
      <c r="SX1" s="353"/>
      <c r="SY1" s="353"/>
      <c r="SZ1" s="353"/>
      <c r="TA1" s="353"/>
      <c r="TB1" s="353"/>
      <c r="TC1" s="353"/>
      <c r="TD1" s="353"/>
      <c r="TE1" s="353"/>
      <c r="TF1" s="353"/>
      <c r="TG1" s="353"/>
      <c r="TH1" s="353"/>
      <c r="TI1" s="353"/>
      <c r="TJ1" s="353"/>
      <c r="TK1" s="353"/>
      <c r="TL1" s="353"/>
      <c r="TM1" s="353"/>
      <c r="TN1" s="353"/>
      <c r="TO1" s="353"/>
      <c r="TP1" s="353"/>
      <c r="TQ1" s="353"/>
      <c r="TR1" s="353"/>
      <c r="TS1" s="353"/>
      <c r="TT1" s="353"/>
      <c r="TU1" s="353"/>
      <c r="TV1" s="353"/>
      <c r="TW1" s="353"/>
      <c r="TX1" s="353"/>
      <c r="TY1" s="353"/>
      <c r="TZ1" s="353"/>
      <c r="UA1" s="353"/>
      <c r="UB1" s="353"/>
      <c r="UC1" s="353"/>
      <c r="UD1" s="353"/>
      <c r="UE1" s="353"/>
      <c r="UF1" s="353"/>
      <c r="UG1" s="353"/>
      <c r="UH1" s="353"/>
      <c r="UI1" s="353"/>
      <c r="UJ1" s="353"/>
      <c r="UK1" s="353"/>
      <c r="UL1" s="353"/>
      <c r="UM1" s="353"/>
      <c r="UN1" s="353"/>
      <c r="UO1" s="353"/>
      <c r="UP1" s="353"/>
      <c r="UQ1" s="353"/>
      <c r="UR1" s="353"/>
      <c r="US1" s="353"/>
      <c r="UT1" s="353"/>
      <c r="UU1" s="353"/>
      <c r="UV1" s="353"/>
      <c r="UW1" s="353"/>
      <c r="UX1" s="353"/>
      <c r="UY1" s="353"/>
      <c r="UZ1" s="353"/>
      <c r="VA1" s="353"/>
      <c r="VB1" s="353"/>
      <c r="VC1" s="353"/>
      <c r="VD1" s="353"/>
      <c r="VE1" s="353"/>
      <c r="VF1" s="353"/>
      <c r="VG1" s="353"/>
      <c r="VH1" s="353"/>
      <c r="VI1" s="353"/>
      <c r="VJ1" s="353"/>
      <c r="VK1" s="353"/>
      <c r="VL1" s="353"/>
      <c r="VM1" s="353"/>
      <c r="VN1" s="353"/>
      <c r="VO1" s="353"/>
      <c r="VP1" s="353"/>
      <c r="VQ1" s="353"/>
      <c r="VR1" s="353"/>
      <c r="VS1" s="353"/>
      <c r="VT1" s="353"/>
      <c r="VU1" s="353"/>
      <c r="VV1" s="353"/>
      <c r="VW1" s="353"/>
      <c r="VX1" s="353"/>
      <c r="VY1" s="353"/>
      <c r="VZ1" s="353"/>
      <c r="WA1" s="353"/>
      <c r="WB1" s="353"/>
      <c r="WC1" s="353"/>
      <c r="WD1" s="353"/>
      <c r="WE1" s="353"/>
      <c r="WF1" s="353"/>
      <c r="WG1" s="353"/>
      <c r="WH1" s="353"/>
      <c r="WI1" s="353"/>
      <c r="WJ1" s="353"/>
      <c r="WK1" s="353"/>
      <c r="WL1" s="353"/>
      <c r="WM1" s="353"/>
      <c r="WN1" s="353"/>
      <c r="WO1" s="353"/>
      <c r="WP1" s="353"/>
      <c r="WQ1" s="353"/>
      <c r="WR1" s="353"/>
      <c r="WS1" s="353"/>
      <c r="WT1" s="353"/>
      <c r="WU1" s="353"/>
      <c r="WV1" s="353"/>
      <c r="WW1" s="353"/>
      <c r="WX1" s="353"/>
      <c r="WY1" s="353"/>
      <c r="WZ1" s="353"/>
      <c r="XA1" s="353"/>
      <c r="XB1" s="353"/>
      <c r="XC1" s="353"/>
      <c r="XD1" s="353"/>
      <c r="XE1" s="353"/>
      <c r="XF1" s="353"/>
      <c r="XG1" s="353"/>
      <c r="XH1" s="353"/>
      <c r="XI1" s="353"/>
      <c r="XJ1" s="353"/>
      <c r="XK1" s="353"/>
      <c r="XL1" s="353"/>
      <c r="XM1" s="353"/>
      <c r="XN1" s="353"/>
      <c r="XO1" s="353"/>
      <c r="XP1" s="353"/>
      <c r="XQ1" s="353"/>
      <c r="XR1" s="353"/>
      <c r="XS1" s="353"/>
      <c r="XT1" s="353"/>
      <c r="XU1" s="353"/>
      <c r="XV1" s="353"/>
      <c r="XW1" s="353"/>
      <c r="XX1" s="353"/>
      <c r="XY1" s="353"/>
      <c r="XZ1" s="353"/>
      <c r="YA1" s="353"/>
      <c r="YB1" s="353"/>
      <c r="YC1" s="353"/>
      <c r="YD1" s="353"/>
      <c r="YE1" s="353"/>
      <c r="YF1" s="353"/>
      <c r="YG1" s="353"/>
      <c r="YH1" s="353"/>
      <c r="YI1" s="353"/>
      <c r="YJ1" s="353"/>
      <c r="YK1" s="353"/>
      <c r="YL1" s="353"/>
      <c r="YM1" s="353"/>
      <c r="YN1" s="353"/>
      <c r="YO1" s="353"/>
      <c r="YP1" s="353"/>
      <c r="YQ1" s="353"/>
      <c r="YR1" s="353"/>
      <c r="YS1" s="353"/>
      <c r="YT1" s="353"/>
      <c r="YU1" s="353"/>
      <c r="YV1" s="353"/>
      <c r="YW1" s="353"/>
      <c r="YX1" s="353"/>
      <c r="YY1" s="353"/>
      <c r="YZ1" s="353"/>
      <c r="ZA1" s="353"/>
      <c r="ZB1" s="353"/>
      <c r="ZC1" s="353"/>
      <c r="ZD1" s="353"/>
      <c r="ZE1" s="353"/>
      <c r="ZF1" s="353"/>
      <c r="ZG1" s="353"/>
      <c r="ZH1" s="353"/>
      <c r="ZI1" s="353"/>
      <c r="ZJ1" s="353"/>
      <c r="ZK1" s="353"/>
      <c r="ZL1" s="353"/>
      <c r="ZM1" s="353"/>
      <c r="ZN1" s="353"/>
      <c r="ZO1" s="353"/>
      <c r="ZP1" s="353"/>
      <c r="ZQ1" s="353"/>
      <c r="ZR1" s="353"/>
      <c r="ZS1" s="353"/>
      <c r="ZT1" s="353"/>
      <c r="ZU1" s="353"/>
      <c r="ZV1" s="353"/>
      <c r="ZW1" s="353"/>
      <c r="ZX1" s="353"/>
      <c r="ZY1" s="353"/>
      <c r="ZZ1" s="353"/>
      <c r="AAA1" s="353"/>
      <c r="AAB1" s="353"/>
      <c r="AAC1" s="353"/>
      <c r="AAD1" s="353"/>
      <c r="AAE1" s="353"/>
      <c r="AAF1" s="353"/>
      <c r="AAG1" s="353"/>
      <c r="AAH1" s="353"/>
      <c r="AAI1" s="353"/>
      <c r="AAJ1" s="353"/>
      <c r="AAK1" s="353"/>
      <c r="AAL1" s="353"/>
      <c r="AAM1" s="353"/>
      <c r="AAN1" s="353"/>
      <c r="AAO1" s="353"/>
      <c r="AAP1" s="353"/>
      <c r="AAQ1" s="353"/>
      <c r="AAR1" s="353"/>
      <c r="AAS1" s="353"/>
      <c r="AAT1" s="353"/>
      <c r="AAU1" s="353"/>
      <c r="AAV1" s="353"/>
      <c r="AAW1" s="353"/>
      <c r="AAX1" s="353"/>
      <c r="AAY1" s="353"/>
      <c r="AAZ1" s="353"/>
      <c r="ABA1" s="353"/>
      <c r="ABB1" s="353"/>
      <c r="ABC1" s="353"/>
      <c r="ABD1" s="353"/>
      <c r="ABE1" s="353"/>
      <c r="ABF1" s="353"/>
      <c r="ABG1" s="353"/>
      <c r="ABH1" s="353"/>
      <c r="ABI1" s="353"/>
      <c r="ABJ1" s="353"/>
      <c r="ABK1" s="353"/>
      <c r="ABL1" s="353"/>
      <c r="ABM1" s="353"/>
      <c r="ABN1" s="353"/>
      <c r="ABO1" s="353"/>
      <c r="ABP1" s="353"/>
      <c r="ABQ1" s="353"/>
      <c r="ABR1" s="353"/>
      <c r="ABS1" s="353"/>
      <c r="ABT1" s="353"/>
      <c r="ABU1" s="353"/>
      <c r="ABV1" s="353"/>
      <c r="ABW1" s="353"/>
      <c r="ABX1" s="353"/>
      <c r="ABY1" s="353"/>
      <c r="ABZ1" s="353"/>
      <c r="ACA1" s="353"/>
      <c r="ACB1" s="353"/>
      <c r="ACC1" s="353"/>
      <c r="ACD1" s="353"/>
      <c r="ACE1" s="353"/>
      <c r="ACF1" s="353"/>
      <c r="ACG1" s="353"/>
      <c r="ACH1" s="353"/>
      <c r="ACI1" s="353"/>
      <c r="ACJ1" s="353"/>
      <c r="ACK1" s="353"/>
      <c r="ACL1" s="353"/>
      <c r="ACM1" s="353"/>
      <c r="ACN1" s="353"/>
      <c r="ACO1" s="353"/>
      <c r="ACP1" s="353"/>
      <c r="ACQ1" s="353"/>
      <c r="ACR1" s="353"/>
      <c r="ACS1" s="353"/>
      <c r="ACT1" s="353"/>
      <c r="ACU1" s="353"/>
      <c r="ACV1" s="353"/>
      <c r="ACW1" s="353"/>
      <c r="ACX1" s="353"/>
      <c r="ACY1" s="353"/>
      <c r="ACZ1" s="353"/>
      <c r="ADA1" s="353"/>
      <c r="ADB1" s="353"/>
      <c r="ADC1" s="353"/>
      <c r="ADD1" s="353"/>
      <c r="ADE1" s="353"/>
      <c r="ADF1" s="353"/>
      <c r="ADG1" s="353"/>
      <c r="ADH1" s="353"/>
      <c r="ADI1" s="353"/>
      <c r="ADJ1" s="353"/>
      <c r="ADK1" s="353"/>
      <c r="ADL1" s="353"/>
      <c r="ADM1" s="353"/>
      <c r="ADN1" s="353"/>
      <c r="ADO1" s="353"/>
      <c r="ADP1" s="353"/>
      <c r="ADQ1" s="353"/>
      <c r="ADR1" s="353"/>
      <c r="ADS1" s="353"/>
      <c r="ADT1" s="353"/>
      <c r="ADU1" s="353"/>
      <c r="ADV1" s="353"/>
      <c r="ADW1" s="353"/>
      <c r="ADX1" s="353"/>
      <c r="ADY1" s="353"/>
      <c r="ADZ1" s="353"/>
      <c r="AEA1" s="353"/>
      <c r="AEB1" s="353"/>
      <c r="AEC1" s="353"/>
      <c r="AED1" s="353"/>
      <c r="AEE1" s="353"/>
      <c r="AEF1" s="353"/>
      <c r="AEG1" s="353"/>
      <c r="AEH1" s="353"/>
      <c r="AEI1" s="353"/>
      <c r="AEJ1" s="353"/>
      <c r="AEK1" s="353"/>
      <c r="AEL1" s="353"/>
      <c r="AEM1" s="353"/>
      <c r="AEN1" s="353"/>
      <c r="AEO1" s="353"/>
      <c r="AEP1" s="353"/>
      <c r="AEQ1" s="353"/>
      <c r="AER1" s="353"/>
      <c r="AES1" s="353"/>
      <c r="AET1" s="353"/>
      <c r="AEU1" s="353"/>
      <c r="AEV1" s="353"/>
      <c r="AEW1" s="353"/>
      <c r="AEX1" s="353"/>
      <c r="AEY1" s="353"/>
      <c r="AEZ1" s="353"/>
      <c r="AFA1" s="353"/>
      <c r="AFB1" s="353"/>
      <c r="AFC1" s="353"/>
      <c r="AFD1" s="353"/>
      <c r="AFE1" s="353"/>
      <c r="AFF1" s="353"/>
      <c r="AFG1" s="353"/>
      <c r="AFH1" s="353"/>
      <c r="AFI1" s="353"/>
      <c r="AFJ1" s="353"/>
      <c r="AFK1" s="353"/>
      <c r="AFL1" s="353"/>
      <c r="AFM1" s="353"/>
      <c r="AFN1" s="353"/>
      <c r="AFO1" s="353"/>
      <c r="AFP1" s="353"/>
      <c r="AFQ1" s="353"/>
      <c r="AFR1" s="353"/>
      <c r="AFS1" s="353"/>
      <c r="AFT1" s="353"/>
      <c r="AFU1" s="353"/>
      <c r="AFV1" s="353"/>
      <c r="AFW1" s="353"/>
      <c r="AFX1" s="353"/>
      <c r="AFY1" s="353"/>
      <c r="AFZ1" s="353"/>
      <c r="AGA1" s="353"/>
      <c r="AGB1" s="353"/>
      <c r="AGC1" s="353"/>
      <c r="AGD1" s="353"/>
      <c r="AGE1" s="353"/>
      <c r="AGF1" s="353"/>
      <c r="AGG1" s="353"/>
      <c r="AGH1" s="353"/>
      <c r="AGI1" s="353"/>
      <c r="AGJ1" s="353"/>
      <c r="AGK1" s="353"/>
      <c r="AGL1" s="353"/>
      <c r="AGM1" s="353"/>
      <c r="AGN1" s="353"/>
      <c r="AGO1" s="353"/>
      <c r="AGP1" s="353"/>
      <c r="AGQ1" s="353"/>
      <c r="AGR1" s="353"/>
      <c r="AGS1" s="353"/>
      <c r="AGT1" s="353"/>
      <c r="AGU1" s="353"/>
      <c r="AGV1" s="353"/>
      <c r="AGW1" s="353"/>
      <c r="AGX1" s="353"/>
      <c r="AGY1" s="353"/>
      <c r="AGZ1" s="353"/>
      <c r="AHA1" s="353"/>
      <c r="AHB1" s="353"/>
      <c r="AHC1" s="353"/>
      <c r="AHD1" s="353"/>
      <c r="AHE1" s="353"/>
      <c r="AHF1" s="353"/>
      <c r="AHG1" s="353"/>
      <c r="AHH1" s="353"/>
      <c r="AHI1" s="353"/>
      <c r="AHJ1" s="353"/>
      <c r="AHK1" s="353"/>
      <c r="AHL1" s="353"/>
      <c r="AHM1" s="353"/>
      <c r="AHN1" s="353"/>
      <c r="AHO1" s="353"/>
      <c r="AHP1" s="353"/>
      <c r="AHQ1" s="353"/>
      <c r="AHR1" s="353"/>
      <c r="AHS1" s="353"/>
      <c r="AHT1" s="353"/>
      <c r="AHU1" s="353"/>
      <c r="AHV1" s="353"/>
      <c r="AHW1" s="353"/>
      <c r="AHX1" s="353"/>
      <c r="AHY1" s="353"/>
      <c r="AHZ1" s="353"/>
      <c r="AIA1" s="353"/>
      <c r="AIB1" s="353"/>
      <c r="AIC1" s="353"/>
      <c r="AID1" s="353"/>
      <c r="AIE1" s="353"/>
      <c r="AIF1" s="353"/>
      <c r="AIG1" s="353"/>
      <c r="AIH1" s="353"/>
      <c r="AII1" s="353"/>
      <c r="AIJ1" s="353"/>
      <c r="AIK1" s="353"/>
      <c r="AIL1" s="353"/>
      <c r="AIM1" s="353"/>
      <c r="AIN1" s="353"/>
      <c r="AIO1" s="353"/>
      <c r="AIP1" s="353"/>
      <c r="AIQ1" s="353"/>
      <c r="AIR1" s="353"/>
      <c r="AIS1" s="353"/>
      <c r="AIT1" s="353"/>
      <c r="AIU1" s="353"/>
      <c r="AIV1" s="353"/>
      <c r="AIW1" s="353"/>
      <c r="AIX1" s="353"/>
      <c r="AIY1" s="353"/>
      <c r="AIZ1" s="353"/>
      <c r="AJA1" s="353"/>
      <c r="AJB1" s="353"/>
      <c r="AJC1" s="353"/>
      <c r="AJD1" s="353"/>
      <c r="AJE1" s="353"/>
      <c r="AJF1" s="353"/>
      <c r="AJG1" s="353"/>
      <c r="AJH1" s="353"/>
      <c r="AJI1" s="353"/>
      <c r="AJJ1" s="353"/>
      <c r="AJK1" s="353"/>
      <c r="AJL1" s="353"/>
      <c r="AJM1" s="353"/>
      <c r="AJN1" s="353"/>
      <c r="AJO1" s="353"/>
      <c r="AJP1" s="353"/>
      <c r="AJQ1" s="353"/>
      <c r="AJR1" s="353"/>
      <c r="AJS1" s="353"/>
      <c r="AJT1" s="353"/>
      <c r="AJU1" s="353"/>
      <c r="AJV1" s="353"/>
      <c r="AJW1" s="353"/>
      <c r="AJX1" s="353"/>
      <c r="AJY1" s="353"/>
      <c r="AJZ1" s="353"/>
      <c r="AKA1" s="353"/>
      <c r="AKB1" s="353"/>
      <c r="AKC1" s="353"/>
      <c r="AKD1" s="353"/>
      <c r="AKE1" s="353"/>
      <c r="AKF1" s="353"/>
      <c r="AKG1" s="353"/>
      <c r="AKH1" s="353"/>
      <c r="AKI1" s="353"/>
      <c r="AKJ1" s="353"/>
      <c r="AKK1" s="353"/>
      <c r="AKL1" s="353"/>
      <c r="AKM1" s="353"/>
      <c r="AKN1" s="353"/>
      <c r="AKO1" s="353"/>
      <c r="AKP1" s="353"/>
      <c r="AKQ1" s="353"/>
      <c r="AKR1" s="353"/>
      <c r="AKS1" s="353"/>
      <c r="AKT1" s="353"/>
      <c r="AKU1" s="353"/>
      <c r="AKV1" s="353"/>
      <c r="AKW1" s="353"/>
      <c r="AKX1" s="353"/>
      <c r="AKY1" s="353"/>
      <c r="AKZ1" s="353"/>
      <c r="ALA1" s="353"/>
      <c r="ALB1" s="353"/>
      <c r="ALC1" s="353"/>
      <c r="ALD1" s="353"/>
      <c r="ALE1" s="353"/>
      <c r="ALF1" s="353"/>
      <c r="ALG1" s="353"/>
      <c r="ALH1" s="353"/>
      <c r="ALI1" s="353"/>
      <c r="ALJ1" s="353"/>
      <c r="ALK1" s="353"/>
      <c r="ALL1" s="353"/>
      <c r="ALM1" s="353"/>
      <c r="ALN1" s="353"/>
      <c r="ALO1" s="353"/>
      <c r="ALP1" s="353"/>
      <c r="ALQ1" s="353"/>
      <c r="ALR1" s="353"/>
      <c r="ALS1" s="353"/>
      <c r="ALT1" s="353"/>
      <c r="ALU1" s="353"/>
      <c r="ALV1" s="353"/>
      <c r="ALW1" s="353"/>
      <c r="ALX1" s="353"/>
      <c r="ALY1" s="353"/>
      <c r="ALZ1" s="353"/>
      <c r="AMA1" s="353"/>
      <c r="AMB1" s="353"/>
      <c r="AMC1" s="353"/>
      <c r="AMD1" s="353"/>
      <c r="AME1" s="353"/>
      <c r="AMF1" s="353"/>
      <c r="AMG1" s="353"/>
      <c r="AMH1" s="353"/>
      <c r="AMI1" s="353"/>
      <c r="AMJ1" s="353"/>
      <c r="AMK1" s="353"/>
      <c r="AML1" s="353"/>
      <c r="AMM1" s="353"/>
      <c r="AMN1" s="353"/>
      <c r="AMO1" s="353"/>
      <c r="AMP1" s="353"/>
      <c r="AMQ1" s="353"/>
      <c r="AMR1" s="353"/>
      <c r="AMS1" s="353"/>
      <c r="AMT1" s="353"/>
      <c r="AMU1" s="353"/>
      <c r="AMV1" s="353"/>
      <c r="AMW1" s="353"/>
      <c r="AMX1" s="353"/>
      <c r="AMY1" s="353"/>
      <c r="AMZ1" s="353"/>
      <c r="ANA1" s="353"/>
      <c r="ANB1" s="353"/>
      <c r="ANC1" s="353"/>
      <c r="AND1" s="353"/>
      <c r="ANE1" s="353"/>
      <c r="ANF1" s="353"/>
      <c r="ANG1" s="353"/>
      <c r="ANH1" s="353"/>
      <c r="ANI1" s="353"/>
      <c r="ANJ1" s="353"/>
      <c r="ANK1" s="353"/>
      <c r="ANL1" s="353"/>
      <c r="ANM1" s="353"/>
      <c r="ANN1" s="353"/>
      <c r="ANO1" s="353"/>
      <c r="ANP1" s="353"/>
      <c r="ANQ1" s="353"/>
      <c r="ANR1" s="353"/>
      <c r="ANS1" s="353"/>
      <c r="ANT1" s="353"/>
      <c r="ANU1" s="353"/>
      <c r="ANV1" s="353"/>
      <c r="ANW1" s="353"/>
      <c r="ANX1" s="353"/>
      <c r="ANY1" s="353"/>
      <c r="ANZ1" s="353"/>
      <c r="AOA1" s="353"/>
      <c r="AOB1" s="353"/>
      <c r="AOC1" s="353"/>
      <c r="AOD1" s="353"/>
      <c r="AOE1" s="353"/>
      <c r="AOF1" s="353"/>
      <c r="AOG1" s="353"/>
      <c r="AOH1" s="353"/>
      <c r="AOI1" s="353"/>
      <c r="AOJ1" s="353"/>
      <c r="AOK1" s="353"/>
      <c r="AOL1" s="353"/>
      <c r="AOM1" s="353"/>
      <c r="AON1" s="353"/>
      <c r="AOO1" s="353"/>
      <c r="AOP1" s="353"/>
      <c r="AOQ1" s="353"/>
      <c r="AOR1" s="353"/>
      <c r="AOS1" s="353"/>
      <c r="AOT1" s="353"/>
      <c r="AOU1" s="353"/>
      <c r="AOV1" s="353"/>
      <c r="AOW1" s="353"/>
      <c r="AOX1" s="353"/>
      <c r="AOY1" s="353"/>
      <c r="AOZ1" s="353"/>
      <c r="APA1" s="353"/>
      <c r="APB1" s="353"/>
      <c r="APC1" s="353"/>
      <c r="APD1" s="353"/>
      <c r="APE1" s="353"/>
      <c r="APF1" s="353"/>
      <c r="APG1" s="353"/>
      <c r="APH1" s="353"/>
      <c r="API1" s="353"/>
      <c r="APJ1" s="353"/>
      <c r="APK1" s="353"/>
      <c r="APL1" s="353"/>
      <c r="APM1" s="353"/>
      <c r="APN1" s="353"/>
      <c r="APO1" s="353"/>
      <c r="APP1" s="353"/>
      <c r="APQ1" s="353"/>
      <c r="APR1" s="353"/>
      <c r="APS1" s="353"/>
      <c r="APT1" s="353"/>
      <c r="APU1" s="353"/>
      <c r="APV1" s="353"/>
      <c r="APW1" s="353"/>
      <c r="APX1" s="353"/>
      <c r="APY1" s="353"/>
      <c r="APZ1" s="353"/>
      <c r="AQA1" s="353"/>
      <c r="AQB1" s="353"/>
      <c r="AQC1" s="353"/>
      <c r="AQD1" s="353"/>
      <c r="AQE1" s="353"/>
      <c r="AQF1" s="353"/>
      <c r="AQG1" s="353"/>
      <c r="AQH1" s="353"/>
      <c r="AQI1" s="353"/>
      <c r="AQJ1" s="353"/>
      <c r="AQK1" s="353"/>
      <c r="AQL1" s="353"/>
      <c r="AQM1" s="353"/>
      <c r="AQN1" s="353"/>
      <c r="AQO1" s="353"/>
      <c r="AQP1" s="353"/>
      <c r="AQQ1" s="353"/>
      <c r="AQR1" s="353"/>
      <c r="AQS1" s="353"/>
      <c r="AQT1" s="353"/>
      <c r="AQU1" s="353"/>
      <c r="AQV1" s="353"/>
      <c r="AQW1" s="353"/>
      <c r="AQX1" s="353"/>
      <c r="AQY1" s="353"/>
      <c r="AQZ1" s="353"/>
      <c r="ARA1" s="353"/>
      <c r="ARB1" s="353"/>
      <c r="ARC1" s="353"/>
      <c r="ARD1" s="353"/>
      <c r="ARE1" s="353"/>
      <c r="ARF1" s="353"/>
      <c r="ARG1" s="353"/>
      <c r="ARH1" s="353"/>
      <c r="ARI1" s="353"/>
      <c r="ARJ1" s="353"/>
      <c r="ARK1" s="353"/>
      <c r="ARL1" s="353"/>
      <c r="ARM1" s="353"/>
      <c r="ARN1" s="353"/>
      <c r="ARO1" s="353"/>
      <c r="ARP1" s="353"/>
      <c r="ARQ1" s="353"/>
      <c r="ARR1" s="353"/>
      <c r="ARS1" s="353"/>
      <c r="ART1" s="353"/>
      <c r="ARU1" s="353"/>
      <c r="ARV1" s="353"/>
      <c r="ARW1" s="353"/>
      <c r="ARX1" s="353"/>
      <c r="ARY1" s="353"/>
      <c r="ARZ1" s="353"/>
      <c r="ASA1" s="353"/>
      <c r="ASB1" s="353"/>
      <c r="ASC1" s="353"/>
      <c r="ASD1" s="353"/>
      <c r="ASE1" s="353"/>
      <c r="ASF1" s="353"/>
      <c r="ASG1" s="353"/>
      <c r="ASH1" s="353"/>
      <c r="ASI1" s="353"/>
      <c r="ASJ1" s="353"/>
      <c r="ASK1" s="353"/>
      <c r="ASL1" s="353"/>
      <c r="ASM1" s="353"/>
      <c r="ASN1" s="353"/>
      <c r="ASO1" s="353"/>
      <c r="ASP1" s="353"/>
      <c r="ASQ1" s="353"/>
      <c r="ASR1" s="353"/>
      <c r="ASS1" s="353"/>
      <c r="AST1" s="353"/>
      <c r="ASU1" s="353"/>
      <c r="ASV1" s="353"/>
      <c r="ASW1" s="353"/>
      <c r="ASX1" s="353"/>
      <c r="ASY1" s="353"/>
      <c r="ASZ1" s="353"/>
      <c r="ATA1" s="353"/>
      <c r="ATB1" s="353"/>
      <c r="ATC1" s="353"/>
      <c r="ATD1" s="353"/>
      <c r="ATE1" s="353"/>
      <c r="ATF1" s="353"/>
      <c r="ATG1" s="353"/>
      <c r="ATH1" s="353"/>
      <c r="ATI1" s="353"/>
      <c r="ATJ1" s="353"/>
      <c r="ATK1" s="353"/>
      <c r="ATL1" s="353"/>
      <c r="ATM1" s="353"/>
      <c r="ATN1" s="353"/>
      <c r="ATO1" s="353"/>
      <c r="ATP1" s="353"/>
      <c r="ATQ1" s="353"/>
      <c r="ATR1" s="353"/>
      <c r="ATS1" s="353"/>
      <c r="ATT1" s="353"/>
      <c r="ATU1" s="353"/>
      <c r="ATV1" s="353"/>
      <c r="ATW1" s="353"/>
      <c r="ATX1" s="353"/>
      <c r="ATY1" s="353"/>
      <c r="ATZ1" s="353"/>
      <c r="AUA1" s="353"/>
      <c r="AUB1" s="353"/>
      <c r="AUC1" s="353"/>
      <c r="AUD1" s="353"/>
      <c r="AUE1" s="353"/>
      <c r="AUF1" s="353"/>
      <c r="AUG1" s="353"/>
      <c r="AUH1" s="353"/>
      <c r="AUI1" s="353"/>
      <c r="AUJ1" s="353"/>
      <c r="AUK1" s="353"/>
      <c r="AUL1" s="353"/>
      <c r="AUM1" s="353"/>
      <c r="AUN1" s="353"/>
      <c r="AUO1" s="353"/>
      <c r="AUP1" s="353"/>
      <c r="AUQ1" s="353"/>
      <c r="AUR1" s="353"/>
      <c r="AUS1" s="353"/>
      <c r="AUT1" s="353"/>
      <c r="AUU1" s="353"/>
      <c r="AUV1" s="353"/>
      <c r="AUW1" s="353"/>
      <c r="AUX1" s="353"/>
      <c r="AUY1" s="353"/>
      <c r="AUZ1" s="353"/>
      <c r="AVA1" s="353"/>
      <c r="AVB1" s="353"/>
      <c r="AVC1" s="353"/>
      <c r="AVD1" s="353"/>
      <c r="AVE1" s="353"/>
      <c r="AVF1" s="353"/>
      <c r="AVG1" s="353"/>
      <c r="AVH1" s="353"/>
      <c r="AVI1" s="353"/>
      <c r="AVJ1" s="353"/>
      <c r="AVK1" s="353"/>
      <c r="AVL1" s="353"/>
      <c r="AVM1" s="353"/>
      <c r="AVN1" s="353"/>
      <c r="AVO1" s="353"/>
      <c r="AVP1" s="353"/>
      <c r="AVQ1" s="353"/>
      <c r="AVR1" s="353"/>
      <c r="AVS1" s="353"/>
      <c r="AVT1" s="353"/>
      <c r="AVU1" s="353"/>
      <c r="AVV1" s="353"/>
      <c r="AVW1" s="353"/>
      <c r="AVX1" s="353"/>
      <c r="AVY1" s="353"/>
      <c r="AVZ1" s="353"/>
      <c r="AWA1" s="353"/>
      <c r="AWB1" s="353"/>
      <c r="AWC1" s="353"/>
      <c r="AWD1" s="353"/>
      <c r="AWE1" s="353"/>
      <c r="AWF1" s="353"/>
      <c r="AWG1" s="353"/>
      <c r="AWH1" s="353"/>
      <c r="AWI1" s="353"/>
      <c r="AWJ1" s="353"/>
      <c r="AWK1" s="353"/>
      <c r="AWL1" s="353"/>
      <c r="AWM1" s="353"/>
      <c r="AWN1" s="353"/>
      <c r="AWO1" s="353"/>
      <c r="AWP1" s="353"/>
      <c r="AWQ1" s="353"/>
      <c r="AWR1" s="353"/>
      <c r="AWS1" s="353"/>
      <c r="AWT1" s="353"/>
      <c r="AWU1" s="353"/>
      <c r="AWV1" s="353"/>
      <c r="AWW1" s="353"/>
      <c r="AWX1" s="353"/>
      <c r="AWY1" s="353"/>
      <c r="AWZ1" s="353"/>
      <c r="AXA1" s="353"/>
      <c r="AXB1" s="353"/>
      <c r="AXC1" s="353"/>
      <c r="AXD1" s="353"/>
      <c r="AXE1" s="353"/>
      <c r="AXF1" s="353"/>
      <c r="AXG1" s="353"/>
      <c r="AXH1" s="353"/>
      <c r="AXI1" s="353"/>
      <c r="AXJ1" s="353"/>
      <c r="AXK1" s="353"/>
      <c r="AXL1" s="353"/>
      <c r="AXM1" s="353"/>
      <c r="AXN1" s="353"/>
      <c r="AXO1" s="353"/>
      <c r="AXP1" s="353"/>
      <c r="AXQ1" s="353"/>
      <c r="AXR1" s="353"/>
      <c r="AXS1" s="353"/>
      <c r="AXT1" s="353"/>
      <c r="AXU1" s="353"/>
      <c r="AXV1" s="353"/>
      <c r="AXW1" s="353"/>
      <c r="AXX1" s="353"/>
      <c r="AXY1" s="353"/>
      <c r="AXZ1" s="353"/>
      <c r="AYA1" s="353"/>
      <c r="AYB1" s="353"/>
      <c r="AYC1" s="353"/>
      <c r="AYD1" s="353"/>
      <c r="AYE1" s="353"/>
      <c r="AYF1" s="353"/>
      <c r="AYG1" s="353"/>
      <c r="AYH1" s="353"/>
      <c r="AYI1" s="353"/>
      <c r="AYJ1" s="353"/>
      <c r="AYK1" s="353"/>
      <c r="AYL1" s="353"/>
      <c r="AYM1" s="353"/>
      <c r="AYN1" s="353"/>
      <c r="AYO1" s="353"/>
      <c r="AYP1" s="353"/>
      <c r="AYQ1" s="353"/>
      <c r="AYR1" s="353"/>
      <c r="AYS1" s="353"/>
      <c r="AYT1" s="353"/>
      <c r="AYU1" s="353"/>
      <c r="AYV1" s="353"/>
      <c r="AYW1" s="353"/>
      <c r="AYX1" s="353"/>
      <c r="AYY1" s="353"/>
      <c r="AYZ1" s="353"/>
      <c r="AZA1" s="353"/>
      <c r="AZB1" s="353"/>
      <c r="AZC1" s="353"/>
      <c r="AZD1" s="353"/>
      <c r="AZE1" s="353"/>
      <c r="AZF1" s="353"/>
      <c r="AZG1" s="353"/>
      <c r="AZH1" s="353"/>
      <c r="AZI1" s="353"/>
      <c r="AZJ1" s="353"/>
      <c r="AZK1" s="353"/>
      <c r="AZL1" s="353"/>
      <c r="AZM1" s="353"/>
      <c r="AZN1" s="353"/>
      <c r="AZO1" s="353"/>
      <c r="AZP1" s="353"/>
      <c r="AZQ1" s="353"/>
      <c r="AZR1" s="353"/>
      <c r="AZS1" s="353"/>
      <c r="AZT1" s="353"/>
      <c r="AZU1" s="353"/>
      <c r="AZV1" s="353"/>
      <c r="AZW1" s="353"/>
      <c r="AZX1" s="353"/>
      <c r="AZY1" s="353"/>
      <c r="AZZ1" s="353"/>
      <c r="BAA1" s="353"/>
      <c r="BAB1" s="353"/>
      <c r="BAC1" s="353"/>
      <c r="BAD1" s="353"/>
      <c r="BAE1" s="353"/>
      <c r="BAF1" s="353"/>
      <c r="BAG1" s="353"/>
      <c r="BAH1" s="353"/>
      <c r="BAI1" s="353"/>
      <c r="BAJ1" s="353"/>
      <c r="BAK1" s="353"/>
      <c r="BAL1" s="353"/>
      <c r="BAM1" s="353"/>
      <c r="BAN1" s="353"/>
      <c r="BAO1" s="353"/>
      <c r="BAP1" s="353"/>
      <c r="BAQ1" s="353"/>
      <c r="BAR1" s="353"/>
      <c r="BAS1" s="353"/>
      <c r="BAT1" s="353"/>
      <c r="BAU1" s="353"/>
      <c r="BAV1" s="353"/>
      <c r="BAW1" s="353"/>
      <c r="BAX1" s="353"/>
      <c r="BAY1" s="353"/>
      <c r="BAZ1" s="353"/>
      <c r="BBA1" s="353"/>
      <c r="BBB1" s="353"/>
      <c r="BBC1" s="353"/>
      <c r="BBD1" s="353"/>
      <c r="BBE1" s="353"/>
      <c r="BBF1" s="353"/>
      <c r="BBG1" s="353"/>
      <c r="BBH1" s="353"/>
      <c r="BBI1" s="353"/>
      <c r="BBJ1" s="353"/>
      <c r="BBK1" s="353"/>
      <c r="BBL1" s="353"/>
      <c r="BBM1" s="353"/>
      <c r="BBN1" s="353"/>
      <c r="BBO1" s="353"/>
      <c r="BBP1" s="353"/>
      <c r="BBQ1" s="353"/>
      <c r="BBR1" s="353"/>
      <c r="BBS1" s="353"/>
      <c r="BBT1" s="353"/>
      <c r="BBU1" s="353"/>
      <c r="BBV1" s="353"/>
      <c r="BBW1" s="353"/>
      <c r="BBX1" s="353"/>
      <c r="BBY1" s="353"/>
      <c r="BBZ1" s="353"/>
      <c r="BCA1" s="353"/>
      <c r="BCB1" s="353"/>
      <c r="BCC1" s="353"/>
      <c r="BCD1" s="353"/>
      <c r="BCE1" s="353"/>
      <c r="BCF1" s="353"/>
      <c r="BCG1" s="353"/>
      <c r="BCH1" s="353"/>
      <c r="BCI1" s="353"/>
      <c r="BCJ1" s="353"/>
      <c r="BCK1" s="353"/>
      <c r="BCL1" s="353"/>
      <c r="BCM1" s="353"/>
      <c r="BCN1" s="353"/>
      <c r="BCO1" s="353"/>
      <c r="BCP1" s="353"/>
      <c r="BCQ1" s="353"/>
      <c r="BCR1" s="353"/>
      <c r="BCS1" s="353"/>
      <c r="BCT1" s="353"/>
      <c r="BCU1" s="353"/>
      <c r="BCV1" s="353"/>
      <c r="BCW1" s="353"/>
      <c r="BCX1" s="353"/>
      <c r="BCY1" s="353"/>
      <c r="BCZ1" s="353"/>
      <c r="BDA1" s="353"/>
      <c r="BDB1" s="353"/>
      <c r="BDC1" s="353"/>
      <c r="BDD1" s="353"/>
      <c r="BDE1" s="353"/>
      <c r="BDF1" s="353"/>
      <c r="BDG1" s="353"/>
      <c r="BDH1" s="353"/>
      <c r="BDI1" s="353"/>
      <c r="BDJ1" s="353"/>
      <c r="BDK1" s="353"/>
      <c r="BDL1" s="353"/>
      <c r="BDM1" s="353"/>
      <c r="BDN1" s="353"/>
      <c r="BDO1" s="353"/>
      <c r="BDP1" s="353"/>
      <c r="BDQ1" s="353"/>
      <c r="BDR1" s="353"/>
      <c r="BDS1" s="353"/>
      <c r="BDT1" s="353"/>
      <c r="BDU1" s="353"/>
      <c r="BDV1" s="353"/>
      <c r="BDW1" s="353"/>
      <c r="BDX1" s="353"/>
      <c r="BDY1" s="353"/>
      <c r="BDZ1" s="353"/>
      <c r="BEA1" s="353"/>
      <c r="BEB1" s="353"/>
      <c r="BEC1" s="353"/>
      <c r="BED1" s="353"/>
      <c r="BEE1" s="353"/>
      <c r="BEF1" s="353"/>
      <c r="BEG1" s="353"/>
      <c r="BEH1" s="353"/>
      <c r="BEI1" s="353"/>
      <c r="BEJ1" s="353"/>
      <c r="BEK1" s="353"/>
      <c r="BEL1" s="353"/>
      <c r="BEM1" s="353"/>
      <c r="BEN1" s="353"/>
      <c r="BEO1" s="353"/>
      <c r="BEP1" s="353"/>
      <c r="BEQ1" s="353"/>
      <c r="BER1" s="353"/>
      <c r="BES1" s="353"/>
      <c r="BET1" s="353"/>
      <c r="BEU1" s="353"/>
      <c r="BEV1" s="353"/>
      <c r="BEW1" s="353"/>
      <c r="BEX1" s="353"/>
      <c r="BEY1" s="353"/>
      <c r="BEZ1" s="353"/>
      <c r="BFA1" s="353"/>
      <c r="BFB1" s="353"/>
      <c r="BFC1" s="353"/>
      <c r="BFD1" s="353"/>
      <c r="BFE1" s="353"/>
      <c r="BFF1" s="353"/>
      <c r="BFG1" s="353"/>
      <c r="BFH1" s="353"/>
      <c r="BFI1" s="353"/>
      <c r="BFJ1" s="353"/>
      <c r="BFK1" s="353"/>
      <c r="BFL1" s="353"/>
      <c r="BFM1" s="353"/>
      <c r="BFN1" s="353"/>
      <c r="BFO1" s="353"/>
      <c r="BFP1" s="353"/>
      <c r="BFQ1" s="353"/>
      <c r="BFR1" s="353"/>
      <c r="BFS1" s="353"/>
      <c r="BFT1" s="353"/>
      <c r="BFU1" s="353"/>
      <c r="BFV1" s="353"/>
      <c r="BFW1" s="353"/>
      <c r="BFX1" s="353"/>
      <c r="BFY1" s="353"/>
      <c r="BFZ1" s="353"/>
      <c r="BGA1" s="353"/>
      <c r="BGB1" s="353"/>
      <c r="BGC1" s="353"/>
      <c r="BGD1" s="353"/>
      <c r="BGE1" s="353"/>
      <c r="BGF1" s="353"/>
      <c r="BGG1" s="353"/>
      <c r="BGH1" s="353"/>
      <c r="BGI1" s="353"/>
      <c r="BGJ1" s="353"/>
      <c r="BGK1" s="353"/>
      <c r="BGL1" s="353"/>
      <c r="BGM1" s="353"/>
      <c r="BGN1" s="353"/>
      <c r="BGO1" s="353"/>
      <c r="BGP1" s="353"/>
      <c r="BGQ1" s="353"/>
      <c r="BGR1" s="353"/>
      <c r="BGS1" s="353"/>
      <c r="BGT1" s="353"/>
      <c r="BGU1" s="353"/>
      <c r="BGV1" s="353"/>
      <c r="BGW1" s="353"/>
      <c r="BGX1" s="353"/>
      <c r="BGY1" s="353"/>
      <c r="BGZ1" s="353"/>
      <c r="BHA1" s="353"/>
      <c r="BHB1" s="353"/>
      <c r="BHC1" s="353"/>
      <c r="BHD1" s="353"/>
      <c r="BHE1" s="353"/>
      <c r="BHF1" s="353"/>
      <c r="BHG1" s="353"/>
      <c r="BHH1" s="353"/>
      <c r="BHI1" s="353"/>
      <c r="BHJ1" s="353"/>
      <c r="BHK1" s="353"/>
      <c r="BHL1" s="353"/>
      <c r="BHM1" s="353"/>
      <c r="BHN1" s="353"/>
      <c r="BHO1" s="353"/>
      <c r="BHP1" s="353"/>
      <c r="BHQ1" s="353"/>
      <c r="BHR1" s="353"/>
      <c r="BHS1" s="353"/>
      <c r="BHT1" s="353"/>
      <c r="BHU1" s="353"/>
      <c r="BHV1" s="353"/>
      <c r="BHW1" s="353"/>
      <c r="BHX1" s="353"/>
      <c r="BHY1" s="353"/>
      <c r="BHZ1" s="353"/>
      <c r="BIA1" s="353"/>
      <c r="BIB1" s="353"/>
      <c r="BIC1" s="353"/>
      <c r="BID1" s="353"/>
      <c r="BIE1" s="353"/>
      <c r="BIF1" s="353"/>
      <c r="BIG1" s="353"/>
      <c r="BIH1" s="353"/>
      <c r="BII1" s="353"/>
      <c r="BIJ1" s="353"/>
      <c r="BIK1" s="353"/>
      <c r="BIL1" s="353"/>
      <c r="BIM1" s="353"/>
      <c r="BIN1" s="353"/>
      <c r="BIO1" s="353"/>
      <c r="BIP1" s="353"/>
      <c r="BIQ1" s="353"/>
      <c r="BIR1" s="353"/>
      <c r="BIS1" s="353"/>
      <c r="BIT1" s="353"/>
      <c r="BIU1" s="353"/>
      <c r="BIV1" s="353"/>
      <c r="BIW1" s="353"/>
      <c r="BIX1" s="353"/>
      <c r="BIY1" s="353"/>
      <c r="BIZ1" s="353"/>
      <c r="BJA1" s="353"/>
      <c r="BJB1" s="353"/>
      <c r="BJC1" s="353"/>
      <c r="BJD1" s="353"/>
      <c r="BJE1" s="353"/>
      <c r="BJF1" s="353"/>
      <c r="BJG1" s="353"/>
      <c r="BJH1" s="353"/>
      <c r="BJI1" s="353"/>
      <c r="BJJ1" s="353"/>
      <c r="BJK1" s="353"/>
      <c r="BJL1" s="353"/>
      <c r="BJM1" s="353"/>
      <c r="BJN1" s="353"/>
      <c r="BJO1" s="353"/>
      <c r="BJP1" s="353"/>
      <c r="BJQ1" s="353"/>
      <c r="BJR1" s="353"/>
      <c r="BJS1" s="353"/>
      <c r="BJT1" s="353"/>
      <c r="BJU1" s="353"/>
      <c r="BJV1" s="353"/>
      <c r="BJW1" s="353"/>
      <c r="BJX1" s="353"/>
      <c r="BJY1" s="353"/>
      <c r="BJZ1" s="353"/>
      <c r="BKA1" s="353"/>
      <c r="BKB1" s="353"/>
      <c r="BKC1" s="353"/>
      <c r="BKD1" s="353"/>
      <c r="BKE1" s="353"/>
      <c r="BKF1" s="353"/>
      <c r="BKG1" s="353"/>
      <c r="BKH1" s="353"/>
      <c r="BKI1" s="353"/>
      <c r="BKJ1" s="353"/>
      <c r="BKK1" s="353"/>
      <c r="BKL1" s="353"/>
      <c r="BKM1" s="353"/>
      <c r="BKN1" s="353"/>
      <c r="BKO1" s="353"/>
      <c r="BKP1" s="353"/>
      <c r="BKQ1" s="353"/>
      <c r="BKR1" s="353"/>
      <c r="BKS1" s="353"/>
      <c r="BKT1" s="353"/>
      <c r="BKU1" s="353"/>
      <c r="BKV1" s="353"/>
      <c r="BKW1" s="353"/>
      <c r="BKX1" s="353"/>
      <c r="BKY1" s="353"/>
      <c r="BKZ1" s="353"/>
      <c r="BLA1" s="353"/>
      <c r="BLB1" s="353"/>
      <c r="BLC1" s="353"/>
      <c r="BLD1" s="353"/>
      <c r="BLE1" s="353"/>
      <c r="BLF1" s="353"/>
      <c r="BLG1" s="353"/>
      <c r="BLH1" s="353"/>
      <c r="BLI1" s="353"/>
      <c r="BLJ1" s="353"/>
      <c r="BLK1" s="353"/>
      <c r="BLL1" s="353"/>
      <c r="BLM1" s="353"/>
      <c r="BLN1" s="353"/>
      <c r="BLO1" s="353"/>
      <c r="BLP1" s="353"/>
      <c r="BLQ1" s="353"/>
      <c r="BLR1" s="353"/>
      <c r="BLS1" s="353"/>
      <c r="BLT1" s="353"/>
      <c r="BLU1" s="353"/>
      <c r="BLV1" s="353"/>
      <c r="BLW1" s="353"/>
      <c r="BLX1" s="353"/>
      <c r="BLY1" s="353"/>
      <c r="BLZ1" s="353"/>
      <c r="BMA1" s="353"/>
      <c r="BMB1" s="353"/>
      <c r="BMC1" s="353"/>
      <c r="BMD1" s="353"/>
      <c r="BME1" s="353"/>
      <c r="BMF1" s="353"/>
      <c r="BMG1" s="353"/>
      <c r="BMH1" s="353"/>
      <c r="BMI1" s="353"/>
      <c r="BMJ1" s="353"/>
      <c r="BMK1" s="353"/>
      <c r="BML1" s="353"/>
      <c r="BMM1" s="353"/>
      <c r="BMN1" s="353"/>
      <c r="BMO1" s="353"/>
      <c r="BMP1" s="353"/>
      <c r="BMQ1" s="353"/>
      <c r="BMR1" s="353"/>
      <c r="BMS1" s="353"/>
      <c r="BMT1" s="353"/>
      <c r="BMU1" s="353"/>
      <c r="BMV1" s="353"/>
      <c r="BMW1" s="353"/>
      <c r="BMX1" s="353"/>
      <c r="BMY1" s="353"/>
      <c r="BMZ1" s="353"/>
      <c r="BNA1" s="353"/>
      <c r="BNB1" s="353"/>
      <c r="BNC1" s="353"/>
      <c r="BND1" s="353"/>
      <c r="BNE1" s="353"/>
      <c r="BNF1" s="353"/>
      <c r="BNG1" s="353"/>
      <c r="BNH1" s="353"/>
      <c r="BNI1" s="353"/>
      <c r="BNJ1" s="353"/>
      <c r="BNK1" s="353"/>
      <c r="BNL1" s="353"/>
      <c r="BNM1" s="353"/>
      <c r="BNN1" s="353"/>
      <c r="BNO1" s="353"/>
      <c r="BNP1" s="353"/>
      <c r="BNQ1" s="353"/>
      <c r="BNR1" s="353"/>
      <c r="BNS1" s="353"/>
      <c r="BNT1" s="353"/>
      <c r="BNU1" s="353"/>
      <c r="BNV1" s="353"/>
      <c r="BNW1" s="353"/>
      <c r="BNX1" s="353"/>
      <c r="BNY1" s="353"/>
      <c r="BNZ1" s="353"/>
      <c r="BOA1" s="353"/>
      <c r="BOB1" s="353"/>
      <c r="BOC1" s="353"/>
      <c r="BOD1" s="353"/>
      <c r="BOE1" s="353"/>
      <c r="BOF1" s="353"/>
      <c r="BOG1" s="353"/>
      <c r="BOH1" s="353"/>
      <c r="BOI1" s="353"/>
      <c r="BOJ1" s="353"/>
      <c r="BOK1" s="353"/>
      <c r="BOL1" s="353"/>
      <c r="BOM1" s="353"/>
      <c r="BON1" s="353"/>
      <c r="BOO1" s="353"/>
      <c r="BOP1" s="353"/>
      <c r="BOQ1" s="353"/>
      <c r="BOR1" s="353"/>
      <c r="BOS1" s="353"/>
      <c r="BOT1" s="353"/>
      <c r="BOU1" s="353"/>
      <c r="BOV1" s="353"/>
      <c r="BOW1" s="353"/>
      <c r="BOX1" s="353"/>
      <c r="BOY1" s="353"/>
      <c r="BOZ1" s="353"/>
      <c r="BPA1" s="353"/>
      <c r="BPB1" s="353"/>
      <c r="BPC1" s="353"/>
      <c r="BPD1" s="353"/>
      <c r="BPE1" s="353"/>
      <c r="BPF1" s="353"/>
      <c r="BPG1" s="353"/>
      <c r="BPH1" s="353"/>
      <c r="BPI1" s="353"/>
      <c r="BPJ1" s="353"/>
      <c r="BPK1" s="353"/>
      <c r="BPL1" s="353"/>
      <c r="BPM1" s="353"/>
      <c r="BPN1" s="353"/>
      <c r="BPO1" s="353"/>
      <c r="BPP1" s="353"/>
      <c r="BPQ1" s="353"/>
      <c r="BPR1" s="353"/>
      <c r="BPS1" s="353"/>
      <c r="BPT1" s="353"/>
      <c r="BPU1" s="353"/>
      <c r="BPV1" s="353"/>
      <c r="BPW1" s="353"/>
      <c r="BPX1" s="353"/>
      <c r="BPY1" s="353"/>
      <c r="BPZ1" s="353"/>
      <c r="BQA1" s="353"/>
      <c r="BQB1" s="353"/>
      <c r="BQC1" s="353"/>
      <c r="BQD1" s="353"/>
      <c r="BQE1" s="353"/>
      <c r="BQF1" s="353"/>
      <c r="BQG1" s="353"/>
      <c r="BQH1" s="353"/>
      <c r="BQI1" s="353"/>
      <c r="BQJ1" s="353"/>
      <c r="BQK1" s="353"/>
      <c r="BQL1" s="353"/>
      <c r="BQM1" s="353"/>
      <c r="BQN1" s="353"/>
      <c r="BQO1" s="353"/>
      <c r="BQP1" s="353"/>
      <c r="BQQ1" s="353"/>
      <c r="BQR1" s="353"/>
      <c r="BQS1" s="353"/>
      <c r="BQT1" s="353"/>
      <c r="BQU1" s="353"/>
      <c r="BQV1" s="353"/>
      <c r="BQW1" s="353"/>
      <c r="BQX1" s="353"/>
      <c r="BQY1" s="353"/>
      <c r="BQZ1" s="353"/>
      <c r="BRA1" s="353"/>
      <c r="BRB1" s="353"/>
      <c r="BRC1" s="353"/>
      <c r="BRD1" s="353"/>
      <c r="BRE1" s="353"/>
      <c r="BRF1" s="353"/>
      <c r="BRG1" s="353"/>
      <c r="BRH1" s="353"/>
      <c r="BRI1" s="353"/>
      <c r="BRJ1" s="353"/>
      <c r="BRK1" s="353"/>
      <c r="BRL1" s="353"/>
      <c r="BRM1" s="353"/>
      <c r="BRN1" s="353"/>
      <c r="BRO1" s="353"/>
      <c r="BRP1" s="353"/>
      <c r="BRQ1" s="353"/>
      <c r="BRR1" s="353"/>
      <c r="BRS1" s="353"/>
      <c r="BRT1" s="353"/>
      <c r="BRU1" s="353"/>
      <c r="BRV1" s="353"/>
      <c r="BRW1" s="353"/>
      <c r="BRX1" s="353"/>
      <c r="BRY1" s="353"/>
      <c r="BRZ1" s="353"/>
      <c r="BSA1" s="353"/>
      <c r="BSB1" s="353"/>
      <c r="BSC1" s="353"/>
      <c r="BSD1" s="353"/>
      <c r="BSE1" s="353"/>
      <c r="BSF1" s="353"/>
      <c r="BSG1" s="353"/>
      <c r="BSH1" s="353"/>
      <c r="BSI1" s="353"/>
      <c r="BSJ1" s="353"/>
      <c r="BSK1" s="353"/>
      <c r="BSL1" s="353"/>
      <c r="BSM1" s="353"/>
      <c r="BSN1" s="353"/>
      <c r="BSO1" s="353"/>
      <c r="BSP1" s="353"/>
      <c r="BSQ1" s="353"/>
      <c r="BSR1" s="353"/>
      <c r="BSS1" s="353"/>
      <c r="BST1" s="353"/>
      <c r="BSU1" s="353"/>
      <c r="BSV1" s="353"/>
      <c r="BSW1" s="353"/>
      <c r="BSX1" s="353"/>
      <c r="BSY1" s="353"/>
      <c r="BSZ1" s="353"/>
      <c r="BTA1" s="353"/>
      <c r="BTB1" s="353"/>
      <c r="BTC1" s="353"/>
      <c r="BTD1" s="353"/>
      <c r="BTE1" s="353"/>
      <c r="BTF1" s="353"/>
      <c r="BTG1" s="353"/>
      <c r="BTH1" s="353"/>
      <c r="BTI1" s="353"/>
      <c r="BTJ1" s="353"/>
      <c r="BTK1" s="353"/>
      <c r="BTL1" s="353"/>
      <c r="BTM1" s="353"/>
      <c r="BTN1" s="353"/>
      <c r="BTO1" s="353"/>
      <c r="BTP1" s="353"/>
      <c r="BTQ1" s="353"/>
      <c r="BTR1" s="353"/>
      <c r="BTS1" s="353"/>
      <c r="BTT1" s="353"/>
      <c r="BTU1" s="353"/>
      <c r="BTV1" s="353"/>
      <c r="BTW1" s="353"/>
      <c r="BTX1" s="353"/>
      <c r="BTY1" s="353"/>
      <c r="BTZ1" s="353"/>
      <c r="BUA1" s="353"/>
      <c r="BUB1" s="353"/>
      <c r="BUC1" s="353"/>
      <c r="BUD1" s="353"/>
      <c r="BUE1" s="353"/>
      <c r="BUF1" s="353"/>
      <c r="BUG1" s="353"/>
      <c r="BUH1" s="353"/>
      <c r="BUI1" s="353"/>
      <c r="BUJ1" s="353"/>
      <c r="BUK1" s="353"/>
      <c r="BUL1" s="353"/>
      <c r="BUM1" s="353"/>
      <c r="BUN1" s="353"/>
      <c r="BUO1" s="353"/>
      <c r="BUP1" s="353"/>
      <c r="BUQ1" s="353"/>
      <c r="BUR1" s="353"/>
      <c r="BUS1" s="353"/>
      <c r="BUT1" s="353"/>
      <c r="BUU1" s="353"/>
      <c r="BUV1" s="353"/>
      <c r="BUW1" s="353"/>
      <c r="BUX1" s="353"/>
      <c r="BUY1" s="353"/>
      <c r="BUZ1" s="353"/>
      <c r="BVA1" s="353"/>
      <c r="BVB1" s="353"/>
      <c r="BVC1" s="353"/>
      <c r="BVD1" s="353"/>
      <c r="BVE1" s="353"/>
      <c r="BVF1" s="353"/>
      <c r="BVG1" s="353"/>
      <c r="BVH1" s="353"/>
      <c r="BVI1" s="353"/>
      <c r="BVJ1" s="353"/>
      <c r="BVK1" s="353"/>
      <c r="BVL1" s="353"/>
      <c r="BVM1" s="353"/>
      <c r="BVN1" s="353"/>
      <c r="BVO1" s="353"/>
      <c r="BVP1" s="353"/>
      <c r="BVQ1" s="353"/>
      <c r="BVR1" s="353"/>
      <c r="BVS1" s="353"/>
      <c r="BVT1" s="353"/>
      <c r="BVU1" s="353"/>
      <c r="BVV1" s="353"/>
      <c r="BVW1" s="353"/>
      <c r="BVX1" s="353"/>
      <c r="BVY1" s="353"/>
      <c r="BVZ1" s="353"/>
      <c r="BWA1" s="353"/>
      <c r="BWB1" s="353"/>
      <c r="BWC1" s="353"/>
      <c r="BWD1" s="353"/>
      <c r="BWE1" s="353"/>
      <c r="BWF1" s="353"/>
      <c r="BWG1" s="353"/>
      <c r="BWH1" s="353"/>
      <c r="BWI1" s="353"/>
      <c r="BWJ1" s="353"/>
      <c r="BWK1" s="353"/>
      <c r="BWL1" s="353"/>
      <c r="BWM1" s="353"/>
      <c r="BWN1" s="353"/>
      <c r="BWO1" s="353"/>
      <c r="BWP1" s="353"/>
      <c r="BWQ1" s="353"/>
      <c r="BWR1" s="353"/>
      <c r="BWS1" s="353"/>
      <c r="BWT1" s="353"/>
      <c r="BWU1" s="353"/>
      <c r="BWV1" s="353"/>
      <c r="BWW1" s="353"/>
      <c r="BWX1" s="353"/>
      <c r="BWY1" s="353"/>
      <c r="BWZ1" s="353"/>
      <c r="BXA1" s="353"/>
      <c r="BXB1" s="353"/>
      <c r="BXC1" s="353"/>
      <c r="BXD1" s="353"/>
      <c r="BXE1" s="353"/>
      <c r="BXF1" s="353"/>
      <c r="BXG1" s="353"/>
      <c r="BXH1" s="353"/>
      <c r="BXI1" s="353"/>
      <c r="BXJ1" s="353"/>
      <c r="BXK1" s="353"/>
      <c r="BXL1" s="353"/>
      <c r="BXM1" s="353"/>
      <c r="BXN1" s="353"/>
      <c r="BXO1" s="353"/>
      <c r="BXP1" s="353"/>
      <c r="BXQ1" s="353"/>
      <c r="BXR1" s="353"/>
      <c r="BXS1" s="353"/>
      <c r="BXT1" s="353"/>
      <c r="BXU1" s="353"/>
      <c r="BXV1" s="353"/>
      <c r="BXW1" s="353"/>
      <c r="BXX1" s="353"/>
      <c r="BXY1" s="353"/>
      <c r="BXZ1" s="353"/>
      <c r="BYA1" s="353"/>
      <c r="BYB1" s="353"/>
      <c r="BYC1" s="353"/>
      <c r="BYD1" s="353"/>
      <c r="BYE1" s="353"/>
      <c r="BYF1" s="353"/>
      <c r="BYG1" s="353"/>
      <c r="BYH1" s="353"/>
      <c r="BYI1" s="353"/>
      <c r="BYJ1" s="353"/>
      <c r="BYK1" s="353"/>
      <c r="BYL1" s="353"/>
      <c r="BYM1" s="353"/>
      <c r="BYN1" s="353"/>
      <c r="BYO1" s="353"/>
      <c r="BYP1" s="353"/>
      <c r="BYQ1" s="353"/>
      <c r="BYR1" s="353"/>
      <c r="BYS1" s="353"/>
      <c r="BYT1" s="353"/>
      <c r="BYU1" s="353"/>
      <c r="BYV1" s="353"/>
      <c r="BYW1" s="353"/>
      <c r="BYX1" s="353"/>
      <c r="BYY1" s="353"/>
      <c r="BYZ1" s="353"/>
      <c r="BZA1" s="353"/>
      <c r="BZB1" s="353"/>
      <c r="BZC1" s="353"/>
      <c r="BZD1" s="353"/>
      <c r="BZE1" s="353"/>
      <c r="BZF1" s="353"/>
      <c r="BZG1" s="353"/>
      <c r="BZH1" s="353"/>
      <c r="BZI1" s="353"/>
      <c r="BZJ1" s="353"/>
      <c r="BZK1" s="353"/>
      <c r="BZL1" s="353"/>
      <c r="BZM1" s="353"/>
      <c r="BZN1" s="353"/>
      <c r="BZO1" s="353"/>
      <c r="BZP1" s="353"/>
      <c r="BZQ1" s="353"/>
      <c r="BZR1" s="353"/>
      <c r="BZS1" s="353"/>
      <c r="BZT1" s="353"/>
      <c r="BZU1" s="353"/>
      <c r="BZV1" s="353"/>
      <c r="BZW1" s="353"/>
      <c r="BZX1" s="353"/>
      <c r="BZY1" s="353"/>
      <c r="BZZ1" s="353"/>
      <c r="CAA1" s="353"/>
      <c r="CAB1" s="353"/>
      <c r="CAC1" s="353"/>
      <c r="CAD1" s="353"/>
      <c r="CAE1" s="353"/>
      <c r="CAF1" s="353"/>
      <c r="CAG1" s="353"/>
      <c r="CAH1" s="353"/>
      <c r="CAI1" s="353"/>
      <c r="CAJ1" s="353"/>
      <c r="CAK1" s="353"/>
      <c r="CAL1" s="353"/>
      <c r="CAM1" s="353"/>
      <c r="CAN1" s="353"/>
      <c r="CAO1" s="353"/>
      <c r="CAP1" s="353"/>
      <c r="CAQ1" s="353"/>
      <c r="CAR1" s="353"/>
      <c r="CAS1" s="353"/>
      <c r="CAT1" s="353"/>
      <c r="CAU1" s="353"/>
      <c r="CAV1" s="353"/>
      <c r="CAW1" s="353"/>
      <c r="CAX1" s="353"/>
      <c r="CAY1" s="353"/>
      <c r="CAZ1" s="353"/>
      <c r="CBA1" s="353"/>
      <c r="CBB1" s="353"/>
      <c r="CBC1" s="353"/>
      <c r="CBD1" s="353"/>
      <c r="CBE1" s="353"/>
      <c r="CBF1" s="353"/>
      <c r="CBG1" s="353"/>
      <c r="CBH1" s="353"/>
      <c r="CBI1" s="353"/>
      <c r="CBJ1" s="353"/>
      <c r="CBK1" s="353"/>
      <c r="CBL1" s="353"/>
      <c r="CBM1" s="353"/>
      <c r="CBN1" s="353"/>
      <c r="CBO1" s="353"/>
      <c r="CBP1" s="353"/>
      <c r="CBQ1" s="353"/>
      <c r="CBR1" s="353"/>
      <c r="CBS1" s="353"/>
      <c r="CBT1" s="353"/>
      <c r="CBU1" s="353"/>
      <c r="CBV1" s="353"/>
      <c r="CBW1" s="353"/>
      <c r="CBX1" s="353"/>
      <c r="CBY1" s="353"/>
      <c r="CBZ1" s="353"/>
      <c r="CCA1" s="353"/>
      <c r="CCB1" s="353"/>
      <c r="CCC1" s="353"/>
      <c r="CCD1" s="353"/>
      <c r="CCE1" s="353"/>
      <c r="CCF1" s="353"/>
      <c r="CCG1" s="353"/>
      <c r="CCH1" s="353"/>
      <c r="CCI1" s="353"/>
      <c r="CCJ1" s="353"/>
      <c r="CCK1" s="353"/>
      <c r="CCL1" s="353"/>
      <c r="CCM1" s="353"/>
      <c r="CCN1" s="353"/>
      <c r="CCO1" s="353"/>
      <c r="CCP1" s="353"/>
      <c r="CCQ1" s="353"/>
      <c r="CCR1" s="353"/>
      <c r="CCS1" s="353"/>
      <c r="CCT1" s="353"/>
      <c r="CCU1" s="353"/>
      <c r="CCV1" s="353"/>
      <c r="CCW1" s="353"/>
      <c r="CCX1" s="353"/>
      <c r="CCY1" s="353"/>
      <c r="CCZ1" s="353"/>
      <c r="CDA1" s="353"/>
      <c r="CDB1" s="353"/>
      <c r="CDC1" s="353"/>
      <c r="CDD1" s="353"/>
      <c r="CDE1" s="353"/>
      <c r="CDF1" s="353"/>
      <c r="CDG1" s="353"/>
      <c r="CDH1" s="353"/>
      <c r="CDI1" s="353"/>
      <c r="CDJ1" s="353"/>
      <c r="CDK1" s="353"/>
      <c r="CDL1" s="353"/>
      <c r="CDM1" s="353"/>
      <c r="CDN1" s="353"/>
      <c r="CDO1" s="353"/>
      <c r="CDP1" s="353"/>
      <c r="CDQ1" s="353"/>
      <c r="CDR1" s="353"/>
      <c r="CDS1" s="353"/>
      <c r="CDT1" s="353"/>
      <c r="CDU1" s="353"/>
      <c r="CDV1" s="353"/>
      <c r="CDW1" s="353"/>
      <c r="CDX1" s="353"/>
      <c r="CDY1" s="353"/>
      <c r="CDZ1" s="353"/>
      <c r="CEA1" s="353"/>
      <c r="CEB1" s="353"/>
      <c r="CEC1" s="353"/>
      <c r="CED1" s="353"/>
      <c r="CEE1" s="353"/>
      <c r="CEF1" s="353"/>
      <c r="CEG1" s="353"/>
      <c r="CEH1" s="353"/>
      <c r="CEI1" s="353"/>
      <c r="CEJ1" s="353"/>
      <c r="CEK1" s="353"/>
      <c r="CEL1" s="353"/>
      <c r="CEM1" s="353"/>
      <c r="CEN1" s="353"/>
      <c r="CEO1" s="353"/>
      <c r="CEP1" s="353"/>
      <c r="CEQ1" s="353"/>
      <c r="CER1" s="353"/>
      <c r="CES1" s="353"/>
      <c r="CET1" s="353"/>
      <c r="CEU1" s="353"/>
      <c r="CEV1" s="353"/>
      <c r="CEW1" s="353"/>
      <c r="CEX1" s="353"/>
      <c r="CEY1" s="353"/>
      <c r="CEZ1" s="353"/>
      <c r="CFA1" s="353"/>
      <c r="CFB1" s="353"/>
      <c r="CFC1" s="353"/>
      <c r="CFD1" s="353"/>
      <c r="CFE1" s="353"/>
      <c r="CFF1" s="353"/>
      <c r="CFG1" s="353"/>
      <c r="CFH1" s="353"/>
      <c r="CFI1" s="353"/>
      <c r="CFJ1" s="353"/>
      <c r="CFK1" s="353"/>
      <c r="CFL1" s="353"/>
      <c r="CFM1" s="353"/>
      <c r="CFN1" s="353"/>
      <c r="CFO1" s="353"/>
      <c r="CFP1" s="353"/>
      <c r="CFQ1" s="353"/>
      <c r="CFR1" s="353"/>
      <c r="CFS1" s="353"/>
      <c r="CFT1" s="353"/>
      <c r="CFU1" s="353"/>
      <c r="CFV1" s="353"/>
      <c r="CFW1" s="353"/>
      <c r="CFX1" s="353"/>
      <c r="CFY1" s="353"/>
      <c r="CFZ1" s="353"/>
      <c r="CGA1" s="353"/>
      <c r="CGB1" s="353"/>
      <c r="CGC1" s="353"/>
      <c r="CGD1" s="353"/>
      <c r="CGE1" s="353"/>
      <c r="CGF1" s="353"/>
      <c r="CGG1" s="353"/>
      <c r="CGH1" s="353"/>
      <c r="CGI1" s="353"/>
      <c r="CGJ1" s="353"/>
      <c r="CGK1" s="353"/>
      <c r="CGL1" s="353"/>
      <c r="CGM1" s="353"/>
      <c r="CGN1" s="353"/>
      <c r="CGO1" s="353"/>
      <c r="CGP1" s="353"/>
      <c r="CGQ1" s="353"/>
      <c r="CGR1" s="353"/>
      <c r="CGS1" s="353"/>
      <c r="CGT1" s="353"/>
      <c r="CGU1" s="353"/>
      <c r="CGV1" s="353"/>
      <c r="CGW1" s="353"/>
      <c r="CGX1" s="353"/>
      <c r="CGY1" s="353"/>
      <c r="CGZ1" s="353"/>
      <c r="CHA1" s="353"/>
      <c r="CHB1" s="353"/>
      <c r="CHC1" s="353"/>
      <c r="CHD1" s="353"/>
      <c r="CHE1" s="353"/>
      <c r="CHF1" s="353"/>
      <c r="CHG1" s="353"/>
      <c r="CHH1" s="353"/>
      <c r="CHI1" s="353"/>
      <c r="CHJ1" s="353"/>
      <c r="CHK1" s="353"/>
      <c r="CHL1" s="353"/>
      <c r="CHM1" s="353"/>
      <c r="CHN1" s="353"/>
      <c r="CHO1" s="353"/>
      <c r="CHP1" s="353"/>
      <c r="CHQ1" s="353"/>
      <c r="CHR1" s="353"/>
      <c r="CHS1" s="353"/>
      <c r="CHT1" s="353"/>
      <c r="CHU1" s="353"/>
      <c r="CHV1" s="353"/>
      <c r="CHW1" s="353"/>
      <c r="CHX1" s="353"/>
      <c r="CHY1" s="353"/>
      <c r="CHZ1" s="353"/>
      <c r="CIA1" s="353"/>
      <c r="CIB1" s="353"/>
      <c r="CIC1" s="353"/>
      <c r="CID1" s="353"/>
      <c r="CIE1" s="353"/>
      <c r="CIF1" s="353"/>
      <c r="CIG1" s="353"/>
      <c r="CIH1" s="353"/>
      <c r="CII1" s="353"/>
      <c r="CIJ1" s="353"/>
      <c r="CIK1" s="353"/>
      <c r="CIL1" s="353"/>
      <c r="CIM1" s="353"/>
      <c r="CIN1" s="353"/>
      <c r="CIO1" s="353"/>
      <c r="CIP1" s="353"/>
      <c r="CIQ1" s="353"/>
      <c r="CIR1" s="353"/>
      <c r="CIS1" s="353"/>
      <c r="CIT1" s="353"/>
      <c r="CIU1" s="353"/>
      <c r="CIV1" s="353"/>
      <c r="CIW1" s="353"/>
      <c r="CIX1" s="353"/>
      <c r="CIY1" s="353"/>
      <c r="CIZ1" s="353"/>
      <c r="CJA1" s="353"/>
      <c r="CJB1" s="353"/>
      <c r="CJC1" s="353"/>
      <c r="CJD1" s="353"/>
      <c r="CJE1" s="353"/>
      <c r="CJF1" s="353"/>
      <c r="CJG1" s="353"/>
      <c r="CJH1" s="353"/>
      <c r="CJI1" s="353"/>
      <c r="CJJ1" s="353"/>
      <c r="CJK1" s="353"/>
      <c r="CJL1" s="353"/>
      <c r="CJM1" s="353"/>
      <c r="CJN1" s="353"/>
      <c r="CJO1" s="353"/>
      <c r="CJP1" s="353"/>
      <c r="CJQ1" s="353"/>
      <c r="CJR1" s="353"/>
      <c r="CJS1" s="353"/>
      <c r="CJT1" s="353"/>
      <c r="CJU1" s="353"/>
      <c r="CJV1" s="353"/>
      <c r="CJW1" s="353"/>
      <c r="CJX1" s="353"/>
      <c r="CJY1" s="353"/>
      <c r="CJZ1" s="353"/>
      <c r="CKA1" s="353"/>
      <c r="CKB1" s="353"/>
      <c r="CKC1" s="353"/>
      <c r="CKD1" s="353"/>
      <c r="CKE1" s="353"/>
      <c r="CKF1" s="353"/>
      <c r="CKG1" s="353"/>
      <c r="CKH1" s="353"/>
      <c r="CKI1" s="353"/>
      <c r="CKJ1" s="353"/>
      <c r="CKK1" s="353"/>
      <c r="CKL1" s="353"/>
      <c r="CKM1" s="353"/>
      <c r="CKN1" s="353"/>
      <c r="CKO1" s="353"/>
      <c r="CKP1" s="353"/>
      <c r="CKQ1" s="353"/>
      <c r="CKR1" s="353"/>
      <c r="CKS1" s="353"/>
      <c r="CKT1" s="353"/>
      <c r="CKU1" s="353"/>
      <c r="CKV1" s="353"/>
      <c r="CKW1" s="353"/>
      <c r="CKX1" s="353"/>
      <c r="CKY1" s="353"/>
      <c r="CKZ1" s="353"/>
      <c r="CLA1" s="353"/>
      <c r="CLB1" s="353"/>
      <c r="CLC1" s="353"/>
      <c r="CLD1" s="353"/>
      <c r="CLE1" s="353"/>
      <c r="CLF1" s="353"/>
      <c r="CLG1" s="353"/>
      <c r="CLH1" s="353"/>
      <c r="CLI1" s="353"/>
      <c r="CLJ1" s="353"/>
      <c r="CLK1" s="353"/>
      <c r="CLL1" s="353"/>
      <c r="CLM1" s="353"/>
      <c r="CLN1" s="353"/>
      <c r="CLO1" s="353"/>
      <c r="CLP1" s="353"/>
      <c r="CLQ1" s="353"/>
      <c r="CLR1" s="353"/>
      <c r="CLS1" s="353"/>
      <c r="CLT1" s="353"/>
      <c r="CLU1" s="353"/>
      <c r="CLV1" s="353"/>
      <c r="CLW1" s="353"/>
      <c r="CLX1" s="353"/>
      <c r="CLY1" s="353"/>
      <c r="CLZ1" s="353"/>
      <c r="CMA1" s="353"/>
      <c r="CMB1" s="353"/>
      <c r="CMC1" s="353"/>
      <c r="CMD1" s="353"/>
      <c r="CME1" s="353"/>
      <c r="CMF1" s="353"/>
      <c r="CMG1" s="353"/>
      <c r="CMH1" s="353"/>
      <c r="CMI1" s="353"/>
      <c r="CMJ1" s="353"/>
      <c r="CMK1" s="353"/>
      <c r="CML1" s="353"/>
      <c r="CMM1" s="353"/>
      <c r="CMN1" s="353"/>
      <c r="CMO1" s="353"/>
      <c r="CMP1" s="353"/>
      <c r="CMQ1" s="353"/>
      <c r="CMR1" s="353"/>
      <c r="CMS1" s="353"/>
      <c r="CMT1" s="353"/>
      <c r="CMU1" s="353"/>
      <c r="CMV1" s="353"/>
      <c r="CMW1" s="353"/>
      <c r="CMX1" s="353"/>
      <c r="CMY1" s="353"/>
      <c r="CMZ1" s="353"/>
      <c r="CNA1" s="353"/>
      <c r="CNB1" s="353"/>
      <c r="CNC1" s="353"/>
      <c r="CND1" s="353"/>
      <c r="CNE1" s="353"/>
      <c r="CNF1" s="353"/>
      <c r="CNG1" s="353"/>
      <c r="CNH1" s="353"/>
      <c r="CNI1" s="353"/>
      <c r="CNJ1" s="353"/>
      <c r="CNK1" s="353"/>
      <c r="CNL1" s="353"/>
      <c r="CNM1" s="353"/>
      <c r="CNN1" s="353"/>
      <c r="CNO1" s="353"/>
      <c r="CNP1" s="353"/>
      <c r="CNQ1" s="353"/>
      <c r="CNR1" s="353"/>
      <c r="CNS1" s="353"/>
      <c r="CNT1" s="353"/>
      <c r="CNU1" s="353"/>
      <c r="CNV1" s="353"/>
      <c r="CNW1" s="353"/>
      <c r="CNX1" s="353"/>
      <c r="CNY1" s="353"/>
      <c r="CNZ1" s="353"/>
      <c r="COA1" s="353"/>
      <c r="COB1" s="353"/>
      <c r="COC1" s="353"/>
      <c r="COD1" s="353"/>
      <c r="COE1" s="353"/>
      <c r="COF1" s="353"/>
      <c r="COG1" s="353"/>
      <c r="COH1" s="353"/>
      <c r="COI1" s="353"/>
      <c r="COJ1" s="353"/>
      <c r="COK1" s="353"/>
      <c r="COL1" s="353"/>
      <c r="COM1" s="353"/>
      <c r="CON1" s="353"/>
      <c r="COO1" s="353"/>
      <c r="COP1" s="353"/>
      <c r="COQ1" s="353"/>
      <c r="COR1" s="353"/>
      <c r="COS1" s="353"/>
      <c r="COT1" s="353"/>
      <c r="COU1" s="353"/>
      <c r="COV1" s="353"/>
      <c r="COW1" s="353"/>
      <c r="COX1" s="353"/>
      <c r="COY1" s="353"/>
      <c r="COZ1" s="353"/>
      <c r="CPA1" s="353"/>
      <c r="CPB1" s="353"/>
      <c r="CPC1" s="353"/>
      <c r="CPD1" s="353"/>
      <c r="CPE1" s="353"/>
      <c r="CPF1" s="353"/>
      <c r="CPG1" s="353"/>
      <c r="CPH1" s="353"/>
      <c r="CPI1" s="353"/>
      <c r="CPJ1" s="353"/>
      <c r="CPK1" s="353"/>
      <c r="CPL1" s="353"/>
      <c r="CPM1" s="353"/>
      <c r="CPN1" s="353"/>
      <c r="CPO1" s="353"/>
      <c r="CPP1" s="353"/>
      <c r="CPQ1" s="353"/>
      <c r="CPR1" s="353"/>
      <c r="CPS1" s="353"/>
      <c r="CPT1" s="353"/>
      <c r="CPU1" s="353"/>
      <c r="CPV1" s="353"/>
      <c r="CPW1" s="353"/>
      <c r="CPX1" s="353"/>
      <c r="CPY1" s="353"/>
      <c r="CPZ1" s="353"/>
      <c r="CQA1" s="353"/>
      <c r="CQB1" s="353"/>
      <c r="CQC1" s="353"/>
      <c r="CQD1" s="353"/>
      <c r="CQE1" s="353"/>
      <c r="CQF1" s="353"/>
      <c r="CQG1" s="353"/>
      <c r="CQH1" s="353"/>
      <c r="CQI1" s="353"/>
      <c r="CQJ1" s="353"/>
      <c r="CQK1" s="353"/>
      <c r="CQL1" s="353"/>
      <c r="CQM1" s="353"/>
      <c r="CQN1" s="353"/>
      <c r="CQO1" s="353"/>
      <c r="CQP1" s="353"/>
      <c r="CQQ1" s="353"/>
      <c r="CQR1" s="353"/>
      <c r="CQS1" s="353"/>
      <c r="CQT1" s="353"/>
      <c r="CQU1" s="353"/>
      <c r="CQV1" s="353"/>
      <c r="CQW1" s="353"/>
      <c r="CQX1" s="353"/>
      <c r="CQY1" s="353"/>
      <c r="CQZ1" s="353"/>
      <c r="CRA1" s="353"/>
      <c r="CRB1" s="353"/>
      <c r="CRC1" s="353"/>
      <c r="CRD1" s="353"/>
      <c r="CRE1" s="353"/>
      <c r="CRF1" s="353"/>
      <c r="CRG1" s="353"/>
      <c r="CRH1" s="353"/>
      <c r="CRI1" s="353"/>
      <c r="CRJ1" s="353"/>
      <c r="CRK1" s="353"/>
      <c r="CRL1" s="353"/>
      <c r="CRM1" s="353"/>
      <c r="CRN1" s="353"/>
      <c r="CRO1" s="353"/>
      <c r="CRP1" s="353"/>
      <c r="CRQ1" s="353"/>
      <c r="CRR1" s="353"/>
      <c r="CRS1" s="353"/>
      <c r="CRT1" s="353"/>
      <c r="CRU1" s="353"/>
      <c r="CRV1" s="353"/>
      <c r="CRW1" s="353"/>
      <c r="CRX1" s="353"/>
      <c r="CRY1" s="353"/>
      <c r="CRZ1" s="353"/>
      <c r="CSA1" s="353"/>
      <c r="CSB1" s="353"/>
      <c r="CSC1" s="353"/>
      <c r="CSD1" s="353"/>
      <c r="CSE1" s="353"/>
      <c r="CSF1" s="353"/>
      <c r="CSG1" s="353"/>
      <c r="CSH1" s="353"/>
      <c r="CSI1" s="353"/>
      <c r="CSJ1" s="353"/>
      <c r="CSK1" s="353"/>
      <c r="CSL1" s="353"/>
      <c r="CSM1" s="353"/>
      <c r="CSN1" s="353"/>
      <c r="CSO1" s="353"/>
      <c r="CSP1" s="353"/>
      <c r="CSQ1" s="353"/>
      <c r="CSR1" s="353"/>
      <c r="CSS1" s="353"/>
      <c r="CST1" s="353"/>
      <c r="CSU1" s="353"/>
      <c r="CSV1" s="353"/>
      <c r="CSW1" s="353"/>
      <c r="CSX1" s="353"/>
      <c r="CSY1" s="353"/>
      <c r="CSZ1" s="353"/>
      <c r="CTA1" s="353"/>
      <c r="CTB1" s="353"/>
      <c r="CTC1" s="353"/>
      <c r="CTD1" s="353"/>
      <c r="CTE1" s="353"/>
      <c r="CTF1" s="353"/>
      <c r="CTG1" s="353"/>
      <c r="CTH1" s="353"/>
      <c r="CTI1" s="353"/>
      <c r="CTJ1" s="353"/>
      <c r="CTK1" s="353"/>
      <c r="CTL1" s="353"/>
      <c r="CTM1" s="353"/>
      <c r="CTN1" s="353"/>
      <c r="CTO1" s="353"/>
      <c r="CTP1" s="353"/>
      <c r="CTQ1" s="353"/>
      <c r="CTR1" s="353"/>
      <c r="CTS1" s="353"/>
      <c r="CTT1" s="353"/>
      <c r="CTU1" s="353"/>
      <c r="CTV1" s="353"/>
      <c r="CTW1" s="353"/>
      <c r="CTX1" s="353"/>
      <c r="CTY1" s="353"/>
      <c r="CTZ1" s="353"/>
      <c r="CUA1" s="353"/>
      <c r="CUB1" s="353"/>
      <c r="CUC1" s="353"/>
      <c r="CUD1" s="353"/>
      <c r="CUE1" s="353"/>
      <c r="CUF1" s="353"/>
      <c r="CUG1" s="353"/>
      <c r="CUH1" s="353"/>
      <c r="CUI1" s="353"/>
      <c r="CUJ1" s="353"/>
      <c r="CUK1" s="353"/>
      <c r="CUL1" s="353"/>
      <c r="CUM1" s="353"/>
      <c r="CUN1" s="353"/>
      <c r="CUO1" s="353"/>
      <c r="CUP1" s="353"/>
      <c r="CUQ1" s="353"/>
      <c r="CUR1" s="353"/>
      <c r="CUS1" s="353"/>
      <c r="CUT1" s="353"/>
      <c r="CUU1" s="353"/>
      <c r="CUV1" s="353"/>
      <c r="CUW1" s="353"/>
      <c r="CUX1" s="353"/>
      <c r="CUY1" s="353"/>
      <c r="CUZ1" s="353"/>
      <c r="CVA1" s="353"/>
      <c r="CVB1" s="353"/>
      <c r="CVC1" s="353"/>
      <c r="CVD1" s="353"/>
      <c r="CVE1" s="353"/>
      <c r="CVF1" s="353"/>
      <c r="CVG1" s="353"/>
      <c r="CVH1" s="353"/>
      <c r="CVI1" s="353"/>
      <c r="CVJ1" s="353"/>
      <c r="CVK1" s="353"/>
      <c r="CVL1" s="353"/>
      <c r="CVM1" s="353"/>
      <c r="CVN1" s="353"/>
      <c r="CVO1" s="353"/>
      <c r="CVP1" s="353"/>
      <c r="CVQ1" s="353"/>
      <c r="CVR1" s="353"/>
      <c r="CVS1" s="353"/>
      <c r="CVT1" s="353"/>
      <c r="CVU1" s="353"/>
      <c r="CVV1" s="353"/>
      <c r="CVW1" s="353"/>
      <c r="CVX1" s="353"/>
      <c r="CVY1" s="353"/>
      <c r="CVZ1" s="353"/>
      <c r="CWA1" s="353"/>
      <c r="CWB1" s="353"/>
      <c r="CWC1" s="353"/>
      <c r="CWD1" s="353"/>
      <c r="CWE1" s="353"/>
      <c r="CWF1" s="353"/>
      <c r="CWG1" s="353"/>
      <c r="CWH1" s="353"/>
      <c r="CWI1" s="353"/>
      <c r="CWJ1" s="353"/>
      <c r="CWK1" s="353"/>
      <c r="CWL1" s="353"/>
      <c r="CWM1" s="353"/>
      <c r="CWN1" s="353"/>
      <c r="CWO1" s="353"/>
      <c r="CWP1" s="353"/>
      <c r="CWQ1" s="353"/>
      <c r="CWR1" s="353"/>
      <c r="CWS1" s="353"/>
      <c r="CWT1" s="353"/>
      <c r="CWU1" s="353"/>
      <c r="CWV1" s="353"/>
      <c r="CWW1" s="353"/>
      <c r="CWX1" s="353"/>
      <c r="CWY1" s="353"/>
      <c r="CWZ1" s="353"/>
      <c r="CXA1" s="353"/>
      <c r="CXB1" s="353"/>
      <c r="CXC1" s="353"/>
      <c r="CXD1" s="353"/>
      <c r="CXE1" s="353"/>
      <c r="CXF1" s="353"/>
      <c r="CXG1" s="353"/>
      <c r="CXH1" s="353"/>
      <c r="CXI1" s="353"/>
      <c r="CXJ1" s="353"/>
      <c r="CXK1" s="353"/>
      <c r="CXL1" s="353"/>
      <c r="CXM1" s="353"/>
      <c r="CXN1" s="353"/>
      <c r="CXO1" s="353"/>
      <c r="CXP1" s="353"/>
      <c r="CXQ1" s="353"/>
      <c r="CXR1" s="353"/>
      <c r="CXS1" s="353"/>
      <c r="CXT1" s="353"/>
      <c r="CXU1" s="353"/>
      <c r="CXV1" s="353"/>
      <c r="CXW1" s="353"/>
      <c r="CXX1" s="353"/>
      <c r="CXY1" s="353"/>
      <c r="CXZ1" s="353"/>
      <c r="CYA1" s="353"/>
      <c r="CYB1" s="353"/>
      <c r="CYC1" s="353"/>
      <c r="CYD1" s="353"/>
      <c r="CYE1" s="353"/>
      <c r="CYF1" s="353"/>
      <c r="CYG1" s="353"/>
      <c r="CYH1" s="353"/>
      <c r="CYI1" s="353"/>
      <c r="CYJ1" s="353"/>
      <c r="CYK1" s="353"/>
      <c r="CYL1" s="353"/>
      <c r="CYM1" s="353"/>
      <c r="CYN1" s="353"/>
      <c r="CYO1" s="353"/>
      <c r="CYP1" s="353"/>
      <c r="CYQ1" s="353"/>
      <c r="CYR1" s="353"/>
      <c r="CYS1" s="353"/>
      <c r="CYT1" s="353"/>
      <c r="CYU1" s="353"/>
      <c r="CYV1" s="353"/>
      <c r="CYW1" s="353"/>
      <c r="CYX1" s="353"/>
      <c r="CYY1" s="353"/>
      <c r="CYZ1" s="353"/>
      <c r="CZA1" s="353"/>
      <c r="CZB1" s="353"/>
      <c r="CZC1" s="353"/>
      <c r="CZD1" s="353"/>
      <c r="CZE1" s="353"/>
      <c r="CZF1" s="353"/>
      <c r="CZG1" s="353"/>
      <c r="CZH1" s="353"/>
      <c r="CZI1" s="353"/>
      <c r="CZJ1" s="353"/>
      <c r="CZK1" s="353"/>
      <c r="CZL1" s="353"/>
      <c r="CZM1" s="353"/>
      <c r="CZN1" s="353"/>
      <c r="CZO1" s="353"/>
      <c r="CZP1" s="353"/>
      <c r="CZQ1" s="353"/>
      <c r="CZR1" s="353"/>
      <c r="CZS1" s="353"/>
      <c r="CZT1" s="353"/>
      <c r="CZU1" s="353"/>
      <c r="CZV1" s="353"/>
      <c r="CZW1" s="353"/>
      <c r="CZX1" s="353"/>
      <c r="CZY1" s="353"/>
      <c r="CZZ1" s="353"/>
      <c r="DAA1" s="353"/>
      <c r="DAB1" s="353"/>
      <c r="DAC1" s="353"/>
      <c r="DAD1" s="353"/>
      <c r="DAE1" s="353"/>
      <c r="DAF1" s="353"/>
      <c r="DAG1" s="353"/>
      <c r="DAH1" s="353"/>
      <c r="DAI1" s="353"/>
      <c r="DAJ1" s="353"/>
      <c r="DAK1" s="353"/>
      <c r="DAL1" s="353"/>
      <c r="DAM1" s="353"/>
      <c r="DAN1" s="353"/>
      <c r="DAO1" s="353"/>
      <c r="DAP1" s="353"/>
      <c r="DAQ1" s="353"/>
      <c r="DAR1" s="353"/>
      <c r="DAS1" s="353"/>
      <c r="DAT1" s="353"/>
      <c r="DAU1" s="353"/>
      <c r="DAV1" s="353"/>
      <c r="DAW1" s="353"/>
      <c r="DAX1" s="353"/>
      <c r="DAY1" s="353"/>
      <c r="DAZ1" s="353"/>
      <c r="DBA1" s="353"/>
      <c r="DBB1" s="353"/>
      <c r="DBC1" s="353"/>
      <c r="DBD1" s="353"/>
      <c r="DBE1" s="353"/>
      <c r="DBF1" s="353"/>
      <c r="DBG1" s="353"/>
      <c r="DBH1" s="353"/>
      <c r="DBI1" s="353"/>
      <c r="DBJ1" s="353"/>
      <c r="DBK1" s="353"/>
      <c r="DBL1" s="353"/>
      <c r="DBM1" s="353"/>
      <c r="DBN1" s="353"/>
      <c r="DBO1" s="353"/>
      <c r="DBP1" s="353"/>
      <c r="DBQ1" s="353"/>
      <c r="DBR1" s="353"/>
      <c r="DBS1" s="353"/>
      <c r="DBT1" s="353"/>
      <c r="DBU1" s="353"/>
      <c r="DBV1" s="353"/>
      <c r="DBW1" s="353"/>
      <c r="DBX1" s="353"/>
      <c r="DBY1" s="353"/>
      <c r="DBZ1" s="353"/>
      <c r="DCA1" s="353"/>
      <c r="DCB1" s="353"/>
      <c r="DCC1" s="353"/>
      <c r="DCD1" s="353"/>
      <c r="DCE1" s="353"/>
      <c r="DCF1" s="353"/>
      <c r="DCG1" s="353"/>
      <c r="DCH1" s="353"/>
      <c r="DCI1" s="353"/>
      <c r="DCJ1" s="353"/>
      <c r="DCK1" s="353"/>
      <c r="DCL1" s="353"/>
      <c r="DCM1" s="353"/>
      <c r="DCN1" s="353"/>
      <c r="DCO1" s="353"/>
      <c r="DCP1" s="353"/>
      <c r="DCQ1" s="353"/>
      <c r="DCR1" s="353"/>
      <c r="DCS1" s="353"/>
      <c r="DCT1" s="353"/>
      <c r="DCU1" s="353"/>
      <c r="DCV1" s="353"/>
      <c r="DCW1" s="353"/>
      <c r="DCX1" s="353"/>
      <c r="DCY1" s="353"/>
      <c r="DCZ1" s="353"/>
      <c r="DDA1" s="353"/>
      <c r="DDB1" s="353"/>
      <c r="DDC1" s="353"/>
      <c r="DDD1" s="353"/>
      <c r="DDE1" s="353"/>
      <c r="DDF1" s="353"/>
      <c r="DDG1" s="353"/>
      <c r="DDH1" s="353"/>
      <c r="DDI1" s="353"/>
      <c r="DDJ1" s="353"/>
      <c r="DDK1" s="353"/>
      <c r="DDL1" s="353"/>
      <c r="DDM1" s="353"/>
      <c r="DDN1" s="353"/>
      <c r="DDO1" s="353"/>
      <c r="DDP1" s="353"/>
      <c r="DDQ1" s="353"/>
      <c r="DDR1" s="353"/>
      <c r="DDS1" s="353"/>
      <c r="DDT1" s="353"/>
      <c r="DDU1" s="353"/>
      <c r="DDV1" s="353"/>
      <c r="DDW1" s="353"/>
      <c r="DDX1" s="353"/>
      <c r="DDY1" s="353"/>
      <c r="DDZ1" s="353"/>
      <c r="DEA1" s="353"/>
      <c r="DEB1" s="353"/>
      <c r="DEC1" s="353"/>
      <c r="DED1" s="353"/>
      <c r="DEE1" s="353"/>
      <c r="DEF1" s="353"/>
      <c r="DEG1" s="353"/>
      <c r="DEH1" s="353"/>
      <c r="DEI1" s="353"/>
      <c r="DEJ1" s="353"/>
      <c r="DEK1" s="353"/>
      <c r="DEL1" s="353"/>
      <c r="DEM1" s="353"/>
      <c r="DEN1" s="353"/>
      <c r="DEO1" s="353"/>
      <c r="DEP1" s="353"/>
      <c r="DEQ1" s="353"/>
      <c r="DER1" s="353"/>
      <c r="DES1" s="353"/>
      <c r="DET1" s="353"/>
      <c r="DEU1" s="353"/>
      <c r="DEV1" s="353"/>
      <c r="DEW1" s="353"/>
      <c r="DEX1" s="353"/>
      <c r="DEY1" s="353"/>
      <c r="DEZ1" s="353"/>
      <c r="DFA1" s="353"/>
      <c r="DFB1" s="353"/>
      <c r="DFC1" s="353"/>
      <c r="DFD1" s="353"/>
      <c r="DFE1" s="353"/>
      <c r="DFF1" s="353"/>
      <c r="DFG1" s="353"/>
      <c r="DFH1" s="353"/>
      <c r="DFI1" s="353"/>
      <c r="DFJ1" s="353"/>
      <c r="DFK1" s="353"/>
      <c r="DFL1" s="353"/>
      <c r="DFM1" s="353"/>
      <c r="DFN1" s="353"/>
      <c r="DFO1" s="353"/>
      <c r="DFP1" s="353"/>
      <c r="DFQ1" s="353"/>
      <c r="DFR1" s="353"/>
      <c r="DFS1" s="353"/>
      <c r="DFT1" s="353"/>
      <c r="DFU1" s="353"/>
      <c r="DFV1" s="353"/>
      <c r="DFW1" s="353"/>
      <c r="DFX1" s="353"/>
      <c r="DFY1" s="353"/>
      <c r="DFZ1" s="353"/>
      <c r="DGA1" s="353"/>
      <c r="DGB1" s="353"/>
      <c r="DGC1" s="353"/>
      <c r="DGD1" s="353"/>
      <c r="DGE1" s="353"/>
      <c r="DGF1" s="353"/>
      <c r="DGG1" s="353"/>
      <c r="DGH1" s="353"/>
      <c r="DGI1" s="353"/>
      <c r="DGJ1" s="353"/>
      <c r="DGK1" s="353"/>
      <c r="DGL1" s="353"/>
      <c r="DGM1" s="353"/>
      <c r="DGN1" s="353"/>
      <c r="DGO1" s="353"/>
      <c r="DGP1" s="353"/>
      <c r="DGQ1" s="353"/>
      <c r="DGR1" s="353"/>
      <c r="DGS1" s="353"/>
      <c r="DGT1" s="353"/>
      <c r="DGU1" s="353"/>
      <c r="DGV1" s="353"/>
      <c r="DGW1" s="353"/>
      <c r="DGX1" s="353"/>
      <c r="DGY1" s="353"/>
      <c r="DGZ1" s="353"/>
      <c r="DHA1" s="353"/>
      <c r="DHB1" s="353"/>
      <c r="DHC1" s="353"/>
      <c r="DHD1" s="353"/>
      <c r="DHE1" s="353"/>
      <c r="DHF1" s="353"/>
      <c r="DHG1" s="353"/>
      <c r="DHH1" s="353"/>
      <c r="DHI1" s="353"/>
      <c r="DHJ1" s="353"/>
      <c r="DHK1" s="353"/>
      <c r="DHL1" s="353"/>
      <c r="DHM1" s="353"/>
      <c r="DHN1" s="353"/>
      <c r="DHO1" s="353"/>
      <c r="DHP1" s="353"/>
      <c r="DHQ1" s="353"/>
      <c r="DHR1" s="353"/>
      <c r="DHS1" s="353"/>
      <c r="DHT1" s="353"/>
      <c r="DHU1" s="353"/>
      <c r="DHV1" s="353"/>
      <c r="DHW1" s="353"/>
      <c r="DHX1" s="353"/>
      <c r="DHY1" s="353"/>
      <c r="DHZ1" s="353"/>
      <c r="DIA1" s="353"/>
      <c r="DIB1" s="353"/>
      <c r="DIC1" s="353"/>
      <c r="DID1" s="353"/>
      <c r="DIE1" s="353"/>
      <c r="DIF1" s="353"/>
      <c r="DIG1" s="353"/>
      <c r="DIH1" s="353"/>
      <c r="DII1" s="353"/>
      <c r="DIJ1" s="353"/>
      <c r="DIK1" s="353"/>
      <c r="DIL1" s="353"/>
      <c r="DIM1" s="353"/>
      <c r="DIN1" s="353"/>
      <c r="DIO1" s="353"/>
      <c r="DIP1" s="353"/>
      <c r="DIQ1" s="353"/>
      <c r="DIR1" s="353"/>
      <c r="DIS1" s="353"/>
      <c r="DIT1" s="353"/>
      <c r="DIU1" s="353"/>
      <c r="DIV1" s="353"/>
      <c r="DIW1" s="353"/>
      <c r="DIX1" s="353"/>
      <c r="DIY1" s="353"/>
      <c r="DIZ1" s="353"/>
      <c r="DJA1" s="353"/>
      <c r="DJB1" s="353"/>
      <c r="DJC1" s="353"/>
      <c r="DJD1" s="353"/>
      <c r="DJE1" s="353"/>
      <c r="DJF1" s="353"/>
      <c r="DJG1" s="353"/>
      <c r="DJH1" s="353"/>
      <c r="DJI1" s="353"/>
      <c r="DJJ1" s="353"/>
      <c r="DJK1" s="353"/>
      <c r="DJL1" s="353"/>
      <c r="DJM1" s="353"/>
      <c r="DJN1" s="353"/>
      <c r="DJO1" s="353"/>
      <c r="DJP1" s="353"/>
      <c r="DJQ1" s="353"/>
      <c r="DJR1" s="353"/>
      <c r="DJS1" s="353"/>
      <c r="DJT1" s="353"/>
      <c r="DJU1" s="353"/>
      <c r="DJV1" s="353"/>
      <c r="DJW1" s="353"/>
      <c r="DJX1" s="353"/>
      <c r="DJY1" s="353"/>
      <c r="DJZ1" s="353"/>
      <c r="DKA1" s="353"/>
      <c r="DKB1" s="353"/>
      <c r="DKC1" s="353"/>
      <c r="DKD1" s="353"/>
      <c r="DKE1" s="353"/>
      <c r="DKF1" s="353"/>
      <c r="DKG1" s="353"/>
      <c r="DKH1" s="353"/>
      <c r="DKI1" s="353"/>
      <c r="DKJ1" s="353"/>
      <c r="DKK1" s="353"/>
      <c r="DKL1" s="353"/>
      <c r="DKM1" s="353"/>
      <c r="DKN1" s="353"/>
      <c r="DKO1" s="353"/>
      <c r="DKP1" s="353"/>
      <c r="DKQ1" s="353"/>
      <c r="DKR1" s="353"/>
      <c r="DKS1" s="353"/>
      <c r="DKT1" s="353"/>
      <c r="DKU1" s="353"/>
      <c r="DKV1" s="353"/>
      <c r="DKW1" s="353"/>
      <c r="DKX1" s="353"/>
      <c r="DKY1" s="353"/>
      <c r="DKZ1" s="353"/>
      <c r="DLA1" s="353"/>
      <c r="DLB1" s="353"/>
      <c r="DLC1" s="353"/>
      <c r="DLD1" s="353"/>
      <c r="DLE1" s="353"/>
      <c r="DLF1" s="353"/>
      <c r="DLG1" s="353"/>
      <c r="DLH1" s="353"/>
      <c r="DLI1" s="353"/>
      <c r="DLJ1" s="353"/>
      <c r="DLK1" s="353"/>
      <c r="DLL1" s="353"/>
      <c r="DLM1" s="353"/>
      <c r="DLN1" s="353"/>
      <c r="DLO1" s="353"/>
      <c r="DLP1" s="353"/>
      <c r="DLQ1" s="353"/>
      <c r="DLR1" s="353"/>
      <c r="DLS1" s="353"/>
      <c r="DLT1" s="353"/>
      <c r="DLU1" s="353"/>
      <c r="DLV1" s="353"/>
      <c r="DLW1" s="353"/>
      <c r="DLX1" s="353"/>
      <c r="DLY1" s="353"/>
      <c r="DLZ1" s="353"/>
      <c r="DMA1" s="353"/>
      <c r="DMB1" s="353"/>
      <c r="DMC1" s="353"/>
      <c r="DMD1" s="353"/>
      <c r="DME1" s="353"/>
      <c r="DMF1" s="353"/>
      <c r="DMG1" s="353"/>
      <c r="DMH1" s="353"/>
      <c r="DMI1" s="353"/>
      <c r="DMJ1" s="353"/>
      <c r="DMK1" s="353"/>
      <c r="DML1" s="353"/>
      <c r="DMM1" s="353"/>
      <c r="DMN1" s="353"/>
      <c r="DMO1" s="353"/>
      <c r="DMP1" s="353"/>
      <c r="DMQ1" s="353"/>
      <c r="DMR1" s="353"/>
      <c r="DMS1" s="353"/>
      <c r="DMT1" s="353"/>
      <c r="DMU1" s="353"/>
      <c r="DMV1" s="353"/>
      <c r="DMW1" s="353"/>
      <c r="DMX1" s="353"/>
      <c r="DMY1" s="353"/>
      <c r="DMZ1" s="353"/>
      <c r="DNA1" s="353"/>
      <c r="DNB1" s="353"/>
      <c r="DNC1" s="353"/>
      <c r="DND1" s="353"/>
      <c r="DNE1" s="353"/>
      <c r="DNF1" s="353"/>
      <c r="DNG1" s="353"/>
      <c r="DNH1" s="353"/>
      <c r="DNI1" s="353"/>
      <c r="DNJ1" s="353"/>
      <c r="DNK1" s="353"/>
      <c r="DNL1" s="353"/>
      <c r="DNM1" s="353"/>
      <c r="DNN1" s="353"/>
      <c r="DNO1" s="353"/>
      <c r="DNP1" s="353"/>
      <c r="DNQ1" s="353"/>
      <c r="DNR1" s="353"/>
      <c r="DNS1" s="353"/>
      <c r="DNT1" s="353"/>
      <c r="DNU1" s="353"/>
      <c r="DNV1" s="353"/>
      <c r="DNW1" s="353"/>
      <c r="DNX1" s="353"/>
      <c r="DNY1" s="353"/>
      <c r="DNZ1" s="353"/>
      <c r="DOA1" s="353"/>
      <c r="DOB1" s="353"/>
      <c r="DOC1" s="353"/>
      <c r="DOD1" s="353"/>
      <c r="DOE1" s="353"/>
      <c r="DOF1" s="353"/>
      <c r="DOG1" s="353"/>
      <c r="DOH1" s="353"/>
      <c r="DOI1" s="353"/>
      <c r="DOJ1" s="353"/>
      <c r="DOK1" s="353"/>
      <c r="DOL1" s="353"/>
      <c r="DOM1" s="353"/>
      <c r="DON1" s="353"/>
      <c r="DOO1" s="353"/>
      <c r="DOP1" s="353"/>
      <c r="DOQ1" s="353"/>
      <c r="DOR1" s="353"/>
      <c r="DOS1" s="353"/>
      <c r="DOT1" s="353"/>
      <c r="DOU1" s="353"/>
      <c r="DOV1" s="353"/>
      <c r="DOW1" s="353"/>
      <c r="DOX1" s="353"/>
      <c r="DOY1" s="353"/>
      <c r="DOZ1" s="353"/>
      <c r="DPA1" s="353"/>
      <c r="DPB1" s="353"/>
      <c r="DPC1" s="353"/>
      <c r="DPD1" s="353"/>
      <c r="DPE1" s="353"/>
      <c r="DPF1" s="353"/>
      <c r="DPG1" s="353"/>
      <c r="DPH1" s="353"/>
      <c r="DPI1" s="353"/>
      <c r="DPJ1" s="353"/>
      <c r="DPK1" s="353"/>
      <c r="DPL1" s="353"/>
      <c r="DPM1" s="353"/>
      <c r="DPN1" s="353"/>
      <c r="DPO1" s="353"/>
      <c r="DPP1" s="353"/>
      <c r="DPQ1" s="353"/>
      <c r="DPR1" s="353"/>
      <c r="DPS1" s="353"/>
      <c r="DPT1" s="353"/>
      <c r="DPU1" s="353"/>
      <c r="DPV1" s="353"/>
      <c r="DPW1" s="353"/>
      <c r="DPX1" s="353"/>
      <c r="DPY1" s="353"/>
      <c r="DPZ1" s="353"/>
      <c r="DQA1" s="353"/>
      <c r="DQB1" s="353"/>
      <c r="DQC1" s="353"/>
      <c r="DQD1" s="353"/>
      <c r="DQE1" s="353"/>
      <c r="DQF1" s="353"/>
      <c r="DQG1" s="353"/>
      <c r="DQH1" s="353"/>
      <c r="DQI1" s="353"/>
      <c r="DQJ1" s="353"/>
      <c r="DQK1" s="353"/>
      <c r="DQL1" s="353"/>
      <c r="DQM1" s="353"/>
      <c r="DQN1" s="353"/>
      <c r="DQO1" s="353"/>
      <c r="DQP1" s="353"/>
      <c r="DQQ1" s="353"/>
      <c r="DQR1" s="353"/>
      <c r="DQS1" s="353"/>
      <c r="DQT1" s="353"/>
      <c r="DQU1" s="353"/>
      <c r="DQV1" s="353"/>
      <c r="DQW1" s="353"/>
      <c r="DQX1" s="353"/>
      <c r="DQY1" s="353"/>
      <c r="DQZ1" s="353"/>
      <c r="DRA1" s="353"/>
      <c r="DRB1" s="353"/>
      <c r="DRC1" s="353"/>
      <c r="DRD1" s="353"/>
      <c r="DRE1" s="353"/>
      <c r="DRF1" s="353"/>
      <c r="DRG1" s="353"/>
      <c r="DRH1" s="353"/>
      <c r="DRI1" s="353"/>
      <c r="DRJ1" s="353"/>
      <c r="DRK1" s="353"/>
      <c r="DRL1" s="353"/>
      <c r="DRM1" s="353"/>
      <c r="DRN1" s="353"/>
      <c r="DRO1" s="353"/>
      <c r="DRP1" s="353"/>
      <c r="DRQ1" s="353"/>
      <c r="DRR1" s="353"/>
      <c r="DRS1" s="353"/>
      <c r="DRT1" s="353"/>
      <c r="DRU1" s="353"/>
      <c r="DRV1" s="353"/>
      <c r="DRW1" s="353"/>
      <c r="DRX1" s="353"/>
      <c r="DRY1" s="353"/>
      <c r="DRZ1" s="353"/>
      <c r="DSA1" s="353"/>
      <c r="DSB1" s="353"/>
      <c r="DSC1" s="353"/>
      <c r="DSD1" s="353"/>
      <c r="DSE1" s="353"/>
      <c r="DSF1" s="353"/>
      <c r="DSG1" s="353"/>
      <c r="DSH1" s="353"/>
      <c r="DSI1" s="353"/>
      <c r="DSJ1" s="353"/>
      <c r="DSK1" s="353"/>
      <c r="DSL1" s="353"/>
      <c r="DSM1" s="353"/>
      <c r="DSN1" s="353"/>
      <c r="DSO1" s="353"/>
      <c r="DSP1" s="353"/>
      <c r="DSQ1" s="353"/>
      <c r="DSR1" s="353"/>
      <c r="DSS1" s="353"/>
      <c r="DST1" s="353"/>
      <c r="DSU1" s="353"/>
      <c r="DSV1" s="353"/>
      <c r="DSW1" s="353"/>
      <c r="DSX1" s="353"/>
      <c r="DSY1" s="353"/>
      <c r="DSZ1" s="353"/>
      <c r="DTA1" s="353"/>
      <c r="DTB1" s="353"/>
      <c r="DTC1" s="353"/>
      <c r="DTD1" s="353"/>
      <c r="DTE1" s="353"/>
      <c r="DTF1" s="353"/>
      <c r="DTG1" s="353"/>
      <c r="DTH1" s="353"/>
      <c r="DTI1" s="353"/>
      <c r="DTJ1" s="353"/>
      <c r="DTK1" s="353"/>
      <c r="DTL1" s="353"/>
      <c r="DTM1" s="353"/>
      <c r="DTN1" s="353"/>
      <c r="DTO1" s="353"/>
      <c r="DTP1" s="353"/>
      <c r="DTQ1" s="353"/>
      <c r="DTR1" s="353"/>
      <c r="DTS1" s="353"/>
      <c r="DTT1" s="353"/>
      <c r="DTU1" s="353"/>
      <c r="DTV1" s="353"/>
      <c r="DTW1" s="353"/>
      <c r="DTX1" s="353"/>
      <c r="DTY1" s="353"/>
      <c r="DTZ1" s="353"/>
      <c r="DUA1" s="353"/>
      <c r="DUB1" s="353"/>
      <c r="DUC1" s="353"/>
      <c r="DUD1" s="353"/>
      <c r="DUE1" s="353"/>
      <c r="DUF1" s="353"/>
      <c r="DUG1" s="353"/>
      <c r="DUH1" s="353"/>
      <c r="DUI1" s="353"/>
      <c r="DUJ1" s="353"/>
      <c r="DUK1" s="353"/>
      <c r="DUL1" s="353"/>
      <c r="DUM1" s="353"/>
      <c r="DUN1" s="353"/>
      <c r="DUO1" s="353"/>
      <c r="DUP1" s="353"/>
      <c r="DUQ1" s="353"/>
      <c r="DUR1" s="353"/>
      <c r="DUS1" s="353"/>
      <c r="DUT1" s="353"/>
      <c r="DUU1" s="353"/>
      <c r="DUV1" s="353"/>
      <c r="DUW1" s="353"/>
      <c r="DUX1" s="353"/>
      <c r="DUY1" s="353"/>
      <c r="DUZ1" s="353"/>
      <c r="DVA1" s="353"/>
      <c r="DVB1" s="353"/>
      <c r="DVC1" s="353"/>
      <c r="DVD1" s="353"/>
      <c r="DVE1" s="353"/>
      <c r="DVF1" s="353"/>
      <c r="DVG1" s="353"/>
      <c r="DVH1" s="353"/>
      <c r="DVI1" s="353"/>
      <c r="DVJ1" s="353"/>
      <c r="DVK1" s="353"/>
      <c r="DVL1" s="353"/>
      <c r="DVM1" s="353"/>
      <c r="DVN1" s="353"/>
      <c r="DVO1" s="353"/>
      <c r="DVP1" s="353"/>
      <c r="DVQ1" s="353"/>
      <c r="DVR1" s="353"/>
      <c r="DVS1" s="353"/>
      <c r="DVT1" s="353"/>
      <c r="DVU1" s="353"/>
      <c r="DVV1" s="353"/>
      <c r="DVW1" s="353"/>
      <c r="DVX1" s="353"/>
      <c r="DVY1" s="353"/>
      <c r="DVZ1" s="353"/>
      <c r="DWA1" s="353"/>
      <c r="DWB1" s="353"/>
      <c r="DWC1" s="353"/>
      <c r="DWD1" s="353"/>
      <c r="DWE1" s="353"/>
      <c r="DWF1" s="353"/>
      <c r="DWG1" s="353"/>
      <c r="DWH1" s="353"/>
      <c r="DWI1" s="353"/>
      <c r="DWJ1" s="353"/>
      <c r="DWK1" s="353"/>
      <c r="DWL1" s="353"/>
      <c r="DWM1" s="353"/>
      <c r="DWN1" s="353"/>
      <c r="DWO1" s="353"/>
      <c r="DWP1" s="353"/>
      <c r="DWQ1" s="353"/>
      <c r="DWR1" s="353"/>
      <c r="DWS1" s="353"/>
      <c r="DWT1" s="353"/>
      <c r="DWU1" s="353"/>
      <c r="DWV1" s="353"/>
      <c r="DWW1" s="353"/>
      <c r="DWX1" s="353"/>
      <c r="DWY1" s="353"/>
      <c r="DWZ1" s="353"/>
      <c r="DXA1" s="353"/>
      <c r="DXB1" s="353"/>
      <c r="DXC1" s="353"/>
      <c r="DXD1" s="353"/>
      <c r="DXE1" s="353"/>
      <c r="DXF1" s="353"/>
      <c r="DXG1" s="353"/>
      <c r="DXH1" s="353"/>
      <c r="DXI1" s="353"/>
      <c r="DXJ1" s="353"/>
      <c r="DXK1" s="353"/>
      <c r="DXL1" s="353"/>
      <c r="DXM1" s="353"/>
      <c r="DXN1" s="353"/>
      <c r="DXO1" s="353"/>
      <c r="DXP1" s="353"/>
      <c r="DXQ1" s="353"/>
      <c r="DXR1" s="353"/>
      <c r="DXS1" s="353"/>
      <c r="DXT1" s="353"/>
      <c r="DXU1" s="353"/>
      <c r="DXV1" s="353"/>
      <c r="DXW1" s="353"/>
      <c r="DXX1" s="353"/>
      <c r="DXY1" s="353"/>
      <c r="DXZ1" s="353"/>
      <c r="DYA1" s="353"/>
      <c r="DYB1" s="353"/>
      <c r="DYC1" s="353"/>
      <c r="DYD1" s="353"/>
      <c r="DYE1" s="353"/>
      <c r="DYF1" s="353"/>
      <c r="DYG1" s="353"/>
      <c r="DYH1" s="353"/>
      <c r="DYI1" s="353"/>
      <c r="DYJ1" s="353"/>
      <c r="DYK1" s="353"/>
      <c r="DYL1" s="353"/>
      <c r="DYM1" s="353"/>
      <c r="DYN1" s="353"/>
      <c r="DYO1" s="353"/>
      <c r="DYP1" s="353"/>
      <c r="DYQ1" s="353"/>
      <c r="DYR1" s="353"/>
      <c r="DYS1" s="353"/>
      <c r="DYT1" s="353"/>
      <c r="DYU1" s="353"/>
      <c r="DYV1" s="353"/>
      <c r="DYW1" s="353"/>
      <c r="DYX1" s="353"/>
      <c r="DYY1" s="353"/>
      <c r="DYZ1" s="353"/>
      <c r="DZA1" s="353"/>
      <c r="DZB1" s="353"/>
      <c r="DZC1" s="353"/>
      <c r="DZD1" s="353"/>
      <c r="DZE1" s="353"/>
      <c r="DZF1" s="353"/>
      <c r="DZG1" s="353"/>
      <c r="DZH1" s="353"/>
      <c r="DZI1" s="353"/>
      <c r="DZJ1" s="353"/>
      <c r="DZK1" s="353"/>
      <c r="DZL1" s="353"/>
      <c r="DZM1" s="353"/>
      <c r="DZN1" s="353"/>
      <c r="DZO1" s="353"/>
      <c r="DZP1" s="353"/>
      <c r="DZQ1" s="353"/>
      <c r="DZR1" s="353"/>
      <c r="DZS1" s="353"/>
      <c r="DZT1" s="353"/>
      <c r="DZU1" s="353"/>
      <c r="DZV1" s="353"/>
      <c r="DZW1" s="353"/>
      <c r="DZX1" s="353"/>
      <c r="DZY1" s="353"/>
      <c r="DZZ1" s="353"/>
      <c r="EAA1" s="353"/>
      <c r="EAB1" s="353"/>
      <c r="EAC1" s="353"/>
      <c r="EAD1" s="353"/>
      <c r="EAE1" s="353"/>
      <c r="EAF1" s="353"/>
      <c r="EAG1" s="353"/>
      <c r="EAH1" s="353"/>
      <c r="EAI1" s="353"/>
      <c r="EAJ1" s="353"/>
      <c r="EAK1" s="353"/>
      <c r="EAL1" s="353"/>
      <c r="EAM1" s="353"/>
      <c r="EAN1" s="353"/>
      <c r="EAO1" s="353"/>
      <c r="EAP1" s="353"/>
      <c r="EAQ1" s="353"/>
      <c r="EAR1" s="353"/>
      <c r="EAS1" s="353"/>
      <c r="EAT1" s="353"/>
      <c r="EAU1" s="353"/>
      <c r="EAV1" s="353"/>
      <c r="EAW1" s="353"/>
      <c r="EAX1" s="353"/>
      <c r="EAY1" s="353"/>
      <c r="EAZ1" s="353"/>
      <c r="EBA1" s="353"/>
      <c r="EBB1" s="353"/>
      <c r="EBC1" s="353"/>
      <c r="EBD1" s="353"/>
      <c r="EBE1" s="353"/>
      <c r="EBF1" s="353"/>
      <c r="EBG1" s="353"/>
      <c r="EBH1" s="353"/>
      <c r="EBI1" s="353"/>
      <c r="EBJ1" s="353"/>
      <c r="EBK1" s="353"/>
      <c r="EBL1" s="353"/>
      <c r="EBM1" s="353"/>
      <c r="EBN1" s="353"/>
      <c r="EBO1" s="353"/>
      <c r="EBP1" s="353"/>
      <c r="EBQ1" s="353"/>
      <c r="EBR1" s="353"/>
      <c r="EBS1" s="353"/>
      <c r="EBT1" s="353"/>
      <c r="EBU1" s="353"/>
      <c r="EBV1" s="353"/>
      <c r="EBW1" s="353"/>
      <c r="EBX1" s="353"/>
      <c r="EBY1" s="353"/>
      <c r="EBZ1" s="353"/>
      <c r="ECA1" s="353"/>
      <c r="ECB1" s="353"/>
      <c r="ECC1" s="353"/>
      <c r="ECD1" s="353"/>
      <c r="ECE1" s="353"/>
      <c r="ECF1" s="353"/>
      <c r="ECG1" s="353"/>
      <c r="ECH1" s="353"/>
      <c r="ECI1" s="353"/>
      <c r="ECJ1" s="353"/>
      <c r="ECK1" s="353"/>
      <c r="ECL1" s="353"/>
      <c r="ECM1" s="353"/>
      <c r="ECN1" s="353"/>
      <c r="ECO1" s="353"/>
      <c r="ECP1" s="353"/>
      <c r="ECQ1" s="353"/>
      <c r="ECR1" s="353"/>
      <c r="ECS1" s="353"/>
      <c r="ECT1" s="353"/>
      <c r="ECU1" s="353"/>
      <c r="ECV1" s="353"/>
      <c r="ECW1" s="353"/>
      <c r="ECX1" s="353"/>
      <c r="ECY1" s="353"/>
      <c r="ECZ1" s="353"/>
      <c r="EDA1" s="353"/>
      <c r="EDB1" s="353"/>
      <c r="EDC1" s="353"/>
      <c r="EDD1" s="353"/>
      <c r="EDE1" s="353"/>
      <c r="EDF1" s="353"/>
      <c r="EDG1" s="353"/>
      <c r="EDH1" s="353"/>
      <c r="EDI1" s="353"/>
      <c r="EDJ1" s="353"/>
      <c r="EDK1" s="353"/>
      <c r="EDL1" s="353"/>
      <c r="EDM1" s="353"/>
      <c r="EDN1" s="353"/>
      <c r="EDO1" s="353"/>
      <c r="EDP1" s="353"/>
      <c r="EDQ1" s="353"/>
      <c r="EDR1" s="353"/>
      <c r="EDS1" s="353"/>
      <c r="EDT1" s="353"/>
      <c r="EDU1" s="353"/>
      <c r="EDV1" s="353"/>
      <c r="EDW1" s="353"/>
      <c r="EDX1" s="353"/>
      <c r="EDY1" s="353"/>
      <c r="EDZ1" s="353"/>
      <c r="EEA1" s="353"/>
      <c r="EEB1" s="353"/>
      <c r="EEC1" s="353"/>
      <c r="EED1" s="353"/>
      <c r="EEE1" s="353"/>
      <c r="EEF1" s="353"/>
      <c r="EEG1" s="353"/>
      <c r="EEH1" s="353"/>
      <c r="EEI1" s="353"/>
      <c r="EEJ1" s="353"/>
      <c r="EEK1" s="353"/>
      <c r="EEL1" s="353"/>
      <c r="EEM1" s="353"/>
      <c r="EEN1" s="353"/>
      <c r="EEO1" s="353"/>
      <c r="EEP1" s="353"/>
      <c r="EEQ1" s="353"/>
      <c r="EER1" s="353"/>
      <c r="EES1" s="353"/>
      <c r="EET1" s="353"/>
      <c r="EEU1" s="353"/>
      <c r="EEV1" s="353"/>
      <c r="EEW1" s="353"/>
      <c r="EEX1" s="353"/>
      <c r="EEY1" s="353"/>
      <c r="EEZ1" s="353"/>
      <c r="EFA1" s="353"/>
      <c r="EFB1" s="353"/>
      <c r="EFC1" s="353"/>
      <c r="EFD1" s="353"/>
      <c r="EFE1" s="353"/>
      <c r="EFF1" s="353"/>
      <c r="EFG1" s="353"/>
      <c r="EFH1" s="353"/>
      <c r="EFI1" s="353"/>
      <c r="EFJ1" s="353"/>
      <c r="EFK1" s="353"/>
      <c r="EFL1" s="353"/>
      <c r="EFM1" s="353"/>
      <c r="EFN1" s="353"/>
      <c r="EFO1" s="353"/>
      <c r="EFP1" s="353"/>
      <c r="EFQ1" s="353"/>
      <c r="EFR1" s="353"/>
      <c r="EFS1" s="353"/>
      <c r="EFT1" s="353"/>
      <c r="EFU1" s="353"/>
      <c r="EFV1" s="353"/>
      <c r="EFW1" s="353"/>
      <c r="EFX1" s="353"/>
      <c r="EFY1" s="353"/>
      <c r="EFZ1" s="353"/>
      <c r="EGA1" s="353"/>
      <c r="EGB1" s="353"/>
      <c r="EGC1" s="353"/>
      <c r="EGD1" s="353"/>
      <c r="EGE1" s="353"/>
      <c r="EGF1" s="353"/>
      <c r="EGG1" s="353"/>
      <c r="EGH1" s="353"/>
      <c r="EGI1" s="353"/>
      <c r="EGJ1" s="353"/>
      <c r="EGK1" s="353"/>
      <c r="EGL1" s="353"/>
      <c r="EGM1" s="353"/>
      <c r="EGN1" s="353"/>
      <c r="EGO1" s="353"/>
      <c r="EGP1" s="353"/>
      <c r="EGQ1" s="353"/>
      <c r="EGR1" s="353"/>
      <c r="EGS1" s="353"/>
      <c r="EGT1" s="353"/>
      <c r="EGU1" s="353"/>
      <c r="EGV1" s="353"/>
      <c r="EGW1" s="353"/>
      <c r="EGX1" s="353"/>
      <c r="EGY1" s="353"/>
      <c r="EGZ1" s="353"/>
      <c r="EHA1" s="353"/>
      <c r="EHB1" s="353"/>
      <c r="EHC1" s="353"/>
      <c r="EHD1" s="353"/>
      <c r="EHE1" s="353"/>
      <c r="EHF1" s="353"/>
      <c r="EHG1" s="353"/>
      <c r="EHH1" s="353"/>
      <c r="EHI1" s="353"/>
      <c r="EHJ1" s="353"/>
      <c r="EHK1" s="353"/>
      <c r="EHL1" s="353"/>
      <c r="EHM1" s="353"/>
      <c r="EHN1" s="353"/>
      <c r="EHO1" s="353"/>
      <c r="EHP1" s="353"/>
      <c r="EHQ1" s="353"/>
      <c r="EHR1" s="353"/>
      <c r="EHS1" s="353"/>
      <c r="EHT1" s="353"/>
      <c r="EHU1" s="353"/>
      <c r="EHV1" s="353"/>
      <c r="EHW1" s="353"/>
      <c r="EHX1" s="353"/>
      <c r="EHY1" s="353"/>
      <c r="EHZ1" s="353"/>
      <c r="EIA1" s="353"/>
      <c r="EIB1" s="353"/>
      <c r="EIC1" s="353"/>
      <c r="EID1" s="353"/>
      <c r="EIE1" s="353"/>
      <c r="EIF1" s="353"/>
      <c r="EIG1" s="353"/>
      <c r="EIH1" s="353"/>
      <c r="EII1" s="353"/>
      <c r="EIJ1" s="353"/>
      <c r="EIK1" s="353"/>
      <c r="EIL1" s="353"/>
      <c r="EIM1" s="353"/>
      <c r="EIN1" s="353"/>
      <c r="EIO1" s="353"/>
      <c r="EIP1" s="353"/>
      <c r="EIQ1" s="353"/>
      <c r="EIR1" s="353"/>
      <c r="EIS1" s="353"/>
      <c r="EIT1" s="353"/>
      <c r="EIU1" s="353"/>
      <c r="EIV1" s="353"/>
      <c r="EIW1" s="353"/>
      <c r="EIX1" s="353"/>
      <c r="EIY1" s="353"/>
      <c r="EIZ1" s="353"/>
      <c r="EJA1" s="353"/>
      <c r="EJB1" s="353"/>
      <c r="EJC1" s="353"/>
      <c r="EJD1" s="353"/>
      <c r="EJE1" s="353"/>
      <c r="EJF1" s="353"/>
      <c r="EJG1" s="353"/>
      <c r="EJH1" s="353"/>
      <c r="EJI1" s="353"/>
      <c r="EJJ1" s="353"/>
      <c r="EJK1" s="353"/>
      <c r="EJL1" s="353"/>
      <c r="EJM1" s="353"/>
      <c r="EJN1" s="353"/>
      <c r="EJO1" s="353"/>
      <c r="EJP1" s="353"/>
      <c r="EJQ1" s="353"/>
      <c r="EJR1" s="353"/>
      <c r="EJS1" s="353"/>
      <c r="EJT1" s="353"/>
      <c r="EJU1" s="353"/>
      <c r="EJV1" s="353"/>
      <c r="EJW1" s="353"/>
      <c r="EJX1" s="353"/>
      <c r="EJY1" s="353"/>
      <c r="EJZ1" s="353"/>
      <c r="EKA1" s="353"/>
      <c r="EKB1" s="353"/>
      <c r="EKC1" s="353"/>
      <c r="EKD1" s="353"/>
      <c r="EKE1" s="353"/>
      <c r="EKF1" s="353"/>
      <c r="EKG1" s="353"/>
      <c r="EKH1" s="353"/>
      <c r="EKI1" s="353"/>
      <c r="EKJ1" s="353"/>
      <c r="EKK1" s="353"/>
      <c r="EKL1" s="353"/>
      <c r="EKM1" s="353"/>
      <c r="EKN1" s="353"/>
      <c r="EKO1" s="353"/>
      <c r="EKP1" s="353"/>
      <c r="EKQ1" s="353"/>
      <c r="EKR1" s="353"/>
      <c r="EKS1" s="353"/>
      <c r="EKT1" s="353"/>
      <c r="EKU1" s="353"/>
      <c r="EKV1" s="353"/>
      <c r="EKW1" s="353"/>
      <c r="EKX1" s="353"/>
      <c r="EKY1" s="353"/>
      <c r="EKZ1" s="353"/>
      <c r="ELA1" s="353"/>
      <c r="ELB1" s="353"/>
      <c r="ELC1" s="353"/>
      <c r="ELD1" s="353"/>
      <c r="ELE1" s="353"/>
      <c r="ELF1" s="353"/>
      <c r="ELG1" s="353"/>
      <c r="ELH1" s="353"/>
      <c r="ELI1" s="353"/>
      <c r="ELJ1" s="353"/>
      <c r="ELK1" s="353"/>
      <c r="ELL1" s="353"/>
      <c r="ELM1" s="353"/>
      <c r="ELN1" s="353"/>
      <c r="ELO1" s="353"/>
      <c r="ELP1" s="353"/>
      <c r="ELQ1" s="353"/>
      <c r="ELR1" s="353"/>
      <c r="ELS1" s="353"/>
      <c r="ELT1" s="353"/>
      <c r="ELU1" s="353"/>
      <c r="ELV1" s="353"/>
      <c r="ELW1" s="353"/>
      <c r="ELX1" s="353"/>
      <c r="ELY1" s="353"/>
      <c r="ELZ1" s="353"/>
      <c r="EMA1" s="353"/>
      <c r="EMB1" s="353"/>
      <c r="EMC1" s="353"/>
      <c r="EMD1" s="353"/>
      <c r="EME1" s="353"/>
      <c r="EMF1" s="353"/>
      <c r="EMG1" s="353"/>
      <c r="EMH1" s="353"/>
      <c r="EMI1" s="353"/>
      <c r="EMJ1" s="353"/>
      <c r="EMK1" s="353"/>
      <c r="EML1" s="353"/>
      <c r="EMM1" s="353"/>
      <c r="EMN1" s="353"/>
      <c r="EMO1" s="353"/>
      <c r="EMP1" s="353"/>
      <c r="EMQ1" s="353"/>
      <c r="EMR1" s="353"/>
      <c r="EMS1" s="353"/>
      <c r="EMT1" s="353"/>
      <c r="EMU1" s="353"/>
      <c r="EMV1" s="353"/>
      <c r="EMW1" s="353"/>
      <c r="EMX1" s="353"/>
      <c r="EMY1" s="353"/>
      <c r="EMZ1" s="353"/>
      <c r="ENA1" s="353"/>
      <c r="ENB1" s="353"/>
      <c r="ENC1" s="353"/>
      <c r="END1" s="353"/>
      <c r="ENE1" s="353"/>
      <c r="ENF1" s="353"/>
      <c r="ENG1" s="353"/>
      <c r="ENH1" s="353"/>
      <c r="ENI1" s="353"/>
      <c r="ENJ1" s="353"/>
      <c r="ENK1" s="353"/>
      <c r="ENL1" s="353"/>
      <c r="ENM1" s="353"/>
      <c r="ENN1" s="353"/>
      <c r="ENO1" s="353"/>
      <c r="ENP1" s="353"/>
      <c r="ENQ1" s="353"/>
      <c r="ENR1" s="353"/>
      <c r="ENS1" s="353"/>
      <c r="ENT1" s="353"/>
      <c r="ENU1" s="353"/>
      <c r="ENV1" s="353"/>
      <c r="ENW1" s="353"/>
      <c r="ENX1" s="353"/>
      <c r="ENY1" s="353"/>
      <c r="ENZ1" s="353"/>
      <c r="EOA1" s="353"/>
      <c r="EOB1" s="353"/>
      <c r="EOC1" s="353"/>
      <c r="EOD1" s="353"/>
      <c r="EOE1" s="353"/>
      <c r="EOF1" s="353"/>
      <c r="EOG1" s="353"/>
      <c r="EOH1" s="353"/>
      <c r="EOI1" s="353"/>
      <c r="EOJ1" s="353"/>
      <c r="EOK1" s="353"/>
      <c r="EOL1" s="353"/>
      <c r="EOM1" s="353"/>
      <c r="EON1" s="353"/>
      <c r="EOO1" s="353"/>
      <c r="EOP1" s="353"/>
      <c r="EOQ1" s="353"/>
      <c r="EOR1" s="353"/>
      <c r="EOS1" s="353"/>
      <c r="EOT1" s="353"/>
      <c r="EOU1" s="353"/>
      <c r="EOV1" s="353"/>
      <c r="EOW1" s="353"/>
      <c r="EOX1" s="353"/>
      <c r="EOY1" s="353"/>
      <c r="EOZ1" s="353"/>
      <c r="EPA1" s="353"/>
      <c r="EPB1" s="353"/>
      <c r="EPC1" s="353"/>
      <c r="EPD1" s="353"/>
      <c r="EPE1" s="353"/>
      <c r="EPF1" s="353"/>
      <c r="EPG1" s="353"/>
      <c r="EPH1" s="353"/>
      <c r="EPI1" s="353"/>
      <c r="EPJ1" s="353"/>
      <c r="EPK1" s="353"/>
      <c r="EPL1" s="353"/>
      <c r="EPM1" s="353"/>
      <c r="EPN1" s="353"/>
      <c r="EPO1" s="353"/>
      <c r="EPP1" s="353"/>
      <c r="EPQ1" s="353"/>
      <c r="EPR1" s="353"/>
      <c r="EPS1" s="353"/>
      <c r="EPT1" s="353"/>
      <c r="EPU1" s="353"/>
      <c r="EPV1" s="353"/>
      <c r="EPW1" s="353"/>
      <c r="EPX1" s="353"/>
      <c r="EPY1" s="353"/>
      <c r="EPZ1" s="353"/>
      <c r="EQA1" s="353"/>
      <c r="EQB1" s="353"/>
      <c r="EQC1" s="353"/>
      <c r="EQD1" s="353"/>
      <c r="EQE1" s="353"/>
      <c r="EQF1" s="353"/>
      <c r="EQG1" s="353"/>
      <c r="EQH1" s="353"/>
      <c r="EQI1" s="353"/>
      <c r="EQJ1" s="353"/>
      <c r="EQK1" s="353"/>
      <c r="EQL1" s="353"/>
      <c r="EQM1" s="353"/>
      <c r="EQN1" s="353"/>
      <c r="EQO1" s="353"/>
      <c r="EQP1" s="353"/>
      <c r="EQQ1" s="353"/>
      <c r="EQR1" s="353"/>
      <c r="EQS1" s="353"/>
      <c r="EQT1" s="353"/>
      <c r="EQU1" s="353"/>
      <c r="EQV1" s="353"/>
      <c r="EQW1" s="353"/>
      <c r="EQX1" s="353"/>
      <c r="EQY1" s="353"/>
      <c r="EQZ1" s="353"/>
      <c r="ERA1" s="353"/>
      <c r="ERB1" s="353"/>
      <c r="ERC1" s="353"/>
      <c r="ERD1" s="353"/>
      <c r="ERE1" s="353"/>
      <c r="ERF1" s="353"/>
      <c r="ERG1" s="353"/>
      <c r="ERH1" s="353"/>
      <c r="ERI1" s="353"/>
      <c r="ERJ1" s="353"/>
      <c r="ERK1" s="353"/>
      <c r="ERL1" s="353"/>
      <c r="ERM1" s="353"/>
      <c r="ERN1" s="353"/>
      <c r="ERO1" s="353"/>
      <c r="ERP1" s="353"/>
      <c r="ERQ1" s="353"/>
      <c r="ERR1" s="353"/>
      <c r="ERS1" s="353"/>
      <c r="ERT1" s="353"/>
      <c r="ERU1" s="353"/>
      <c r="ERV1" s="353"/>
      <c r="ERW1" s="353"/>
      <c r="ERX1" s="353"/>
      <c r="ERY1" s="353"/>
      <c r="ERZ1" s="353"/>
      <c r="ESA1" s="353"/>
      <c r="ESB1" s="353"/>
      <c r="ESC1" s="353"/>
      <c r="ESD1" s="353"/>
      <c r="ESE1" s="353"/>
      <c r="ESF1" s="353"/>
      <c r="ESG1" s="353"/>
      <c r="ESH1" s="353"/>
      <c r="ESI1" s="353"/>
      <c r="ESJ1" s="353"/>
      <c r="ESK1" s="353"/>
      <c r="ESL1" s="353"/>
      <c r="ESM1" s="353"/>
      <c r="ESN1" s="353"/>
      <c r="ESO1" s="353"/>
      <c r="ESP1" s="353"/>
      <c r="ESQ1" s="353"/>
      <c r="ESR1" s="353"/>
      <c r="ESS1" s="353"/>
      <c r="EST1" s="353"/>
      <c r="ESU1" s="353"/>
      <c r="ESV1" s="353"/>
      <c r="ESW1" s="353"/>
      <c r="ESX1" s="353"/>
      <c r="ESY1" s="353"/>
      <c r="ESZ1" s="353"/>
      <c r="ETA1" s="353"/>
      <c r="ETB1" s="353"/>
      <c r="ETC1" s="353"/>
      <c r="ETD1" s="353"/>
      <c r="ETE1" s="353"/>
      <c r="ETF1" s="353"/>
      <c r="ETG1" s="353"/>
      <c r="ETH1" s="353"/>
      <c r="ETI1" s="353"/>
      <c r="ETJ1" s="353"/>
      <c r="ETK1" s="353"/>
      <c r="ETL1" s="353"/>
      <c r="ETM1" s="353"/>
      <c r="ETN1" s="353"/>
      <c r="ETO1" s="353"/>
      <c r="ETP1" s="353"/>
      <c r="ETQ1" s="353"/>
      <c r="ETR1" s="353"/>
      <c r="ETS1" s="353"/>
      <c r="ETT1" s="353"/>
      <c r="ETU1" s="353"/>
      <c r="ETV1" s="353"/>
      <c r="ETW1" s="353"/>
      <c r="ETX1" s="353"/>
      <c r="ETY1" s="353"/>
      <c r="ETZ1" s="353"/>
      <c r="EUA1" s="353"/>
      <c r="EUB1" s="353"/>
      <c r="EUC1" s="353"/>
      <c r="EUD1" s="353"/>
      <c r="EUE1" s="353"/>
      <c r="EUF1" s="353"/>
      <c r="EUG1" s="353"/>
      <c r="EUH1" s="353"/>
      <c r="EUI1" s="353"/>
      <c r="EUJ1" s="353"/>
      <c r="EUK1" s="353"/>
      <c r="EUL1" s="353"/>
      <c r="EUM1" s="353"/>
      <c r="EUN1" s="353"/>
      <c r="EUO1" s="353"/>
      <c r="EUP1" s="353"/>
      <c r="EUQ1" s="353"/>
      <c r="EUR1" s="353"/>
      <c r="EUS1" s="353"/>
      <c r="EUT1" s="353"/>
      <c r="EUU1" s="353"/>
      <c r="EUV1" s="353"/>
      <c r="EUW1" s="353"/>
      <c r="EUX1" s="353"/>
      <c r="EUY1" s="353"/>
      <c r="EUZ1" s="353"/>
      <c r="EVA1" s="353"/>
      <c r="EVB1" s="353"/>
      <c r="EVC1" s="353"/>
      <c r="EVD1" s="353"/>
      <c r="EVE1" s="353"/>
      <c r="EVF1" s="353"/>
      <c r="EVG1" s="353"/>
      <c r="EVH1" s="353"/>
      <c r="EVI1" s="353"/>
      <c r="EVJ1" s="353"/>
      <c r="EVK1" s="353"/>
      <c r="EVL1" s="353"/>
      <c r="EVM1" s="353"/>
      <c r="EVN1" s="353"/>
      <c r="EVO1" s="353"/>
      <c r="EVP1" s="353"/>
      <c r="EVQ1" s="353"/>
      <c r="EVR1" s="353"/>
      <c r="EVS1" s="353"/>
      <c r="EVT1" s="353"/>
      <c r="EVU1" s="353"/>
      <c r="EVV1" s="353"/>
      <c r="EVW1" s="353"/>
      <c r="EVX1" s="353"/>
      <c r="EVY1" s="353"/>
      <c r="EVZ1" s="353"/>
      <c r="EWA1" s="353"/>
      <c r="EWB1" s="353"/>
      <c r="EWC1" s="353"/>
      <c r="EWD1" s="353"/>
      <c r="EWE1" s="353"/>
      <c r="EWF1" s="353"/>
      <c r="EWG1" s="353"/>
      <c r="EWH1" s="353"/>
      <c r="EWI1" s="353"/>
      <c r="EWJ1" s="353"/>
      <c r="EWK1" s="353"/>
      <c r="EWL1" s="353"/>
      <c r="EWM1" s="353"/>
      <c r="EWN1" s="353"/>
      <c r="EWO1" s="353"/>
      <c r="EWP1" s="353"/>
      <c r="EWQ1" s="353"/>
      <c r="EWR1" s="353"/>
      <c r="EWS1" s="353"/>
      <c r="EWT1" s="353"/>
      <c r="EWU1" s="353"/>
      <c r="EWV1" s="353"/>
      <c r="EWW1" s="353"/>
      <c r="EWX1" s="353"/>
      <c r="EWY1" s="353"/>
      <c r="EWZ1" s="353"/>
      <c r="EXA1" s="353"/>
      <c r="EXB1" s="353"/>
      <c r="EXC1" s="353"/>
      <c r="EXD1" s="353"/>
      <c r="EXE1" s="353"/>
      <c r="EXF1" s="353"/>
      <c r="EXG1" s="353"/>
      <c r="EXH1" s="353"/>
      <c r="EXI1" s="353"/>
      <c r="EXJ1" s="353"/>
      <c r="EXK1" s="353"/>
      <c r="EXL1" s="353"/>
      <c r="EXM1" s="353"/>
      <c r="EXN1" s="353"/>
      <c r="EXO1" s="353"/>
      <c r="EXP1" s="353"/>
      <c r="EXQ1" s="353"/>
      <c r="EXR1" s="353"/>
      <c r="EXS1" s="353"/>
      <c r="EXT1" s="353"/>
      <c r="EXU1" s="353"/>
      <c r="EXV1" s="353"/>
      <c r="EXW1" s="353"/>
      <c r="EXX1" s="353"/>
      <c r="EXY1" s="353"/>
      <c r="EXZ1" s="353"/>
      <c r="EYA1" s="353"/>
      <c r="EYB1" s="353"/>
      <c r="EYC1" s="353"/>
      <c r="EYD1" s="353"/>
      <c r="EYE1" s="353"/>
      <c r="EYF1" s="353"/>
      <c r="EYG1" s="353"/>
      <c r="EYH1" s="353"/>
      <c r="EYI1" s="353"/>
      <c r="EYJ1" s="353"/>
      <c r="EYK1" s="353"/>
      <c r="EYL1" s="353"/>
      <c r="EYM1" s="353"/>
      <c r="EYN1" s="353"/>
      <c r="EYO1" s="353"/>
      <c r="EYP1" s="353"/>
      <c r="EYQ1" s="353"/>
      <c r="EYR1" s="353"/>
      <c r="EYS1" s="353"/>
      <c r="EYT1" s="353"/>
      <c r="EYU1" s="353"/>
      <c r="EYV1" s="353"/>
      <c r="EYW1" s="353"/>
      <c r="EYX1" s="353"/>
      <c r="EYY1" s="353"/>
      <c r="EYZ1" s="353"/>
      <c r="EZA1" s="353"/>
      <c r="EZB1" s="353"/>
      <c r="EZC1" s="353"/>
      <c r="EZD1" s="353"/>
      <c r="EZE1" s="353"/>
      <c r="EZF1" s="353"/>
      <c r="EZG1" s="353"/>
      <c r="EZH1" s="353"/>
      <c r="EZI1" s="353"/>
      <c r="EZJ1" s="353"/>
      <c r="EZK1" s="353"/>
      <c r="EZL1" s="353"/>
      <c r="EZM1" s="353"/>
      <c r="EZN1" s="353"/>
      <c r="EZO1" s="353"/>
      <c r="EZP1" s="353"/>
      <c r="EZQ1" s="353"/>
      <c r="EZR1" s="353"/>
      <c r="EZS1" s="353"/>
      <c r="EZT1" s="353"/>
      <c r="EZU1" s="353"/>
      <c r="EZV1" s="353"/>
      <c r="EZW1" s="353"/>
      <c r="EZX1" s="353"/>
      <c r="EZY1" s="353"/>
      <c r="EZZ1" s="353"/>
      <c r="FAA1" s="353"/>
      <c r="FAB1" s="353"/>
      <c r="FAC1" s="353"/>
      <c r="FAD1" s="353"/>
      <c r="FAE1" s="353"/>
      <c r="FAF1" s="353"/>
      <c r="FAG1" s="353"/>
      <c r="FAH1" s="353"/>
      <c r="FAI1" s="353"/>
      <c r="FAJ1" s="353"/>
      <c r="FAK1" s="353"/>
      <c r="FAL1" s="353"/>
      <c r="FAM1" s="353"/>
      <c r="FAN1" s="353"/>
      <c r="FAO1" s="353"/>
      <c r="FAP1" s="353"/>
      <c r="FAQ1" s="353"/>
      <c r="FAR1" s="353"/>
      <c r="FAS1" s="353"/>
      <c r="FAT1" s="353"/>
      <c r="FAU1" s="353"/>
      <c r="FAV1" s="353"/>
      <c r="FAW1" s="353"/>
      <c r="FAX1" s="353"/>
      <c r="FAY1" s="353"/>
      <c r="FAZ1" s="353"/>
      <c r="FBA1" s="353"/>
      <c r="FBB1" s="353"/>
      <c r="FBC1" s="353"/>
      <c r="FBD1" s="353"/>
      <c r="FBE1" s="353"/>
      <c r="FBF1" s="353"/>
      <c r="FBG1" s="353"/>
      <c r="FBH1" s="353"/>
      <c r="FBI1" s="353"/>
      <c r="FBJ1" s="353"/>
      <c r="FBK1" s="353"/>
      <c r="FBL1" s="353"/>
      <c r="FBM1" s="353"/>
      <c r="FBN1" s="353"/>
      <c r="FBO1" s="353"/>
      <c r="FBP1" s="353"/>
      <c r="FBQ1" s="353"/>
      <c r="FBR1" s="353"/>
      <c r="FBS1" s="353"/>
      <c r="FBT1" s="353"/>
      <c r="FBU1" s="353"/>
      <c r="FBV1" s="353"/>
      <c r="FBW1" s="353"/>
      <c r="FBX1" s="353"/>
      <c r="FBY1" s="353"/>
      <c r="FBZ1" s="353"/>
      <c r="FCA1" s="353"/>
      <c r="FCB1" s="353"/>
      <c r="FCC1" s="353"/>
      <c r="FCD1" s="353"/>
      <c r="FCE1" s="353"/>
      <c r="FCF1" s="353"/>
      <c r="FCG1" s="353"/>
      <c r="FCH1" s="353"/>
      <c r="FCI1" s="353"/>
      <c r="FCJ1" s="353"/>
      <c r="FCK1" s="353"/>
      <c r="FCL1" s="353"/>
      <c r="FCM1" s="353"/>
      <c r="FCN1" s="353"/>
      <c r="FCO1" s="353"/>
      <c r="FCP1" s="353"/>
      <c r="FCQ1" s="353"/>
      <c r="FCR1" s="353"/>
      <c r="FCS1" s="353"/>
      <c r="FCT1" s="353"/>
      <c r="FCU1" s="353"/>
      <c r="FCV1" s="353"/>
      <c r="FCW1" s="353"/>
      <c r="FCX1" s="353"/>
      <c r="FCY1" s="353"/>
      <c r="FCZ1" s="353"/>
      <c r="FDA1" s="353"/>
      <c r="FDB1" s="353"/>
      <c r="FDC1" s="353"/>
      <c r="FDD1" s="353"/>
      <c r="FDE1" s="353"/>
      <c r="FDF1" s="353"/>
      <c r="FDG1" s="353"/>
      <c r="FDH1" s="353"/>
      <c r="FDI1" s="353"/>
      <c r="FDJ1" s="353"/>
      <c r="FDK1" s="353"/>
      <c r="FDL1" s="353"/>
      <c r="FDM1" s="353"/>
      <c r="FDN1" s="353"/>
      <c r="FDO1" s="353"/>
      <c r="FDP1" s="353"/>
      <c r="FDQ1" s="353"/>
      <c r="FDR1" s="353"/>
      <c r="FDS1" s="353"/>
      <c r="FDT1" s="353"/>
      <c r="FDU1" s="353"/>
      <c r="FDV1" s="353"/>
      <c r="FDW1" s="353"/>
      <c r="FDX1" s="353"/>
      <c r="FDY1" s="353"/>
      <c r="FDZ1" s="353"/>
      <c r="FEA1" s="353"/>
      <c r="FEB1" s="353"/>
      <c r="FEC1" s="353"/>
      <c r="FED1" s="353"/>
      <c r="FEE1" s="353"/>
      <c r="FEF1" s="353"/>
      <c r="FEG1" s="353"/>
      <c r="FEH1" s="353"/>
      <c r="FEI1" s="353"/>
      <c r="FEJ1" s="353"/>
      <c r="FEK1" s="353"/>
      <c r="FEL1" s="353"/>
      <c r="FEM1" s="353"/>
      <c r="FEN1" s="353"/>
      <c r="FEO1" s="353"/>
      <c r="FEP1" s="353"/>
      <c r="FEQ1" s="353"/>
      <c r="FER1" s="353"/>
      <c r="FES1" s="353"/>
      <c r="FET1" s="353"/>
      <c r="FEU1" s="353"/>
      <c r="FEV1" s="353"/>
      <c r="FEW1" s="353"/>
      <c r="FEX1" s="353"/>
      <c r="FEY1" s="353"/>
      <c r="FEZ1" s="353"/>
      <c r="FFA1" s="353"/>
      <c r="FFB1" s="353"/>
      <c r="FFC1" s="353"/>
      <c r="FFD1" s="353"/>
      <c r="FFE1" s="353"/>
      <c r="FFF1" s="353"/>
      <c r="FFG1" s="353"/>
      <c r="FFH1" s="353"/>
      <c r="FFI1" s="353"/>
      <c r="FFJ1" s="353"/>
      <c r="FFK1" s="353"/>
      <c r="FFL1" s="353"/>
      <c r="FFM1" s="353"/>
      <c r="FFN1" s="353"/>
      <c r="FFO1" s="353"/>
      <c r="FFP1" s="353"/>
      <c r="FFQ1" s="353"/>
      <c r="FFR1" s="353"/>
      <c r="FFS1" s="353"/>
      <c r="FFT1" s="353"/>
      <c r="FFU1" s="353"/>
      <c r="FFV1" s="353"/>
      <c r="FFW1" s="353"/>
      <c r="FFX1" s="353"/>
      <c r="FFY1" s="353"/>
      <c r="FFZ1" s="353"/>
      <c r="FGA1" s="353"/>
      <c r="FGB1" s="353"/>
      <c r="FGC1" s="353"/>
      <c r="FGD1" s="353"/>
      <c r="FGE1" s="353"/>
      <c r="FGF1" s="353"/>
      <c r="FGG1" s="353"/>
      <c r="FGH1" s="353"/>
      <c r="FGI1" s="353"/>
      <c r="FGJ1" s="353"/>
      <c r="FGK1" s="353"/>
      <c r="FGL1" s="353"/>
      <c r="FGM1" s="353"/>
      <c r="FGN1" s="353"/>
      <c r="FGO1" s="353"/>
      <c r="FGP1" s="353"/>
      <c r="FGQ1" s="353"/>
      <c r="FGR1" s="353"/>
      <c r="FGS1" s="353"/>
      <c r="FGT1" s="353"/>
      <c r="FGU1" s="353"/>
      <c r="FGV1" s="353"/>
      <c r="FGW1" s="353"/>
      <c r="FGX1" s="353"/>
      <c r="FGY1" s="353"/>
      <c r="FGZ1" s="353"/>
      <c r="FHA1" s="353"/>
      <c r="FHB1" s="353"/>
      <c r="FHC1" s="353"/>
      <c r="FHD1" s="353"/>
      <c r="FHE1" s="353"/>
      <c r="FHF1" s="353"/>
      <c r="FHG1" s="353"/>
      <c r="FHH1" s="353"/>
      <c r="FHI1" s="353"/>
      <c r="FHJ1" s="353"/>
      <c r="FHK1" s="353"/>
      <c r="FHL1" s="353"/>
      <c r="FHM1" s="353"/>
      <c r="FHN1" s="353"/>
      <c r="FHO1" s="353"/>
      <c r="FHP1" s="353"/>
      <c r="FHQ1" s="353"/>
      <c r="FHR1" s="353"/>
      <c r="FHS1" s="353"/>
      <c r="FHT1" s="353"/>
      <c r="FHU1" s="353"/>
      <c r="FHV1" s="353"/>
      <c r="FHW1" s="353"/>
      <c r="FHX1" s="353"/>
      <c r="FHY1" s="353"/>
      <c r="FHZ1" s="353"/>
      <c r="FIA1" s="353"/>
      <c r="FIB1" s="353"/>
      <c r="FIC1" s="353"/>
      <c r="FID1" s="353"/>
      <c r="FIE1" s="353"/>
      <c r="FIF1" s="353"/>
      <c r="FIG1" s="353"/>
      <c r="FIH1" s="353"/>
      <c r="FII1" s="353"/>
      <c r="FIJ1" s="353"/>
      <c r="FIK1" s="353"/>
      <c r="FIL1" s="353"/>
      <c r="FIM1" s="353"/>
      <c r="FIN1" s="353"/>
      <c r="FIO1" s="353"/>
      <c r="FIP1" s="353"/>
      <c r="FIQ1" s="353"/>
      <c r="FIR1" s="353"/>
      <c r="FIS1" s="353"/>
      <c r="FIT1" s="353"/>
      <c r="FIU1" s="353"/>
      <c r="FIV1" s="353"/>
      <c r="FIW1" s="353"/>
      <c r="FIX1" s="353"/>
      <c r="FIY1" s="353"/>
      <c r="FIZ1" s="353"/>
      <c r="FJA1" s="353"/>
      <c r="FJB1" s="353"/>
      <c r="FJC1" s="353"/>
      <c r="FJD1" s="353"/>
      <c r="FJE1" s="353"/>
      <c r="FJF1" s="353"/>
      <c r="FJG1" s="353"/>
      <c r="FJH1" s="353"/>
      <c r="FJI1" s="353"/>
      <c r="FJJ1" s="353"/>
      <c r="FJK1" s="353"/>
      <c r="FJL1" s="353"/>
      <c r="FJM1" s="353"/>
      <c r="FJN1" s="353"/>
      <c r="FJO1" s="353"/>
      <c r="FJP1" s="353"/>
      <c r="FJQ1" s="353"/>
      <c r="FJR1" s="353"/>
      <c r="FJS1" s="353"/>
      <c r="FJT1" s="353"/>
      <c r="FJU1" s="353"/>
      <c r="FJV1" s="353"/>
      <c r="FJW1" s="353"/>
      <c r="FJX1" s="353"/>
      <c r="FJY1" s="353"/>
      <c r="FJZ1" s="353"/>
      <c r="FKA1" s="353"/>
      <c r="FKB1" s="353"/>
      <c r="FKC1" s="353"/>
      <c r="FKD1" s="353"/>
      <c r="FKE1" s="353"/>
      <c r="FKF1" s="353"/>
      <c r="FKG1" s="353"/>
      <c r="FKH1" s="353"/>
      <c r="FKI1" s="353"/>
      <c r="FKJ1" s="353"/>
      <c r="FKK1" s="353"/>
      <c r="FKL1" s="353"/>
      <c r="FKM1" s="353"/>
      <c r="FKN1" s="353"/>
      <c r="FKO1" s="353"/>
      <c r="FKP1" s="353"/>
      <c r="FKQ1" s="353"/>
      <c r="FKR1" s="353"/>
      <c r="FKS1" s="353"/>
      <c r="FKT1" s="353"/>
      <c r="FKU1" s="353"/>
      <c r="FKV1" s="353"/>
      <c r="FKW1" s="353"/>
      <c r="FKX1" s="353"/>
      <c r="FKY1" s="353"/>
      <c r="FKZ1" s="353"/>
      <c r="FLA1" s="353"/>
      <c r="FLB1" s="353"/>
      <c r="FLC1" s="353"/>
      <c r="FLD1" s="353"/>
      <c r="FLE1" s="353"/>
      <c r="FLF1" s="353"/>
      <c r="FLG1" s="353"/>
      <c r="FLH1" s="353"/>
      <c r="FLI1" s="353"/>
      <c r="FLJ1" s="353"/>
      <c r="FLK1" s="353"/>
      <c r="FLL1" s="353"/>
      <c r="FLM1" s="353"/>
      <c r="FLN1" s="353"/>
      <c r="FLO1" s="353"/>
      <c r="FLP1" s="353"/>
      <c r="FLQ1" s="353"/>
      <c r="FLR1" s="353"/>
      <c r="FLS1" s="353"/>
      <c r="FLT1" s="353"/>
      <c r="FLU1" s="353"/>
      <c r="FLV1" s="353"/>
      <c r="FLW1" s="353"/>
      <c r="FLX1" s="353"/>
      <c r="FLY1" s="353"/>
      <c r="FLZ1" s="353"/>
      <c r="FMA1" s="353"/>
      <c r="FMB1" s="353"/>
      <c r="FMC1" s="353"/>
      <c r="FMD1" s="353"/>
      <c r="FME1" s="353"/>
      <c r="FMF1" s="353"/>
      <c r="FMG1" s="353"/>
      <c r="FMH1" s="353"/>
      <c r="FMI1" s="353"/>
      <c r="FMJ1" s="353"/>
      <c r="FMK1" s="353"/>
      <c r="FML1" s="353"/>
      <c r="FMM1" s="353"/>
      <c r="FMN1" s="353"/>
      <c r="FMO1" s="353"/>
      <c r="FMP1" s="353"/>
      <c r="FMQ1" s="353"/>
      <c r="FMR1" s="353"/>
      <c r="FMS1" s="353"/>
      <c r="FMT1" s="353"/>
      <c r="FMU1" s="353"/>
      <c r="FMV1" s="353"/>
      <c r="FMW1" s="353"/>
      <c r="FMX1" s="353"/>
      <c r="FMY1" s="353"/>
      <c r="FMZ1" s="353"/>
      <c r="FNA1" s="353"/>
      <c r="FNB1" s="353"/>
      <c r="FNC1" s="353"/>
      <c r="FND1" s="353"/>
      <c r="FNE1" s="353"/>
      <c r="FNF1" s="353"/>
      <c r="FNG1" s="353"/>
      <c r="FNH1" s="353"/>
      <c r="FNI1" s="353"/>
      <c r="FNJ1" s="353"/>
      <c r="FNK1" s="353"/>
      <c r="FNL1" s="353"/>
      <c r="FNM1" s="353"/>
      <c r="FNN1" s="353"/>
      <c r="FNO1" s="353"/>
      <c r="FNP1" s="353"/>
      <c r="FNQ1" s="353"/>
      <c r="FNR1" s="353"/>
      <c r="FNS1" s="353"/>
      <c r="FNT1" s="353"/>
      <c r="FNU1" s="353"/>
      <c r="FNV1" s="353"/>
      <c r="FNW1" s="353"/>
      <c r="FNX1" s="353"/>
      <c r="FNY1" s="353"/>
      <c r="FNZ1" s="353"/>
      <c r="FOA1" s="353"/>
      <c r="FOB1" s="353"/>
      <c r="FOC1" s="353"/>
      <c r="FOD1" s="353"/>
      <c r="FOE1" s="353"/>
      <c r="FOF1" s="353"/>
      <c r="FOG1" s="353"/>
      <c r="FOH1" s="353"/>
      <c r="FOI1" s="353"/>
      <c r="FOJ1" s="353"/>
      <c r="FOK1" s="353"/>
      <c r="FOL1" s="353"/>
      <c r="FOM1" s="353"/>
      <c r="FON1" s="353"/>
      <c r="FOO1" s="353"/>
      <c r="FOP1" s="353"/>
      <c r="FOQ1" s="353"/>
      <c r="FOR1" s="353"/>
      <c r="FOS1" s="353"/>
      <c r="FOT1" s="353"/>
      <c r="FOU1" s="353"/>
      <c r="FOV1" s="353"/>
      <c r="FOW1" s="353"/>
      <c r="FOX1" s="353"/>
      <c r="FOY1" s="353"/>
      <c r="FOZ1" s="353"/>
      <c r="FPA1" s="353"/>
      <c r="FPB1" s="353"/>
      <c r="FPC1" s="353"/>
      <c r="FPD1" s="353"/>
      <c r="FPE1" s="353"/>
      <c r="FPF1" s="353"/>
      <c r="FPG1" s="353"/>
      <c r="FPH1" s="353"/>
      <c r="FPI1" s="353"/>
      <c r="FPJ1" s="353"/>
      <c r="FPK1" s="353"/>
      <c r="FPL1" s="353"/>
      <c r="FPM1" s="353"/>
      <c r="FPN1" s="353"/>
      <c r="FPO1" s="353"/>
      <c r="FPP1" s="353"/>
      <c r="FPQ1" s="353"/>
      <c r="FPR1" s="353"/>
      <c r="FPS1" s="353"/>
      <c r="FPT1" s="353"/>
      <c r="FPU1" s="353"/>
      <c r="FPV1" s="353"/>
      <c r="FPW1" s="353"/>
      <c r="FPX1" s="353"/>
      <c r="FPY1" s="353"/>
      <c r="FPZ1" s="353"/>
      <c r="FQA1" s="353"/>
      <c r="FQB1" s="353"/>
      <c r="FQC1" s="353"/>
      <c r="FQD1" s="353"/>
      <c r="FQE1" s="353"/>
      <c r="FQF1" s="353"/>
      <c r="FQG1" s="353"/>
      <c r="FQH1" s="353"/>
      <c r="FQI1" s="353"/>
      <c r="FQJ1" s="353"/>
      <c r="FQK1" s="353"/>
      <c r="FQL1" s="353"/>
      <c r="FQM1" s="353"/>
      <c r="FQN1" s="353"/>
      <c r="FQO1" s="353"/>
      <c r="FQP1" s="353"/>
      <c r="FQQ1" s="353"/>
      <c r="FQR1" s="353"/>
      <c r="FQS1" s="353"/>
      <c r="FQT1" s="353"/>
      <c r="FQU1" s="353"/>
      <c r="FQV1" s="353"/>
      <c r="FQW1" s="353"/>
      <c r="FQX1" s="353"/>
      <c r="FQY1" s="353"/>
      <c r="FQZ1" s="353"/>
      <c r="FRA1" s="353"/>
      <c r="FRB1" s="353"/>
      <c r="FRC1" s="353"/>
      <c r="FRD1" s="353"/>
      <c r="FRE1" s="353"/>
      <c r="FRF1" s="353"/>
      <c r="FRG1" s="353"/>
      <c r="FRH1" s="353"/>
      <c r="FRI1" s="353"/>
      <c r="FRJ1" s="353"/>
      <c r="FRK1" s="353"/>
      <c r="FRL1" s="353"/>
      <c r="FRM1" s="353"/>
      <c r="FRN1" s="353"/>
      <c r="FRO1" s="353"/>
      <c r="FRP1" s="353"/>
      <c r="FRQ1" s="353"/>
      <c r="FRR1" s="353"/>
      <c r="FRS1" s="353"/>
      <c r="FRT1" s="353"/>
      <c r="FRU1" s="353"/>
      <c r="FRV1" s="353"/>
      <c r="FRW1" s="353"/>
      <c r="FRX1" s="353"/>
      <c r="FRY1" s="353"/>
      <c r="FRZ1" s="353"/>
      <c r="FSA1" s="353"/>
      <c r="FSB1" s="353"/>
      <c r="FSC1" s="353"/>
      <c r="FSD1" s="353"/>
      <c r="FSE1" s="353"/>
      <c r="FSF1" s="353"/>
      <c r="FSG1" s="353"/>
      <c r="FSH1" s="353"/>
      <c r="FSI1" s="353"/>
      <c r="FSJ1" s="353"/>
      <c r="FSK1" s="353"/>
      <c r="FSL1" s="353"/>
      <c r="FSM1" s="353"/>
      <c r="FSN1" s="353"/>
      <c r="FSO1" s="353"/>
      <c r="FSP1" s="353"/>
      <c r="FSQ1" s="353"/>
      <c r="FSR1" s="353"/>
      <c r="FSS1" s="353"/>
      <c r="FST1" s="353"/>
      <c r="FSU1" s="353"/>
      <c r="FSV1" s="353"/>
      <c r="FSW1" s="353"/>
      <c r="FSX1" s="353"/>
      <c r="FSY1" s="353"/>
      <c r="FSZ1" s="353"/>
      <c r="FTA1" s="353"/>
      <c r="FTB1" s="353"/>
      <c r="FTC1" s="353"/>
      <c r="FTD1" s="353"/>
      <c r="FTE1" s="353"/>
      <c r="FTF1" s="353"/>
      <c r="FTG1" s="353"/>
      <c r="FTH1" s="353"/>
      <c r="FTI1" s="353"/>
      <c r="FTJ1" s="353"/>
      <c r="FTK1" s="353"/>
      <c r="FTL1" s="353"/>
      <c r="FTM1" s="353"/>
      <c r="FTN1" s="353"/>
      <c r="FTO1" s="353"/>
      <c r="FTP1" s="353"/>
      <c r="FTQ1" s="353"/>
      <c r="FTR1" s="353"/>
      <c r="FTS1" s="353"/>
      <c r="FTT1" s="353"/>
      <c r="FTU1" s="353"/>
      <c r="FTV1" s="353"/>
      <c r="FTW1" s="353"/>
      <c r="FTX1" s="353"/>
      <c r="FTY1" s="353"/>
      <c r="FTZ1" s="353"/>
      <c r="FUA1" s="353"/>
      <c r="FUB1" s="353"/>
      <c r="FUC1" s="353"/>
      <c r="FUD1" s="353"/>
      <c r="FUE1" s="353"/>
      <c r="FUF1" s="353"/>
      <c r="FUG1" s="353"/>
      <c r="FUH1" s="353"/>
      <c r="FUI1" s="353"/>
      <c r="FUJ1" s="353"/>
      <c r="FUK1" s="353"/>
      <c r="FUL1" s="353"/>
      <c r="FUM1" s="353"/>
      <c r="FUN1" s="353"/>
      <c r="FUO1" s="353"/>
      <c r="FUP1" s="353"/>
      <c r="FUQ1" s="353"/>
      <c r="FUR1" s="353"/>
      <c r="FUS1" s="353"/>
      <c r="FUT1" s="353"/>
      <c r="FUU1" s="353"/>
      <c r="FUV1" s="353"/>
      <c r="FUW1" s="353"/>
      <c r="FUX1" s="353"/>
      <c r="FUY1" s="353"/>
      <c r="FUZ1" s="353"/>
      <c r="FVA1" s="353"/>
      <c r="FVB1" s="353"/>
      <c r="FVC1" s="353"/>
      <c r="FVD1" s="353"/>
      <c r="FVE1" s="353"/>
      <c r="FVF1" s="353"/>
      <c r="FVG1" s="353"/>
      <c r="FVH1" s="353"/>
      <c r="FVI1" s="353"/>
      <c r="FVJ1" s="353"/>
      <c r="FVK1" s="353"/>
      <c r="FVL1" s="353"/>
      <c r="FVM1" s="353"/>
      <c r="FVN1" s="353"/>
      <c r="FVO1" s="353"/>
      <c r="FVP1" s="353"/>
      <c r="FVQ1" s="353"/>
      <c r="FVR1" s="353"/>
      <c r="FVS1" s="353"/>
      <c r="FVT1" s="353"/>
      <c r="FVU1" s="353"/>
      <c r="FVV1" s="353"/>
      <c r="FVW1" s="353"/>
      <c r="FVX1" s="353"/>
      <c r="FVY1" s="353"/>
      <c r="FVZ1" s="353"/>
      <c r="FWA1" s="353"/>
      <c r="FWB1" s="353"/>
      <c r="FWC1" s="353"/>
      <c r="FWD1" s="353"/>
      <c r="FWE1" s="353"/>
      <c r="FWF1" s="353"/>
      <c r="FWG1" s="353"/>
      <c r="FWH1" s="353"/>
      <c r="FWI1" s="353"/>
      <c r="FWJ1" s="353"/>
      <c r="FWK1" s="353"/>
      <c r="FWL1" s="353"/>
      <c r="FWM1" s="353"/>
      <c r="FWN1" s="353"/>
      <c r="FWO1" s="353"/>
      <c r="FWP1" s="353"/>
      <c r="FWQ1" s="353"/>
      <c r="FWR1" s="353"/>
      <c r="FWS1" s="353"/>
      <c r="FWT1" s="353"/>
      <c r="FWU1" s="353"/>
      <c r="FWV1" s="353"/>
      <c r="FWW1" s="353"/>
      <c r="FWX1" s="353"/>
      <c r="FWY1" s="353"/>
      <c r="FWZ1" s="353"/>
      <c r="FXA1" s="353"/>
      <c r="FXB1" s="353"/>
      <c r="FXC1" s="353"/>
      <c r="FXD1" s="353"/>
      <c r="FXE1" s="353"/>
      <c r="FXF1" s="353"/>
      <c r="FXG1" s="353"/>
      <c r="FXH1" s="353"/>
      <c r="FXI1" s="353"/>
      <c r="FXJ1" s="353"/>
      <c r="FXK1" s="353"/>
      <c r="FXL1" s="353"/>
      <c r="FXM1" s="353"/>
      <c r="FXN1" s="353"/>
      <c r="FXO1" s="353"/>
      <c r="FXP1" s="353"/>
      <c r="FXQ1" s="353"/>
      <c r="FXR1" s="353"/>
      <c r="FXS1" s="353"/>
      <c r="FXT1" s="353"/>
      <c r="FXU1" s="353"/>
      <c r="FXV1" s="353"/>
      <c r="FXW1" s="353"/>
      <c r="FXX1" s="353"/>
      <c r="FXY1" s="353"/>
      <c r="FXZ1" s="353"/>
      <c r="FYA1" s="353"/>
      <c r="FYB1" s="353"/>
      <c r="FYC1" s="353"/>
      <c r="FYD1" s="353"/>
      <c r="FYE1" s="353"/>
      <c r="FYF1" s="353"/>
      <c r="FYG1" s="353"/>
      <c r="FYH1" s="353"/>
      <c r="FYI1" s="353"/>
      <c r="FYJ1" s="353"/>
      <c r="FYK1" s="353"/>
      <c r="FYL1" s="353"/>
      <c r="FYM1" s="353"/>
      <c r="FYN1" s="353"/>
      <c r="FYO1" s="353"/>
      <c r="FYP1" s="353"/>
      <c r="FYQ1" s="353"/>
      <c r="FYR1" s="353"/>
      <c r="FYS1" s="353"/>
      <c r="FYT1" s="353"/>
      <c r="FYU1" s="353"/>
      <c r="FYV1" s="353"/>
      <c r="FYW1" s="353"/>
      <c r="FYX1" s="353"/>
      <c r="FYY1" s="353"/>
      <c r="FYZ1" s="353"/>
      <c r="FZA1" s="353"/>
      <c r="FZB1" s="353"/>
      <c r="FZC1" s="353"/>
      <c r="FZD1" s="353"/>
      <c r="FZE1" s="353"/>
      <c r="FZF1" s="353"/>
      <c r="FZG1" s="353"/>
      <c r="FZH1" s="353"/>
      <c r="FZI1" s="353"/>
      <c r="FZJ1" s="353"/>
      <c r="FZK1" s="353"/>
      <c r="FZL1" s="353"/>
      <c r="FZM1" s="353"/>
      <c r="FZN1" s="353"/>
      <c r="FZO1" s="353"/>
      <c r="FZP1" s="353"/>
      <c r="FZQ1" s="353"/>
      <c r="FZR1" s="353"/>
      <c r="FZS1" s="353"/>
      <c r="FZT1" s="353"/>
      <c r="FZU1" s="353"/>
      <c r="FZV1" s="353"/>
      <c r="FZW1" s="353"/>
      <c r="FZX1" s="353"/>
      <c r="FZY1" s="353"/>
      <c r="FZZ1" s="353"/>
      <c r="GAA1" s="353"/>
      <c r="GAB1" s="353"/>
      <c r="GAC1" s="353"/>
      <c r="GAD1" s="353"/>
      <c r="GAE1" s="353"/>
      <c r="GAF1" s="353"/>
      <c r="GAG1" s="353"/>
      <c r="GAH1" s="353"/>
      <c r="GAI1" s="353"/>
      <c r="GAJ1" s="353"/>
      <c r="GAK1" s="353"/>
      <c r="GAL1" s="353"/>
      <c r="GAM1" s="353"/>
      <c r="GAN1" s="353"/>
      <c r="GAO1" s="353"/>
      <c r="GAP1" s="353"/>
      <c r="GAQ1" s="353"/>
      <c r="GAR1" s="353"/>
      <c r="GAS1" s="353"/>
      <c r="GAT1" s="353"/>
      <c r="GAU1" s="353"/>
      <c r="GAV1" s="353"/>
      <c r="GAW1" s="353"/>
      <c r="GAX1" s="353"/>
      <c r="GAY1" s="353"/>
      <c r="GAZ1" s="353"/>
      <c r="GBA1" s="353"/>
      <c r="GBB1" s="353"/>
      <c r="GBC1" s="353"/>
      <c r="GBD1" s="353"/>
      <c r="GBE1" s="353"/>
      <c r="GBF1" s="353"/>
      <c r="GBG1" s="353"/>
      <c r="GBH1" s="353"/>
      <c r="GBI1" s="353"/>
      <c r="GBJ1" s="353"/>
      <c r="GBK1" s="353"/>
      <c r="GBL1" s="353"/>
      <c r="GBM1" s="353"/>
      <c r="GBN1" s="353"/>
      <c r="GBO1" s="353"/>
      <c r="GBP1" s="353"/>
      <c r="GBQ1" s="353"/>
      <c r="GBR1" s="353"/>
      <c r="GBS1" s="353"/>
      <c r="GBT1" s="353"/>
      <c r="GBU1" s="353"/>
      <c r="GBV1" s="353"/>
      <c r="GBW1" s="353"/>
      <c r="GBX1" s="353"/>
      <c r="GBY1" s="353"/>
      <c r="GBZ1" s="353"/>
      <c r="GCA1" s="353"/>
      <c r="GCB1" s="353"/>
      <c r="GCC1" s="353"/>
      <c r="GCD1" s="353"/>
      <c r="GCE1" s="353"/>
      <c r="GCF1" s="353"/>
      <c r="GCG1" s="353"/>
      <c r="GCH1" s="353"/>
      <c r="GCI1" s="353"/>
      <c r="GCJ1" s="353"/>
      <c r="GCK1" s="353"/>
      <c r="GCL1" s="353"/>
      <c r="GCM1" s="353"/>
      <c r="GCN1" s="353"/>
      <c r="GCO1" s="353"/>
      <c r="GCP1" s="353"/>
      <c r="GCQ1" s="353"/>
      <c r="GCR1" s="353"/>
      <c r="GCS1" s="353"/>
      <c r="GCT1" s="353"/>
      <c r="GCU1" s="353"/>
      <c r="GCV1" s="353"/>
      <c r="GCW1" s="353"/>
      <c r="GCX1" s="353"/>
      <c r="GCY1" s="353"/>
      <c r="GCZ1" s="353"/>
      <c r="GDA1" s="353"/>
      <c r="GDB1" s="353"/>
      <c r="GDC1" s="353"/>
      <c r="GDD1" s="353"/>
      <c r="GDE1" s="353"/>
      <c r="GDF1" s="353"/>
      <c r="GDG1" s="353"/>
      <c r="GDH1" s="353"/>
      <c r="GDI1" s="353"/>
      <c r="GDJ1" s="353"/>
      <c r="GDK1" s="353"/>
      <c r="GDL1" s="353"/>
      <c r="GDM1" s="353"/>
      <c r="GDN1" s="353"/>
      <c r="GDO1" s="353"/>
      <c r="GDP1" s="353"/>
      <c r="GDQ1" s="353"/>
      <c r="GDR1" s="353"/>
      <c r="GDS1" s="353"/>
      <c r="GDT1" s="353"/>
      <c r="GDU1" s="353"/>
      <c r="GDV1" s="353"/>
      <c r="GDW1" s="353"/>
      <c r="GDX1" s="353"/>
      <c r="GDY1" s="353"/>
      <c r="GDZ1" s="353"/>
      <c r="GEA1" s="353"/>
      <c r="GEB1" s="353"/>
      <c r="GEC1" s="353"/>
      <c r="GED1" s="353"/>
      <c r="GEE1" s="353"/>
      <c r="GEF1" s="353"/>
      <c r="GEG1" s="353"/>
      <c r="GEH1" s="353"/>
      <c r="GEI1" s="353"/>
      <c r="GEJ1" s="353"/>
      <c r="GEK1" s="353"/>
      <c r="GEL1" s="353"/>
      <c r="GEM1" s="353"/>
      <c r="GEN1" s="353"/>
      <c r="GEO1" s="353"/>
      <c r="GEP1" s="353"/>
      <c r="GEQ1" s="353"/>
      <c r="GER1" s="353"/>
      <c r="GES1" s="353"/>
      <c r="GET1" s="353"/>
      <c r="GEU1" s="353"/>
      <c r="GEV1" s="353"/>
      <c r="GEW1" s="353"/>
      <c r="GEX1" s="353"/>
      <c r="GEY1" s="353"/>
      <c r="GEZ1" s="353"/>
      <c r="GFA1" s="353"/>
      <c r="GFB1" s="353"/>
      <c r="GFC1" s="353"/>
      <c r="GFD1" s="353"/>
      <c r="GFE1" s="353"/>
      <c r="GFF1" s="353"/>
      <c r="GFG1" s="353"/>
      <c r="GFH1" s="353"/>
      <c r="GFI1" s="353"/>
      <c r="GFJ1" s="353"/>
      <c r="GFK1" s="353"/>
      <c r="GFL1" s="353"/>
      <c r="GFM1" s="353"/>
      <c r="GFN1" s="353"/>
      <c r="GFO1" s="353"/>
      <c r="GFP1" s="353"/>
      <c r="GFQ1" s="353"/>
      <c r="GFR1" s="353"/>
      <c r="GFS1" s="353"/>
      <c r="GFT1" s="353"/>
      <c r="GFU1" s="353"/>
      <c r="GFV1" s="353"/>
      <c r="GFW1" s="353"/>
      <c r="GFX1" s="353"/>
      <c r="GFY1" s="353"/>
      <c r="GFZ1" s="353"/>
      <c r="GGA1" s="353"/>
      <c r="GGB1" s="353"/>
      <c r="GGC1" s="353"/>
      <c r="GGD1" s="353"/>
      <c r="GGE1" s="353"/>
      <c r="GGF1" s="353"/>
      <c r="GGG1" s="353"/>
      <c r="GGH1" s="353"/>
      <c r="GGI1" s="353"/>
      <c r="GGJ1" s="353"/>
      <c r="GGK1" s="353"/>
      <c r="GGL1" s="353"/>
      <c r="GGM1" s="353"/>
      <c r="GGN1" s="353"/>
      <c r="GGO1" s="353"/>
      <c r="GGP1" s="353"/>
      <c r="GGQ1" s="353"/>
      <c r="GGR1" s="353"/>
      <c r="GGS1" s="353"/>
      <c r="GGT1" s="353"/>
      <c r="GGU1" s="353"/>
      <c r="GGV1" s="353"/>
      <c r="GGW1" s="353"/>
      <c r="GGX1" s="353"/>
      <c r="GGY1" s="353"/>
      <c r="GGZ1" s="353"/>
      <c r="GHA1" s="353"/>
      <c r="GHB1" s="353"/>
      <c r="GHC1" s="353"/>
      <c r="GHD1" s="353"/>
      <c r="GHE1" s="353"/>
      <c r="GHF1" s="353"/>
      <c r="GHG1" s="353"/>
      <c r="GHH1" s="353"/>
      <c r="GHI1" s="353"/>
      <c r="GHJ1" s="353"/>
      <c r="GHK1" s="353"/>
      <c r="GHL1" s="353"/>
      <c r="GHM1" s="353"/>
      <c r="GHN1" s="353"/>
      <c r="GHO1" s="353"/>
      <c r="GHP1" s="353"/>
      <c r="GHQ1" s="353"/>
      <c r="GHR1" s="353"/>
      <c r="GHS1" s="353"/>
      <c r="GHT1" s="353"/>
      <c r="GHU1" s="353"/>
      <c r="GHV1" s="353"/>
      <c r="GHW1" s="353"/>
      <c r="GHX1" s="353"/>
      <c r="GHY1" s="353"/>
      <c r="GHZ1" s="353"/>
      <c r="GIA1" s="353"/>
      <c r="GIB1" s="353"/>
      <c r="GIC1" s="353"/>
      <c r="GID1" s="353"/>
      <c r="GIE1" s="353"/>
      <c r="GIF1" s="353"/>
      <c r="GIG1" s="353"/>
      <c r="GIH1" s="353"/>
      <c r="GII1" s="353"/>
      <c r="GIJ1" s="353"/>
      <c r="GIK1" s="353"/>
      <c r="GIL1" s="353"/>
      <c r="GIM1" s="353"/>
      <c r="GIN1" s="353"/>
      <c r="GIO1" s="353"/>
      <c r="GIP1" s="353"/>
      <c r="GIQ1" s="353"/>
      <c r="GIR1" s="353"/>
      <c r="GIS1" s="353"/>
      <c r="GIT1" s="353"/>
      <c r="GIU1" s="353"/>
      <c r="GIV1" s="353"/>
      <c r="GIW1" s="353"/>
      <c r="GIX1" s="353"/>
      <c r="GIY1" s="353"/>
      <c r="GIZ1" s="353"/>
      <c r="GJA1" s="353"/>
      <c r="GJB1" s="353"/>
      <c r="GJC1" s="353"/>
      <c r="GJD1" s="353"/>
      <c r="GJE1" s="353"/>
      <c r="GJF1" s="353"/>
      <c r="GJG1" s="353"/>
      <c r="GJH1" s="353"/>
      <c r="GJI1" s="353"/>
      <c r="GJJ1" s="353"/>
      <c r="GJK1" s="353"/>
      <c r="GJL1" s="353"/>
      <c r="GJM1" s="353"/>
      <c r="GJN1" s="353"/>
      <c r="GJO1" s="353"/>
      <c r="GJP1" s="353"/>
      <c r="GJQ1" s="353"/>
      <c r="GJR1" s="353"/>
      <c r="GJS1" s="353"/>
      <c r="GJT1" s="353"/>
      <c r="GJU1" s="353"/>
      <c r="GJV1" s="353"/>
      <c r="GJW1" s="353"/>
      <c r="GJX1" s="353"/>
      <c r="GJY1" s="353"/>
      <c r="GJZ1" s="353"/>
      <c r="GKA1" s="353"/>
      <c r="GKB1" s="353"/>
      <c r="GKC1" s="353"/>
      <c r="GKD1" s="353"/>
      <c r="GKE1" s="353"/>
      <c r="GKF1" s="353"/>
      <c r="GKG1" s="353"/>
      <c r="GKH1" s="353"/>
      <c r="GKI1" s="353"/>
      <c r="GKJ1" s="353"/>
      <c r="GKK1" s="353"/>
      <c r="GKL1" s="353"/>
      <c r="GKM1" s="353"/>
      <c r="GKN1" s="353"/>
      <c r="GKO1" s="353"/>
      <c r="GKP1" s="353"/>
      <c r="GKQ1" s="353"/>
      <c r="GKR1" s="353"/>
      <c r="GKS1" s="353"/>
      <c r="GKT1" s="353"/>
      <c r="GKU1" s="353"/>
      <c r="GKV1" s="353"/>
      <c r="GKW1" s="353"/>
      <c r="GKX1" s="353"/>
      <c r="GKY1" s="353"/>
      <c r="GKZ1" s="353"/>
      <c r="GLA1" s="353"/>
      <c r="GLB1" s="353"/>
      <c r="GLC1" s="353"/>
      <c r="GLD1" s="353"/>
      <c r="GLE1" s="353"/>
      <c r="GLF1" s="353"/>
      <c r="GLG1" s="353"/>
      <c r="GLH1" s="353"/>
      <c r="GLI1" s="353"/>
      <c r="GLJ1" s="353"/>
      <c r="GLK1" s="353"/>
      <c r="GLL1" s="353"/>
      <c r="GLM1" s="353"/>
      <c r="GLN1" s="353"/>
      <c r="GLO1" s="353"/>
      <c r="GLP1" s="353"/>
      <c r="GLQ1" s="353"/>
      <c r="GLR1" s="353"/>
      <c r="GLS1" s="353"/>
      <c r="GLT1" s="353"/>
      <c r="GLU1" s="353"/>
      <c r="GLV1" s="353"/>
      <c r="GLW1" s="353"/>
      <c r="GLX1" s="353"/>
      <c r="GLY1" s="353"/>
      <c r="GLZ1" s="353"/>
      <c r="GMA1" s="353"/>
      <c r="GMB1" s="353"/>
      <c r="GMC1" s="353"/>
      <c r="GMD1" s="353"/>
      <c r="GME1" s="353"/>
      <c r="GMF1" s="353"/>
      <c r="GMG1" s="353"/>
      <c r="GMH1" s="353"/>
      <c r="GMI1" s="353"/>
      <c r="GMJ1" s="353"/>
      <c r="GMK1" s="353"/>
      <c r="GML1" s="353"/>
      <c r="GMM1" s="353"/>
      <c r="GMN1" s="353"/>
      <c r="GMO1" s="353"/>
      <c r="GMP1" s="353"/>
      <c r="GMQ1" s="353"/>
      <c r="GMR1" s="353"/>
      <c r="GMS1" s="353"/>
      <c r="GMT1" s="353"/>
      <c r="GMU1" s="353"/>
      <c r="GMV1" s="353"/>
      <c r="GMW1" s="353"/>
      <c r="GMX1" s="353"/>
      <c r="GMY1" s="353"/>
      <c r="GMZ1" s="353"/>
      <c r="GNA1" s="353"/>
      <c r="GNB1" s="353"/>
      <c r="GNC1" s="353"/>
      <c r="GND1" s="353"/>
      <c r="GNE1" s="353"/>
      <c r="GNF1" s="353"/>
      <c r="GNG1" s="353"/>
      <c r="GNH1" s="353"/>
      <c r="GNI1" s="353"/>
      <c r="GNJ1" s="353"/>
      <c r="GNK1" s="353"/>
      <c r="GNL1" s="353"/>
      <c r="GNM1" s="353"/>
      <c r="GNN1" s="353"/>
      <c r="GNO1" s="353"/>
      <c r="GNP1" s="353"/>
      <c r="GNQ1" s="353"/>
      <c r="GNR1" s="353"/>
      <c r="GNS1" s="353"/>
      <c r="GNT1" s="353"/>
      <c r="GNU1" s="353"/>
      <c r="GNV1" s="353"/>
      <c r="GNW1" s="353"/>
      <c r="GNX1" s="353"/>
      <c r="GNY1" s="353"/>
      <c r="GNZ1" s="353"/>
      <c r="GOA1" s="353"/>
      <c r="GOB1" s="353"/>
      <c r="GOC1" s="353"/>
      <c r="GOD1" s="353"/>
      <c r="GOE1" s="353"/>
      <c r="GOF1" s="353"/>
      <c r="GOG1" s="353"/>
      <c r="GOH1" s="353"/>
      <c r="GOI1" s="353"/>
      <c r="GOJ1" s="353"/>
      <c r="GOK1" s="353"/>
      <c r="GOL1" s="353"/>
      <c r="GOM1" s="353"/>
      <c r="GON1" s="353"/>
      <c r="GOO1" s="353"/>
      <c r="GOP1" s="353"/>
      <c r="GOQ1" s="353"/>
      <c r="GOR1" s="353"/>
      <c r="GOS1" s="353"/>
      <c r="GOT1" s="353"/>
      <c r="GOU1" s="353"/>
      <c r="GOV1" s="353"/>
      <c r="GOW1" s="353"/>
      <c r="GOX1" s="353"/>
      <c r="GOY1" s="353"/>
      <c r="GOZ1" s="353"/>
      <c r="GPA1" s="353"/>
      <c r="GPB1" s="353"/>
      <c r="GPC1" s="353"/>
      <c r="GPD1" s="353"/>
      <c r="GPE1" s="353"/>
      <c r="GPF1" s="353"/>
      <c r="GPG1" s="353"/>
      <c r="GPH1" s="353"/>
      <c r="GPI1" s="353"/>
      <c r="GPJ1" s="353"/>
      <c r="GPK1" s="353"/>
      <c r="GPL1" s="353"/>
      <c r="GPM1" s="353"/>
      <c r="GPN1" s="353"/>
      <c r="GPO1" s="353"/>
      <c r="GPP1" s="353"/>
      <c r="GPQ1" s="353"/>
      <c r="GPR1" s="353"/>
      <c r="GPS1" s="353"/>
      <c r="GPT1" s="353"/>
      <c r="GPU1" s="353"/>
      <c r="GPV1" s="353"/>
      <c r="GPW1" s="353"/>
      <c r="GPX1" s="353"/>
      <c r="GPY1" s="353"/>
      <c r="GPZ1" s="353"/>
      <c r="GQA1" s="353"/>
      <c r="GQB1" s="353"/>
      <c r="GQC1" s="353"/>
      <c r="GQD1" s="353"/>
      <c r="GQE1" s="353"/>
      <c r="GQF1" s="353"/>
      <c r="GQG1" s="353"/>
      <c r="GQH1" s="353"/>
      <c r="GQI1" s="353"/>
      <c r="GQJ1" s="353"/>
      <c r="GQK1" s="353"/>
      <c r="GQL1" s="353"/>
      <c r="GQM1" s="353"/>
      <c r="GQN1" s="353"/>
      <c r="GQO1" s="353"/>
      <c r="GQP1" s="353"/>
      <c r="GQQ1" s="353"/>
      <c r="GQR1" s="353"/>
      <c r="GQS1" s="353"/>
      <c r="GQT1" s="353"/>
      <c r="GQU1" s="353"/>
      <c r="GQV1" s="353"/>
      <c r="GQW1" s="353"/>
      <c r="GQX1" s="353"/>
      <c r="GQY1" s="353"/>
      <c r="GQZ1" s="353"/>
      <c r="GRA1" s="353"/>
      <c r="GRB1" s="353"/>
      <c r="GRC1" s="353"/>
      <c r="GRD1" s="353"/>
      <c r="GRE1" s="353"/>
      <c r="GRF1" s="353"/>
      <c r="GRG1" s="353"/>
      <c r="GRH1" s="353"/>
      <c r="GRI1" s="353"/>
      <c r="GRJ1" s="353"/>
      <c r="GRK1" s="353"/>
      <c r="GRL1" s="353"/>
      <c r="GRM1" s="353"/>
      <c r="GRN1" s="353"/>
      <c r="GRO1" s="353"/>
      <c r="GRP1" s="353"/>
      <c r="GRQ1" s="353"/>
      <c r="GRR1" s="353"/>
      <c r="GRS1" s="353"/>
      <c r="GRT1" s="353"/>
      <c r="GRU1" s="353"/>
      <c r="GRV1" s="353"/>
      <c r="GRW1" s="353"/>
      <c r="GRX1" s="353"/>
      <c r="GRY1" s="353"/>
      <c r="GRZ1" s="353"/>
      <c r="GSA1" s="353"/>
      <c r="GSB1" s="353"/>
      <c r="GSC1" s="353"/>
      <c r="GSD1" s="353"/>
      <c r="GSE1" s="353"/>
      <c r="GSF1" s="353"/>
      <c r="GSG1" s="353"/>
      <c r="GSH1" s="353"/>
      <c r="GSI1" s="353"/>
      <c r="GSJ1" s="353"/>
      <c r="GSK1" s="353"/>
      <c r="GSL1" s="353"/>
      <c r="GSM1" s="353"/>
      <c r="GSN1" s="353"/>
      <c r="GSO1" s="353"/>
      <c r="GSP1" s="353"/>
      <c r="GSQ1" s="353"/>
      <c r="GSR1" s="353"/>
      <c r="GSS1" s="353"/>
      <c r="GST1" s="353"/>
      <c r="GSU1" s="353"/>
      <c r="GSV1" s="353"/>
      <c r="GSW1" s="353"/>
      <c r="GSX1" s="353"/>
      <c r="GSY1" s="353"/>
      <c r="GSZ1" s="353"/>
      <c r="GTA1" s="353"/>
      <c r="GTB1" s="353"/>
      <c r="GTC1" s="353"/>
      <c r="GTD1" s="353"/>
      <c r="GTE1" s="353"/>
      <c r="GTF1" s="353"/>
      <c r="GTG1" s="353"/>
      <c r="GTH1" s="353"/>
      <c r="GTI1" s="353"/>
      <c r="GTJ1" s="353"/>
      <c r="GTK1" s="353"/>
      <c r="GTL1" s="353"/>
      <c r="GTM1" s="353"/>
      <c r="GTN1" s="353"/>
      <c r="GTO1" s="353"/>
      <c r="GTP1" s="353"/>
      <c r="GTQ1" s="353"/>
      <c r="GTR1" s="353"/>
      <c r="GTS1" s="353"/>
      <c r="GTT1" s="353"/>
      <c r="GTU1" s="353"/>
      <c r="GTV1" s="353"/>
      <c r="GTW1" s="353"/>
      <c r="GTX1" s="353"/>
      <c r="GTY1" s="353"/>
      <c r="GTZ1" s="353"/>
      <c r="GUA1" s="353"/>
      <c r="GUB1" s="353"/>
      <c r="GUC1" s="353"/>
      <c r="GUD1" s="353"/>
      <c r="GUE1" s="353"/>
      <c r="GUF1" s="353"/>
      <c r="GUG1" s="353"/>
      <c r="GUH1" s="353"/>
      <c r="GUI1" s="353"/>
      <c r="GUJ1" s="353"/>
      <c r="GUK1" s="353"/>
      <c r="GUL1" s="353"/>
      <c r="GUM1" s="353"/>
      <c r="GUN1" s="353"/>
      <c r="GUO1" s="353"/>
      <c r="GUP1" s="353"/>
      <c r="GUQ1" s="353"/>
      <c r="GUR1" s="353"/>
      <c r="GUS1" s="353"/>
      <c r="GUT1" s="353"/>
      <c r="GUU1" s="353"/>
      <c r="GUV1" s="353"/>
      <c r="GUW1" s="353"/>
      <c r="GUX1" s="353"/>
      <c r="GUY1" s="353"/>
      <c r="GUZ1" s="353"/>
      <c r="GVA1" s="353"/>
      <c r="GVB1" s="353"/>
      <c r="GVC1" s="353"/>
      <c r="GVD1" s="353"/>
      <c r="GVE1" s="353"/>
      <c r="GVF1" s="353"/>
      <c r="GVG1" s="353"/>
      <c r="GVH1" s="353"/>
      <c r="GVI1" s="353"/>
      <c r="GVJ1" s="353"/>
      <c r="GVK1" s="353"/>
      <c r="GVL1" s="353"/>
      <c r="GVM1" s="353"/>
      <c r="GVN1" s="353"/>
      <c r="GVO1" s="353"/>
      <c r="GVP1" s="353"/>
      <c r="GVQ1" s="353"/>
      <c r="GVR1" s="353"/>
      <c r="GVS1" s="353"/>
      <c r="GVT1" s="353"/>
      <c r="GVU1" s="353"/>
      <c r="GVV1" s="353"/>
      <c r="GVW1" s="353"/>
      <c r="GVX1" s="353"/>
      <c r="GVY1" s="353"/>
      <c r="GVZ1" s="353"/>
      <c r="GWA1" s="353"/>
      <c r="GWB1" s="353"/>
      <c r="GWC1" s="353"/>
      <c r="GWD1" s="353"/>
      <c r="GWE1" s="353"/>
      <c r="GWF1" s="353"/>
      <c r="GWG1" s="353"/>
      <c r="GWH1" s="353"/>
      <c r="GWI1" s="353"/>
      <c r="GWJ1" s="353"/>
      <c r="GWK1" s="353"/>
      <c r="GWL1" s="353"/>
      <c r="GWM1" s="353"/>
      <c r="GWN1" s="353"/>
      <c r="GWO1" s="353"/>
      <c r="GWP1" s="353"/>
      <c r="GWQ1" s="353"/>
      <c r="GWR1" s="353"/>
      <c r="GWS1" s="353"/>
      <c r="GWT1" s="353"/>
      <c r="GWU1" s="353"/>
      <c r="GWV1" s="353"/>
      <c r="GWW1" s="353"/>
      <c r="GWX1" s="353"/>
      <c r="GWY1" s="353"/>
      <c r="GWZ1" s="353"/>
      <c r="GXA1" s="353"/>
      <c r="GXB1" s="353"/>
      <c r="GXC1" s="353"/>
      <c r="GXD1" s="353"/>
      <c r="GXE1" s="353"/>
      <c r="GXF1" s="353"/>
      <c r="GXG1" s="353"/>
      <c r="GXH1" s="353"/>
      <c r="GXI1" s="353"/>
      <c r="GXJ1" s="353"/>
      <c r="GXK1" s="353"/>
      <c r="GXL1" s="353"/>
      <c r="GXM1" s="353"/>
      <c r="GXN1" s="353"/>
      <c r="GXO1" s="353"/>
      <c r="GXP1" s="353"/>
      <c r="GXQ1" s="353"/>
      <c r="GXR1" s="353"/>
      <c r="GXS1" s="353"/>
      <c r="GXT1" s="353"/>
      <c r="GXU1" s="353"/>
      <c r="GXV1" s="353"/>
      <c r="GXW1" s="353"/>
      <c r="GXX1" s="353"/>
      <c r="GXY1" s="353"/>
      <c r="GXZ1" s="353"/>
      <c r="GYA1" s="353"/>
      <c r="GYB1" s="353"/>
      <c r="GYC1" s="353"/>
      <c r="GYD1" s="353"/>
      <c r="GYE1" s="353"/>
      <c r="GYF1" s="353"/>
      <c r="GYG1" s="353"/>
      <c r="GYH1" s="353"/>
      <c r="GYI1" s="353"/>
      <c r="GYJ1" s="353"/>
      <c r="GYK1" s="353"/>
      <c r="GYL1" s="353"/>
      <c r="GYM1" s="353"/>
      <c r="GYN1" s="353"/>
      <c r="GYO1" s="353"/>
      <c r="GYP1" s="353"/>
      <c r="GYQ1" s="353"/>
      <c r="GYR1" s="353"/>
      <c r="GYS1" s="353"/>
      <c r="GYT1" s="353"/>
      <c r="GYU1" s="353"/>
      <c r="GYV1" s="353"/>
      <c r="GYW1" s="353"/>
      <c r="GYX1" s="353"/>
      <c r="GYY1" s="353"/>
      <c r="GYZ1" s="353"/>
      <c r="GZA1" s="353"/>
      <c r="GZB1" s="353"/>
      <c r="GZC1" s="353"/>
      <c r="GZD1" s="353"/>
      <c r="GZE1" s="353"/>
      <c r="GZF1" s="353"/>
      <c r="GZG1" s="353"/>
      <c r="GZH1" s="353"/>
      <c r="GZI1" s="353"/>
      <c r="GZJ1" s="353"/>
      <c r="GZK1" s="353"/>
      <c r="GZL1" s="353"/>
      <c r="GZM1" s="353"/>
      <c r="GZN1" s="353"/>
      <c r="GZO1" s="353"/>
      <c r="GZP1" s="353"/>
      <c r="GZQ1" s="353"/>
      <c r="GZR1" s="353"/>
      <c r="GZS1" s="353"/>
      <c r="GZT1" s="353"/>
      <c r="GZU1" s="353"/>
      <c r="GZV1" s="353"/>
      <c r="GZW1" s="353"/>
      <c r="GZX1" s="353"/>
      <c r="GZY1" s="353"/>
      <c r="GZZ1" s="353"/>
      <c r="HAA1" s="353"/>
      <c r="HAB1" s="353"/>
      <c r="HAC1" s="353"/>
      <c r="HAD1" s="353"/>
      <c r="HAE1" s="353"/>
      <c r="HAF1" s="353"/>
      <c r="HAG1" s="353"/>
      <c r="HAH1" s="353"/>
      <c r="HAI1" s="353"/>
      <c r="HAJ1" s="353"/>
      <c r="HAK1" s="353"/>
      <c r="HAL1" s="353"/>
      <c r="HAM1" s="353"/>
      <c r="HAN1" s="353"/>
      <c r="HAO1" s="353"/>
      <c r="HAP1" s="353"/>
      <c r="HAQ1" s="353"/>
      <c r="HAR1" s="353"/>
      <c r="HAS1" s="353"/>
      <c r="HAT1" s="353"/>
      <c r="HAU1" s="353"/>
      <c r="HAV1" s="353"/>
      <c r="HAW1" s="353"/>
      <c r="HAX1" s="353"/>
      <c r="HAY1" s="353"/>
      <c r="HAZ1" s="353"/>
      <c r="HBA1" s="353"/>
      <c r="HBB1" s="353"/>
      <c r="HBC1" s="353"/>
      <c r="HBD1" s="353"/>
      <c r="HBE1" s="353"/>
      <c r="HBF1" s="353"/>
      <c r="HBG1" s="353"/>
      <c r="HBH1" s="353"/>
      <c r="HBI1" s="353"/>
      <c r="HBJ1" s="353"/>
      <c r="HBK1" s="353"/>
      <c r="HBL1" s="353"/>
      <c r="HBM1" s="353"/>
      <c r="HBN1" s="353"/>
      <c r="HBO1" s="353"/>
      <c r="HBP1" s="353"/>
      <c r="HBQ1" s="353"/>
      <c r="HBR1" s="353"/>
      <c r="HBS1" s="353"/>
      <c r="HBT1" s="353"/>
      <c r="HBU1" s="353"/>
      <c r="HBV1" s="353"/>
      <c r="HBW1" s="353"/>
      <c r="HBX1" s="353"/>
      <c r="HBY1" s="353"/>
      <c r="HBZ1" s="353"/>
      <c r="HCA1" s="353"/>
      <c r="HCB1" s="353"/>
      <c r="HCC1" s="353"/>
      <c r="HCD1" s="353"/>
      <c r="HCE1" s="353"/>
      <c r="HCF1" s="353"/>
      <c r="HCG1" s="353"/>
      <c r="HCH1" s="353"/>
      <c r="HCI1" s="353"/>
      <c r="HCJ1" s="353"/>
      <c r="HCK1" s="353"/>
      <c r="HCL1" s="353"/>
      <c r="HCM1" s="353"/>
      <c r="HCN1" s="353"/>
      <c r="HCO1" s="353"/>
      <c r="HCP1" s="353"/>
      <c r="HCQ1" s="353"/>
      <c r="HCR1" s="353"/>
      <c r="HCS1" s="353"/>
      <c r="HCT1" s="353"/>
      <c r="HCU1" s="353"/>
      <c r="HCV1" s="353"/>
      <c r="HCW1" s="353"/>
      <c r="HCX1" s="353"/>
      <c r="HCY1" s="353"/>
      <c r="HCZ1" s="353"/>
      <c r="HDA1" s="353"/>
      <c r="HDB1" s="353"/>
      <c r="HDC1" s="353"/>
      <c r="HDD1" s="353"/>
      <c r="HDE1" s="353"/>
      <c r="HDF1" s="353"/>
      <c r="HDG1" s="353"/>
      <c r="HDH1" s="353"/>
      <c r="HDI1" s="353"/>
      <c r="HDJ1" s="353"/>
      <c r="HDK1" s="353"/>
      <c r="HDL1" s="353"/>
      <c r="HDM1" s="353"/>
      <c r="HDN1" s="353"/>
      <c r="HDO1" s="353"/>
      <c r="HDP1" s="353"/>
      <c r="HDQ1" s="353"/>
      <c r="HDR1" s="353"/>
      <c r="HDS1" s="353"/>
      <c r="HDT1" s="353"/>
      <c r="HDU1" s="353"/>
      <c r="HDV1" s="353"/>
      <c r="HDW1" s="353"/>
      <c r="HDX1" s="353"/>
      <c r="HDY1" s="353"/>
      <c r="HDZ1" s="353"/>
      <c r="HEA1" s="353"/>
      <c r="HEB1" s="353"/>
      <c r="HEC1" s="353"/>
      <c r="HED1" s="353"/>
      <c r="HEE1" s="353"/>
      <c r="HEF1" s="353"/>
      <c r="HEG1" s="353"/>
      <c r="HEH1" s="353"/>
      <c r="HEI1" s="353"/>
      <c r="HEJ1" s="353"/>
      <c r="HEK1" s="353"/>
      <c r="HEL1" s="353"/>
      <c r="HEM1" s="353"/>
      <c r="HEN1" s="353"/>
      <c r="HEO1" s="353"/>
      <c r="HEP1" s="353"/>
      <c r="HEQ1" s="353"/>
      <c r="HER1" s="353"/>
      <c r="HES1" s="353"/>
      <c r="HET1" s="353"/>
      <c r="HEU1" s="353"/>
      <c r="HEV1" s="353"/>
      <c r="HEW1" s="353"/>
      <c r="HEX1" s="353"/>
      <c r="HEY1" s="353"/>
      <c r="HEZ1" s="353"/>
      <c r="HFA1" s="353"/>
      <c r="HFB1" s="353"/>
      <c r="HFC1" s="353"/>
      <c r="HFD1" s="353"/>
      <c r="HFE1" s="353"/>
      <c r="HFF1" s="353"/>
      <c r="HFG1" s="353"/>
      <c r="HFH1" s="353"/>
      <c r="HFI1" s="353"/>
      <c r="HFJ1" s="353"/>
      <c r="HFK1" s="353"/>
      <c r="HFL1" s="353"/>
      <c r="HFM1" s="353"/>
      <c r="HFN1" s="353"/>
      <c r="HFO1" s="353"/>
      <c r="HFP1" s="353"/>
      <c r="HFQ1" s="353"/>
      <c r="HFR1" s="353"/>
      <c r="HFS1" s="353"/>
      <c r="HFT1" s="353"/>
      <c r="HFU1" s="353"/>
      <c r="HFV1" s="353"/>
      <c r="HFW1" s="353"/>
      <c r="HFX1" s="353"/>
      <c r="HFY1" s="353"/>
      <c r="HFZ1" s="353"/>
      <c r="HGA1" s="353"/>
      <c r="HGB1" s="353"/>
      <c r="HGC1" s="353"/>
      <c r="HGD1" s="353"/>
      <c r="HGE1" s="353"/>
      <c r="HGF1" s="353"/>
      <c r="HGG1" s="353"/>
      <c r="HGH1" s="353"/>
      <c r="HGI1" s="353"/>
      <c r="HGJ1" s="353"/>
      <c r="HGK1" s="353"/>
      <c r="HGL1" s="353"/>
      <c r="HGM1" s="353"/>
      <c r="HGN1" s="353"/>
      <c r="HGO1" s="353"/>
      <c r="HGP1" s="353"/>
      <c r="HGQ1" s="353"/>
      <c r="HGR1" s="353"/>
      <c r="HGS1" s="353"/>
      <c r="HGT1" s="353"/>
      <c r="HGU1" s="353"/>
      <c r="HGV1" s="353"/>
      <c r="HGW1" s="353"/>
      <c r="HGX1" s="353"/>
      <c r="HGY1" s="353"/>
      <c r="HGZ1" s="353"/>
      <c r="HHA1" s="353"/>
      <c r="HHB1" s="353"/>
      <c r="HHC1" s="353"/>
      <c r="HHD1" s="353"/>
      <c r="HHE1" s="353"/>
      <c r="HHF1" s="353"/>
      <c r="HHG1" s="353"/>
      <c r="HHH1" s="353"/>
      <c r="HHI1" s="353"/>
      <c r="HHJ1" s="353"/>
      <c r="HHK1" s="353"/>
      <c r="HHL1" s="353"/>
      <c r="HHM1" s="353"/>
      <c r="HHN1" s="353"/>
      <c r="HHO1" s="353"/>
      <c r="HHP1" s="353"/>
      <c r="HHQ1" s="353"/>
      <c r="HHR1" s="353"/>
      <c r="HHS1" s="353"/>
      <c r="HHT1" s="353"/>
      <c r="HHU1" s="353"/>
      <c r="HHV1" s="353"/>
      <c r="HHW1" s="353"/>
      <c r="HHX1" s="353"/>
      <c r="HHY1" s="353"/>
      <c r="HHZ1" s="353"/>
      <c r="HIA1" s="353"/>
      <c r="HIB1" s="353"/>
      <c r="HIC1" s="353"/>
      <c r="HID1" s="353"/>
      <c r="HIE1" s="353"/>
      <c r="HIF1" s="353"/>
      <c r="HIG1" s="353"/>
      <c r="HIH1" s="353"/>
      <c r="HII1" s="353"/>
      <c r="HIJ1" s="353"/>
      <c r="HIK1" s="353"/>
      <c r="HIL1" s="353"/>
      <c r="HIM1" s="353"/>
      <c r="HIN1" s="353"/>
      <c r="HIO1" s="353"/>
      <c r="HIP1" s="353"/>
      <c r="HIQ1" s="353"/>
      <c r="HIR1" s="353"/>
      <c r="HIS1" s="353"/>
      <c r="HIT1" s="353"/>
      <c r="HIU1" s="353"/>
      <c r="HIV1" s="353"/>
      <c r="HIW1" s="353"/>
      <c r="HIX1" s="353"/>
      <c r="HIY1" s="353"/>
      <c r="HIZ1" s="353"/>
      <c r="HJA1" s="353"/>
      <c r="HJB1" s="353"/>
      <c r="HJC1" s="353"/>
      <c r="HJD1" s="353"/>
      <c r="HJE1" s="353"/>
      <c r="HJF1" s="353"/>
      <c r="HJG1" s="353"/>
      <c r="HJH1" s="353"/>
      <c r="HJI1" s="353"/>
      <c r="HJJ1" s="353"/>
      <c r="HJK1" s="353"/>
      <c r="HJL1" s="353"/>
      <c r="HJM1" s="353"/>
      <c r="HJN1" s="353"/>
      <c r="HJO1" s="353"/>
      <c r="HJP1" s="353"/>
      <c r="HJQ1" s="353"/>
      <c r="HJR1" s="353"/>
      <c r="HJS1" s="353"/>
      <c r="HJT1" s="353"/>
      <c r="HJU1" s="353"/>
      <c r="HJV1" s="353"/>
      <c r="HJW1" s="353"/>
      <c r="HJX1" s="353"/>
      <c r="HJY1" s="353"/>
      <c r="HJZ1" s="353"/>
      <c r="HKA1" s="353"/>
      <c r="HKB1" s="353"/>
      <c r="HKC1" s="353"/>
      <c r="HKD1" s="353"/>
      <c r="HKE1" s="353"/>
      <c r="HKF1" s="353"/>
      <c r="HKG1" s="353"/>
      <c r="HKH1" s="353"/>
      <c r="HKI1" s="353"/>
      <c r="HKJ1" s="353"/>
      <c r="HKK1" s="353"/>
      <c r="HKL1" s="353"/>
      <c r="HKM1" s="353"/>
      <c r="HKN1" s="353"/>
      <c r="HKO1" s="353"/>
      <c r="HKP1" s="353"/>
      <c r="HKQ1" s="353"/>
      <c r="HKR1" s="353"/>
      <c r="HKS1" s="353"/>
      <c r="HKT1" s="353"/>
      <c r="HKU1" s="353"/>
      <c r="HKV1" s="353"/>
      <c r="HKW1" s="353"/>
      <c r="HKX1" s="353"/>
      <c r="HKY1" s="353"/>
      <c r="HKZ1" s="353"/>
      <c r="HLA1" s="353"/>
      <c r="HLB1" s="353"/>
      <c r="HLC1" s="353"/>
      <c r="HLD1" s="353"/>
      <c r="HLE1" s="353"/>
      <c r="HLF1" s="353"/>
      <c r="HLG1" s="353"/>
      <c r="HLH1" s="353"/>
      <c r="HLI1" s="353"/>
      <c r="HLJ1" s="353"/>
      <c r="HLK1" s="353"/>
      <c r="HLL1" s="353"/>
      <c r="HLM1" s="353"/>
      <c r="HLN1" s="353"/>
      <c r="HLO1" s="353"/>
      <c r="HLP1" s="353"/>
      <c r="HLQ1" s="353"/>
      <c r="HLR1" s="353"/>
      <c r="HLS1" s="353"/>
      <c r="HLT1" s="353"/>
      <c r="HLU1" s="353"/>
      <c r="HLV1" s="353"/>
      <c r="HLW1" s="353"/>
      <c r="HLX1" s="353"/>
      <c r="HLY1" s="353"/>
      <c r="HLZ1" s="353"/>
      <c r="HMA1" s="353"/>
      <c r="HMB1" s="353"/>
      <c r="HMC1" s="353"/>
      <c r="HMD1" s="353"/>
      <c r="HME1" s="353"/>
      <c r="HMF1" s="353"/>
      <c r="HMG1" s="353"/>
      <c r="HMH1" s="353"/>
      <c r="HMI1" s="353"/>
      <c r="HMJ1" s="353"/>
      <c r="HMK1" s="353"/>
      <c r="HML1" s="353"/>
      <c r="HMM1" s="353"/>
      <c r="HMN1" s="353"/>
      <c r="HMO1" s="353"/>
      <c r="HMP1" s="353"/>
      <c r="HMQ1" s="353"/>
      <c r="HMR1" s="353"/>
      <c r="HMS1" s="353"/>
      <c r="HMT1" s="353"/>
      <c r="HMU1" s="353"/>
      <c r="HMV1" s="353"/>
      <c r="HMW1" s="353"/>
      <c r="HMX1" s="353"/>
      <c r="HMY1" s="353"/>
      <c r="HMZ1" s="353"/>
      <c r="HNA1" s="353"/>
      <c r="HNB1" s="353"/>
      <c r="HNC1" s="353"/>
      <c r="HND1" s="353"/>
      <c r="HNE1" s="353"/>
      <c r="HNF1" s="353"/>
      <c r="HNG1" s="353"/>
      <c r="HNH1" s="353"/>
      <c r="HNI1" s="353"/>
      <c r="HNJ1" s="353"/>
      <c r="HNK1" s="353"/>
      <c r="HNL1" s="353"/>
      <c r="HNM1" s="353"/>
      <c r="HNN1" s="353"/>
      <c r="HNO1" s="353"/>
      <c r="HNP1" s="353"/>
      <c r="HNQ1" s="353"/>
      <c r="HNR1" s="353"/>
      <c r="HNS1" s="353"/>
      <c r="HNT1" s="353"/>
      <c r="HNU1" s="353"/>
      <c r="HNV1" s="353"/>
      <c r="HNW1" s="353"/>
      <c r="HNX1" s="353"/>
      <c r="HNY1" s="353"/>
      <c r="HNZ1" s="353"/>
      <c r="HOA1" s="353"/>
      <c r="HOB1" s="353"/>
      <c r="HOC1" s="353"/>
      <c r="HOD1" s="353"/>
      <c r="HOE1" s="353"/>
      <c r="HOF1" s="353"/>
      <c r="HOG1" s="353"/>
      <c r="HOH1" s="353"/>
      <c r="HOI1" s="353"/>
      <c r="HOJ1" s="353"/>
      <c r="HOK1" s="353"/>
      <c r="HOL1" s="353"/>
      <c r="HOM1" s="353"/>
      <c r="HON1" s="353"/>
      <c r="HOO1" s="353"/>
      <c r="HOP1" s="353"/>
      <c r="HOQ1" s="353"/>
      <c r="HOR1" s="353"/>
      <c r="HOS1" s="353"/>
      <c r="HOT1" s="353"/>
      <c r="HOU1" s="353"/>
      <c r="HOV1" s="353"/>
      <c r="HOW1" s="353"/>
      <c r="HOX1" s="353"/>
      <c r="HOY1" s="353"/>
      <c r="HOZ1" s="353"/>
      <c r="HPA1" s="353"/>
      <c r="HPB1" s="353"/>
      <c r="HPC1" s="353"/>
      <c r="HPD1" s="353"/>
      <c r="HPE1" s="353"/>
      <c r="HPF1" s="353"/>
      <c r="HPG1" s="353"/>
      <c r="HPH1" s="353"/>
      <c r="HPI1" s="353"/>
      <c r="HPJ1" s="353"/>
      <c r="HPK1" s="353"/>
      <c r="HPL1" s="353"/>
      <c r="HPM1" s="353"/>
      <c r="HPN1" s="353"/>
      <c r="HPO1" s="353"/>
      <c r="HPP1" s="353"/>
      <c r="HPQ1" s="353"/>
      <c r="HPR1" s="353"/>
      <c r="HPS1" s="353"/>
      <c r="HPT1" s="353"/>
      <c r="HPU1" s="353"/>
      <c r="HPV1" s="353"/>
      <c r="HPW1" s="353"/>
      <c r="HPX1" s="353"/>
      <c r="HPY1" s="353"/>
      <c r="HPZ1" s="353"/>
      <c r="HQA1" s="353"/>
      <c r="HQB1" s="353"/>
      <c r="HQC1" s="353"/>
      <c r="HQD1" s="353"/>
      <c r="HQE1" s="353"/>
      <c r="HQF1" s="353"/>
      <c r="HQG1" s="353"/>
      <c r="HQH1" s="353"/>
      <c r="HQI1" s="353"/>
      <c r="HQJ1" s="353"/>
      <c r="HQK1" s="353"/>
      <c r="HQL1" s="353"/>
      <c r="HQM1" s="353"/>
      <c r="HQN1" s="353"/>
      <c r="HQO1" s="353"/>
      <c r="HQP1" s="353"/>
      <c r="HQQ1" s="353"/>
      <c r="HQR1" s="353"/>
      <c r="HQS1" s="353"/>
      <c r="HQT1" s="353"/>
      <c r="HQU1" s="353"/>
      <c r="HQV1" s="353"/>
      <c r="HQW1" s="353"/>
      <c r="HQX1" s="353"/>
      <c r="HQY1" s="353"/>
      <c r="HQZ1" s="353"/>
      <c r="HRA1" s="353"/>
      <c r="HRB1" s="353"/>
      <c r="HRC1" s="353"/>
      <c r="HRD1" s="353"/>
      <c r="HRE1" s="353"/>
      <c r="HRF1" s="353"/>
      <c r="HRG1" s="353"/>
      <c r="HRH1" s="353"/>
      <c r="HRI1" s="353"/>
      <c r="HRJ1" s="353"/>
      <c r="HRK1" s="353"/>
      <c r="HRL1" s="353"/>
      <c r="HRM1" s="353"/>
      <c r="HRN1" s="353"/>
      <c r="HRO1" s="353"/>
      <c r="HRP1" s="353"/>
      <c r="HRQ1" s="353"/>
      <c r="HRR1" s="353"/>
      <c r="HRS1" s="353"/>
      <c r="HRT1" s="353"/>
      <c r="HRU1" s="353"/>
      <c r="HRV1" s="353"/>
      <c r="HRW1" s="353"/>
      <c r="HRX1" s="353"/>
      <c r="HRY1" s="353"/>
      <c r="HRZ1" s="353"/>
      <c r="HSA1" s="353"/>
      <c r="HSB1" s="353"/>
      <c r="HSC1" s="353"/>
      <c r="HSD1" s="353"/>
      <c r="HSE1" s="353"/>
      <c r="HSF1" s="353"/>
      <c r="HSG1" s="353"/>
      <c r="HSH1" s="353"/>
      <c r="HSI1" s="353"/>
      <c r="HSJ1" s="353"/>
      <c r="HSK1" s="353"/>
      <c r="HSL1" s="353"/>
      <c r="HSM1" s="353"/>
      <c r="HSN1" s="353"/>
      <c r="HSO1" s="353"/>
      <c r="HSP1" s="353"/>
      <c r="HSQ1" s="353"/>
      <c r="HSR1" s="353"/>
      <c r="HSS1" s="353"/>
      <c r="HST1" s="353"/>
      <c r="HSU1" s="353"/>
      <c r="HSV1" s="353"/>
      <c r="HSW1" s="353"/>
      <c r="HSX1" s="353"/>
      <c r="HSY1" s="353"/>
      <c r="HSZ1" s="353"/>
      <c r="HTA1" s="353"/>
      <c r="HTB1" s="353"/>
      <c r="HTC1" s="353"/>
      <c r="HTD1" s="353"/>
      <c r="HTE1" s="353"/>
      <c r="HTF1" s="353"/>
      <c r="HTG1" s="353"/>
      <c r="HTH1" s="353"/>
      <c r="HTI1" s="353"/>
      <c r="HTJ1" s="353"/>
      <c r="HTK1" s="353"/>
      <c r="HTL1" s="353"/>
      <c r="HTM1" s="353"/>
      <c r="HTN1" s="353"/>
      <c r="HTO1" s="353"/>
      <c r="HTP1" s="353"/>
      <c r="HTQ1" s="353"/>
      <c r="HTR1" s="353"/>
      <c r="HTS1" s="353"/>
      <c r="HTT1" s="353"/>
      <c r="HTU1" s="353"/>
      <c r="HTV1" s="353"/>
      <c r="HTW1" s="353"/>
      <c r="HTX1" s="353"/>
      <c r="HTY1" s="353"/>
      <c r="HTZ1" s="353"/>
      <c r="HUA1" s="353"/>
      <c r="HUB1" s="353"/>
      <c r="HUC1" s="353"/>
      <c r="HUD1" s="353"/>
      <c r="HUE1" s="353"/>
      <c r="HUF1" s="353"/>
      <c r="HUG1" s="353"/>
      <c r="HUH1" s="353"/>
      <c r="HUI1" s="353"/>
      <c r="HUJ1" s="353"/>
      <c r="HUK1" s="353"/>
      <c r="HUL1" s="353"/>
      <c r="HUM1" s="353"/>
      <c r="HUN1" s="353"/>
      <c r="HUO1" s="353"/>
      <c r="HUP1" s="353"/>
      <c r="HUQ1" s="353"/>
      <c r="HUR1" s="353"/>
      <c r="HUS1" s="353"/>
      <c r="HUT1" s="353"/>
      <c r="HUU1" s="353"/>
      <c r="HUV1" s="353"/>
      <c r="HUW1" s="353"/>
      <c r="HUX1" s="353"/>
      <c r="HUY1" s="353"/>
      <c r="HUZ1" s="353"/>
      <c r="HVA1" s="353"/>
      <c r="HVB1" s="353"/>
      <c r="HVC1" s="353"/>
      <c r="HVD1" s="353"/>
      <c r="HVE1" s="353"/>
      <c r="HVF1" s="353"/>
      <c r="HVG1" s="353"/>
      <c r="HVH1" s="353"/>
      <c r="HVI1" s="353"/>
      <c r="HVJ1" s="353"/>
      <c r="HVK1" s="353"/>
      <c r="HVL1" s="353"/>
      <c r="HVM1" s="353"/>
      <c r="HVN1" s="353"/>
      <c r="HVO1" s="353"/>
      <c r="HVP1" s="353"/>
      <c r="HVQ1" s="353"/>
      <c r="HVR1" s="353"/>
      <c r="HVS1" s="353"/>
      <c r="HVT1" s="353"/>
      <c r="HVU1" s="353"/>
      <c r="HVV1" s="353"/>
      <c r="HVW1" s="353"/>
      <c r="HVX1" s="353"/>
      <c r="HVY1" s="353"/>
      <c r="HVZ1" s="353"/>
      <c r="HWA1" s="353"/>
      <c r="HWB1" s="353"/>
      <c r="HWC1" s="353"/>
      <c r="HWD1" s="353"/>
      <c r="HWE1" s="353"/>
      <c r="HWF1" s="353"/>
      <c r="HWG1" s="353"/>
      <c r="HWH1" s="353"/>
      <c r="HWI1" s="353"/>
      <c r="HWJ1" s="353"/>
      <c r="HWK1" s="353"/>
      <c r="HWL1" s="353"/>
      <c r="HWM1" s="353"/>
      <c r="HWN1" s="353"/>
      <c r="HWO1" s="353"/>
      <c r="HWP1" s="353"/>
      <c r="HWQ1" s="353"/>
      <c r="HWR1" s="353"/>
      <c r="HWS1" s="353"/>
      <c r="HWT1" s="353"/>
      <c r="HWU1" s="353"/>
      <c r="HWV1" s="353"/>
      <c r="HWW1" s="353"/>
      <c r="HWX1" s="353"/>
      <c r="HWY1" s="353"/>
      <c r="HWZ1" s="353"/>
      <c r="HXA1" s="353"/>
      <c r="HXB1" s="353"/>
      <c r="HXC1" s="353"/>
      <c r="HXD1" s="353"/>
      <c r="HXE1" s="353"/>
      <c r="HXF1" s="353"/>
      <c r="HXG1" s="353"/>
      <c r="HXH1" s="353"/>
      <c r="HXI1" s="353"/>
      <c r="HXJ1" s="353"/>
      <c r="HXK1" s="353"/>
      <c r="HXL1" s="353"/>
      <c r="HXM1" s="353"/>
      <c r="HXN1" s="353"/>
      <c r="HXO1" s="353"/>
      <c r="HXP1" s="353"/>
      <c r="HXQ1" s="353"/>
      <c r="HXR1" s="353"/>
      <c r="HXS1" s="353"/>
      <c r="HXT1" s="353"/>
      <c r="HXU1" s="353"/>
      <c r="HXV1" s="353"/>
      <c r="HXW1" s="353"/>
      <c r="HXX1" s="353"/>
      <c r="HXY1" s="353"/>
      <c r="HXZ1" s="353"/>
      <c r="HYA1" s="353"/>
      <c r="HYB1" s="353"/>
      <c r="HYC1" s="353"/>
      <c r="HYD1" s="353"/>
      <c r="HYE1" s="353"/>
      <c r="HYF1" s="353"/>
      <c r="HYG1" s="353"/>
      <c r="HYH1" s="353"/>
      <c r="HYI1" s="353"/>
      <c r="HYJ1" s="353"/>
      <c r="HYK1" s="353"/>
      <c r="HYL1" s="353"/>
      <c r="HYM1" s="353"/>
      <c r="HYN1" s="353"/>
      <c r="HYO1" s="353"/>
      <c r="HYP1" s="353"/>
      <c r="HYQ1" s="353"/>
      <c r="HYR1" s="353"/>
      <c r="HYS1" s="353"/>
      <c r="HYT1" s="353"/>
      <c r="HYU1" s="353"/>
      <c r="HYV1" s="353"/>
      <c r="HYW1" s="353"/>
      <c r="HYX1" s="353"/>
      <c r="HYY1" s="353"/>
      <c r="HYZ1" s="353"/>
      <c r="HZA1" s="353"/>
      <c r="HZB1" s="353"/>
      <c r="HZC1" s="353"/>
      <c r="HZD1" s="353"/>
      <c r="HZE1" s="353"/>
      <c r="HZF1" s="353"/>
      <c r="HZG1" s="353"/>
      <c r="HZH1" s="353"/>
      <c r="HZI1" s="353"/>
      <c r="HZJ1" s="353"/>
      <c r="HZK1" s="353"/>
      <c r="HZL1" s="353"/>
      <c r="HZM1" s="353"/>
      <c r="HZN1" s="353"/>
      <c r="HZO1" s="353"/>
      <c r="HZP1" s="353"/>
      <c r="HZQ1" s="353"/>
      <c r="HZR1" s="353"/>
      <c r="HZS1" s="353"/>
      <c r="HZT1" s="353"/>
      <c r="HZU1" s="353"/>
      <c r="HZV1" s="353"/>
      <c r="HZW1" s="353"/>
      <c r="HZX1" s="353"/>
      <c r="HZY1" s="353"/>
      <c r="HZZ1" s="353"/>
      <c r="IAA1" s="353"/>
      <c r="IAB1" s="353"/>
      <c r="IAC1" s="353"/>
      <c r="IAD1" s="353"/>
      <c r="IAE1" s="353"/>
      <c r="IAF1" s="353"/>
      <c r="IAG1" s="353"/>
      <c r="IAH1" s="353"/>
      <c r="IAI1" s="353"/>
      <c r="IAJ1" s="353"/>
      <c r="IAK1" s="353"/>
      <c r="IAL1" s="353"/>
      <c r="IAM1" s="353"/>
      <c r="IAN1" s="353"/>
      <c r="IAO1" s="353"/>
      <c r="IAP1" s="353"/>
      <c r="IAQ1" s="353"/>
      <c r="IAR1" s="353"/>
      <c r="IAS1" s="353"/>
      <c r="IAT1" s="353"/>
      <c r="IAU1" s="353"/>
      <c r="IAV1" s="353"/>
      <c r="IAW1" s="353"/>
      <c r="IAX1" s="353"/>
      <c r="IAY1" s="353"/>
      <c r="IAZ1" s="353"/>
      <c r="IBA1" s="353"/>
      <c r="IBB1" s="353"/>
      <c r="IBC1" s="353"/>
      <c r="IBD1" s="353"/>
      <c r="IBE1" s="353"/>
      <c r="IBF1" s="353"/>
      <c r="IBG1" s="353"/>
      <c r="IBH1" s="353"/>
      <c r="IBI1" s="353"/>
      <c r="IBJ1" s="353"/>
      <c r="IBK1" s="353"/>
      <c r="IBL1" s="353"/>
      <c r="IBM1" s="353"/>
      <c r="IBN1" s="353"/>
      <c r="IBO1" s="353"/>
      <c r="IBP1" s="353"/>
      <c r="IBQ1" s="353"/>
      <c r="IBR1" s="353"/>
      <c r="IBS1" s="353"/>
      <c r="IBT1" s="353"/>
      <c r="IBU1" s="353"/>
      <c r="IBV1" s="353"/>
      <c r="IBW1" s="353"/>
      <c r="IBX1" s="353"/>
      <c r="IBY1" s="353"/>
      <c r="IBZ1" s="353"/>
      <c r="ICA1" s="353"/>
      <c r="ICB1" s="353"/>
      <c r="ICC1" s="353"/>
      <c r="ICD1" s="353"/>
      <c r="ICE1" s="353"/>
      <c r="ICF1" s="353"/>
      <c r="ICG1" s="353"/>
      <c r="ICH1" s="353"/>
      <c r="ICI1" s="353"/>
      <c r="ICJ1" s="353"/>
      <c r="ICK1" s="353"/>
      <c r="ICL1" s="353"/>
      <c r="ICM1" s="353"/>
      <c r="ICN1" s="353"/>
      <c r="ICO1" s="353"/>
      <c r="ICP1" s="353"/>
      <c r="ICQ1" s="353"/>
      <c r="ICR1" s="353"/>
      <c r="ICS1" s="353"/>
      <c r="ICT1" s="353"/>
      <c r="ICU1" s="353"/>
      <c r="ICV1" s="353"/>
      <c r="ICW1" s="353"/>
      <c r="ICX1" s="353"/>
      <c r="ICY1" s="353"/>
      <c r="ICZ1" s="353"/>
      <c r="IDA1" s="353"/>
      <c r="IDB1" s="353"/>
      <c r="IDC1" s="353"/>
      <c r="IDD1" s="353"/>
      <c r="IDE1" s="353"/>
      <c r="IDF1" s="353"/>
      <c r="IDG1" s="353"/>
      <c r="IDH1" s="353"/>
      <c r="IDI1" s="353"/>
      <c r="IDJ1" s="353"/>
      <c r="IDK1" s="353"/>
      <c r="IDL1" s="353"/>
      <c r="IDM1" s="353"/>
      <c r="IDN1" s="353"/>
      <c r="IDO1" s="353"/>
      <c r="IDP1" s="353"/>
      <c r="IDQ1" s="353"/>
      <c r="IDR1" s="353"/>
      <c r="IDS1" s="353"/>
      <c r="IDT1" s="353"/>
      <c r="IDU1" s="353"/>
      <c r="IDV1" s="353"/>
      <c r="IDW1" s="353"/>
      <c r="IDX1" s="353"/>
      <c r="IDY1" s="353"/>
      <c r="IDZ1" s="353"/>
      <c r="IEA1" s="353"/>
      <c r="IEB1" s="353"/>
      <c r="IEC1" s="353"/>
      <c r="IED1" s="353"/>
      <c r="IEE1" s="353"/>
      <c r="IEF1" s="353"/>
      <c r="IEG1" s="353"/>
      <c r="IEH1" s="353"/>
      <c r="IEI1" s="353"/>
      <c r="IEJ1" s="353"/>
      <c r="IEK1" s="353"/>
      <c r="IEL1" s="353"/>
      <c r="IEM1" s="353"/>
      <c r="IEN1" s="353"/>
      <c r="IEO1" s="353"/>
      <c r="IEP1" s="353"/>
      <c r="IEQ1" s="353"/>
      <c r="IER1" s="353"/>
      <c r="IES1" s="353"/>
      <c r="IET1" s="353"/>
      <c r="IEU1" s="353"/>
      <c r="IEV1" s="353"/>
      <c r="IEW1" s="353"/>
      <c r="IEX1" s="353"/>
      <c r="IEY1" s="353"/>
      <c r="IEZ1" s="353"/>
      <c r="IFA1" s="353"/>
      <c r="IFB1" s="353"/>
      <c r="IFC1" s="353"/>
      <c r="IFD1" s="353"/>
      <c r="IFE1" s="353"/>
      <c r="IFF1" s="353"/>
      <c r="IFG1" s="353"/>
      <c r="IFH1" s="353"/>
      <c r="IFI1" s="353"/>
      <c r="IFJ1" s="353"/>
      <c r="IFK1" s="353"/>
      <c r="IFL1" s="353"/>
      <c r="IFM1" s="353"/>
      <c r="IFN1" s="353"/>
      <c r="IFO1" s="353"/>
      <c r="IFP1" s="353"/>
      <c r="IFQ1" s="353"/>
      <c r="IFR1" s="353"/>
      <c r="IFS1" s="353"/>
      <c r="IFT1" s="353"/>
      <c r="IFU1" s="353"/>
      <c r="IFV1" s="353"/>
      <c r="IFW1" s="353"/>
      <c r="IFX1" s="353"/>
      <c r="IFY1" s="353"/>
      <c r="IFZ1" s="353"/>
      <c r="IGA1" s="353"/>
      <c r="IGB1" s="353"/>
      <c r="IGC1" s="353"/>
      <c r="IGD1" s="353"/>
      <c r="IGE1" s="353"/>
      <c r="IGF1" s="353"/>
      <c r="IGG1" s="353"/>
      <c r="IGH1" s="353"/>
      <c r="IGI1" s="353"/>
      <c r="IGJ1" s="353"/>
      <c r="IGK1" s="353"/>
      <c r="IGL1" s="353"/>
      <c r="IGM1" s="353"/>
      <c r="IGN1" s="353"/>
      <c r="IGO1" s="353"/>
      <c r="IGP1" s="353"/>
      <c r="IGQ1" s="353"/>
      <c r="IGR1" s="353"/>
      <c r="IGS1" s="353"/>
      <c r="IGT1" s="353"/>
      <c r="IGU1" s="353"/>
      <c r="IGV1" s="353"/>
      <c r="IGW1" s="353"/>
      <c r="IGX1" s="353"/>
      <c r="IGY1" s="353"/>
      <c r="IGZ1" s="353"/>
      <c r="IHA1" s="353"/>
      <c r="IHB1" s="353"/>
      <c r="IHC1" s="353"/>
      <c r="IHD1" s="353"/>
      <c r="IHE1" s="353"/>
      <c r="IHF1" s="353"/>
      <c r="IHG1" s="353"/>
      <c r="IHH1" s="353"/>
      <c r="IHI1" s="353"/>
      <c r="IHJ1" s="353"/>
      <c r="IHK1" s="353"/>
      <c r="IHL1" s="353"/>
      <c r="IHM1" s="353"/>
      <c r="IHN1" s="353"/>
      <c r="IHO1" s="353"/>
      <c r="IHP1" s="353"/>
      <c r="IHQ1" s="353"/>
      <c r="IHR1" s="353"/>
      <c r="IHS1" s="353"/>
      <c r="IHT1" s="353"/>
      <c r="IHU1" s="353"/>
      <c r="IHV1" s="353"/>
      <c r="IHW1" s="353"/>
      <c r="IHX1" s="353"/>
      <c r="IHY1" s="353"/>
      <c r="IHZ1" s="353"/>
      <c r="IIA1" s="353"/>
      <c r="IIB1" s="353"/>
      <c r="IIC1" s="353"/>
      <c r="IID1" s="353"/>
      <c r="IIE1" s="353"/>
      <c r="IIF1" s="353"/>
      <c r="IIG1" s="353"/>
      <c r="IIH1" s="353"/>
      <c r="III1" s="353"/>
      <c r="IIJ1" s="353"/>
      <c r="IIK1" s="353"/>
      <c r="IIL1" s="353"/>
      <c r="IIM1" s="353"/>
      <c r="IIN1" s="353"/>
      <c r="IIO1" s="353"/>
      <c r="IIP1" s="353"/>
      <c r="IIQ1" s="353"/>
      <c r="IIR1" s="353"/>
      <c r="IIS1" s="353"/>
      <c r="IIT1" s="353"/>
      <c r="IIU1" s="353"/>
      <c r="IIV1" s="353"/>
      <c r="IIW1" s="353"/>
      <c r="IIX1" s="353"/>
      <c r="IIY1" s="353"/>
      <c r="IIZ1" s="353"/>
      <c r="IJA1" s="353"/>
      <c r="IJB1" s="353"/>
      <c r="IJC1" s="353"/>
      <c r="IJD1" s="353"/>
      <c r="IJE1" s="353"/>
      <c r="IJF1" s="353"/>
      <c r="IJG1" s="353"/>
      <c r="IJH1" s="353"/>
      <c r="IJI1" s="353"/>
      <c r="IJJ1" s="353"/>
      <c r="IJK1" s="353"/>
      <c r="IJL1" s="353"/>
      <c r="IJM1" s="353"/>
      <c r="IJN1" s="353"/>
      <c r="IJO1" s="353"/>
      <c r="IJP1" s="353"/>
      <c r="IJQ1" s="353"/>
      <c r="IJR1" s="353"/>
      <c r="IJS1" s="353"/>
      <c r="IJT1" s="353"/>
      <c r="IJU1" s="353"/>
      <c r="IJV1" s="353"/>
      <c r="IJW1" s="353"/>
      <c r="IJX1" s="353"/>
      <c r="IJY1" s="353"/>
      <c r="IJZ1" s="353"/>
      <c r="IKA1" s="353"/>
      <c r="IKB1" s="353"/>
      <c r="IKC1" s="353"/>
      <c r="IKD1" s="353"/>
      <c r="IKE1" s="353"/>
      <c r="IKF1" s="353"/>
      <c r="IKG1" s="353"/>
      <c r="IKH1" s="353"/>
      <c r="IKI1" s="353"/>
      <c r="IKJ1" s="353"/>
      <c r="IKK1" s="353"/>
      <c r="IKL1" s="353"/>
      <c r="IKM1" s="353"/>
      <c r="IKN1" s="353"/>
      <c r="IKO1" s="353"/>
      <c r="IKP1" s="353"/>
      <c r="IKQ1" s="353"/>
      <c r="IKR1" s="353"/>
      <c r="IKS1" s="353"/>
      <c r="IKT1" s="353"/>
      <c r="IKU1" s="353"/>
      <c r="IKV1" s="353"/>
      <c r="IKW1" s="353"/>
      <c r="IKX1" s="353"/>
      <c r="IKY1" s="353"/>
      <c r="IKZ1" s="353"/>
      <c r="ILA1" s="353"/>
      <c r="ILB1" s="353"/>
      <c r="ILC1" s="353"/>
      <c r="ILD1" s="353"/>
      <c r="ILE1" s="353"/>
      <c r="ILF1" s="353"/>
      <c r="ILG1" s="353"/>
      <c r="ILH1" s="353"/>
      <c r="ILI1" s="353"/>
      <c r="ILJ1" s="353"/>
      <c r="ILK1" s="353"/>
      <c r="ILL1" s="353"/>
      <c r="ILM1" s="353"/>
      <c r="ILN1" s="353"/>
      <c r="ILO1" s="353"/>
      <c r="ILP1" s="353"/>
      <c r="ILQ1" s="353"/>
      <c r="ILR1" s="353"/>
      <c r="ILS1" s="353"/>
      <c r="ILT1" s="353"/>
      <c r="ILU1" s="353"/>
      <c r="ILV1" s="353"/>
      <c r="ILW1" s="353"/>
      <c r="ILX1" s="353"/>
      <c r="ILY1" s="353"/>
      <c r="ILZ1" s="353"/>
      <c r="IMA1" s="353"/>
      <c r="IMB1" s="353"/>
      <c r="IMC1" s="353"/>
      <c r="IMD1" s="353"/>
      <c r="IME1" s="353"/>
      <c r="IMF1" s="353"/>
      <c r="IMG1" s="353"/>
      <c r="IMH1" s="353"/>
      <c r="IMI1" s="353"/>
      <c r="IMJ1" s="353"/>
      <c r="IMK1" s="353"/>
      <c r="IML1" s="353"/>
      <c r="IMM1" s="353"/>
      <c r="IMN1" s="353"/>
      <c r="IMO1" s="353"/>
      <c r="IMP1" s="353"/>
      <c r="IMQ1" s="353"/>
      <c r="IMR1" s="353"/>
      <c r="IMS1" s="353"/>
      <c r="IMT1" s="353"/>
      <c r="IMU1" s="353"/>
      <c r="IMV1" s="353"/>
      <c r="IMW1" s="353"/>
      <c r="IMX1" s="353"/>
      <c r="IMY1" s="353"/>
      <c r="IMZ1" s="353"/>
      <c r="INA1" s="353"/>
      <c r="INB1" s="353"/>
      <c r="INC1" s="353"/>
      <c r="IND1" s="353"/>
      <c r="INE1" s="353"/>
      <c r="INF1" s="353"/>
      <c r="ING1" s="353"/>
      <c r="INH1" s="353"/>
      <c r="INI1" s="353"/>
      <c r="INJ1" s="353"/>
      <c r="INK1" s="353"/>
      <c r="INL1" s="353"/>
      <c r="INM1" s="353"/>
      <c r="INN1" s="353"/>
      <c r="INO1" s="353"/>
      <c r="INP1" s="353"/>
      <c r="INQ1" s="353"/>
      <c r="INR1" s="353"/>
      <c r="INS1" s="353"/>
      <c r="INT1" s="353"/>
      <c r="INU1" s="353"/>
      <c r="INV1" s="353"/>
      <c r="INW1" s="353"/>
      <c r="INX1" s="353"/>
      <c r="INY1" s="353"/>
      <c r="INZ1" s="353"/>
      <c r="IOA1" s="353"/>
      <c r="IOB1" s="353"/>
      <c r="IOC1" s="353"/>
      <c r="IOD1" s="353"/>
      <c r="IOE1" s="353"/>
      <c r="IOF1" s="353"/>
      <c r="IOG1" s="353"/>
      <c r="IOH1" s="353"/>
      <c r="IOI1" s="353"/>
      <c r="IOJ1" s="353"/>
      <c r="IOK1" s="353"/>
      <c r="IOL1" s="353"/>
      <c r="IOM1" s="353"/>
      <c r="ION1" s="353"/>
      <c r="IOO1" s="353"/>
      <c r="IOP1" s="353"/>
      <c r="IOQ1" s="353"/>
      <c r="IOR1" s="353"/>
      <c r="IOS1" s="353"/>
      <c r="IOT1" s="353"/>
      <c r="IOU1" s="353"/>
      <c r="IOV1" s="353"/>
      <c r="IOW1" s="353"/>
      <c r="IOX1" s="353"/>
      <c r="IOY1" s="353"/>
      <c r="IOZ1" s="353"/>
      <c r="IPA1" s="353"/>
      <c r="IPB1" s="353"/>
      <c r="IPC1" s="353"/>
      <c r="IPD1" s="353"/>
      <c r="IPE1" s="353"/>
      <c r="IPF1" s="353"/>
      <c r="IPG1" s="353"/>
      <c r="IPH1" s="353"/>
      <c r="IPI1" s="353"/>
      <c r="IPJ1" s="353"/>
      <c r="IPK1" s="353"/>
      <c r="IPL1" s="353"/>
      <c r="IPM1" s="353"/>
      <c r="IPN1" s="353"/>
      <c r="IPO1" s="353"/>
      <c r="IPP1" s="353"/>
      <c r="IPQ1" s="353"/>
      <c r="IPR1" s="353"/>
      <c r="IPS1" s="353"/>
      <c r="IPT1" s="353"/>
      <c r="IPU1" s="353"/>
      <c r="IPV1" s="353"/>
      <c r="IPW1" s="353"/>
      <c r="IPX1" s="353"/>
      <c r="IPY1" s="353"/>
      <c r="IPZ1" s="353"/>
      <c r="IQA1" s="353"/>
      <c r="IQB1" s="353"/>
      <c r="IQC1" s="353"/>
      <c r="IQD1" s="353"/>
      <c r="IQE1" s="353"/>
      <c r="IQF1" s="353"/>
      <c r="IQG1" s="353"/>
      <c r="IQH1" s="353"/>
      <c r="IQI1" s="353"/>
      <c r="IQJ1" s="353"/>
      <c r="IQK1" s="353"/>
      <c r="IQL1" s="353"/>
      <c r="IQM1" s="353"/>
      <c r="IQN1" s="353"/>
      <c r="IQO1" s="353"/>
      <c r="IQP1" s="353"/>
      <c r="IQQ1" s="353"/>
      <c r="IQR1" s="353"/>
      <c r="IQS1" s="353"/>
      <c r="IQT1" s="353"/>
      <c r="IQU1" s="353"/>
      <c r="IQV1" s="353"/>
      <c r="IQW1" s="353"/>
      <c r="IQX1" s="353"/>
      <c r="IQY1" s="353"/>
      <c r="IQZ1" s="353"/>
      <c r="IRA1" s="353"/>
      <c r="IRB1" s="353"/>
      <c r="IRC1" s="353"/>
      <c r="IRD1" s="353"/>
      <c r="IRE1" s="353"/>
      <c r="IRF1" s="353"/>
      <c r="IRG1" s="353"/>
      <c r="IRH1" s="353"/>
      <c r="IRI1" s="353"/>
      <c r="IRJ1" s="353"/>
      <c r="IRK1" s="353"/>
      <c r="IRL1" s="353"/>
      <c r="IRM1" s="353"/>
      <c r="IRN1" s="353"/>
      <c r="IRO1" s="353"/>
      <c r="IRP1" s="353"/>
      <c r="IRQ1" s="353"/>
      <c r="IRR1" s="353"/>
      <c r="IRS1" s="353"/>
      <c r="IRT1" s="353"/>
      <c r="IRU1" s="353"/>
      <c r="IRV1" s="353"/>
      <c r="IRW1" s="353"/>
      <c r="IRX1" s="353"/>
      <c r="IRY1" s="353"/>
      <c r="IRZ1" s="353"/>
      <c r="ISA1" s="353"/>
      <c r="ISB1" s="353"/>
      <c r="ISC1" s="353"/>
      <c r="ISD1" s="353"/>
      <c r="ISE1" s="353"/>
      <c r="ISF1" s="353"/>
      <c r="ISG1" s="353"/>
      <c r="ISH1" s="353"/>
      <c r="ISI1" s="353"/>
      <c r="ISJ1" s="353"/>
      <c r="ISK1" s="353"/>
      <c r="ISL1" s="353"/>
      <c r="ISM1" s="353"/>
      <c r="ISN1" s="353"/>
      <c r="ISO1" s="353"/>
      <c r="ISP1" s="353"/>
      <c r="ISQ1" s="353"/>
      <c r="ISR1" s="353"/>
      <c r="ISS1" s="353"/>
      <c r="IST1" s="353"/>
      <c r="ISU1" s="353"/>
      <c r="ISV1" s="353"/>
      <c r="ISW1" s="353"/>
      <c r="ISX1" s="353"/>
      <c r="ISY1" s="353"/>
      <c r="ISZ1" s="353"/>
      <c r="ITA1" s="353"/>
      <c r="ITB1" s="353"/>
      <c r="ITC1" s="353"/>
      <c r="ITD1" s="353"/>
      <c r="ITE1" s="353"/>
      <c r="ITF1" s="353"/>
      <c r="ITG1" s="353"/>
      <c r="ITH1" s="353"/>
      <c r="ITI1" s="353"/>
      <c r="ITJ1" s="353"/>
      <c r="ITK1" s="353"/>
      <c r="ITL1" s="353"/>
      <c r="ITM1" s="353"/>
      <c r="ITN1" s="353"/>
      <c r="ITO1" s="353"/>
      <c r="ITP1" s="353"/>
      <c r="ITQ1" s="353"/>
      <c r="ITR1" s="353"/>
      <c r="ITS1" s="353"/>
      <c r="ITT1" s="353"/>
      <c r="ITU1" s="353"/>
      <c r="ITV1" s="353"/>
      <c r="ITW1" s="353"/>
      <c r="ITX1" s="353"/>
      <c r="ITY1" s="353"/>
      <c r="ITZ1" s="353"/>
      <c r="IUA1" s="353"/>
      <c r="IUB1" s="353"/>
      <c r="IUC1" s="353"/>
      <c r="IUD1" s="353"/>
      <c r="IUE1" s="353"/>
      <c r="IUF1" s="353"/>
      <c r="IUG1" s="353"/>
      <c r="IUH1" s="353"/>
      <c r="IUI1" s="353"/>
      <c r="IUJ1" s="353"/>
      <c r="IUK1" s="353"/>
      <c r="IUL1" s="353"/>
      <c r="IUM1" s="353"/>
      <c r="IUN1" s="353"/>
      <c r="IUO1" s="353"/>
      <c r="IUP1" s="353"/>
      <c r="IUQ1" s="353"/>
      <c r="IUR1" s="353"/>
      <c r="IUS1" s="353"/>
      <c r="IUT1" s="353"/>
      <c r="IUU1" s="353"/>
      <c r="IUV1" s="353"/>
      <c r="IUW1" s="353"/>
      <c r="IUX1" s="353"/>
      <c r="IUY1" s="353"/>
      <c r="IUZ1" s="353"/>
      <c r="IVA1" s="353"/>
      <c r="IVB1" s="353"/>
      <c r="IVC1" s="353"/>
      <c r="IVD1" s="353"/>
      <c r="IVE1" s="353"/>
      <c r="IVF1" s="353"/>
      <c r="IVG1" s="353"/>
      <c r="IVH1" s="353"/>
      <c r="IVI1" s="353"/>
      <c r="IVJ1" s="353"/>
      <c r="IVK1" s="353"/>
      <c r="IVL1" s="353"/>
      <c r="IVM1" s="353"/>
      <c r="IVN1" s="353"/>
      <c r="IVO1" s="353"/>
      <c r="IVP1" s="353"/>
      <c r="IVQ1" s="353"/>
      <c r="IVR1" s="353"/>
      <c r="IVS1" s="353"/>
      <c r="IVT1" s="353"/>
      <c r="IVU1" s="353"/>
      <c r="IVV1" s="353"/>
      <c r="IVW1" s="353"/>
      <c r="IVX1" s="353"/>
      <c r="IVY1" s="353"/>
      <c r="IVZ1" s="353"/>
      <c r="IWA1" s="353"/>
      <c r="IWB1" s="353"/>
      <c r="IWC1" s="353"/>
      <c r="IWD1" s="353"/>
      <c r="IWE1" s="353"/>
      <c r="IWF1" s="353"/>
      <c r="IWG1" s="353"/>
      <c r="IWH1" s="353"/>
      <c r="IWI1" s="353"/>
      <c r="IWJ1" s="353"/>
      <c r="IWK1" s="353"/>
      <c r="IWL1" s="353"/>
      <c r="IWM1" s="353"/>
      <c r="IWN1" s="353"/>
      <c r="IWO1" s="353"/>
      <c r="IWP1" s="353"/>
      <c r="IWQ1" s="353"/>
      <c r="IWR1" s="353"/>
      <c r="IWS1" s="353"/>
      <c r="IWT1" s="353"/>
      <c r="IWU1" s="353"/>
      <c r="IWV1" s="353"/>
      <c r="IWW1" s="353"/>
      <c r="IWX1" s="353"/>
      <c r="IWY1" s="353"/>
      <c r="IWZ1" s="353"/>
      <c r="IXA1" s="353"/>
      <c r="IXB1" s="353"/>
      <c r="IXC1" s="353"/>
      <c r="IXD1" s="353"/>
      <c r="IXE1" s="353"/>
      <c r="IXF1" s="353"/>
      <c r="IXG1" s="353"/>
      <c r="IXH1" s="353"/>
      <c r="IXI1" s="353"/>
      <c r="IXJ1" s="353"/>
      <c r="IXK1" s="353"/>
      <c r="IXL1" s="353"/>
      <c r="IXM1" s="353"/>
      <c r="IXN1" s="353"/>
      <c r="IXO1" s="353"/>
      <c r="IXP1" s="353"/>
      <c r="IXQ1" s="353"/>
      <c r="IXR1" s="353"/>
      <c r="IXS1" s="353"/>
      <c r="IXT1" s="353"/>
      <c r="IXU1" s="353"/>
      <c r="IXV1" s="353"/>
      <c r="IXW1" s="353"/>
      <c r="IXX1" s="353"/>
      <c r="IXY1" s="353"/>
      <c r="IXZ1" s="353"/>
      <c r="IYA1" s="353"/>
      <c r="IYB1" s="353"/>
      <c r="IYC1" s="353"/>
      <c r="IYD1" s="353"/>
      <c r="IYE1" s="353"/>
      <c r="IYF1" s="353"/>
      <c r="IYG1" s="353"/>
      <c r="IYH1" s="353"/>
      <c r="IYI1" s="353"/>
      <c r="IYJ1" s="353"/>
      <c r="IYK1" s="353"/>
      <c r="IYL1" s="353"/>
      <c r="IYM1" s="353"/>
      <c r="IYN1" s="353"/>
      <c r="IYO1" s="353"/>
      <c r="IYP1" s="353"/>
      <c r="IYQ1" s="353"/>
      <c r="IYR1" s="353"/>
      <c r="IYS1" s="353"/>
      <c r="IYT1" s="353"/>
      <c r="IYU1" s="353"/>
      <c r="IYV1" s="353"/>
      <c r="IYW1" s="353"/>
      <c r="IYX1" s="353"/>
      <c r="IYY1" s="353"/>
      <c r="IYZ1" s="353"/>
      <c r="IZA1" s="353"/>
      <c r="IZB1" s="353"/>
      <c r="IZC1" s="353"/>
      <c r="IZD1" s="353"/>
      <c r="IZE1" s="353"/>
      <c r="IZF1" s="353"/>
      <c r="IZG1" s="353"/>
      <c r="IZH1" s="353"/>
      <c r="IZI1" s="353"/>
      <c r="IZJ1" s="353"/>
      <c r="IZK1" s="353"/>
      <c r="IZL1" s="353"/>
      <c r="IZM1" s="353"/>
      <c r="IZN1" s="353"/>
      <c r="IZO1" s="353"/>
      <c r="IZP1" s="353"/>
      <c r="IZQ1" s="353"/>
      <c r="IZR1" s="353"/>
      <c r="IZS1" s="353"/>
      <c r="IZT1" s="353"/>
      <c r="IZU1" s="353"/>
      <c r="IZV1" s="353"/>
      <c r="IZW1" s="353"/>
      <c r="IZX1" s="353"/>
      <c r="IZY1" s="353"/>
      <c r="IZZ1" s="353"/>
      <c r="JAA1" s="353"/>
      <c r="JAB1" s="353"/>
      <c r="JAC1" s="353"/>
      <c r="JAD1" s="353"/>
      <c r="JAE1" s="353"/>
      <c r="JAF1" s="353"/>
      <c r="JAG1" s="353"/>
      <c r="JAH1" s="353"/>
      <c r="JAI1" s="353"/>
      <c r="JAJ1" s="353"/>
      <c r="JAK1" s="353"/>
      <c r="JAL1" s="353"/>
      <c r="JAM1" s="353"/>
      <c r="JAN1" s="353"/>
      <c r="JAO1" s="353"/>
      <c r="JAP1" s="353"/>
      <c r="JAQ1" s="353"/>
      <c r="JAR1" s="353"/>
      <c r="JAS1" s="353"/>
      <c r="JAT1" s="353"/>
      <c r="JAU1" s="353"/>
      <c r="JAV1" s="353"/>
      <c r="JAW1" s="353"/>
      <c r="JAX1" s="353"/>
      <c r="JAY1" s="353"/>
      <c r="JAZ1" s="353"/>
      <c r="JBA1" s="353"/>
      <c r="JBB1" s="353"/>
      <c r="JBC1" s="353"/>
      <c r="JBD1" s="353"/>
      <c r="JBE1" s="353"/>
      <c r="JBF1" s="353"/>
      <c r="JBG1" s="353"/>
      <c r="JBH1" s="353"/>
      <c r="JBI1" s="353"/>
      <c r="JBJ1" s="353"/>
      <c r="JBK1" s="353"/>
      <c r="JBL1" s="353"/>
      <c r="JBM1" s="353"/>
      <c r="JBN1" s="353"/>
      <c r="JBO1" s="353"/>
      <c r="JBP1" s="353"/>
      <c r="JBQ1" s="353"/>
      <c r="JBR1" s="353"/>
      <c r="JBS1" s="353"/>
      <c r="JBT1" s="353"/>
      <c r="JBU1" s="353"/>
      <c r="JBV1" s="353"/>
      <c r="JBW1" s="353"/>
      <c r="JBX1" s="353"/>
      <c r="JBY1" s="353"/>
      <c r="JBZ1" s="353"/>
      <c r="JCA1" s="353"/>
      <c r="JCB1" s="353"/>
      <c r="JCC1" s="353"/>
      <c r="JCD1" s="353"/>
      <c r="JCE1" s="353"/>
      <c r="JCF1" s="353"/>
      <c r="JCG1" s="353"/>
      <c r="JCH1" s="353"/>
      <c r="JCI1" s="353"/>
      <c r="JCJ1" s="353"/>
      <c r="JCK1" s="353"/>
      <c r="JCL1" s="353"/>
      <c r="JCM1" s="353"/>
      <c r="JCN1" s="353"/>
      <c r="JCO1" s="353"/>
      <c r="JCP1" s="353"/>
      <c r="JCQ1" s="353"/>
      <c r="JCR1" s="353"/>
      <c r="JCS1" s="353"/>
      <c r="JCT1" s="353"/>
      <c r="JCU1" s="353"/>
      <c r="JCV1" s="353"/>
      <c r="JCW1" s="353"/>
      <c r="JCX1" s="353"/>
      <c r="JCY1" s="353"/>
      <c r="JCZ1" s="353"/>
      <c r="JDA1" s="353"/>
      <c r="JDB1" s="353"/>
      <c r="JDC1" s="353"/>
      <c r="JDD1" s="353"/>
      <c r="JDE1" s="353"/>
      <c r="JDF1" s="353"/>
      <c r="JDG1" s="353"/>
      <c r="JDH1" s="353"/>
      <c r="JDI1" s="353"/>
      <c r="JDJ1" s="353"/>
      <c r="JDK1" s="353"/>
      <c r="JDL1" s="353"/>
      <c r="JDM1" s="353"/>
      <c r="JDN1" s="353"/>
      <c r="JDO1" s="353"/>
      <c r="JDP1" s="353"/>
      <c r="JDQ1" s="353"/>
      <c r="JDR1" s="353"/>
      <c r="JDS1" s="353"/>
      <c r="JDT1" s="353"/>
      <c r="JDU1" s="353"/>
      <c r="JDV1" s="353"/>
      <c r="JDW1" s="353"/>
      <c r="JDX1" s="353"/>
      <c r="JDY1" s="353"/>
      <c r="JDZ1" s="353"/>
      <c r="JEA1" s="353"/>
      <c r="JEB1" s="353"/>
      <c r="JEC1" s="353"/>
      <c r="JED1" s="353"/>
      <c r="JEE1" s="353"/>
      <c r="JEF1" s="353"/>
      <c r="JEG1" s="353"/>
      <c r="JEH1" s="353"/>
      <c r="JEI1" s="353"/>
      <c r="JEJ1" s="353"/>
      <c r="JEK1" s="353"/>
      <c r="JEL1" s="353"/>
      <c r="JEM1" s="353"/>
      <c r="JEN1" s="353"/>
      <c r="JEO1" s="353"/>
      <c r="JEP1" s="353"/>
      <c r="JEQ1" s="353"/>
      <c r="JER1" s="353"/>
      <c r="JES1" s="353"/>
      <c r="JET1" s="353"/>
      <c r="JEU1" s="353"/>
      <c r="JEV1" s="353"/>
      <c r="JEW1" s="353"/>
      <c r="JEX1" s="353"/>
      <c r="JEY1" s="353"/>
      <c r="JEZ1" s="353"/>
      <c r="JFA1" s="353"/>
      <c r="JFB1" s="353"/>
      <c r="JFC1" s="353"/>
      <c r="JFD1" s="353"/>
      <c r="JFE1" s="353"/>
      <c r="JFF1" s="353"/>
      <c r="JFG1" s="353"/>
      <c r="JFH1" s="353"/>
      <c r="JFI1" s="353"/>
      <c r="JFJ1" s="353"/>
      <c r="JFK1" s="353"/>
      <c r="JFL1" s="353"/>
      <c r="JFM1" s="353"/>
      <c r="JFN1" s="353"/>
      <c r="JFO1" s="353"/>
      <c r="JFP1" s="353"/>
      <c r="JFQ1" s="353"/>
      <c r="JFR1" s="353"/>
      <c r="JFS1" s="353"/>
      <c r="JFT1" s="353"/>
      <c r="JFU1" s="353"/>
      <c r="JFV1" s="353"/>
      <c r="JFW1" s="353"/>
      <c r="JFX1" s="353"/>
      <c r="JFY1" s="353"/>
      <c r="JFZ1" s="353"/>
      <c r="JGA1" s="353"/>
      <c r="JGB1" s="353"/>
      <c r="JGC1" s="353"/>
      <c r="JGD1" s="353"/>
      <c r="JGE1" s="353"/>
      <c r="JGF1" s="353"/>
      <c r="JGG1" s="353"/>
      <c r="JGH1" s="353"/>
      <c r="JGI1" s="353"/>
      <c r="JGJ1" s="353"/>
      <c r="JGK1" s="353"/>
      <c r="JGL1" s="353"/>
      <c r="JGM1" s="353"/>
      <c r="JGN1" s="353"/>
      <c r="JGO1" s="353"/>
      <c r="JGP1" s="353"/>
      <c r="JGQ1" s="353"/>
      <c r="JGR1" s="353"/>
      <c r="JGS1" s="353"/>
      <c r="JGT1" s="353"/>
      <c r="JGU1" s="353"/>
      <c r="JGV1" s="353"/>
      <c r="JGW1" s="353"/>
      <c r="JGX1" s="353"/>
      <c r="JGY1" s="353"/>
      <c r="JGZ1" s="353"/>
      <c r="JHA1" s="353"/>
      <c r="JHB1" s="353"/>
      <c r="JHC1" s="353"/>
      <c r="JHD1" s="353"/>
      <c r="JHE1" s="353"/>
      <c r="JHF1" s="353"/>
      <c r="JHG1" s="353"/>
      <c r="JHH1" s="353"/>
      <c r="JHI1" s="353"/>
      <c r="JHJ1" s="353"/>
      <c r="JHK1" s="353"/>
      <c r="JHL1" s="353"/>
      <c r="JHM1" s="353"/>
      <c r="JHN1" s="353"/>
      <c r="JHO1" s="353"/>
      <c r="JHP1" s="353"/>
      <c r="JHQ1" s="353"/>
      <c r="JHR1" s="353"/>
      <c r="JHS1" s="353"/>
      <c r="JHT1" s="353"/>
      <c r="JHU1" s="353"/>
      <c r="JHV1" s="353"/>
      <c r="JHW1" s="353"/>
      <c r="JHX1" s="353"/>
      <c r="JHY1" s="353"/>
      <c r="JHZ1" s="353"/>
      <c r="JIA1" s="353"/>
      <c r="JIB1" s="353"/>
      <c r="JIC1" s="353"/>
      <c r="JID1" s="353"/>
      <c r="JIE1" s="353"/>
      <c r="JIF1" s="353"/>
      <c r="JIG1" s="353"/>
      <c r="JIH1" s="353"/>
      <c r="JII1" s="353"/>
      <c r="JIJ1" s="353"/>
      <c r="JIK1" s="353"/>
      <c r="JIL1" s="353"/>
      <c r="JIM1" s="353"/>
      <c r="JIN1" s="353"/>
      <c r="JIO1" s="353"/>
      <c r="JIP1" s="353"/>
      <c r="JIQ1" s="353"/>
      <c r="JIR1" s="353"/>
      <c r="JIS1" s="353"/>
      <c r="JIT1" s="353"/>
      <c r="JIU1" s="353"/>
      <c r="JIV1" s="353"/>
      <c r="JIW1" s="353"/>
      <c r="JIX1" s="353"/>
      <c r="JIY1" s="353"/>
      <c r="JIZ1" s="353"/>
      <c r="JJA1" s="353"/>
      <c r="JJB1" s="353"/>
      <c r="JJC1" s="353"/>
      <c r="JJD1" s="353"/>
      <c r="JJE1" s="353"/>
      <c r="JJF1" s="353"/>
      <c r="JJG1" s="353"/>
      <c r="JJH1" s="353"/>
      <c r="JJI1" s="353"/>
      <c r="JJJ1" s="353"/>
      <c r="JJK1" s="353"/>
      <c r="JJL1" s="353"/>
      <c r="JJM1" s="353"/>
      <c r="JJN1" s="353"/>
      <c r="JJO1" s="353"/>
      <c r="JJP1" s="353"/>
      <c r="JJQ1" s="353"/>
      <c r="JJR1" s="353"/>
      <c r="JJS1" s="353"/>
      <c r="JJT1" s="353"/>
      <c r="JJU1" s="353"/>
      <c r="JJV1" s="353"/>
      <c r="JJW1" s="353"/>
      <c r="JJX1" s="353"/>
      <c r="JJY1" s="353"/>
      <c r="JJZ1" s="353"/>
      <c r="JKA1" s="353"/>
      <c r="JKB1" s="353"/>
      <c r="JKC1" s="353"/>
      <c r="JKD1" s="353"/>
      <c r="JKE1" s="353"/>
      <c r="JKF1" s="353"/>
      <c r="JKG1" s="353"/>
      <c r="JKH1" s="353"/>
      <c r="JKI1" s="353"/>
      <c r="JKJ1" s="353"/>
      <c r="JKK1" s="353"/>
      <c r="JKL1" s="353"/>
      <c r="JKM1" s="353"/>
      <c r="JKN1" s="353"/>
      <c r="JKO1" s="353"/>
      <c r="JKP1" s="353"/>
      <c r="JKQ1" s="353"/>
      <c r="JKR1" s="353"/>
      <c r="JKS1" s="353"/>
      <c r="JKT1" s="353"/>
      <c r="JKU1" s="353"/>
      <c r="JKV1" s="353"/>
      <c r="JKW1" s="353"/>
      <c r="JKX1" s="353"/>
      <c r="JKY1" s="353"/>
      <c r="JKZ1" s="353"/>
      <c r="JLA1" s="353"/>
      <c r="JLB1" s="353"/>
      <c r="JLC1" s="353"/>
      <c r="JLD1" s="353"/>
      <c r="JLE1" s="353"/>
      <c r="JLF1" s="353"/>
      <c r="JLG1" s="353"/>
      <c r="JLH1" s="353"/>
      <c r="JLI1" s="353"/>
      <c r="JLJ1" s="353"/>
      <c r="JLK1" s="353"/>
      <c r="JLL1" s="353"/>
      <c r="JLM1" s="353"/>
      <c r="JLN1" s="353"/>
      <c r="JLO1" s="353"/>
      <c r="JLP1" s="353"/>
      <c r="JLQ1" s="353"/>
      <c r="JLR1" s="353"/>
      <c r="JLS1" s="353"/>
      <c r="JLT1" s="353"/>
      <c r="JLU1" s="353"/>
      <c r="JLV1" s="353"/>
      <c r="JLW1" s="353"/>
      <c r="JLX1" s="353"/>
      <c r="JLY1" s="353"/>
      <c r="JLZ1" s="353"/>
      <c r="JMA1" s="353"/>
      <c r="JMB1" s="353"/>
      <c r="JMC1" s="353"/>
      <c r="JMD1" s="353"/>
      <c r="JME1" s="353"/>
      <c r="JMF1" s="353"/>
      <c r="JMG1" s="353"/>
      <c r="JMH1" s="353"/>
      <c r="JMI1" s="353"/>
      <c r="JMJ1" s="353"/>
      <c r="JMK1" s="353"/>
      <c r="JML1" s="353"/>
      <c r="JMM1" s="353"/>
      <c r="JMN1" s="353"/>
      <c r="JMO1" s="353"/>
      <c r="JMP1" s="353"/>
      <c r="JMQ1" s="353"/>
      <c r="JMR1" s="353"/>
      <c r="JMS1" s="353"/>
      <c r="JMT1" s="353"/>
      <c r="JMU1" s="353"/>
      <c r="JMV1" s="353"/>
      <c r="JMW1" s="353"/>
      <c r="JMX1" s="353"/>
      <c r="JMY1" s="353"/>
      <c r="JMZ1" s="353"/>
      <c r="JNA1" s="353"/>
      <c r="JNB1" s="353"/>
      <c r="JNC1" s="353"/>
      <c r="JND1" s="353"/>
      <c r="JNE1" s="353"/>
      <c r="JNF1" s="353"/>
      <c r="JNG1" s="353"/>
      <c r="JNH1" s="353"/>
      <c r="JNI1" s="353"/>
      <c r="JNJ1" s="353"/>
      <c r="JNK1" s="353"/>
      <c r="JNL1" s="353"/>
      <c r="JNM1" s="353"/>
      <c r="JNN1" s="353"/>
      <c r="JNO1" s="353"/>
      <c r="JNP1" s="353"/>
      <c r="JNQ1" s="353"/>
      <c r="JNR1" s="353"/>
      <c r="JNS1" s="353"/>
      <c r="JNT1" s="353"/>
      <c r="JNU1" s="353"/>
      <c r="JNV1" s="353"/>
      <c r="JNW1" s="353"/>
      <c r="JNX1" s="353"/>
      <c r="JNY1" s="353"/>
      <c r="JNZ1" s="353"/>
      <c r="JOA1" s="353"/>
      <c r="JOB1" s="353"/>
      <c r="JOC1" s="353"/>
      <c r="JOD1" s="353"/>
      <c r="JOE1" s="353"/>
      <c r="JOF1" s="353"/>
      <c r="JOG1" s="353"/>
      <c r="JOH1" s="353"/>
      <c r="JOI1" s="353"/>
      <c r="JOJ1" s="353"/>
      <c r="JOK1" s="353"/>
      <c r="JOL1" s="353"/>
      <c r="JOM1" s="353"/>
      <c r="JON1" s="353"/>
      <c r="JOO1" s="353"/>
      <c r="JOP1" s="353"/>
      <c r="JOQ1" s="353"/>
      <c r="JOR1" s="353"/>
      <c r="JOS1" s="353"/>
      <c r="JOT1" s="353"/>
      <c r="JOU1" s="353"/>
      <c r="JOV1" s="353"/>
      <c r="JOW1" s="353"/>
      <c r="JOX1" s="353"/>
      <c r="JOY1" s="353"/>
      <c r="JOZ1" s="353"/>
      <c r="JPA1" s="353"/>
      <c r="JPB1" s="353"/>
      <c r="JPC1" s="353"/>
      <c r="JPD1" s="353"/>
      <c r="JPE1" s="353"/>
      <c r="JPF1" s="353"/>
      <c r="JPG1" s="353"/>
      <c r="JPH1" s="353"/>
      <c r="JPI1" s="353"/>
      <c r="JPJ1" s="353"/>
      <c r="JPK1" s="353"/>
      <c r="JPL1" s="353"/>
      <c r="JPM1" s="353"/>
      <c r="JPN1" s="353"/>
      <c r="JPO1" s="353"/>
      <c r="JPP1" s="353"/>
      <c r="JPQ1" s="353"/>
      <c r="JPR1" s="353"/>
      <c r="JPS1" s="353"/>
      <c r="JPT1" s="353"/>
      <c r="JPU1" s="353"/>
      <c r="JPV1" s="353"/>
      <c r="JPW1" s="353"/>
      <c r="JPX1" s="353"/>
      <c r="JPY1" s="353"/>
      <c r="JPZ1" s="353"/>
      <c r="JQA1" s="353"/>
      <c r="JQB1" s="353"/>
      <c r="JQC1" s="353"/>
      <c r="JQD1" s="353"/>
      <c r="JQE1" s="353"/>
      <c r="JQF1" s="353"/>
      <c r="JQG1" s="353"/>
      <c r="JQH1" s="353"/>
      <c r="JQI1" s="353"/>
      <c r="JQJ1" s="353"/>
      <c r="JQK1" s="353"/>
      <c r="JQL1" s="353"/>
      <c r="JQM1" s="353"/>
      <c r="JQN1" s="353"/>
      <c r="JQO1" s="353"/>
      <c r="JQP1" s="353"/>
      <c r="JQQ1" s="353"/>
      <c r="JQR1" s="353"/>
      <c r="JQS1" s="353"/>
      <c r="JQT1" s="353"/>
      <c r="JQU1" s="353"/>
      <c r="JQV1" s="353"/>
      <c r="JQW1" s="353"/>
      <c r="JQX1" s="353"/>
      <c r="JQY1" s="353"/>
      <c r="JQZ1" s="353"/>
      <c r="JRA1" s="353"/>
      <c r="JRB1" s="353"/>
      <c r="JRC1" s="353"/>
      <c r="JRD1" s="353"/>
      <c r="JRE1" s="353"/>
      <c r="JRF1" s="353"/>
      <c r="JRG1" s="353"/>
      <c r="JRH1" s="353"/>
      <c r="JRI1" s="353"/>
      <c r="JRJ1" s="353"/>
      <c r="JRK1" s="353"/>
      <c r="JRL1" s="353"/>
      <c r="JRM1" s="353"/>
      <c r="JRN1" s="353"/>
      <c r="JRO1" s="353"/>
      <c r="JRP1" s="353"/>
      <c r="JRQ1" s="353"/>
      <c r="JRR1" s="353"/>
      <c r="JRS1" s="353"/>
      <c r="JRT1" s="353"/>
      <c r="JRU1" s="353"/>
      <c r="JRV1" s="353"/>
      <c r="JRW1" s="353"/>
      <c r="JRX1" s="353"/>
      <c r="JRY1" s="353"/>
      <c r="JRZ1" s="353"/>
      <c r="JSA1" s="353"/>
      <c r="JSB1" s="353"/>
      <c r="JSC1" s="353"/>
      <c r="JSD1" s="353"/>
      <c r="JSE1" s="353"/>
      <c r="JSF1" s="353"/>
      <c r="JSG1" s="353"/>
      <c r="JSH1" s="353"/>
      <c r="JSI1" s="353"/>
      <c r="JSJ1" s="353"/>
      <c r="JSK1" s="353"/>
      <c r="JSL1" s="353"/>
      <c r="JSM1" s="353"/>
      <c r="JSN1" s="353"/>
      <c r="JSO1" s="353"/>
      <c r="JSP1" s="353"/>
      <c r="JSQ1" s="353"/>
      <c r="JSR1" s="353"/>
      <c r="JSS1" s="353"/>
      <c r="JST1" s="353"/>
      <c r="JSU1" s="353"/>
      <c r="JSV1" s="353"/>
      <c r="JSW1" s="353"/>
      <c r="JSX1" s="353"/>
      <c r="JSY1" s="353"/>
      <c r="JSZ1" s="353"/>
      <c r="JTA1" s="353"/>
      <c r="JTB1" s="353"/>
      <c r="JTC1" s="353"/>
      <c r="JTD1" s="353"/>
      <c r="JTE1" s="353"/>
      <c r="JTF1" s="353"/>
      <c r="JTG1" s="353"/>
      <c r="JTH1" s="353"/>
      <c r="JTI1" s="353"/>
      <c r="JTJ1" s="353"/>
      <c r="JTK1" s="353"/>
      <c r="JTL1" s="353"/>
      <c r="JTM1" s="353"/>
      <c r="JTN1" s="353"/>
      <c r="JTO1" s="353"/>
      <c r="JTP1" s="353"/>
      <c r="JTQ1" s="353"/>
      <c r="JTR1" s="353"/>
      <c r="JTS1" s="353"/>
      <c r="JTT1" s="353"/>
      <c r="JTU1" s="353"/>
      <c r="JTV1" s="353"/>
      <c r="JTW1" s="353"/>
      <c r="JTX1" s="353"/>
      <c r="JTY1" s="353"/>
      <c r="JTZ1" s="353"/>
      <c r="JUA1" s="353"/>
      <c r="JUB1" s="353"/>
      <c r="JUC1" s="353"/>
      <c r="JUD1" s="353"/>
      <c r="JUE1" s="353"/>
      <c r="JUF1" s="353"/>
      <c r="JUG1" s="353"/>
      <c r="JUH1" s="353"/>
      <c r="JUI1" s="353"/>
      <c r="JUJ1" s="353"/>
      <c r="JUK1" s="353"/>
      <c r="JUL1" s="353"/>
      <c r="JUM1" s="353"/>
      <c r="JUN1" s="353"/>
      <c r="JUO1" s="353"/>
      <c r="JUP1" s="353"/>
      <c r="JUQ1" s="353"/>
      <c r="JUR1" s="353"/>
      <c r="JUS1" s="353"/>
      <c r="JUT1" s="353"/>
      <c r="JUU1" s="353"/>
      <c r="JUV1" s="353"/>
      <c r="JUW1" s="353"/>
      <c r="JUX1" s="353"/>
      <c r="JUY1" s="353"/>
      <c r="JUZ1" s="353"/>
      <c r="JVA1" s="353"/>
      <c r="JVB1" s="353"/>
      <c r="JVC1" s="353"/>
      <c r="JVD1" s="353"/>
      <c r="JVE1" s="353"/>
      <c r="JVF1" s="353"/>
      <c r="JVG1" s="353"/>
      <c r="JVH1" s="353"/>
      <c r="JVI1" s="353"/>
      <c r="JVJ1" s="353"/>
      <c r="JVK1" s="353"/>
      <c r="JVL1" s="353"/>
      <c r="JVM1" s="353"/>
      <c r="JVN1" s="353"/>
      <c r="JVO1" s="353"/>
      <c r="JVP1" s="353"/>
      <c r="JVQ1" s="353"/>
      <c r="JVR1" s="353"/>
      <c r="JVS1" s="353"/>
      <c r="JVT1" s="353"/>
      <c r="JVU1" s="353"/>
      <c r="JVV1" s="353"/>
      <c r="JVW1" s="353"/>
      <c r="JVX1" s="353"/>
      <c r="JVY1" s="353"/>
      <c r="JVZ1" s="353"/>
      <c r="JWA1" s="353"/>
      <c r="JWB1" s="353"/>
      <c r="JWC1" s="353"/>
      <c r="JWD1" s="353"/>
      <c r="JWE1" s="353"/>
      <c r="JWF1" s="353"/>
      <c r="JWG1" s="353"/>
      <c r="JWH1" s="353"/>
      <c r="JWI1" s="353"/>
      <c r="JWJ1" s="353"/>
      <c r="JWK1" s="353"/>
      <c r="JWL1" s="353"/>
      <c r="JWM1" s="353"/>
      <c r="JWN1" s="353"/>
      <c r="JWO1" s="353"/>
      <c r="JWP1" s="353"/>
      <c r="JWQ1" s="353"/>
      <c r="JWR1" s="353"/>
      <c r="JWS1" s="353"/>
      <c r="JWT1" s="353"/>
      <c r="JWU1" s="353"/>
      <c r="JWV1" s="353"/>
      <c r="JWW1" s="353"/>
      <c r="JWX1" s="353"/>
      <c r="JWY1" s="353"/>
      <c r="JWZ1" s="353"/>
      <c r="JXA1" s="353"/>
      <c r="JXB1" s="353"/>
      <c r="JXC1" s="353"/>
      <c r="JXD1" s="353"/>
      <c r="JXE1" s="353"/>
      <c r="JXF1" s="353"/>
      <c r="JXG1" s="353"/>
      <c r="JXH1" s="353"/>
      <c r="JXI1" s="353"/>
      <c r="JXJ1" s="353"/>
      <c r="JXK1" s="353"/>
      <c r="JXL1" s="353"/>
      <c r="JXM1" s="353"/>
      <c r="JXN1" s="353"/>
      <c r="JXO1" s="353"/>
      <c r="JXP1" s="353"/>
      <c r="JXQ1" s="353"/>
      <c r="JXR1" s="353"/>
      <c r="JXS1" s="353"/>
      <c r="JXT1" s="353"/>
      <c r="JXU1" s="353"/>
      <c r="JXV1" s="353"/>
      <c r="JXW1" s="353"/>
      <c r="JXX1" s="353"/>
      <c r="JXY1" s="353"/>
      <c r="JXZ1" s="353"/>
      <c r="JYA1" s="353"/>
      <c r="JYB1" s="353"/>
      <c r="JYC1" s="353"/>
      <c r="JYD1" s="353"/>
      <c r="JYE1" s="353"/>
      <c r="JYF1" s="353"/>
      <c r="JYG1" s="353"/>
      <c r="JYH1" s="353"/>
      <c r="JYI1" s="353"/>
      <c r="JYJ1" s="353"/>
      <c r="JYK1" s="353"/>
      <c r="JYL1" s="353"/>
      <c r="JYM1" s="353"/>
      <c r="JYN1" s="353"/>
      <c r="JYO1" s="353"/>
      <c r="JYP1" s="353"/>
      <c r="JYQ1" s="353"/>
      <c r="JYR1" s="353"/>
      <c r="JYS1" s="353"/>
      <c r="JYT1" s="353"/>
      <c r="JYU1" s="353"/>
      <c r="JYV1" s="353"/>
      <c r="JYW1" s="353"/>
      <c r="JYX1" s="353"/>
      <c r="JYY1" s="353"/>
      <c r="JYZ1" s="353"/>
      <c r="JZA1" s="353"/>
      <c r="JZB1" s="353"/>
      <c r="JZC1" s="353"/>
      <c r="JZD1" s="353"/>
      <c r="JZE1" s="353"/>
      <c r="JZF1" s="353"/>
      <c r="JZG1" s="353"/>
      <c r="JZH1" s="353"/>
      <c r="JZI1" s="353"/>
      <c r="JZJ1" s="353"/>
      <c r="JZK1" s="353"/>
      <c r="JZL1" s="353"/>
      <c r="JZM1" s="353"/>
      <c r="JZN1" s="353"/>
      <c r="JZO1" s="353"/>
      <c r="JZP1" s="353"/>
      <c r="JZQ1" s="353"/>
      <c r="JZR1" s="353"/>
      <c r="JZS1" s="353"/>
      <c r="JZT1" s="353"/>
      <c r="JZU1" s="353"/>
      <c r="JZV1" s="353"/>
      <c r="JZW1" s="353"/>
      <c r="JZX1" s="353"/>
      <c r="JZY1" s="353"/>
      <c r="JZZ1" s="353"/>
      <c r="KAA1" s="353"/>
      <c r="KAB1" s="353"/>
      <c r="KAC1" s="353"/>
      <c r="KAD1" s="353"/>
      <c r="KAE1" s="353"/>
      <c r="KAF1" s="353"/>
      <c r="KAG1" s="353"/>
      <c r="KAH1" s="353"/>
      <c r="KAI1" s="353"/>
      <c r="KAJ1" s="353"/>
      <c r="KAK1" s="353"/>
      <c r="KAL1" s="353"/>
      <c r="KAM1" s="353"/>
      <c r="KAN1" s="353"/>
      <c r="KAO1" s="353"/>
      <c r="KAP1" s="353"/>
      <c r="KAQ1" s="353"/>
      <c r="KAR1" s="353"/>
      <c r="KAS1" s="353"/>
      <c r="KAT1" s="353"/>
      <c r="KAU1" s="353"/>
      <c r="KAV1" s="353"/>
      <c r="KAW1" s="353"/>
      <c r="KAX1" s="353"/>
      <c r="KAY1" s="353"/>
      <c r="KAZ1" s="353"/>
      <c r="KBA1" s="353"/>
      <c r="KBB1" s="353"/>
      <c r="KBC1" s="353"/>
      <c r="KBD1" s="353"/>
      <c r="KBE1" s="353"/>
      <c r="KBF1" s="353"/>
      <c r="KBG1" s="353"/>
      <c r="KBH1" s="353"/>
      <c r="KBI1" s="353"/>
      <c r="KBJ1" s="353"/>
      <c r="KBK1" s="353"/>
      <c r="KBL1" s="353"/>
      <c r="KBM1" s="353"/>
      <c r="KBN1" s="353"/>
      <c r="KBO1" s="353"/>
      <c r="KBP1" s="353"/>
      <c r="KBQ1" s="353"/>
      <c r="KBR1" s="353"/>
      <c r="KBS1" s="353"/>
      <c r="KBT1" s="353"/>
      <c r="KBU1" s="353"/>
      <c r="KBV1" s="353"/>
      <c r="KBW1" s="353"/>
      <c r="KBX1" s="353"/>
      <c r="KBY1" s="353"/>
      <c r="KBZ1" s="353"/>
      <c r="KCA1" s="353"/>
      <c r="KCB1" s="353"/>
      <c r="KCC1" s="353"/>
      <c r="KCD1" s="353"/>
      <c r="KCE1" s="353"/>
      <c r="KCF1" s="353"/>
      <c r="KCG1" s="353"/>
      <c r="KCH1" s="353"/>
      <c r="KCI1" s="353"/>
      <c r="KCJ1" s="353"/>
      <c r="KCK1" s="353"/>
      <c r="KCL1" s="353"/>
      <c r="KCM1" s="353"/>
      <c r="KCN1" s="353"/>
      <c r="KCO1" s="353"/>
      <c r="KCP1" s="353"/>
      <c r="KCQ1" s="353"/>
      <c r="KCR1" s="353"/>
      <c r="KCS1" s="353"/>
      <c r="KCT1" s="353"/>
      <c r="KCU1" s="353"/>
      <c r="KCV1" s="353"/>
      <c r="KCW1" s="353"/>
      <c r="KCX1" s="353"/>
      <c r="KCY1" s="353"/>
      <c r="KCZ1" s="353"/>
      <c r="KDA1" s="353"/>
      <c r="KDB1" s="353"/>
      <c r="KDC1" s="353"/>
      <c r="KDD1" s="353"/>
      <c r="KDE1" s="353"/>
      <c r="KDF1" s="353"/>
      <c r="KDG1" s="353"/>
      <c r="KDH1" s="353"/>
      <c r="KDI1" s="353"/>
      <c r="KDJ1" s="353"/>
      <c r="KDK1" s="353"/>
      <c r="KDL1" s="353"/>
      <c r="KDM1" s="353"/>
      <c r="KDN1" s="353"/>
      <c r="KDO1" s="353"/>
      <c r="KDP1" s="353"/>
      <c r="KDQ1" s="353"/>
      <c r="KDR1" s="353"/>
      <c r="KDS1" s="353"/>
      <c r="KDT1" s="353"/>
      <c r="KDU1" s="353"/>
      <c r="KDV1" s="353"/>
      <c r="KDW1" s="353"/>
      <c r="KDX1" s="353"/>
      <c r="KDY1" s="353"/>
      <c r="KDZ1" s="353"/>
      <c r="KEA1" s="353"/>
      <c r="KEB1" s="353"/>
      <c r="KEC1" s="353"/>
      <c r="KED1" s="353"/>
      <c r="KEE1" s="353"/>
      <c r="KEF1" s="353"/>
      <c r="KEG1" s="353"/>
      <c r="KEH1" s="353"/>
      <c r="KEI1" s="353"/>
      <c r="KEJ1" s="353"/>
      <c r="KEK1" s="353"/>
      <c r="KEL1" s="353"/>
      <c r="KEM1" s="353"/>
      <c r="KEN1" s="353"/>
      <c r="KEO1" s="353"/>
      <c r="KEP1" s="353"/>
      <c r="KEQ1" s="353"/>
      <c r="KER1" s="353"/>
      <c r="KES1" s="353"/>
      <c r="KET1" s="353"/>
      <c r="KEU1" s="353"/>
      <c r="KEV1" s="353"/>
      <c r="KEW1" s="353"/>
      <c r="KEX1" s="353"/>
      <c r="KEY1" s="353"/>
      <c r="KEZ1" s="353"/>
      <c r="KFA1" s="353"/>
      <c r="KFB1" s="353"/>
      <c r="KFC1" s="353"/>
      <c r="KFD1" s="353"/>
      <c r="KFE1" s="353"/>
      <c r="KFF1" s="353"/>
      <c r="KFG1" s="353"/>
      <c r="KFH1" s="353"/>
      <c r="KFI1" s="353"/>
      <c r="KFJ1" s="353"/>
      <c r="KFK1" s="353"/>
      <c r="KFL1" s="353"/>
      <c r="KFM1" s="353"/>
      <c r="KFN1" s="353"/>
      <c r="KFO1" s="353"/>
      <c r="KFP1" s="353"/>
      <c r="KFQ1" s="353"/>
      <c r="KFR1" s="353"/>
      <c r="KFS1" s="353"/>
      <c r="KFT1" s="353"/>
      <c r="KFU1" s="353"/>
      <c r="KFV1" s="353"/>
      <c r="KFW1" s="353"/>
      <c r="KFX1" s="353"/>
      <c r="KFY1" s="353"/>
      <c r="KFZ1" s="353"/>
      <c r="KGA1" s="353"/>
      <c r="KGB1" s="353"/>
      <c r="KGC1" s="353"/>
      <c r="KGD1" s="353"/>
      <c r="KGE1" s="353"/>
      <c r="KGF1" s="353"/>
      <c r="KGG1" s="353"/>
      <c r="KGH1" s="353"/>
      <c r="KGI1" s="353"/>
      <c r="KGJ1" s="353"/>
      <c r="KGK1" s="353"/>
      <c r="KGL1" s="353"/>
      <c r="KGM1" s="353"/>
      <c r="KGN1" s="353"/>
      <c r="KGO1" s="353"/>
      <c r="KGP1" s="353"/>
      <c r="KGQ1" s="353"/>
      <c r="KGR1" s="353"/>
      <c r="KGS1" s="353"/>
      <c r="KGT1" s="353"/>
      <c r="KGU1" s="353"/>
      <c r="KGV1" s="353"/>
      <c r="KGW1" s="353"/>
      <c r="KGX1" s="353"/>
      <c r="KGY1" s="353"/>
      <c r="KGZ1" s="353"/>
      <c r="KHA1" s="353"/>
      <c r="KHB1" s="353"/>
      <c r="KHC1" s="353"/>
      <c r="KHD1" s="353"/>
      <c r="KHE1" s="353"/>
      <c r="KHF1" s="353"/>
      <c r="KHG1" s="353"/>
      <c r="KHH1" s="353"/>
      <c r="KHI1" s="353"/>
      <c r="KHJ1" s="353"/>
      <c r="KHK1" s="353"/>
      <c r="KHL1" s="353"/>
      <c r="KHM1" s="353"/>
      <c r="KHN1" s="353"/>
      <c r="KHO1" s="353"/>
      <c r="KHP1" s="353"/>
      <c r="KHQ1" s="353"/>
      <c r="KHR1" s="353"/>
      <c r="KHS1" s="353"/>
      <c r="KHT1" s="353"/>
      <c r="KHU1" s="353"/>
      <c r="KHV1" s="353"/>
      <c r="KHW1" s="353"/>
      <c r="KHX1" s="353"/>
      <c r="KHY1" s="353"/>
      <c r="KHZ1" s="353"/>
      <c r="KIA1" s="353"/>
      <c r="KIB1" s="353"/>
      <c r="KIC1" s="353"/>
      <c r="KID1" s="353"/>
      <c r="KIE1" s="353"/>
      <c r="KIF1" s="353"/>
      <c r="KIG1" s="353"/>
      <c r="KIH1" s="353"/>
      <c r="KII1" s="353"/>
      <c r="KIJ1" s="353"/>
      <c r="KIK1" s="353"/>
      <c r="KIL1" s="353"/>
      <c r="KIM1" s="353"/>
      <c r="KIN1" s="353"/>
      <c r="KIO1" s="353"/>
      <c r="KIP1" s="353"/>
      <c r="KIQ1" s="353"/>
      <c r="KIR1" s="353"/>
      <c r="KIS1" s="353"/>
      <c r="KIT1" s="353"/>
      <c r="KIU1" s="353"/>
      <c r="KIV1" s="353"/>
      <c r="KIW1" s="353"/>
      <c r="KIX1" s="353"/>
      <c r="KIY1" s="353"/>
      <c r="KIZ1" s="353"/>
      <c r="KJA1" s="353"/>
      <c r="KJB1" s="353"/>
      <c r="KJC1" s="353"/>
      <c r="KJD1" s="353"/>
      <c r="KJE1" s="353"/>
      <c r="KJF1" s="353"/>
      <c r="KJG1" s="353"/>
      <c r="KJH1" s="353"/>
      <c r="KJI1" s="353"/>
      <c r="KJJ1" s="353"/>
      <c r="KJK1" s="353"/>
      <c r="KJL1" s="353"/>
      <c r="KJM1" s="353"/>
      <c r="KJN1" s="353"/>
      <c r="KJO1" s="353"/>
      <c r="KJP1" s="353"/>
      <c r="KJQ1" s="353"/>
      <c r="KJR1" s="353"/>
      <c r="KJS1" s="353"/>
      <c r="KJT1" s="353"/>
      <c r="KJU1" s="353"/>
      <c r="KJV1" s="353"/>
      <c r="KJW1" s="353"/>
      <c r="KJX1" s="353"/>
      <c r="KJY1" s="353"/>
      <c r="KJZ1" s="353"/>
      <c r="KKA1" s="353"/>
      <c r="KKB1" s="353"/>
      <c r="KKC1" s="353"/>
      <c r="KKD1" s="353"/>
      <c r="KKE1" s="353"/>
      <c r="KKF1" s="353"/>
      <c r="KKG1" s="353"/>
      <c r="KKH1" s="353"/>
      <c r="KKI1" s="353"/>
      <c r="KKJ1" s="353"/>
      <c r="KKK1" s="353"/>
      <c r="KKL1" s="353"/>
      <c r="KKM1" s="353"/>
      <c r="KKN1" s="353"/>
      <c r="KKO1" s="353"/>
      <c r="KKP1" s="353"/>
      <c r="KKQ1" s="353"/>
      <c r="KKR1" s="353"/>
      <c r="KKS1" s="353"/>
      <c r="KKT1" s="353"/>
      <c r="KKU1" s="353"/>
      <c r="KKV1" s="353"/>
      <c r="KKW1" s="353"/>
      <c r="KKX1" s="353"/>
      <c r="KKY1" s="353"/>
      <c r="KKZ1" s="353"/>
      <c r="KLA1" s="353"/>
      <c r="KLB1" s="353"/>
      <c r="KLC1" s="353"/>
      <c r="KLD1" s="353"/>
      <c r="KLE1" s="353"/>
      <c r="KLF1" s="353"/>
      <c r="KLG1" s="353"/>
      <c r="KLH1" s="353"/>
      <c r="KLI1" s="353"/>
      <c r="KLJ1" s="353"/>
      <c r="KLK1" s="353"/>
      <c r="KLL1" s="353"/>
      <c r="KLM1" s="353"/>
      <c r="KLN1" s="353"/>
      <c r="KLO1" s="353"/>
      <c r="KLP1" s="353"/>
      <c r="KLQ1" s="353"/>
      <c r="KLR1" s="353"/>
      <c r="KLS1" s="353"/>
      <c r="KLT1" s="353"/>
      <c r="KLU1" s="353"/>
      <c r="KLV1" s="353"/>
      <c r="KLW1" s="353"/>
      <c r="KLX1" s="353"/>
      <c r="KLY1" s="353"/>
      <c r="KLZ1" s="353"/>
      <c r="KMA1" s="353"/>
      <c r="KMB1" s="353"/>
      <c r="KMC1" s="353"/>
      <c r="KMD1" s="353"/>
      <c r="KME1" s="353"/>
      <c r="KMF1" s="353"/>
      <c r="KMG1" s="353"/>
      <c r="KMH1" s="353"/>
      <c r="KMI1" s="353"/>
      <c r="KMJ1" s="353"/>
      <c r="KMK1" s="353"/>
      <c r="KML1" s="353"/>
      <c r="KMM1" s="353"/>
      <c r="KMN1" s="353"/>
      <c r="KMO1" s="353"/>
      <c r="KMP1" s="353"/>
      <c r="KMQ1" s="353"/>
      <c r="KMR1" s="353"/>
      <c r="KMS1" s="353"/>
      <c r="KMT1" s="353"/>
      <c r="KMU1" s="353"/>
      <c r="KMV1" s="353"/>
      <c r="KMW1" s="353"/>
      <c r="KMX1" s="353"/>
      <c r="KMY1" s="353"/>
      <c r="KMZ1" s="353"/>
      <c r="KNA1" s="353"/>
      <c r="KNB1" s="353"/>
      <c r="KNC1" s="353"/>
      <c r="KND1" s="353"/>
      <c r="KNE1" s="353"/>
      <c r="KNF1" s="353"/>
      <c r="KNG1" s="353"/>
      <c r="KNH1" s="353"/>
      <c r="KNI1" s="353"/>
      <c r="KNJ1" s="353"/>
      <c r="KNK1" s="353"/>
      <c r="KNL1" s="353"/>
      <c r="KNM1" s="353"/>
      <c r="KNN1" s="353"/>
      <c r="KNO1" s="353"/>
      <c r="KNP1" s="353"/>
      <c r="KNQ1" s="353"/>
      <c r="KNR1" s="353"/>
      <c r="KNS1" s="353"/>
      <c r="KNT1" s="353"/>
      <c r="KNU1" s="353"/>
      <c r="KNV1" s="353"/>
      <c r="KNW1" s="353"/>
      <c r="KNX1" s="353"/>
      <c r="KNY1" s="353"/>
      <c r="KNZ1" s="353"/>
      <c r="KOA1" s="353"/>
      <c r="KOB1" s="353"/>
      <c r="KOC1" s="353"/>
      <c r="KOD1" s="353"/>
      <c r="KOE1" s="353"/>
      <c r="KOF1" s="353"/>
      <c r="KOG1" s="353"/>
      <c r="KOH1" s="353"/>
      <c r="KOI1" s="353"/>
      <c r="KOJ1" s="353"/>
      <c r="KOK1" s="353"/>
      <c r="KOL1" s="353"/>
      <c r="KOM1" s="353"/>
      <c r="KON1" s="353"/>
      <c r="KOO1" s="353"/>
      <c r="KOP1" s="353"/>
      <c r="KOQ1" s="353"/>
      <c r="KOR1" s="353"/>
      <c r="KOS1" s="353"/>
      <c r="KOT1" s="353"/>
      <c r="KOU1" s="353"/>
      <c r="KOV1" s="353"/>
      <c r="KOW1" s="353"/>
      <c r="KOX1" s="353"/>
      <c r="KOY1" s="353"/>
      <c r="KOZ1" s="353"/>
      <c r="KPA1" s="353"/>
      <c r="KPB1" s="353"/>
      <c r="KPC1" s="353"/>
      <c r="KPD1" s="353"/>
      <c r="KPE1" s="353"/>
      <c r="KPF1" s="353"/>
      <c r="KPG1" s="353"/>
      <c r="KPH1" s="353"/>
      <c r="KPI1" s="353"/>
      <c r="KPJ1" s="353"/>
      <c r="KPK1" s="353"/>
      <c r="KPL1" s="353"/>
      <c r="KPM1" s="353"/>
      <c r="KPN1" s="353"/>
      <c r="KPO1" s="353"/>
      <c r="KPP1" s="353"/>
      <c r="KPQ1" s="353"/>
      <c r="KPR1" s="353"/>
      <c r="KPS1" s="353"/>
      <c r="KPT1" s="353"/>
      <c r="KPU1" s="353"/>
      <c r="KPV1" s="353"/>
      <c r="KPW1" s="353"/>
      <c r="KPX1" s="353"/>
      <c r="KPY1" s="353"/>
      <c r="KPZ1" s="353"/>
      <c r="KQA1" s="353"/>
      <c r="KQB1" s="353"/>
      <c r="KQC1" s="353"/>
      <c r="KQD1" s="353"/>
      <c r="KQE1" s="353"/>
      <c r="KQF1" s="353"/>
      <c r="KQG1" s="353"/>
      <c r="KQH1" s="353"/>
      <c r="KQI1" s="353"/>
      <c r="KQJ1" s="353"/>
      <c r="KQK1" s="353"/>
      <c r="KQL1" s="353"/>
      <c r="KQM1" s="353"/>
      <c r="KQN1" s="353"/>
      <c r="KQO1" s="353"/>
      <c r="KQP1" s="353"/>
      <c r="KQQ1" s="353"/>
      <c r="KQR1" s="353"/>
      <c r="KQS1" s="353"/>
      <c r="KQT1" s="353"/>
      <c r="KQU1" s="353"/>
      <c r="KQV1" s="353"/>
      <c r="KQW1" s="353"/>
      <c r="KQX1" s="353"/>
      <c r="KQY1" s="353"/>
      <c r="KQZ1" s="353"/>
      <c r="KRA1" s="353"/>
      <c r="KRB1" s="353"/>
      <c r="KRC1" s="353"/>
      <c r="KRD1" s="353"/>
      <c r="KRE1" s="353"/>
      <c r="KRF1" s="353"/>
      <c r="KRG1" s="353"/>
      <c r="KRH1" s="353"/>
      <c r="KRI1" s="353"/>
      <c r="KRJ1" s="353"/>
      <c r="KRK1" s="353"/>
      <c r="KRL1" s="353"/>
      <c r="KRM1" s="353"/>
      <c r="KRN1" s="353"/>
      <c r="KRO1" s="353"/>
      <c r="KRP1" s="353"/>
      <c r="KRQ1" s="353"/>
      <c r="KRR1" s="353"/>
      <c r="KRS1" s="353"/>
      <c r="KRT1" s="353"/>
      <c r="KRU1" s="353"/>
      <c r="KRV1" s="353"/>
      <c r="KRW1" s="353"/>
      <c r="KRX1" s="353"/>
      <c r="KRY1" s="353"/>
      <c r="KRZ1" s="353"/>
      <c r="KSA1" s="353"/>
      <c r="KSB1" s="353"/>
      <c r="KSC1" s="353"/>
      <c r="KSD1" s="353"/>
      <c r="KSE1" s="353"/>
      <c r="KSF1" s="353"/>
      <c r="KSG1" s="353"/>
      <c r="KSH1" s="353"/>
      <c r="KSI1" s="353"/>
      <c r="KSJ1" s="353"/>
      <c r="KSK1" s="353"/>
      <c r="KSL1" s="353"/>
      <c r="KSM1" s="353"/>
      <c r="KSN1" s="353"/>
      <c r="KSO1" s="353"/>
      <c r="KSP1" s="353"/>
      <c r="KSQ1" s="353"/>
      <c r="KSR1" s="353"/>
      <c r="KSS1" s="353"/>
      <c r="KST1" s="353"/>
      <c r="KSU1" s="353"/>
      <c r="KSV1" s="353"/>
      <c r="KSW1" s="353"/>
      <c r="KSX1" s="353"/>
      <c r="KSY1" s="353"/>
      <c r="KSZ1" s="353"/>
      <c r="KTA1" s="353"/>
      <c r="KTB1" s="353"/>
      <c r="KTC1" s="353"/>
      <c r="KTD1" s="353"/>
      <c r="KTE1" s="353"/>
      <c r="KTF1" s="353"/>
      <c r="KTG1" s="353"/>
      <c r="KTH1" s="353"/>
      <c r="KTI1" s="353"/>
      <c r="KTJ1" s="353"/>
      <c r="KTK1" s="353"/>
      <c r="KTL1" s="353"/>
      <c r="KTM1" s="353"/>
      <c r="KTN1" s="353"/>
      <c r="KTO1" s="353"/>
      <c r="KTP1" s="353"/>
      <c r="KTQ1" s="353"/>
      <c r="KTR1" s="353"/>
      <c r="KTS1" s="353"/>
      <c r="KTT1" s="353"/>
      <c r="KTU1" s="353"/>
      <c r="KTV1" s="353"/>
      <c r="KTW1" s="353"/>
      <c r="KTX1" s="353"/>
      <c r="KTY1" s="353"/>
      <c r="KTZ1" s="353"/>
      <c r="KUA1" s="353"/>
      <c r="KUB1" s="353"/>
      <c r="KUC1" s="353"/>
      <c r="KUD1" s="353"/>
      <c r="KUE1" s="353"/>
      <c r="KUF1" s="353"/>
      <c r="KUG1" s="353"/>
      <c r="KUH1" s="353"/>
      <c r="KUI1" s="353"/>
      <c r="KUJ1" s="353"/>
      <c r="KUK1" s="353"/>
      <c r="KUL1" s="353"/>
      <c r="KUM1" s="353"/>
      <c r="KUN1" s="353"/>
      <c r="KUO1" s="353"/>
      <c r="KUP1" s="353"/>
      <c r="KUQ1" s="353"/>
      <c r="KUR1" s="353"/>
      <c r="KUS1" s="353"/>
      <c r="KUT1" s="353"/>
      <c r="KUU1" s="353"/>
      <c r="KUV1" s="353"/>
      <c r="KUW1" s="353"/>
      <c r="KUX1" s="353"/>
      <c r="KUY1" s="353"/>
      <c r="KUZ1" s="353"/>
      <c r="KVA1" s="353"/>
      <c r="KVB1" s="353"/>
      <c r="KVC1" s="353"/>
      <c r="KVD1" s="353"/>
      <c r="KVE1" s="353"/>
      <c r="KVF1" s="353"/>
      <c r="KVG1" s="353"/>
      <c r="KVH1" s="353"/>
      <c r="KVI1" s="353"/>
      <c r="KVJ1" s="353"/>
      <c r="KVK1" s="353"/>
      <c r="KVL1" s="353"/>
      <c r="KVM1" s="353"/>
      <c r="KVN1" s="353"/>
      <c r="KVO1" s="353"/>
      <c r="KVP1" s="353"/>
      <c r="KVQ1" s="353"/>
      <c r="KVR1" s="353"/>
      <c r="KVS1" s="353"/>
      <c r="KVT1" s="353"/>
      <c r="KVU1" s="353"/>
      <c r="KVV1" s="353"/>
      <c r="KVW1" s="353"/>
      <c r="KVX1" s="353"/>
      <c r="KVY1" s="353"/>
      <c r="KVZ1" s="353"/>
      <c r="KWA1" s="353"/>
      <c r="KWB1" s="353"/>
      <c r="KWC1" s="353"/>
      <c r="KWD1" s="353"/>
      <c r="KWE1" s="353"/>
      <c r="KWF1" s="353"/>
      <c r="KWG1" s="353"/>
      <c r="KWH1" s="353"/>
      <c r="KWI1" s="353"/>
      <c r="KWJ1" s="353"/>
      <c r="KWK1" s="353"/>
      <c r="KWL1" s="353"/>
      <c r="KWM1" s="353"/>
      <c r="KWN1" s="353"/>
      <c r="KWO1" s="353"/>
      <c r="KWP1" s="353"/>
      <c r="KWQ1" s="353"/>
      <c r="KWR1" s="353"/>
      <c r="KWS1" s="353"/>
      <c r="KWT1" s="353"/>
      <c r="KWU1" s="353"/>
      <c r="KWV1" s="353"/>
      <c r="KWW1" s="353"/>
      <c r="KWX1" s="353"/>
      <c r="KWY1" s="353"/>
      <c r="KWZ1" s="353"/>
      <c r="KXA1" s="353"/>
      <c r="KXB1" s="353"/>
      <c r="KXC1" s="353"/>
      <c r="KXD1" s="353"/>
      <c r="KXE1" s="353"/>
      <c r="KXF1" s="353"/>
      <c r="KXG1" s="353"/>
      <c r="KXH1" s="353"/>
      <c r="KXI1" s="353"/>
      <c r="KXJ1" s="353"/>
      <c r="KXK1" s="353"/>
      <c r="KXL1" s="353"/>
      <c r="KXM1" s="353"/>
      <c r="KXN1" s="353"/>
      <c r="KXO1" s="353"/>
      <c r="KXP1" s="353"/>
      <c r="KXQ1" s="353"/>
      <c r="KXR1" s="353"/>
      <c r="KXS1" s="353"/>
      <c r="KXT1" s="353"/>
      <c r="KXU1" s="353"/>
      <c r="KXV1" s="353"/>
      <c r="KXW1" s="353"/>
      <c r="KXX1" s="353"/>
      <c r="KXY1" s="353"/>
      <c r="KXZ1" s="353"/>
      <c r="KYA1" s="353"/>
      <c r="KYB1" s="353"/>
      <c r="KYC1" s="353"/>
      <c r="KYD1" s="353"/>
      <c r="KYE1" s="353"/>
      <c r="KYF1" s="353"/>
      <c r="KYG1" s="353"/>
      <c r="KYH1" s="353"/>
      <c r="KYI1" s="353"/>
      <c r="KYJ1" s="353"/>
      <c r="KYK1" s="353"/>
      <c r="KYL1" s="353"/>
      <c r="KYM1" s="353"/>
      <c r="KYN1" s="353"/>
      <c r="KYO1" s="353"/>
      <c r="KYP1" s="353"/>
      <c r="KYQ1" s="353"/>
      <c r="KYR1" s="353"/>
      <c r="KYS1" s="353"/>
      <c r="KYT1" s="353"/>
      <c r="KYU1" s="353"/>
      <c r="KYV1" s="353"/>
      <c r="KYW1" s="353"/>
      <c r="KYX1" s="353"/>
      <c r="KYY1" s="353"/>
      <c r="KYZ1" s="353"/>
      <c r="KZA1" s="353"/>
      <c r="KZB1" s="353"/>
      <c r="KZC1" s="353"/>
      <c r="KZD1" s="353"/>
      <c r="KZE1" s="353"/>
      <c r="KZF1" s="353"/>
      <c r="KZG1" s="353"/>
      <c r="KZH1" s="353"/>
      <c r="KZI1" s="353"/>
      <c r="KZJ1" s="353"/>
      <c r="KZK1" s="353"/>
      <c r="KZL1" s="353"/>
      <c r="KZM1" s="353"/>
      <c r="KZN1" s="353"/>
      <c r="KZO1" s="353"/>
      <c r="KZP1" s="353"/>
      <c r="KZQ1" s="353"/>
      <c r="KZR1" s="353"/>
      <c r="KZS1" s="353"/>
      <c r="KZT1" s="353"/>
      <c r="KZU1" s="353"/>
      <c r="KZV1" s="353"/>
      <c r="KZW1" s="353"/>
      <c r="KZX1" s="353"/>
      <c r="KZY1" s="353"/>
      <c r="KZZ1" s="353"/>
      <c r="LAA1" s="353"/>
      <c r="LAB1" s="353"/>
      <c r="LAC1" s="353"/>
      <c r="LAD1" s="353"/>
      <c r="LAE1" s="353"/>
      <c r="LAF1" s="353"/>
      <c r="LAG1" s="353"/>
      <c r="LAH1" s="353"/>
      <c r="LAI1" s="353"/>
      <c r="LAJ1" s="353"/>
      <c r="LAK1" s="353"/>
      <c r="LAL1" s="353"/>
      <c r="LAM1" s="353"/>
      <c r="LAN1" s="353"/>
      <c r="LAO1" s="353"/>
      <c r="LAP1" s="353"/>
      <c r="LAQ1" s="353"/>
      <c r="LAR1" s="353"/>
      <c r="LAS1" s="353"/>
      <c r="LAT1" s="353"/>
      <c r="LAU1" s="353"/>
      <c r="LAV1" s="353"/>
      <c r="LAW1" s="353"/>
      <c r="LAX1" s="353"/>
      <c r="LAY1" s="353"/>
      <c r="LAZ1" s="353"/>
      <c r="LBA1" s="353"/>
      <c r="LBB1" s="353"/>
      <c r="LBC1" s="353"/>
      <c r="LBD1" s="353"/>
      <c r="LBE1" s="353"/>
      <c r="LBF1" s="353"/>
      <c r="LBG1" s="353"/>
      <c r="LBH1" s="353"/>
      <c r="LBI1" s="353"/>
      <c r="LBJ1" s="353"/>
      <c r="LBK1" s="353"/>
      <c r="LBL1" s="353"/>
      <c r="LBM1" s="353"/>
      <c r="LBN1" s="353"/>
      <c r="LBO1" s="353"/>
      <c r="LBP1" s="353"/>
      <c r="LBQ1" s="353"/>
      <c r="LBR1" s="353"/>
      <c r="LBS1" s="353"/>
      <c r="LBT1" s="353"/>
      <c r="LBU1" s="353"/>
      <c r="LBV1" s="353"/>
      <c r="LBW1" s="353"/>
      <c r="LBX1" s="353"/>
      <c r="LBY1" s="353"/>
      <c r="LBZ1" s="353"/>
      <c r="LCA1" s="353"/>
      <c r="LCB1" s="353"/>
      <c r="LCC1" s="353"/>
      <c r="LCD1" s="353"/>
      <c r="LCE1" s="353"/>
      <c r="LCF1" s="353"/>
      <c r="LCG1" s="353"/>
      <c r="LCH1" s="353"/>
      <c r="LCI1" s="353"/>
      <c r="LCJ1" s="353"/>
      <c r="LCK1" s="353"/>
      <c r="LCL1" s="353"/>
      <c r="LCM1" s="353"/>
      <c r="LCN1" s="353"/>
      <c r="LCO1" s="353"/>
      <c r="LCP1" s="353"/>
      <c r="LCQ1" s="353"/>
      <c r="LCR1" s="353"/>
      <c r="LCS1" s="353"/>
      <c r="LCT1" s="353"/>
      <c r="LCU1" s="353"/>
      <c r="LCV1" s="353"/>
      <c r="LCW1" s="353"/>
      <c r="LCX1" s="353"/>
      <c r="LCY1" s="353"/>
      <c r="LCZ1" s="353"/>
      <c r="LDA1" s="353"/>
      <c r="LDB1" s="353"/>
      <c r="LDC1" s="353"/>
      <c r="LDD1" s="353"/>
      <c r="LDE1" s="353"/>
      <c r="LDF1" s="353"/>
      <c r="LDG1" s="353"/>
      <c r="LDH1" s="353"/>
      <c r="LDI1" s="353"/>
      <c r="LDJ1" s="353"/>
      <c r="LDK1" s="353"/>
      <c r="LDL1" s="353"/>
      <c r="LDM1" s="353"/>
      <c r="LDN1" s="353"/>
      <c r="LDO1" s="353"/>
      <c r="LDP1" s="353"/>
      <c r="LDQ1" s="353"/>
      <c r="LDR1" s="353"/>
      <c r="LDS1" s="353"/>
      <c r="LDT1" s="353"/>
      <c r="LDU1" s="353"/>
      <c r="LDV1" s="353"/>
      <c r="LDW1" s="353"/>
      <c r="LDX1" s="353"/>
      <c r="LDY1" s="353"/>
      <c r="LDZ1" s="353"/>
      <c r="LEA1" s="353"/>
      <c r="LEB1" s="353"/>
      <c r="LEC1" s="353"/>
      <c r="LED1" s="353"/>
      <c r="LEE1" s="353"/>
      <c r="LEF1" s="353"/>
      <c r="LEG1" s="353"/>
      <c r="LEH1" s="353"/>
      <c r="LEI1" s="353"/>
      <c r="LEJ1" s="353"/>
      <c r="LEK1" s="353"/>
      <c r="LEL1" s="353"/>
      <c r="LEM1" s="353"/>
      <c r="LEN1" s="353"/>
      <c r="LEO1" s="353"/>
      <c r="LEP1" s="353"/>
      <c r="LEQ1" s="353"/>
      <c r="LER1" s="353"/>
      <c r="LES1" s="353"/>
      <c r="LET1" s="353"/>
      <c r="LEU1" s="353"/>
      <c r="LEV1" s="353"/>
      <c r="LEW1" s="353"/>
      <c r="LEX1" s="353"/>
      <c r="LEY1" s="353"/>
      <c r="LEZ1" s="353"/>
      <c r="LFA1" s="353"/>
      <c r="LFB1" s="353"/>
      <c r="LFC1" s="353"/>
      <c r="LFD1" s="353"/>
      <c r="LFE1" s="353"/>
      <c r="LFF1" s="353"/>
      <c r="LFG1" s="353"/>
      <c r="LFH1" s="353"/>
      <c r="LFI1" s="353"/>
      <c r="LFJ1" s="353"/>
      <c r="LFK1" s="353"/>
      <c r="LFL1" s="353"/>
      <c r="LFM1" s="353"/>
      <c r="LFN1" s="353"/>
      <c r="LFO1" s="353"/>
      <c r="LFP1" s="353"/>
      <c r="LFQ1" s="353"/>
      <c r="LFR1" s="353"/>
      <c r="LFS1" s="353"/>
      <c r="LFT1" s="353"/>
      <c r="LFU1" s="353"/>
      <c r="LFV1" s="353"/>
      <c r="LFW1" s="353"/>
      <c r="LFX1" s="353"/>
      <c r="LFY1" s="353"/>
      <c r="LFZ1" s="353"/>
      <c r="LGA1" s="353"/>
      <c r="LGB1" s="353"/>
      <c r="LGC1" s="353"/>
      <c r="LGD1" s="353"/>
      <c r="LGE1" s="353"/>
      <c r="LGF1" s="353"/>
      <c r="LGG1" s="353"/>
      <c r="LGH1" s="353"/>
      <c r="LGI1" s="353"/>
      <c r="LGJ1" s="353"/>
      <c r="LGK1" s="353"/>
      <c r="LGL1" s="353"/>
      <c r="LGM1" s="353"/>
      <c r="LGN1" s="353"/>
      <c r="LGO1" s="353"/>
      <c r="LGP1" s="353"/>
      <c r="LGQ1" s="353"/>
      <c r="LGR1" s="353"/>
      <c r="LGS1" s="353"/>
      <c r="LGT1" s="353"/>
      <c r="LGU1" s="353"/>
      <c r="LGV1" s="353"/>
      <c r="LGW1" s="353"/>
      <c r="LGX1" s="353"/>
      <c r="LGY1" s="353"/>
      <c r="LGZ1" s="353"/>
      <c r="LHA1" s="353"/>
      <c r="LHB1" s="353"/>
      <c r="LHC1" s="353"/>
      <c r="LHD1" s="353"/>
      <c r="LHE1" s="353"/>
      <c r="LHF1" s="353"/>
      <c r="LHG1" s="353"/>
      <c r="LHH1" s="353"/>
      <c r="LHI1" s="353"/>
      <c r="LHJ1" s="353"/>
      <c r="LHK1" s="353"/>
      <c r="LHL1" s="353"/>
      <c r="LHM1" s="353"/>
      <c r="LHN1" s="353"/>
      <c r="LHO1" s="353"/>
      <c r="LHP1" s="353"/>
      <c r="LHQ1" s="353"/>
      <c r="LHR1" s="353"/>
      <c r="LHS1" s="353"/>
      <c r="LHT1" s="353"/>
      <c r="LHU1" s="353"/>
      <c r="LHV1" s="353"/>
      <c r="LHW1" s="353"/>
      <c r="LHX1" s="353"/>
      <c r="LHY1" s="353"/>
      <c r="LHZ1" s="353"/>
      <c r="LIA1" s="353"/>
      <c r="LIB1" s="353"/>
      <c r="LIC1" s="353"/>
      <c r="LID1" s="353"/>
      <c r="LIE1" s="353"/>
      <c r="LIF1" s="353"/>
      <c r="LIG1" s="353"/>
      <c r="LIH1" s="353"/>
      <c r="LII1" s="353"/>
      <c r="LIJ1" s="353"/>
      <c r="LIK1" s="353"/>
      <c r="LIL1" s="353"/>
      <c r="LIM1" s="353"/>
      <c r="LIN1" s="353"/>
      <c r="LIO1" s="353"/>
      <c r="LIP1" s="353"/>
      <c r="LIQ1" s="353"/>
      <c r="LIR1" s="353"/>
      <c r="LIS1" s="353"/>
      <c r="LIT1" s="353"/>
      <c r="LIU1" s="353"/>
      <c r="LIV1" s="353"/>
      <c r="LIW1" s="353"/>
      <c r="LIX1" s="353"/>
      <c r="LIY1" s="353"/>
      <c r="LIZ1" s="353"/>
      <c r="LJA1" s="353"/>
      <c r="LJB1" s="353"/>
      <c r="LJC1" s="353"/>
      <c r="LJD1" s="353"/>
      <c r="LJE1" s="353"/>
      <c r="LJF1" s="353"/>
      <c r="LJG1" s="353"/>
      <c r="LJH1" s="353"/>
      <c r="LJI1" s="353"/>
      <c r="LJJ1" s="353"/>
      <c r="LJK1" s="353"/>
      <c r="LJL1" s="353"/>
      <c r="LJM1" s="353"/>
      <c r="LJN1" s="353"/>
      <c r="LJO1" s="353"/>
      <c r="LJP1" s="353"/>
      <c r="LJQ1" s="353"/>
      <c r="LJR1" s="353"/>
      <c r="LJS1" s="353"/>
      <c r="LJT1" s="353"/>
      <c r="LJU1" s="353"/>
      <c r="LJV1" s="353"/>
      <c r="LJW1" s="353"/>
      <c r="LJX1" s="353"/>
      <c r="LJY1" s="353"/>
      <c r="LJZ1" s="353"/>
      <c r="LKA1" s="353"/>
      <c r="LKB1" s="353"/>
      <c r="LKC1" s="353"/>
      <c r="LKD1" s="353"/>
      <c r="LKE1" s="353"/>
      <c r="LKF1" s="353"/>
      <c r="LKG1" s="353"/>
      <c r="LKH1" s="353"/>
      <c r="LKI1" s="353"/>
      <c r="LKJ1" s="353"/>
      <c r="LKK1" s="353"/>
      <c r="LKL1" s="353"/>
      <c r="LKM1" s="353"/>
      <c r="LKN1" s="353"/>
      <c r="LKO1" s="353"/>
      <c r="LKP1" s="353"/>
      <c r="LKQ1" s="353"/>
      <c r="LKR1" s="353"/>
      <c r="LKS1" s="353"/>
      <c r="LKT1" s="353"/>
      <c r="LKU1" s="353"/>
      <c r="LKV1" s="353"/>
      <c r="LKW1" s="353"/>
      <c r="LKX1" s="353"/>
      <c r="LKY1" s="353"/>
      <c r="LKZ1" s="353"/>
      <c r="LLA1" s="353"/>
      <c r="LLB1" s="353"/>
      <c r="LLC1" s="353"/>
      <c r="LLD1" s="353"/>
      <c r="LLE1" s="353"/>
      <c r="LLF1" s="353"/>
      <c r="LLG1" s="353"/>
      <c r="LLH1" s="353"/>
      <c r="LLI1" s="353"/>
      <c r="LLJ1" s="353"/>
      <c r="LLK1" s="353"/>
      <c r="LLL1" s="353"/>
      <c r="LLM1" s="353"/>
      <c r="LLN1" s="353"/>
      <c r="LLO1" s="353"/>
      <c r="LLP1" s="353"/>
      <c r="LLQ1" s="353"/>
      <c r="LLR1" s="353"/>
      <c r="LLS1" s="353"/>
      <c r="LLT1" s="353"/>
      <c r="LLU1" s="353"/>
      <c r="LLV1" s="353"/>
      <c r="LLW1" s="353"/>
      <c r="LLX1" s="353"/>
      <c r="LLY1" s="353"/>
      <c r="LLZ1" s="353"/>
      <c r="LMA1" s="353"/>
      <c r="LMB1" s="353"/>
      <c r="LMC1" s="353"/>
      <c r="LMD1" s="353"/>
      <c r="LME1" s="353"/>
      <c r="LMF1" s="353"/>
      <c r="LMG1" s="353"/>
      <c r="LMH1" s="353"/>
      <c r="LMI1" s="353"/>
      <c r="LMJ1" s="353"/>
      <c r="LMK1" s="353"/>
      <c r="LML1" s="353"/>
      <c r="LMM1" s="353"/>
      <c r="LMN1" s="353"/>
      <c r="LMO1" s="353"/>
      <c r="LMP1" s="353"/>
      <c r="LMQ1" s="353"/>
      <c r="LMR1" s="353"/>
      <c r="LMS1" s="353"/>
      <c r="LMT1" s="353"/>
      <c r="LMU1" s="353"/>
      <c r="LMV1" s="353"/>
      <c r="LMW1" s="353"/>
      <c r="LMX1" s="353"/>
      <c r="LMY1" s="353"/>
      <c r="LMZ1" s="353"/>
      <c r="LNA1" s="353"/>
      <c r="LNB1" s="353"/>
      <c r="LNC1" s="353"/>
      <c r="LND1" s="353"/>
      <c r="LNE1" s="353"/>
      <c r="LNF1" s="353"/>
      <c r="LNG1" s="353"/>
      <c r="LNH1" s="353"/>
      <c r="LNI1" s="353"/>
      <c r="LNJ1" s="353"/>
      <c r="LNK1" s="353"/>
      <c r="LNL1" s="353"/>
      <c r="LNM1" s="353"/>
      <c r="LNN1" s="353"/>
      <c r="LNO1" s="353"/>
      <c r="LNP1" s="353"/>
      <c r="LNQ1" s="353"/>
      <c r="LNR1" s="353"/>
      <c r="LNS1" s="353"/>
      <c r="LNT1" s="353"/>
      <c r="LNU1" s="353"/>
      <c r="LNV1" s="353"/>
      <c r="LNW1" s="353"/>
      <c r="LNX1" s="353"/>
      <c r="LNY1" s="353"/>
      <c r="LNZ1" s="353"/>
      <c r="LOA1" s="353"/>
      <c r="LOB1" s="353"/>
      <c r="LOC1" s="353"/>
      <c r="LOD1" s="353"/>
      <c r="LOE1" s="353"/>
      <c r="LOF1" s="353"/>
      <c r="LOG1" s="353"/>
      <c r="LOH1" s="353"/>
      <c r="LOI1" s="353"/>
      <c r="LOJ1" s="353"/>
      <c r="LOK1" s="353"/>
      <c r="LOL1" s="353"/>
      <c r="LOM1" s="353"/>
      <c r="LON1" s="353"/>
      <c r="LOO1" s="353"/>
      <c r="LOP1" s="353"/>
      <c r="LOQ1" s="353"/>
      <c r="LOR1" s="353"/>
      <c r="LOS1" s="353"/>
      <c r="LOT1" s="353"/>
      <c r="LOU1" s="353"/>
      <c r="LOV1" s="353"/>
      <c r="LOW1" s="353"/>
      <c r="LOX1" s="353"/>
      <c r="LOY1" s="353"/>
      <c r="LOZ1" s="353"/>
      <c r="LPA1" s="353"/>
      <c r="LPB1" s="353"/>
      <c r="LPC1" s="353"/>
      <c r="LPD1" s="353"/>
      <c r="LPE1" s="353"/>
      <c r="LPF1" s="353"/>
      <c r="LPG1" s="353"/>
      <c r="LPH1" s="353"/>
      <c r="LPI1" s="353"/>
      <c r="LPJ1" s="353"/>
      <c r="LPK1" s="353"/>
      <c r="LPL1" s="353"/>
      <c r="LPM1" s="353"/>
      <c r="LPN1" s="353"/>
      <c r="LPO1" s="353"/>
      <c r="LPP1" s="353"/>
      <c r="LPQ1" s="353"/>
      <c r="LPR1" s="353"/>
      <c r="LPS1" s="353"/>
      <c r="LPT1" s="353"/>
      <c r="LPU1" s="353"/>
      <c r="LPV1" s="353"/>
      <c r="LPW1" s="353"/>
      <c r="LPX1" s="353"/>
      <c r="LPY1" s="353"/>
      <c r="LPZ1" s="353"/>
      <c r="LQA1" s="353"/>
      <c r="LQB1" s="353"/>
      <c r="LQC1" s="353"/>
      <c r="LQD1" s="353"/>
      <c r="LQE1" s="353"/>
      <c r="LQF1" s="353"/>
      <c r="LQG1" s="353"/>
      <c r="LQH1" s="353"/>
      <c r="LQI1" s="353"/>
      <c r="LQJ1" s="353"/>
      <c r="LQK1" s="353"/>
      <c r="LQL1" s="353"/>
      <c r="LQM1" s="353"/>
      <c r="LQN1" s="353"/>
      <c r="LQO1" s="353"/>
      <c r="LQP1" s="353"/>
      <c r="LQQ1" s="353"/>
      <c r="LQR1" s="353"/>
      <c r="LQS1" s="353"/>
      <c r="LQT1" s="353"/>
      <c r="LQU1" s="353"/>
      <c r="LQV1" s="353"/>
      <c r="LQW1" s="353"/>
      <c r="LQX1" s="353"/>
      <c r="LQY1" s="353"/>
      <c r="LQZ1" s="353"/>
      <c r="LRA1" s="353"/>
      <c r="LRB1" s="353"/>
      <c r="LRC1" s="353"/>
      <c r="LRD1" s="353"/>
      <c r="LRE1" s="353"/>
      <c r="LRF1" s="353"/>
      <c r="LRG1" s="353"/>
      <c r="LRH1" s="353"/>
      <c r="LRI1" s="353"/>
      <c r="LRJ1" s="353"/>
      <c r="LRK1" s="353"/>
      <c r="LRL1" s="353"/>
      <c r="LRM1" s="353"/>
      <c r="LRN1" s="353"/>
      <c r="LRO1" s="353"/>
      <c r="LRP1" s="353"/>
      <c r="LRQ1" s="353"/>
      <c r="LRR1" s="353"/>
      <c r="LRS1" s="353"/>
      <c r="LRT1" s="353"/>
      <c r="LRU1" s="353"/>
      <c r="LRV1" s="353"/>
      <c r="LRW1" s="353"/>
      <c r="LRX1" s="353"/>
      <c r="LRY1" s="353"/>
      <c r="LRZ1" s="353"/>
      <c r="LSA1" s="353"/>
      <c r="LSB1" s="353"/>
      <c r="LSC1" s="353"/>
      <c r="LSD1" s="353"/>
      <c r="LSE1" s="353"/>
      <c r="LSF1" s="353"/>
      <c r="LSG1" s="353"/>
      <c r="LSH1" s="353"/>
      <c r="LSI1" s="353"/>
      <c r="LSJ1" s="353"/>
      <c r="LSK1" s="353"/>
      <c r="LSL1" s="353"/>
      <c r="LSM1" s="353"/>
      <c r="LSN1" s="353"/>
      <c r="LSO1" s="353"/>
      <c r="LSP1" s="353"/>
      <c r="LSQ1" s="353"/>
      <c r="LSR1" s="353"/>
      <c r="LSS1" s="353"/>
      <c r="LST1" s="353"/>
      <c r="LSU1" s="353"/>
      <c r="LSV1" s="353"/>
      <c r="LSW1" s="353"/>
      <c r="LSX1" s="353"/>
      <c r="LSY1" s="353"/>
      <c r="LSZ1" s="353"/>
      <c r="LTA1" s="353"/>
      <c r="LTB1" s="353"/>
      <c r="LTC1" s="353"/>
      <c r="LTD1" s="353"/>
      <c r="LTE1" s="353"/>
      <c r="LTF1" s="353"/>
      <c r="LTG1" s="353"/>
      <c r="LTH1" s="353"/>
      <c r="LTI1" s="353"/>
      <c r="LTJ1" s="353"/>
      <c r="LTK1" s="353"/>
      <c r="LTL1" s="353"/>
      <c r="LTM1" s="353"/>
      <c r="LTN1" s="353"/>
      <c r="LTO1" s="353"/>
      <c r="LTP1" s="353"/>
      <c r="LTQ1" s="353"/>
      <c r="LTR1" s="353"/>
      <c r="LTS1" s="353"/>
      <c r="LTT1" s="353"/>
      <c r="LTU1" s="353"/>
      <c r="LTV1" s="353"/>
      <c r="LTW1" s="353"/>
      <c r="LTX1" s="353"/>
      <c r="LTY1" s="353"/>
      <c r="LTZ1" s="353"/>
      <c r="LUA1" s="353"/>
      <c r="LUB1" s="353"/>
      <c r="LUC1" s="353"/>
      <c r="LUD1" s="353"/>
      <c r="LUE1" s="353"/>
      <c r="LUF1" s="353"/>
      <c r="LUG1" s="353"/>
      <c r="LUH1" s="353"/>
      <c r="LUI1" s="353"/>
      <c r="LUJ1" s="353"/>
      <c r="LUK1" s="353"/>
      <c r="LUL1" s="353"/>
      <c r="LUM1" s="353"/>
      <c r="LUN1" s="353"/>
      <c r="LUO1" s="353"/>
      <c r="LUP1" s="353"/>
      <c r="LUQ1" s="353"/>
      <c r="LUR1" s="353"/>
      <c r="LUS1" s="353"/>
      <c r="LUT1" s="353"/>
      <c r="LUU1" s="353"/>
      <c r="LUV1" s="353"/>
      <c r="LUW1" s="353"/>
      <c r="LUX1" s="353"/>
      <c r="LUY1" s="353"/>
      <c r="LUZ1" s="353"/>
      <c r="LVA1" s="353"/>
      <c r="LVB1" s="353"/>
      <c r="LVC1" s="353"/>
      <c r="LVD1" s="353"/>
      <c r="LVE1" s="353"/>
      <c r="LVF1" s="353"/>
      <c r="LVG1" s="353"/>
      <c r="LVH1" s="353"/>
      <c r="LVI1" s="353"/>
      <c r="LVJ1" s="353"/>
      <c r="LVK1" s="353"/>
      <c r="LVL1" s="353"/>
      <c r="LVM1" s="353"/>
      <c r="LVN1" s="353"/>
      <c r="LVO1" s="353"/>
      <c r="LVP1" s="353"/>
      <c r="LVQ1" s="353"/>
      <c r="LVR1" s="353"/>
      <c r="LVS1" s="353"/>
      <c r="LVT1" s="353"/>
      <c r="LVU1" s="353"/>
      <c r="LVV1" s="353"/>
      <c r="LVW1" s="353"/>
      <c r="LVX1" s="353"/>
      <c r="LVY1" s="353"/>
      <c r="LVZ1" s="353"/>
      <c r="LWA1" s="353"/>
      <c r="LWB1" s="353"/>
      <c r="LWC1" s="353"/>
      <c r="LWD1" s="353"/>
      <c r="LWE1" s="353"/>
      <c r="LWF1" s="353"/>
      <c r="LWG1" s="353"/>
      <c r="LWH1" s="353"/>
      <c r="LWI1" s="353"/>
      <c r="LWJ1" s="353"/>
      <c r="LWK1" s="353"/>
      <c r="LWL1" s="353"/>
      <c r="LWM1" s="353"/>
      <c r="LWN1" s="353"/>
      <c r="LWO1" s="353"/>
      <c r="LWP1" s="353"/>
      <c r="LWQ1" s="353"/>
      <c r="LWR1" s="353"/>
      <c r="LWS1" s="353"/>
      <c r="LWT1" s="353"/>
      <c r="LWU1" s="353"/>
      <c r="LWV1" s="353"/>
      <c r="LWW1" s="353"/>
      <c r="LWX1" s="353"/>
      <c r="LWY1" s="353"/>
      <c r="LWZ1" s="353"/>
      <c r="LXA1" s="353"/>
      <c r="LXB1" s="353"/>
      <c r="LXC1" s="353"/>
      <c r="LXD1" s="353"/>
      <c r="LXE1" s="353"/>
      <c r="LXF1" s="353"/>
      <c r="LXG1" s="353"/>
      <c r="LXH1" s="353"/>
      <c r="LXI1" s="353"/>
      <c r="LXJ1" s="353"/>
      <c r="LXK1" s="353"/>
      <c r="LXL1" s="353"/>
      <c r="LXM1" s="353"/>
      <c r="LXN1" s="353"/>
      <c r="LXO1" s="353"/>
      <c r="LXP1" s="353"/>
      <c r="LXQ1" s="353"/>
      <c r="LXR1" s="353"/>
      <c r="LXS1" s="353"/>
      <c r="LXT1" s="353"/>
      <c r="LXU1" s="353"/>
      <c r="LXV1" s="353"/>
      <c r="LXW1" s="353"/>
      <c r="LXX1" s="353"/>
      <c r="LXY1" s="353"/>
      <c r="LXZ1" s="353"/>
      <c r="LYA1" s="353"/>
      <c r="LYB1" s="353"/>
      <c r="LYC1" s="353"/>
      <c r="LYD1" s="353"/>
      <c r="LYE1" s="353"/>
      <c r="LYF1" s="353"/>
      <c r="LYG1" s="353"/>
      <c r="LYH1" s="353"/>
      <c r="LYI1" s="353"/>
      <c r="LYJ1" s="353"/>
      <c r="LYK1" s="353"/>
      <c r="LYL1" s="353"/>
      <c r="LYM1" s="353"/>
      <c r="LYN1" s="353"/>
      <c r="LYO1" s="353"/>
      <c r="LYP1" s="353"/>
      <c r="LYQ1" s="353"/>
      <c r="LYR1" s="353"/>
      <c r="LYS1" s="353"/>
      <c r="LYT1" s="353"/>
      <c r="LYU1" s="353"/>
      <c r="LYV1" s="353"/>
      <c r="LYW1" s="353"/>
      <c r="LYX1" s="353"/>
      <c r="LYY1" s="353"/>
      <c r="LYZ1" s="353"/>
      <c r="LZA1" s="353"/>
      <c r="LZB1" s="353"/>
      <c r="LZC1" s="353"/>
      <c r="LZD1" s="353"/>
      <c r="LZE1" s="353"/>
      <c r="LZF1" s="353"/>
      <c r="LZG1" s="353"/>
      <c r="LZH1" s="353"/>
      <c r="LZI1" s="353"/>
      <c r="LZJ1" s="353"/>
      <c r="LZK1" s="353"/>
      <c r="LZL1" s="353"/>
      <c r="LZM1" s="353"/>
      <c r="LZN1" s="353"/>
      <c r="LZO1" s="353"/>
      <c r="LZP1" s="353"/>
      <c r="LZQ1" s="353"/>
      <c r="LZR1" s="353"/>
      <c r="LZS1" s="353"/>
      <c r="LZT1" s="353"/>
      <c r="LZU1" s="353"/>
      <c r="LZV1" s="353"/>
      <c r="LZW1" s="353"/>
      <c r="LZX1" s="353"/>
      <c r="LZY1" s="353"/>
      <c r="LZZ1" s="353"/>
      <c r="MAA1" s="353"/>
      <c r="MAB1" s="353"/>
      <c r="MAC1" s="353"/>
      <c r="MAD1" s="353"/>
      <c r="MAE1" s="353"/>
      <c r="MAF1" s="353"/>
      <c r="MAG1" s="353"/>
      <c r="MAH1" s="353"/>
      <c r="MAI1" s="353"/>
      <c r="MAJ1" s="353"/>
      <c r="MAK1" s="353"/>
      <c r="MAL1" s="353"/>
      <c r="MAM1" s="353"/>
      <c r="MAN1" s="353"/>
      <c r="MAO1" s="353"/>
      <c r="MAP1" s="353"/>
      <c r="MAQ1" s="353"/>
      <c r="MAR1" s="353"/>
      <c r="MAS1" s="353"/>
      <c r="MAT1" s="353"/>
      <c r="MAU1" s="353"/>
      <c r="MAV1" s="353"/>
      <c r="MAW1" s="353"/>
      <c r="MAX1" s="353"/>
      <c r="MAY1" s="353"/>
      <c r="MAZ1" s="353"/>
      <c r="MBA1" s="353"/>
      <c r="MBB1" s="353"/>
      <c r="MBC1" s="353"/>
      <c r="MBD1" s="353"/>
      <c r="MBE1" s="353"/>
      <c r="MBF1" s="353"/>
      <c r="MBG1" s="353"/>
      <c r="MBH1" s="353"/>
      <c r="MBI1" s="353"/>
      <c r="MBJ1" s="353"/>
      <c r="MBK1" s="353"/>
      <c r="MBL1" s="353"/>
      <c r="MBM1" s="353"/>
      <c r="MBN1" s="353"/>
      <c r="MBO1" s="353"/>
      <c r="MBP1" s="353"/>
      <c r="MBQ1" s="353"/>
      <c r="MBR1" s="353"/>
      <c r="MBS1" s="353"/>
      <c r="MBT1" s="353"/>
      <c r="MBU1" s="353"/>
      <c r="MBV1" s="353"/>
      <c r="MBW1" s="353"/>
      <c r="MBX1" s="353"/>
      <c r="MBY1" s="353"/>
      <c r="MBZ1" s="353"/>
      <c r="MCA1" s="353"/>
      <c r="MCB1" s="353"/>
      <c r="MCC1" s="353"/>
      <c r="MCD1" s="353"/>
      <c r="MCE1" s="353"/>
      <c r="MCF1" s="353"/>
      <c r="MCG1" s="353"/>
      <c r="MCH1" s="353"/>
      <c r="MCI1" s="353"/>
      <c r="MCJ1" s="353"/>
      <c r="MCK1" s="353"/>
      <c r="MCL1" s="353"/>
      <c r="MCM1" s="353"/>
      <c r="MCN1" s="353"/>
      <c r="MCO1" s="353"/>
      <c r="MCP1" s="353"/>
      <c r="MCQ1" s="353"/>
      <c r="MCR1" s="353"/>
      <c r="MCS1" s="353"/>
      <c r="MCT1" s="353"/>
      <c r="MCU1" s="353"/>
      <c r="MCV1" s="353"/>
      <c r="MCW1" s="353"/>
      <c r="MCX1" s="353"/>
      <c r="MCY1" s="353"/>
      <c r="MCZ1" s="353"/>
      <c r="MDA1" s="353"/>
      <c r="MDB1" s="353"/>
      <c r="MDC1" s="353"/>
      <c r="MDD1" s="353"/>
      <c r="MDE1" s="353"/>
      <c r="MDF1" s="353"/>
      <c r="MDG1" s="353"/>
      <c r="MDH1" s="353"/>
      <c r="MDI1" s="353"/>
      <c r="MDJ1" s="353"/>
      <c r="MDK1" s="353"/>
      <c r="MDL1" s="353"/>
      <c r="MDM1" s="353"/>
      <c r="MDN1" s="353"/>
      <c r="MDO1" s="353"/>
      <c r="MDP1" s="353"/>
      <c r="MDQ1" s="353"/>
      <c r="MDR1" s="353"/>
      <c r="MDS1" s="353"/>
      <c r="MDT1" s="353"/>
      <c r="MDU1" s="353"/>
      <c r="MDV1" s="353"/>
      <c r="MDW1" s="353"/>
      <c r="MDX1" s="353"/>
      <c r="MDY1" s="353"/>
      <c r="MDZ1" s="353"/>
      <c r="MEA1" s="353"/>
      <c r="MEB1" s="353"/>
      <c r="MEC1" s="353"/>
      <c r="MED1" s="353"/>
      <c r="MEE1" s="353"/>
      <c r="MEF1" s="353"/>
      <c r="MEG1" s="353"/>
      <c r="MEH1" s="353"/>
      <c r="MEI1" s="353"/>
      <c r="MEJ1" s="353"/>
      <c r="MEK1" s="353"/>
      <c r="MEL1" s="353"/>
      <c r="MEM1" s="353"/>
      <c r="MEN1" s="353"/>
      <c r="MEO1" s="353"/>
      <c r="MEP1" s="353"/>
      <c r="MEQ1" s="353"/>
      <c r="MER1" s="353"/>
      <c r="MES1" s="353"/>
      <c r="MET1" s="353"/>
      <c r="MEU1" s="353"/>
      <c r="MEV1" s="353"/>
      <c r="MEW1" s="353"/>
      <c r="MEX1" s="353"/>
      <c r="MEY1" s="353"/>
      <c r="MEZ1" s="353"/>
      <c r="MFA1" s="353"/>
      <c r="MFB1" s="353"/>
      <c r="MFC1" s="353"/>
      <c r="MFD1" s="353"/>
      <c r="MFE1" s="353"/>
      <c r="MFF1" s="353"/>
      <c r="MFG1" s="353"/>
      <c r="MFH1" s="353"/>
      <c r="MFI1" s="353"/>
      <c r="MFJ1" s="353"/>
      <c r="MFK1" s="353"/>
      <c r="MFL1" s="353"/>
      <c r="MFM1" s="353"/>
      <c r="MFN1" s="353"/>
      <c r="MFO1" s="353"/>
      <c r="MFP1" s="353"/>
      <c r="MFQ1" s="353"/>
      <c r="MFR1" s="353"/>
      <c r="MFS1" s="353"/>
      <c r="MFT1" s="353"/>
      <c r="MFU1" s="353"/>
      <c r="MFV1" s="353"/>
      <c r="MFW1" s="353"/>
      <c r="MFX1" s="353"/>
      <c r="MFY1" s="353"/>
      <c r="MFZ1" s="353"/>
      <c r="MGA1" s="353"/>
      <c r="MGB1" s="353"/>
      <c r="MGC1" s="353"/>
      <c r="MGD1" s="353"/>
      <c r="MGE1" s="353"/>
      <c r="MGF1" s="353"/>
      <c r="MGG1" s="353"/>
      <c r="MGH1" s="353"/>
      <c r="MGI1" s="353"/>
      <c r="MGJ1" s="353"/>
      <c r="MGK1" s="353"/>
      <c r="MGL1" s="353"/>
      <c r="MGM1" s="353"/>
      <c r="MGN1" s="353"/>
      <c r="MGO1" s="353"/>
      <c r="MGP1" s="353"/>
      <c r="MGQ1" s="353"/>
      <c r="MGR1" s="353"/>
      <c r="MGS1" s="353"/>
      <c r="MGT1" s="353"/>
      <c r="MGU1" s="353"/>
      <c r="MGV1" s="353"/>
      <c r="MGW1" s="353"/>
      <c r="MGX1" s="353"/>
      <c r="MGY1" s="353"/>
      <c r="MGZ1" s="353"/>
      <c r="MHA1" s="353"/>
      <c r="MHB1" s="353"/>
      <c r="MHC1" s="353"/>
      <c r="MHD1" s="353"/>
      <c r="MHE1" s="353"/>
      <c r="MHF1" s="353"/>
      <c r="MHG1" s="353"/>
      <c r="MHH1" s="353"/>
      <c r="MHI1" s="353"/>
      <c r="MHJ1" s="353"/>
      <c r="MHK1" s="353"/>
      <c r="MHL1" s="353"/>
      <c r="MHM1" s="353"/>
      <c r="MHN1" s="353"/>
      <c r="MHO1" s="353"/>
      <c r="MHP1" s="353"/>
      <c r="MHQ1" s="353"/>
      <c r="MHR1" s="353"/>
      <c r="MHS1" s="353"/>
      <c r="MHT1" s="353"/>
      <c r="MHU1" s="353"/>
      <c r="MHV1" s="353"/>
      <c r="MHW1" s="353"/>
      <c r="MHX1" s="353"/>
      <c r="MHY1" s="353"/>
      <c r="MHZ1" s="353"/>
      <c r="MIA1" s="353"/>
      <c r="MIB1" s="353"/>
      <c r="MIC1" s="353"/>
      <c r="MID1" s="353"/>
      <c r="MIE1" s="353"/>
      <c r="MIF1" s="353"/>
      <c r="MIG1" s="353"/>
      <c r="MIH1" s="353"/>
      <c r="MII1" s="353"/>
      <c r="MIJ1" s="353"/>
      <c r="MIK1" s="353"/>
      <c r="MIL1" s="353"/>
      <c r="MIM1" s="353"/>
      <c r="MIN1" s="353"/>
      <c r="MIO1" s="353"/>
      <c r="MIP1" s="353"/>
      <c r="MIQ1" s="353"/>
      <c r="MIR1" s="353"/>
      <c r="MIS1" s="353"/>
      <c r="MIT1" s="353"/>
      <c r="MIU1" s="353"/>
      <c r="MIV1" s="353"/>
      <c r="MIW1" s="353"/>
      <c r="MIX1" s="353"/>
      <c r="MIY1" s="353"/>
      <c r="MIZ1" s="353"/>
      <c r="MJA1" s="353"/>
      <c r="MJB1" s="353"/>
      <c r="MJC1" s="353"/>
      <c r="MJD1" s="353"/>
      <c r="MJE1" s="353"/>
      <c r="MJF1" s="353"/>
      <c r="MJG1" s="353"/>
      <c r="MJH1" s="353"/>
      <c r="MJI1" s="353"/>
      <c r="MJJ1" s="353"/>
      <c r="MJK1" s="353"/>
      <c r="MJL1" s="353"/>
      <c r="MJM1" s="353"/>
      <c r="MJN1" s="353"/>
      <c r="MJO1" s="353"/>
      <c r="MJP1" s="353"/>
      <c r="MJQ1" s="353"/>
      <c r="MJR1" s="353"/>
      <c r="MJS1" s="353"/>
      <c r="MJT1" s="353"/>
      <c r="MJU1" s="353"/>
      <c r="MJV1" s="353"/>
      <c r="MJW1" s="353"/>
      <c r="MJX1" s="353"/>
      <c r="MJY1" s="353"/>
      <c r="MJZ1" s="353"/>
      <c r="MKA1" s="353"/>
      <c r="MKB1" s="353"/>
      <c r="MKC1" s="353"/>
      <c r="MKD1" s="353"/>
      <c r="MKE1" s="353"/>
      <c r="MKF1" s="353"/>
      <c r="MKG1" s="353"/>
      <c r="MKH1" s="353"/>
      <c r="MKI1" s="353"/>
      <c r="MKJ1" s="353"/>
      <c r="MKK1" s="353"/>
      <c r="MKL1" s="353"/>
      <c r="MKM1" s="353"/>
      <c r="MKN1" s="353"/>
      <c r="MKO1" s="353"/>
      <c r="MKP1" s="353"/>
      <c r="MKQ1" s="353"/>
      <c r="MKR1" s="353"/>
      <c r="MKS1" s="353"/>
      <c r="MKT1" s="353"/>
      <c r="MKU1" s="353"/>
      <c r="MKV1" s="353"/>
      <c r="MKW1" s="353"/>
      <c r="MKX1" s="353"/>
      <c r="MKY1" s="353"/>
      <c r="MKZ1" s="353"/>
      <c r="MLA1" s="353"/>
      <c r="MLB1" s="353"/>
      <c r="MLC1" s="353"/>
      <c r="MLD1" s="353"/>
      <c r="MLE1" s="353"/>
      <c r="MLF1" s="353"/>
      <c r="MLG1" s="353"/>
      <c r="MLH1" s="353"/>
      <c r="MLI1" s="353"/>
      <c r="MLJ1" s="353"/>
      <c r="MLK1" s="353"/>
      <c r="MLL1" s="353"/>
      <c r="MLM1" s="353"/>
      <c r="MLN1" s="353"/>
      <c r="MLO1" s="353"/>
      <c r="MLP1" s="353"/>
      <c r="MLQ1" s="353"/>
      <c r="MLR1" s="353"/>
      <c r="MLS1" s="353"/>
      <c r="MLT1" s="353"/>
      <c r="MLU1" s="353"/>
      <c r="MLV1" s="353"/>
      <c r="MLW1" s="353"/>
      <c r="MLX1" s="353"/>
      <c r="MLY1" s="353"/>
      <c r="MLZ1" s="353"/>
      <c r="MMA1" s="353"/>
      <c r="MMB1" s="353"/>
      <c r="MMC1" s="353"/>
      <c r="MMD1" s="353"/>
      <c r="MME1" s="353"/>
      <c r="MMF1" s="353"/>
      <c r="MMG1" s="353"/>
      <c r="MMH1" s="353"/>
      <c r="MMI1" s="353"/>
      <c r="MMJ1" s="353"/>
      <c r="MMK1" s="353"/>
      <c r="MML1" s="353"/>
      <c r="MMM1" s="353"/>
      <c r="MMN1" s="353"/>
      <c r="MMO1" s="353"/>
      <c r="MMP1" s="353"/>
      <c r="MMQ1" s="353"/>
      <c r="MMR1" s="353"/>
      <c r="MMS1" s="353"/>
      <c r="MMT1" s="353"/>
      <c r="MMU1" s="353"/>
      <c r="MMV1" s="353"/>
      <c r="MMW1" s="353"/>
      <c r="MMX1" s="353"/>
      <c r="MMY1" s="353"/>
      <c r="MMZ1" s="353"/>
      <c r="MNA1" s="353"/>
      <c r="MNB1" s="353"/>
      <c r="MNC1" s="353"/>
      <c r="MND1" s="353"/>
      <c r="MNE1" s="353"/>
      <c r="MNF1" s="353"/>
      <c r="MNG1" s="353"/>
      <c r="MNH1" s="353"/>
      <c r="MNI1" s="353"/>
      <c r="MNJ1" s="353"/>
      <c r="MNK1" s="353"/>
      <c r="MNL1" s="353"/>
      <c r="MNM1" s="353"/>
      <c r="MNN1" s="353"/>
      <c r="MNO1" s="353"/>
      <c r="MNP1" s="353"/>
      <c r="MNQ1" s="353"/>
      <c r="MNR1" s="353"/>
      <c r="MNS1" s="353"/>
      <c r="MNT1" s="353"/>
      <c r="MNU1" s="353"/>
      <c r="MNV1" s="353"/>
      <c r="MNW1" s="353"/>
      <c r="MNX1" s="353"/>
      <c r="MNY1" s="353"/>
      <c r="MNZ1" s="353"/>
      <c r="MOA1" s="353"/>
      <c r="MOB1" s="353"/>
      <c r="MOC1" s="353"/>
      <c r="MOD1" s="353"/>
      <c r="MOE1" s="353"/>
      <c r="MOF1" s="353"/>
      <c r="MOG1" s="353"/>
      <c r="MOH1" s="353"/>
      <c r="MOI1" s="353"/>
      <c r="MOJ1" s="353"/>
      <c r="MOK1" s="353"/>
      <c r="MOL1" s="353"/>
      <c r="MOM1" s="353"/>
      <c r="MON1" s="353"/>
      <c r="MOO1" s="353"/>
      <c r="MOP1" s="353"/>
      <c r="MOQ1" s="353"/>
      <c r="MOR1" s="353"/>
      <c r="MOS1" s="353"/>
      <c r="MOT1" s="353"/>
      <c r="MOU1" s="353"/>
      <c r="MOV1" s="353"/>
      <c r="MOW1" s="353"/>
      <c r="MOX1" s="353"/>
      <c r="MOY1" s="353"/>
      <c r="MOZ1" s="353"/>
      <c r="MPA1" s="353"/>
      <c r="MPB1" s="353"/>
      <c r="MPC1" s="353"/>
      <c r="MPD1" s="353"/>
      <c r="MPE1" s="353"/>
      <c r="MPF1" s="353"/>
      <c r="MPG1" s="353"/>
      <c r="MPH1" s="353"/>
      <c r="MPI1" s="353"/>
      <c r="MPJ1" s="353"/>
      <c r="MPK1" s="353"/>
      <c r="MPL1" s="353"/>
      <c r="MPM1" s="353"/>
      <c r="MPN1" s="353"/>
      <c r="MPO1" s="353"/>
      <c r="MPP1" s="353"/>
      <c r="MPQ1" s="353"/>
      <c r="MPR1" s="353"/>
      <c r="MPS1" s="353"/>
      <c r="MPT1" s="353"/>
      <c r="MPU1" s="353"/>
      <c r="MPV1" s="353"/>
      <c r="MPW1" s="353"/>
      <c r="MPX1" s="353"/>
      <c r="MPY1" s="353"/>
      <c r="MPZ1" s="353"/>
      <c r="MQA1" s="353"/>
      <c r="MQB1" s="353"/>
      <c r="MQC1" s="353"/>
      <c r="MQD1" s="353"/>
      <c r="MQE1" s="353"/>
      <c r="MQF1" s="353"/>
      <c r="MQG1" s="353"/>
      <c r="MQH1" s="353"/>
      <c r="MQI1" s="353"/>
      <c r="MQJ1" s="353"/>
      <c r="MQK1" s="353"/>
      <c r="MQL1" s="353"/>
      <c r="MQM1" s="353"/>
      <c r="MQN1" s="353"/>
      <c r="MQO1" s="353"/>
      <c r="MQP1" s="353"/>
      <c r="MQQ1" s="353"/>
      <c r="MQR1" s="353"/>
      <c r="MQS1" s="353"/>
      <c r="MQT1" s="353"/>
      <c r="MQU1" s="353"/>
      <c r="MQV1" s="353"/>
      <c r="MQW1" s="353"/>
      <c r="MQX1" s="353"/>
      <c r="MQY1" s="353"/>
      <c r="MQZ1" s="353"/>
      <c r="MRA1" s="353"/>
      <c r="MRB1" s="353"/>
      <c r="MRC1" s="353"/>
      <c r="MRD1" s="353"/>
      <c r="MRE1" s="353"/>
      <c r="MRF1" s="353"/>
      <c r="MRG1" s="353"/>
      <c r="MRH1" s="353"/>
      <c r="MRI1" s="353"/>
      <c r="MRJ1" s="353"/>
      <c r="MRK1" s="353"/>
      <c r="MRL1" s="353"/>
      <c r="MRM1" s="353"/>
      <c r="MRN1" s="353"/>
      <c r="MRO1" s="353"/>
      <c r="MRP1" s="353"/>
      <c r="MRQ1" s="353"/>
      <c r="MRR1" s="353"/>
      <c r="MRS1" s="353"/>
      <c r="MRT1" s="353"/>
      <c r="MRU1" s="353"/>
      <c r="MRV1" s="353"/>
      <c r="MRW1" s="353"/>
      <c r="MRX1" s="353"/>
      <c r="MRY1" s="353"/>
      <c r="MRZ1" s="353"/>
      <c r="MSA1" s="353"/>
      <c r="MSB1" s="353"/>
      <c r="MSC1" s="353"/>
      <c r="MSD1" s="353"/>
      <c r="MSE1" s="353"/>
      <c r="MSF1" s="353"/>
      <c r="MSG1" s="353"/>
      <c r="MSH1" s="353"/>
      <c r="MSI1" s="353"/>
      <c r="MSJ1" s="353"/>
      <c r="MSK1" s="353"/>
      <c r="MSL1" s="353"/>
      <c r="MSM1" s="353"/>
      <c r="MSN1" s="353"/>
      <c r="MSO1" s="353"/>
      <c r="MSP1" s="353"/>
      <c r="MSQ1" s="353"/>
      <c r="MSR1" s="353"/>
      <c r="MSS1" s="353"/>
      <c r="MST1" s="353"/>
      <c r="MSU1" s="353"/>
      <c r="MSV1" s="353"/>
      <c r="MSW1" s="353"/>
      <c r="MSX1" s="353"/>
      <c r="MSY1" s="353"/>
      <c r="MSZ1" s="353"/>
      <c r="MTA1" s="353"/>
      <c r="MTB1" s="353"/>
      <c r="MTC1" s="353"/>
      <c r="MTD1" s="353"/>
      <c r="MTE1" s="353"/>
      <c r="MTF1" s="353"/>
      <c r="MTG1" s="353"/>
      <c r="MTH1" s="353"/>
      <c r="MTI1" s="353"/>
      <c r="MTJ1" s="353"/>
      <c r="MTK1" s="353"/>
      <c r="MTL1" s="353"/>
      <c r="MTM1" s="353"/>
      <c r="MTN1" s="353"/>
      <c r="MTO1" s="353"/>
      <c r="MTP1" s="353"/>
      <c r="MTQ1" s="353"/>
      <c r="MTR1" s="353"/>
      <c r="MTS1" s="353"/>
      <c r="MTT1" s="353"/>
      <c r="MTU1" s="353"/>
      <c r="MTV1" s="353"/>
      <c r="MTW1" s="353"/>
      <c r="MTX1" s="353"/>
      <c r="MTY1" s="353"/>
      <c r="MTZ1" s="353"/>
      <c r="MUA1" s="353"/>
      <c r="MUB1" s="353"/>
      <c r="MUC1" s="353"/>
      <c r="MUD1" s="353"/>
      <c r="MUE1" s="353"/>
      <c r="MUF1" s="353"/>
      <c r="MUG1" s="353"/>
      <c r="MUH1" s="353"/>
      <c r="MUI1" s="353"/>
      <c r="MUJ1" s="353"/>
      <c r="MUK1" s="353"/>
      <c r="MUL1" s="353"/>
      <c r="MUM1" s="353"/>
      <c r="MUN1" s="353"/>
      <c r="MUO1" s="353"/>
      <c r="MUP1" s="353"/>
      <c r="MUQ1" s="353"/>
      <c r="MUR1" s="353"/>
      <c r="MUS1" s="353"/>
      <c r="MUT1" s="353"/>
      <c r="MUU1" s="353"/>
      <c r="MUV1" s="353"/>
      <c r="MUW1" s="353"/>
      <c r="MUX1" s="353"/>
      <c r="MUY1" s="353"/>
      <c r="MUZ1" s="353"/>
      <c r="MVA1" s="353"/>
      <c r="MVB1" s="353"/>
      <c r="MVC1" s="353"/>
      <c r="MVD1" s="353"/>
      <c r="MVE1" s="353"/>
      <c r="MVF1" s="353"/>
      <c r="MVG1" s="353"/>
      <c r="MVH1" s="353"/>
      <c r="MVI1" s="353"/>
      <c r="MVJ1" s="353"/>
      <c r="MVK1" s="353"/>
      <c r="MVL1" s="353"/>
      <c r="MVM1" s="353"/>
      <c r="MVN1" s="353"/>
      <c r="MVO1" s="353"/>
      <c r="MVP1" s="353"/>
      <c r="MVQ1" s="353"/>
      <c r="MVR1" s="353"/>
      <c r="MVS1" s="353"/>
      <c r="MVT1" s="353"/>
      <c r="MVU1" s="353"/>
      <c r="MVV1" s="353"/>
      <c r="MVW1" s="353"/>
      <c r="MVX1" s="353"/>
      <c r="MVY1" s="353"/>
      <c r="MVZ1" s="353"/>
      <c r="MWA1" s="353"/>
      <c r="MWB1" s="353"/>
      <c r="MWC1" s="353"/>
      <c r="MWD1" s="353"/>
      <c r="MWE1" s="353"/>
      <c r="MWF1" s="353"/>
      <c r="MWG1" s="353"/>
      <c r="MWH1" s="353"/>
      <c r="MWI1" s="353"/>
      <c r="MWJ1" s="353"/>
      <c r="MWK1" s="353"/>
      <c r="MWL1" s="353"/>
      <c r="MWM1" s="353"/>
      <c r="MWN1" s="353"/>
      <c r="MWO1" s="353"/>
      <c r="MWP1" s="353"/>
      <c r="MWQ1" s="353"/>
      <c r="MWR1" s="353"/>
      <c r="MWS1" s="353"/>
      <c r="MWT1" s="353"/>
      <c r="MWU1" s="353"/>
      <c r="MWV1" s="353"/>
      <c r="MWW1" s="353"/>
      <c r="MWX1" s="353"/>
      <c r="MWY1" s="353"/>
      <c r="MWZ1" s="353"/>
      <c r="MXA1" s="353"/>
      <c r="MXB1" s="353"/>
      <c r="MXC1" s="353"/>
      <c r="MXD1" s="353"/>
      <c r="MXE1" s="353"/>
      <c r="MXF1" s="353"/>
      <c r="MXG1" s="353"/>
      <c r="MXH1" s="353"/>
      <c r="MXI1" s="353"/>
      <c r="MXJ1" s="353"/>
      <c r="MXK1" s="353"/>
      <c r="MXL1" s="353"/>
      <c r="MXM1" s="353"/>
      <c r="MXN1" s="353"/>
      <c r="MXO1" s="353"/>
      <c r="MXP1" s="353"/>
      <c r="MXQ1" s="353"/>
      <c r="MXR1" s="353"/>
      <c r="MXS1" s="353"/>
      <c r="MXT1" s="353"/>
      <c r="MXU1" s="353"/>
      <c r="MXV1" s="353"/>
      <c r="MXW1" s="353"/>
      <c r="MXX1" s="353"/>
      <c r="MXY1" s="353"/>
      <c r="MXZ1" s="353"/>
      <c r="MYA1" s="353"/>
      <c r="MYB1" s="353"/>
      <c r="MYC1" s="353"/>
      <c r="MYD1" s="353"/>
      <c r="MYE1" s="353"/>
      <c r="MYF1" s="353"/>
      <c r="MYG1" s="353"/>
      <c r="MYH1" s="353"/>
      <c r="MYI1" s="353"/>
      <c r="MYJ1" s="353"/>
      <c r="MYK1" s="353"/>
      <c r="MYL1" s="353"/>
      <c r="MYM1" s="353"/>
      <c r="MYN1" s="353"/>
      <c r="MYO1" s="353"/>
      <c r="MYP1" s="353"/>
      <c r="MYQ1" s="353"/>
      <c r="MYR1" s="353"/>
      <c r="MYS1" s="353"/>
      <c r="MYT1" s="353"/>
      <c r="MYU1" s="353"/>
      <c r="MYV1" s="353"/>
      <c r="MYW1" s="353"/>
      <c r="MYX1" s="353"/>
      <c r="MYY1" s="353"/>
      <c r="MYZ1" s="353"/>
      <c r="MZA1" s="353"/>
      <c r="MZB1" s="353"/>
      <c r="MZC1" s="353"/>
      <c r="MZD1" s="353"/>
      <c r="MZE1" s="353"/>
      <c r="MZF1" s="353"/>
      <c r="MZG1" s="353"/>
      <c r="MZH1" s="353"/>
      <c r="MZI1" s="353"/>
      <c r="MZJ1" s="353"/>
      <c r="MZK1" s="353"/>
      <c r="MZL1" s="353"/>
      <c r="MZM1" s="353"/>
      <c r="MZN1" s="353"/>
      <c r="MZO1" s="353"/>
      <c r="MZP1" s="353"/>
      <c r="MZQ1" s="353"/>
      <c r="MZR1" s="353"/>
      <c r="MZS1" s="353"/>
      <c r="MZT1" s="353"/>
      <c r="MZU1" s="353"/>
      <c r="MZV1" s="353"/>
      <c r="MZW1" s="353"/>
      <c r="MZX1" s="353"/>
      <c r="MZY1" s="353"/>
      <c r="MZZ1" s="353"/>
      <c r="NAA1" s="353"/>
      <c r="NAB1" s="353"/>
      <c r="NAC1" s="353"/>
      <c r="NAD1" s="353"/>
      <c r="NAE1" s="353"/>
      <c r="NAF1" s="353"/>
      <c r="NAG1" s="353"/>
      <c r="NAH1" s="353"/>
      <c r="NAI1" s="353"/>
      <c r="NAJ1" s="353"/>
      <c r="NAK1" s="353"/>
      <c r="NAL1" s="353"/>
      <c r="NAM1" s="353"/>
      <c r="NAN1" s="353"/>
      <c r="NAO1" s="353"/>
      <c r="NAP1" s="353"/>
      <c r="NAQ1" s="353"/>
      <c r="NAR1" s="353"/>
      <c r="NAS1" s="353"/>
      <c r="NAT1" s="353"/>
      <c r="NAU1" s="353"/>
      <c r="NAV1" s="353"/>
      <c r="NAW1" s="353"/>
      <c r="NAX1" s="353"/>
      <c r="NAY1" s="353"/>
      <c r="NAZ1" s="353"/>
      <c r="NBA1" s="353"/>
      <c r="NBB1" s="353"/>
      <c r="NBC1" s="353"/>
      <c r="NBD1" s="353"/>
      <c r="NBE1" s="353"/>
      <c r="NBF1" s="353"/>
      <c r="NBG1" s="353"/>
      <c r="NBH1" s="353"/>
      <c r="NBI1" s="353"/>
      <c r="NBJ1" s="353"/>
      <c r="NBK1" s="353"/>
      <c r="NBL1" s="353"/>
      <c r="NBM1" s="353"/>
      <c r="NBN1" s="353"/>
      <c r="NBO1" s="353"/>
      <c r="NBP1" s="353"/>
      <c r="NBQ1" s="353"/>
      <c r="NBR1" s="353"/>
      <c r="NBS1" s="353"/>
      <c r="NBT1" s="353"/>
      <c r="NBU1" s="353"/>
      <c r="NBV1" s="353"/>
      <c r="NBW1" s="353"/>
      <c r="NBX1" s="353"/>
      <c r="NBY1" s="353"/>
      <c r="NBZ1" s="353"/>
      <c r="NCA1" s="353"/>
      <c r="NCB1" s="353"/>
      <c r="NCC1" s="353"/>
      <c r="NCD1" s="353"/>
      <c r="NCE1" s="353"/>
      <c r="NCF1" s="353"/>
      <c r="NCG1" s="353"/>
      <c r="NCH1" s="353"/>
      <c r="NCI1" s="353"/>
      <c r="NCJ1" s="353"/>
      <c r="NCK1" s="353"/>
      <c r="NCL1" s="353"/>
      <c r="NCM1" s="353"/>
      <c r="NCN1" s="353"/>
      <c r="NCO1" s="353"/>
      <c r="NCP1" s="353"/>
      <c r="NCQ1" s="353"/>
      <c r="NCR1" s="353"/>
      <c r="NCS1" s="353"/>
      <c r="NCT1" s="353"/>
      <c r="NCU1" s="353"/>
      <c r="NCV1" s="353"/>
      <c r="NCW1" s="353"/>
      <c r="NCX1" s="353"/>
      <c r="NCY1" s="353"/>
      <c r="NCZ1" s="353"/>
      <c r="NDA1" s="353"/>
      <c r="NDB1" s="353"/>
      <c r="NDC1" s="353"/>
      <c r="NDD1" s="353"/>
      <c r="NDE1" s="353"/>
      <c r="NDF1" s="353"/>
      <c r="NDG1" s="353"/>
      <c r="NDH1" s="353"/>
      <c r="NDI1" s="353"/>
      <c r="NDJ1" s="353"/>
      <c r="NDK1" s="353"/>
      <c r="NDL1" s="353"/>
      <c r="NDM1" s="353"/>
      <c r="NDN1" s="353"/>
      <c r="NDO1" s="353"/>
      <c r="NDP1" s="353"/>
      <c r="NDQ1" s="353"/>
      <c r="NDR1" s="353"/>
      <c r="NDS1" s="353"/>
      <c r="NDT1" s="353"/>
      <c r="NDU1" s="353"/>
      <c r="NDV1" s="353"/>
      <c r="NDW1" s="353"/>
      <c r="NDX1" s="353"/>
      <c r="NDY1" s="353"/>
      <c r="NDZ1" s="353"/>
      <c r="NEA1" s="353"/>
      <c r="NEB1" s="353"/>
      <c r="NEC1" s="353"/>
      <c r="NED1" s="353"/>
      <c r="NEE1" s="353"/>
      <c r="NEF1" s="353"/>
      <c r="NEG1" s="353"/>
      <c r="NEH1" s="353"/>
      <c r="NEI1" s="353"/>
      <c r="NEJ1" s="353"/>
      <c r="NEK1" s="353"/>
      <c r="NEL1" s="353"/>
      <c r="NEM1" s="353"/>
      <c r="NEN1" s="353"/>
      <c r="NEO1" s="353"/>
      <c r="NEP1" s="353"/>
      <c r="NEQ1" s="353"/>
      <c r="NER1" s="353"/>
      <c r="NES1" s="353"/>
      <c r="NET1" s="353"/>
      <c r="NEU1" s="353"/>
      <c r="NEV1" s="353"/>
      <c r="NEW1" s="353"/>
      <c r="NEX1" s="353"/>
      <c r="NEY1" s="353"/>
      <c r="NEZ1" s="353"/>
      <c r="NFA1" s="353"/>
      <c r="NFB1" s="353"/>
      <c r="NFC1" s="353"/>
      <c r="NFD1" s="353"/>
      <c r="NFE1" s="353"/>
      <c r="NFF1" s="353"/>
      <c r="NFG1" s="353"/>
      <c r="NFH1" s="353"/>
      <c r="NFI1" s="353"/>
      <c r="NFJ1" s="353"/>
      <c r="NFK1" s="353"/>
      <c r="NFL1" s="353"/>
      <c r="NFM1" s="353"/>
      <c r="NFN1" s="353"/>
      <c r="NFO1" s="353"/>
      <c r="NFP1" s="353"/>
      <c r="NFQ1" s="353"/>
      <c r="NFR1" s="353"/>
      <c r="NFS1" s="353"/>
      <c r="NFT1" s="353"/>
      <c r="NFU1" s="353"/>
      <c r="NFV1" s="353"/>
      <c r="NFW1" s="353"/>
      <c r="NFX1" s="353"/>
      <c r="NFY1" s="353"/>
      <c r="NFZ1" s="353"/>
      <c r="NGA1" s="353"/>
      <c r="NGB1" s="353"/>
      <c r="NGC1" s="353"/>
      <c r="NGD1" s="353"/>
      <c r="NGE1" s="353"/>
      <c r="NGF1" s="353"/>
      <c r="NGG1" s="353"/>
      <c r="NGH1" s="353"/>
      <c r="NGI1" s="353"/>
      <c r="NGJ1" s="353"/>
      <c r="NGK1" s="353"/>
      <c r="NGL1" s="353"/>
      <c r="NGM1" s="353"/>
      <c r="NGN1" s="353"/>
      <c r="NGO1" s="353"/>
      <c r="NGP1" s="353"/>
      <c r="NGQ1" s="353"/>
      <c r="NGR1" s="353"/>
      <c r="NGS1" s="353"/>
      <c r="NGT1" s="353"/>
      <c r="NGU1" s="353"/>
      <c r="NGV1" s="353"/>
      <c r="NGW1" s="353"/>
      <c r="NGX1" s="353"/>
      <c r="NGY1" s="353"/>
      <c r="NGZ1" s="353"/>
      <c r="NHA1" s="353"/>
      <c r="NHB1" s="353"/>
      <c r="NHC1" s="353"/>
      <c r="NHD1" s="353"/>
      <c r="NHE1" s="353"/>
      <c r="NHF1" s="353"/>
      <c r="NHG1" s="353"/>
      <c r="NHH1" s="353"/>
      <c r="NHI1" s="353"/>
      <c r="NHJ1" s="353"/>
      <c r="NHK1" s="353"/>
      <c r="NHL1" s="353"/>
      <c r="NHM1" s="353"/>
      <c r="NHN1" s="353"/>
      <c r="NHO1" s="353"/>
      <c r="NHP1" s="353"/>
      <c r="NHQ1" s="353"/>
      <c r="NHR1" s="353"/>
      <c r="NHS1" s="353"/>
      <c r="NHT1" s="353"/>
      <c r="NHU1" s="353"/>
      <c r="NHV1" s="353"/>
      <c r="NHW1" s="353"/>
      <c r="NHX1" s="353"/>
      <c r="NHY1" s="353"/>
      <c r="NHZ1" s="353"/>
      <c r="NIA1" s="353"/>
      <c r="NIB1" s="353"/>
      <c r="NIC1" s="353"/>
      <c r="NID1" s="353"/>
      <c r="NIE1" s="353"/>
      <c r="NIF1" s="353"/>
      <c r="NIG1" s="353"/>
      <c r="NIH1" s="353"/>
      <c r="NII1" s="353"/>
      <c r="NIJ1" s="353"/>
      <c r="NIK1" s="353"/>
      <c r="NIL1" s="353"/>
      <c r="NIM1" s="353"/>
      <c r="NIN1" s="353"/>
      <c r="NIO1" s="353"/>
      <c r="NIP1" s="353"/>
      <c r="NIQ1" s="353"/>
      <c r="NIR1" s="353"/>
      <c r="NIS1" s="353"/>
      <c r="NIT1" s="353"/>
      <c r="NIU1" s="353"/>
      <c r="NIV1" s="353"/>
      <c r="NIW1" s="353"/>
      <c r="NIX1" s="353"/>
      <c r="NIY1" s="353"/>
      <c r="NIZ1" s="353"/>
      <c r="NJA1" s="353"/>
      <c r="NJB1" s="353"/>
      <c r="NJC1" s="353"/>
      <c r="NJD1" s="353"/>
      <c r="NJE1" s="353"/>
      <c r="NJF1" s="353"/>
      <c r="NJG1" s="353"/>
      <c r="NJH1" s="353"/>
      <c r="NJI1" s="353"/>
      <c r="NJJ1" s="353"/>
      <c r="NJK1" s="353"/>
      <c r="NJL1" s="353"/>
      <c r="NJM1" s="353"/>
      <c r="NJN1" s="353"/>
      <c r="NJO1" s="353"/>
      <c r="NJP1" s="353"/>
      <c r="NJQ1" s="353"/>
      <c r="NJR1" s="353"/>
      <c r="NJS1" s="353"/>
      <c r="NJT1" s="353"/>
      <c r="NJU1" s="353"/>
      <c r="NJV1" s="353"/>
      <c r="NJW1" s="353"/>
      <c r="NJX1" s="353"/>
      <c r="NJY1" s="353"/>
      <c r="NJZ1" s="353"/>
      <c r="NKA1" s="353"/>
      <c r="NKB1" s="353"/>
      <c r="NKC1" s="353"/>
      <c r="NKD1" s="353"/>
      <c r="NKE1" s="353"/>
      <c r="NKF1" s="353"/>
      <c r="NKG1" s="353"/>
      <c r="NKH1" s="353"/>
      <c r="NKI1" s="353"/>
      <c r="NKJ1" s="353"/>
      <c r="NKK1" s="353"/>
      <c r="NKL1" s="353"/>
      <c r="NKM1" s="353"/>
      <c r="NKN1" s="353"/>
      <c r="NKO1" s="353"/>
      <c r="NKP1" s="353"/>
      <c r="NKQ1" s="353"/>
      <c r="NKR1" s="353"/>
      <c r="NKS1" s="353"/>
      <c r="NKT1" s="353"/>
      <c r="NKU1" s="353"/>
      <c r="NKV1" s="353"/>
      <c r="NKW1" s="353"/>
      <c r="NKX1" s="353"/>
      <c r="NKY1" s="353"/>
      <c r="NKZ1" s="353"/>
      <c r="NLA1" s="353"/>
      <c r="NLB1" s="353"/>
      <c r="NLC1" s="353"/>
      <c r="NLD1" s="353"/>
      <c r="NLE1" s="353"/>
      <c r="NLF1" s="353"/>
      <c r="NLG1" s="353"/>
      <c r="NLH1" s="353"/>
      <c r="NLI1" s="353"/>
      <c r="NLJ1" s="353"/>
      <c r="NLK1" s="353"/>
      <c r="NLL1" s="353"/>
      <c r="NLM1" s="353"/>
      <c r="NLN1" s="353"/>
      <c r="NLO1" s="353"/>
      <c r="NLP1" s="353"/>
      <c r="NLQ1" s="353"/>
      <c r="NLR1" s="353"/>
      <c r="NLS1" s="353"/>
      <c r="NLT1" s="353"/>
      <c r="NLU1" s="353"/>
      <c r="NLV1" s="353"/>
      <c r="NLW1" s="353"/>
      <c r="NLX1" s="353"/>
      <c r="NLY1" s="353"/>
      <c r="NLZ1" s="353"/>
      <c r="NMA1" s="353"/>
      <c r="NMB1" s="353"/>
      <c r="NMC1" s="353"/>
      <c r="NMD1" s="353"/>
      <c r="NME1" s="353"/>
      <c r="NMF1" s="353"/>
      <c r="NMG1" s="353"/>
      <c r="NMH1" s="353"/>
      <c r="NMI1" s="353"/>
      <c r="NMJ1" s="353"/>
      <c r="NMK1" s="353"/>
      <c r="NML1" s="353"/>
      <c r="NMM1" s="353"/>
      <c r="NMN1" s="353"/>
      <c r="NMO1" s="353"/>
      <c r="NMP1" s="353"/>
      <c r="NMQ1" s="353"/>
      <c r="NMR1" s="353"/>
      <c r="NMS1" s="353"/>
      <c r="NMT1" s="353"/>
      <c r="NMU1" s="353"/>
      <c r="NMV1" s="353"/>
      <c r="NMW1" s="353"/>
      <c r="NMX1" s="353"/>
      <c r="NMY1" s="353"/>
      <c r="NMZ1" s="353"/>
      <c r="NNA1" s="353"/>
      <c r="NNB1" s="353"/>
      <c r="NNC1" s="353"/>
      <c r="NND1" s="353"/>
      <c r="NNE1" s="353"/>
      <c r="NNF1" s="353"/>
      <c r="NNG1" s="353"/>
      <c r="NNH1" s="353"/>
      <c r="NNI1" s="353"/>
      <c r="NNJ1" s="353"/>
      <c r="NNK1" s="353"/>
      <c r="NNL1" s="353"/>
      <c r="NNM1" s="353"/>
      <c r="NNN1" s="353"/>
      <c r="NNO1" s="353"/>
      <c r="NNP1" s="353"/>
      <c r="NNQ1" s="353"/>
      <c r="NNR1" s="353"/>
      <c r="NNS1" s="353"/>
      <c r="NNT1" s="353"/>
      <c r="NNU1" s="353"/>
      <c r="NNV1" s="353"/>
      <c r="NNW1" s="353"/>
      <c r="NNX1" s="353"/>
      <c r="NNY1" s="353"/>
      <c r="NNZ1" s="353"/>
      <c r="NOA1" s="353"/>
      <c r="NOB1" s="353"/>
      <c r="NOC1" s="353"/>
      <c r="NOD1" s="353"/>
      <c r="NOE1" s="353"/>
      <c r="NOF1" s="353"/>
      <c r="NOG1" s="353"/>
      <c r="NOH1" s="353"/>
      <c r="NOI1" s="353"/>
      <c r="NOJ1" s="353"/>
      <c r="NOK1" s="353"/>
      <c r="NOL1" s="353"/>
      <c r="NOM1" s="353"/>
      <c r="NON1" s="353"/>
      <c r="NOO1" s="353"/>
      <c r="NOP1" s="353"/>
      <c r="NOQ1" s="353"/>
      <c r="NOR1" s="353"/>
      <c r="NOS1" s="353"/>
      <c r="NOT1" s="353"/>
      <c r="NOU1" s="353"/>
      <c r="NOV1" s="353"/>
      <c r="NOW1" s="353"/>
      <c r="NOX1" s="353"/>
      <c r="NOY1" s="353"/>
      <c r="NOZ1" s="353"/>
      <c r="NPA1" s="353"/>
      <c r="NPB1" s="353"/>
      <c r="NPC1" s="353"/>
      <c r="NPD1" s="353"/>
      <c r="NPE1" s="353"/>
      <c r="NPF1" s="353"/>
      <c r="NPG1" s="353"/>
      <c r="NPH1" s="353"/>
      <c r="NPI1" s="353"/>
      <c r="NPJ1" s="353"/>
      <c r="NPK1" s="353"/>
      <c r="NPL1" s="353"/>
      <c r="NPM1" s="353"/>
      <c r="NPN1" s="353"/>
      <c r="NPO1" s="353"/>
      <c r="NPP1" s="353"/>
      <c r="NPQ1" s="353"/>
      <c r="NPR1" s="353"/>
      <c r="NPS1" s="353"/>
      <c r="NPT1" s="353"/>
      <c r="NPU1" s="353"/>
      <c r="NPV1" s="353"/>
      <c r="NPW1" s="353"/>
      <c r="NPX1" s="353"/>
      <c r="NPY1" s="353"/>
      <c r="NPZ1" s="353"/>
      <c r="NQA1" s="353"/>
      <c r="NQB1" s="353"/>
      <c r="NQC1" s="353"/>
      <c r="NQD1" s="353"/>
      <c r="NQE1" s="353"/>
      <c r="NQF1" s="353"/>
      <c r="NQG1" s="353"/>
      <c r="NQH1" s="353"/>
      <c r="NQI1" s="353"/>
      <c r="NQJ1" s="353"/>
      <c r="NQK1" s="353"/>
      <c r="NQL1" s="353"/>
      <c r="NQM1" s="353"/>
      <c r="NQN1" s="353"/>
      <c r="NQO1" s="353"/>
      <c r="NQP1" s="353"/>
      <c r="NQQ1" s="353"/>
      <c r="NQR1" s="353"/>
      <c r="NQS1" s="353"/>
      <c r="NQT1" s="353"/>
      <c r="NQU1" s="353"/>
      <c r="NQV1" s="353"/>
      <c r="NQW1" s="353"/>
      <c r="NQX1" s="353"/>
      <c r="NQY1" s="353"/>
      <c r="NQZ1" s="353"/>
      <c r="NRA1" s="353"/>
      <c r="NRB1" s="353"/>
      <c r="NRC1" s="353"/>
      <c r="NRD1" s="353"/>
      <c r="NRE1" s="353"/>
      <c r="NRF1" s="353"/>
      <c r="NRG1" s="353"/>
      <c r="NRH1" s="353"/>
      <c r="NRI1" s="353"/>
      <c r="NRJ1" s="353"/>
      <c r="NRK1" s="353"/>
      <c r="NRL1" s="353"/>
      <c r="NRM1" s="353"/>
      <c r="NRN1" s="353"/>
      <c r="NRO1" s="353"/>
      <c r="NRP1" s="353"/>
      <c r="NRQ1" s="353"/>
      <c r="NRR1" s="353"/>
      <c r="NRS1" s="353"/>
      <c r="NRT1" s="353"/>
      <c r="NRU1" s="353"/>
      <c r="NRV1" s="353"/>
      <c r="NRW1" s="353"/>
      <c r="NRX1" s="353"/>
      <c r="NRY1" s="353"/>
      <c r="NRZ1" s="353"/>
      <c r="NSA1" s="353"/>
      <c r="NSB1" s="353"/>
      <c r="NSC1" s="353"/>
      <c r="NSD1" s="353"/>
      <c r="NSE1" s="353"/>
      <c r="NSF1" s="353"/>
      <c r="NSG1" s="353"/>
      <c r="NSH1" s="353"/>
      <c r="NSI1" s="353"/>
      <c r="NSJ1" s="353"/>
      <c r="NSK1" s="353"/>
      <c r="NSL1" s="353"/>
      <c r="NSM1" s="353"/>
      <c r="NSN1" s="353"/>
      <c r="NSO1" s="353"/>
      <c r="NSP1" s="353"/>
      <c r="NSQ1" s="353"/>
      <c r="NSR1" s="353"/>
      <c r="NSS1" s="353"/>
      <c r="NST1" s="353"/>
      <c r="NSU1" s="353"/>
      <c r="NSV1" s="353"/>
      <c r="NSW1" s="353"/>
      <c r="NSX1" s="353"/>
      <c r="NSY1" s="353"/>
      <c r="NSZ1" s="353"/>
      <c r="NTA1" s="353"/>
      <c r="NTB1" s="353"/>
      <c r="NTC1" s="353"/>
      <c r="NTD1" s="353"/>
      <c r="NTE1" s="353"/>
      <c r="NTF1" s="353"/>
      <c r="NTG1" s="353"/>
      <c r="NTH1" s="353"/>
      <c r="NTI1" s="353"/>
      <c r="NTJ1" s="353"/>
      <c r="NTK1" s="353"/>
      <c r="NTL1" s="353"/>
      <c r="NTM1" s="353"/>
      <c r="NTN1" s="353"/>
      <c r="NTO1" s="353"/>
      <c r="NTP1" s="353"/>
      <c r="NTQ1" s="353"/>
      <c r="NTR1" s="353"/>
      <c r="NTS1" s="353"/>
      <c r="NTT1" s="353"/>
      <c r="NTU1" s="353"/>
      <c r="NTV1" s="353"/>
      <c r="NTW1" s="353"/>
      <c r="NTX1" s="353"/>
      <c r="NTY1" s="353"/>
      <c r="NTZ1" s="353"/>
      <c r="NUA1" s="353"/>
      <c r="NUB1" s="353"/>
      <c r="NUC1" s="353"/>
      <c r="NUD1" s="353"/>
      <c r="NUE1" s="353"/>
      <c r="NUF1" s="353"/>
      <c r="NUG1" s="353"/>
      <c r="NUH1" s="353"/>
      <c r="NUI1" s="353"/>
      <c r="NUJ1" s="353"/>
      <c r="NUK1" s="353"/>
      <c r="NUL1" s="353"/>
      <c r="NUM1" s="353"/>
      <c r="NUN1" s="353"/>
      <c r="NUO1" s="353"/>
      <c r="NUP1" s="353"/>
      <c r="NUQ1" s="353"/>
      <c r="NUR1" s="353"/>
      <c r="NUS1" s="353"/>
      <c r="NUT1" s="353"/>
      <c r="NUU1" s="353"/>
      <c r="NUV1" s="353"/>
      <c r="NUW1" s="353"/>
      <c r="NUX1" s="353"/>
      <c r="NUY1" s="353"/>
      <c r="NUZ1" s="353"/>
      <c r="NVA1" s="353"/>
      <c r="NVB1" s="353"/>
      <c r="NVC1" s="353"/>
      <c r="NVD1" s="353"/>
      <c r="NVE1" s="353"/>
      <c r="NVF1" s="353"/>
      <c r="NVG1" s="353"/>
      <c r="NVH1" s="353"/>
      <c r="NVI1" s="353"/>
      <c r="NVJ1" s="353"/>
      <c r="NVK1" s="353"/>
      <c r="NVL1" s="353"/>
      <c r="NVM1" s="353"/>
      <c r="NVN1" s="353"/>
      <c r="NVO1" s="353"/>
      <c r="NVP1" s="353"/>
      <c r="NVQ1" s="353"/>
      <c r="NVR1" s="353"/>
      <c r="NVS1" s="353"/>
      <c r="NVT1" s="353"/>
      <c r="NVU1" s="353"/>
      <c r="NVV1" s="353"/>
      <c r="NVW1" s="353"/>
      <c r="NVX1" s="353"/>
      <c r="NVY1" s="353"/>
      <c r="NVZ1" s="353"/>
      <c r="NWA1" s="353"/>
      <c r="NWB1" s="353"/>
      <c r="NWC1" s="353"/>
      <c r="NWD1" s="353"/>
      <c r="NWE1" s="353"/>
      <c r="NWF1" s="353"/>
      <c r="NWG1" s="353"/>
      <c r="NWH1" s="353"/>
      <c r="NWI1" s="353"/>
      <c r="NWJ1" s="353"/>
      <c r="NWK1" s="353"/>
      <c r="NWL1" s="353"/>
      <c r="NWM1" s="353"/>
      <c r="NWN1" s="353"/>
      <c r="NWO1" s="353"/>
      <c r="NWP1" s="353"/>
      <c r="NWQ1" s="353"/>
      <c r="NWR1" s="353"/>
      <c r="NWS1" s="353"/>
      <c r="NWT1" s="353"/>
      <c r="NWU1" s="353"/>
      <c r="NWV1" s="353"/>
      <c r="NWW1" s="353"/>
      <c r="NWX1" s="353"/>
      <c r="NWY1" s="353"/>
      <c r="NWZ1" s="353"/>
      <c r="NXA1" s="353"/>
      <c r="NXB1" s="353"/>
      <c r="NXC1" s="353"/>
      <c r="NXD1" s="353"/>
      <c r="NXE1" s="353"/>
      <c r="NXF1" s="353"/>
      <c r="NXG1" s="353"/>
      <c r="NXH1" s="353"/>
      <c r="NXI1" s="353"/>
      <c r="NXJ1" s="353"/>
      <c r="NXK1" s="353"/>
      <c r="NXL1" s="353"/>
      <c r="NXM1" s="353"/>
      <c r="NXN1" s="353"/>
      <c r="NXO1" s="353"/>
      <c r="NXP1" s="353"/>
      <c r="NXQ1" s="353"/>
      <c r="NXR1" s="353"/>
      <c r="NXS1" s="353"/>
      <c r="NXT1" s="353"/>
      <c r="NXU1" s="353"/>
      <c r="NXV1" s="353"/>
      <c r="NXW1" s="353"/>
      <c r="NXX1" s="353"/>
      <c r="NXY1" s="353"/>
      <c r="NXZ1" s="353"/>
      <c r="NYA1" s="353"/>
      <c r="NYB1" s="353"/>
      <c r="NYC1" s="353"/>
      <c r="NYD1" s="353"/>
      <c r="NYE1" s="353"/>
      <c r="NYF1" s="353"/>
      <c r="NYG1" s="353"/>
      <c r="NYH1" s="353"/>
      <c r="NYI1" s="353"/>
      <c r="NYJ1" s="353"/>
      <c r="NYK1" s="353"/>
      <c r="NYL1" s="353"/>
      <c r="NYM1" s="353"/>
      <c r="NYN1" s="353"/>
      <c r="NYO1" s="353"/>
      <c r="NYP1" s="353"/>
      <c r="NYQ1" s="353"/>
      <c r="NYR1" s="353"/>
      <c r="NYS1" s="353"/>
      <c r="NYT1" s="353"/>
      <c r="NYU1" s="353"/>
      <c r="NYV1" s="353"/>
      <c r="NYW1" s="353"/>
      <c r="NYX1" s="353"/>
      <c r="NYY1" s="353"/>
      <c r="NYZ1" s="353"/>
      <c r="NZA1" s="353"/>
      <c r="NZB1" s="353"/>
      <c r="NZC1" s="353"/>
      <c r="NZD1" s="353"/>
      <c r="NZE1" s="353"/>
      <c r="NZF1" s="353"/>
      <c r="NZG1" s="353"/>
      <c r="NZH1" s="353"/>
      <c r="NZI1" s="353"/>
      <c r="NZJ1" s="353"/>
      <c r="NZK1" s="353"/>
      <c r="NZL1" s="353"/>
      <c r="NZM1" s="353"/>
      <c r="NZN1" s="353"/>
      <c r="NZO1" s="353"/>
      <c r="NZP1" s="353"/>
      <c r="NZQ1" s="353"/>
      <c r="NZR1" s="353"/>
      <c r="NZS1" s="353"/>
      <c r="NZT1" s="353"/>
      <c r="NZU1" s="353"/>
      <c r="NZV1" s="353"/>
      <c r="NZW1" s="353"/>
      <c r="NZX1" s="353"/>
      <c r="NZY1" s="353"/>
      <c r="NZZ1" s="353"/>
      <c r="OAA1" s="353"/>
      <c r="OAB1" s="353"/>
      <c r="OAC1" s="353"/>
      <c r="OAD1" s="353"/>
      <c r="OAE1" s="353"/>
      <c r="OAF1" s="353"/>
      <c r="OAG1" s="353"/>
      <c r="OAH1" s="353"/>
      <c r="OAI1" s="353"/>
      <c r="OAJ1" s="353"/>
      <c r="OAK1" s="353"/>
      <c r="OAL1" s="353"/>
      <c r="OAM1" s="353"/>
      <c r="OAN1" s="353"/>
      <c r="OAO1" s="353"/>
      <c r="OAP1" s="353"/>
      <c r="OAQ1" s="353"/>
      <c r="OAR1" s="353"/>
      <c r="OAS1" s="353"/>
      <c r="OAT1" s="353"/>
      <c r="OAU1" s="353"/>
      <c r="OAV1" s="353"/>
      <c r="OAW1" s="353"/>
      <c r="OAX1" s="353"/>
      <c r="OAY1" s="353"/>
      <c r="OAZ1" s="353"/>
      <c r="OBA1" s="353"/>
      <c r="OBB1" s="353"/>
      <c r="OBC1" s="353"/>
      <c r="OBD1" s="353"/>
      <c r="OBE1" s="353"/>
      <c r="OBF1" s="353"/>
      <c r="OBG1" s="353"/>
      <c r="OBH1" s="353"/>
      <c r="OBI1" s="353"/>
      <c r="OBJ1" s="353"/>
      <c r="OBK1" s="353"/>
      <c r="OBL1" s="353"/>
      <c r="OBM1" s="353"/>
      <c r="OBN1" s="353"/>
      <c r="OBO1" s="353"/>
      <c r="OBP1" s="353"/>
      <c r="OBQ1" s="353"/>
      <c r="OBR1" s="353"/>
      <c r="OBS1" s="353"/>
      <c r="OBT1" s="353"/>
      <c r="OBU1" s="353"/>
      <c r="OBV1" s="353"/>
      <c r="OBW1" s="353"/>
      <c r="OBX1" s="353"/>
      <c r="OBY1" s="353"/>
      <c r="OBZ1" s="353"/>
      <c r="OCA1" s="353"/>
      <c r="OCB1" s="353"/>
      <c r="OCC1" s="353"/>
      <c r="OCD1" s="353"/>
      <c r="OCE1" s="353"/>
      <c r="OCF1" s="353"/>
      <c r="OCG1" s="353"/>
      <c r="OCH1" s="353"/>
      <c r="OCI1" s="353"/>
      <c r="OCJ1" s="353"/>
      <c r="OCK1" s="353"/>
      <c r="OCL1" s="353"/>
      <c r="OCM1" s="353"/>
      <c r="OCN1" s="353"/>
      <c r="OCO1" s="353"/>
      <c r="OCP1" s="353"/>
      <c r="OCQ1" s="353"/>
      <c r="OCR1" s="353"/>
      <c r="OCS1" s="353"/>
      <c r="OCT1" s="353"/>
      <c r="OCU1" s="353"/>
      <c r="OCV1" s="353"/>
      <c r="OCW1" s="353"/>
      <c r="OCX1" s="353"/>
      <c r="OCY1" s="353"/>
      <c r="OCZ1" s="353"/>
      <c r="ODA1" s="353"/>
      <c r="ODB1" s="353"/>
      <c r="ODC1" s="353"/>
      <c r="ODD1" s="353"/>
      <c r="ODE1" s="353"/>
      <c r="ODF1" s="353"/>
      <c r="ODG1" s="353"/>
      <c r="ODH1" s="353"/>
      <c r="ODI1" s="353"/>
      <c r="ODJ1" s="353"/>
      <c r="ODK1" s="353"/>
      <c r="ODL1" s="353"/>
      <c r="ODM1" s="353"/>
      <c r="ODN1" s="353"/>
      <c r="ODO1" s="353"/>
      <c r="ODP1" s="353"/>
      <c r="ODQ1" s="353"/>
      <c r="ODR1" s="353"/>
      <c r="ODS1" s="353"/>
      <c r="ODT1" s="353"/>
      <c r="ODU1" s="353"/>
      <c r="ODV1" s="353"/>
      <c r="ODW1" s="353"/>
      <c r="ODX1" s="353"/>
      <c r="ODY1" s="353"/>
      <c r="ODZ1" s="353"/>
      <c r="OEA1" s="353"/>
      <c r="OEB1" s="353"/>
      <c r="OEC1" s="353"/>
      <c r="OED1" s="353"/>
      <c r="OEE1" s="353"/>
      <c r="OEF1" s="353"/>
      <c r="OEG1" s="353"/>
      <c r="OEH1" s="353"/>
      <c r="OEI1" s="353"/>
      <c r="OEJ1" s="353"/>
      <c r="OEK1" s="353"/>
      <c r="OEL1" s="353"/>
      <c r="OEM1" s="353"/>
      <c r="OEN1" s="353"/>
      <c r="OEO1" s="353"/>
      <c r="OEP1" s="353"/>
      <c r="OEQ1" s="353"/>
      <c r="OER1" s="353"/>
      <c r="OES1" s="353"/>
      <c r="OET1" s="353"/>
      <c r="OEU1" s="353"/>
      <c r="OEV1" s="353"/>
      <c r="OEW1" s="353"/>
      <c r="OEX1" s="353"/>
      <c r="OEY1" s="353"/>
      <c r="OEZ1" s="353"/>
      <c r="OFA1" s="353"/>
      <c r="OFB1" s="353"/>
      <c r="OFC1" s="353"/>
      <c r="OFD1" s="353"/>
      <c r="OFE1" s="353"/>
      <c r="OFF1" s="353"/>
      <c r="OFG1" s="353"/>
      <c r="OFH1" s="353"/>
      <c r="OFI1" s="353"/>
      <c r="OFJ1" s="353"/>
      <c r="OFK1" s="353"/>
      <c r="OFL1" s="353"/>
      <c r="OFM1" s="353"/>
      <c r="OFN1" s="353"/>
      <c r="OFO1" s="353"/>
      <c r="OFP1" s="353"/>
      <c r="OFQ1" s="353"/>
      <c r="OFR1" s="353"/>
      <c r="OFS1" s="353"/>
      <c r="OFT1" s="353"/>
      <c r="OFU1" s="353"/>
      <c r="OFV1" s="353"/>
      <c r="OFW1" s="353"/>
      <c r="OFX1" s="353"/>
      <c r="OFY1" s="353"/>
      <c r="OFZ1" s="353"/>
      <c r="OGA1" s="353"/>
      <c r="OGB1" s="353"/>
      <c r="OGC1" s="353"/>
      <c r="OGD1" s="353"/>
      <c r="OGE1" s="353"/>
      <c r="OGF1" s="353"/>
      <c r="OGG1" s="353"/>
      <c r="OGH1" s="353"/>
      <c r="OGI1" s="353"/>
      <c r="OGJ1" s="353"/>
      <c r="OGK1" s="353"/>
      <c r="OGL1" s="353"/>
      <c r="OGM1" s="353"/>
      <c r="OGN1" s="353"/>
      <c r="OGO1" s="353"/>
      <c r="OGP1" s="353"/>
      <c r="OGQ1" s="353"/>
      <c r="OGR1" s="353"/>
      <c r="OGS1" s="353"/>
      <c r="OGT1" s="353"/>
      <c r="OGU1" s="353"/>
      <c r="OGV1" s="353"/>
      <c r="OGW1" s="353"/>
      <c r="OGX1" s="353"/>
      <c r="OGY1" s="353"/>
      <c r="OGZ1" s="353"/>
      <c r="OHA1" s="353"/>
      <c r="OHB1" s="353"/>
      <c r="OHC1" s="353"/>
      <c r="OHD1" s="353"/>
      <c r="OHE1" s="353"/>
      <c r="OHF1" s="353"/>
      <c r="OHG1" s="353"/>
      <c r="OHH1" s="353"/>
      <c r="OHI1" s="353"/>
      <c r="OHJ1" s="353"/>
      <c r="OHK1" s="353"/>
      <c r="OHL1" s="353"/>
      <c r="OHM1" s="353"/>
      <c r="OHN1" s="353"/>
      <c r="OHO1" s="353"/>
      <c r="OHP1" s="353"/>
      <c r="OHQ1" s="353"/>
      <c r="OHR1" s="353"/>
      <c r="OHS1" s="353"/>
      <c r="OHT1" s="353"/>
      <c r="OHU1" s="353"/>
      <c r="OHV1" s="353"/>
      <c r="OHW1" s="353"/>
      <c r="OHX1" s="353"/>
      <c r="OHY1" s="353"/>
      <c r="OHZ1" s="353"/>
      <c r="OIA1" s="353"/>
      <c r="OIB1" s="353"/>
      <c r="OIC1" s="353"/>
      <c r="OID1" s="353"/>
      <c r="OIE1" s="353"/>
      <c r="OIF1" s="353"/>
      <c r="OIG1" s="353"/>
      <c r="OIH1" s="353"/>
      <c r="OII1" s="353"/>
      <c r="OIJ1" s="353"/>
      <c r="OIK1" s="353"/>
      <c r="OIL1" s="353"/>
      <c r="OIM1" s="353"/>
      <c r="OIN1" s="353"/>
      <c r="OIO1" s="353"/>
      <c r="OIP1" s="353"/>
      <c r="OIQ1" s="353"/>
      <c r="OIR1" s="353"/>
      <c r="OIS1" s="353"/>
      <c r="OIT1" s="353"/>
      <c r="OIU1" s="353"/>
      <c r="OIV1" s="353"/>
      <c r="OIW1" s="353"/>
      <c r="OIX1" s="353"/>
      <c r="OIY1" s="353"/>
      <c r="OIZ1" s="353"/>
      <c r="OJA1" s="353"/>
      <c r="OJB1" s="353"/>
      <c r="OJC1" s="353"/>
      <c r="OJD1" s="353"/>
      <c r="OJE1" s="353"/>
      <c r="OJF1" s="353"/>
      <c r="OJG1" s="353"/>
      <c r="OJH1" s="353"/>
      <c r="OJI1" s="353"/>
      <c r="OJJ1" s="353"/>
      <c r="OJK1" s="353"/>
      <c r="OJL1" s="353"/>
      <c r="OJM1" s="353"/>
      <c r="OJN1" s="353"/>
      <c r="OJO1" s="353"/>
      <c r="OJP1" s="353"/>
      <c r="OJQ1" s="353"/>
      <c r="OJR1" s="353"/>
      <c r="OJS1" s="353"/>
      <c r="OJT1" s="353"/>
      <c r="OJU1" s="353"/>
      <c r="OJV1" s="353"/>
      <c r="OJW1" s="353"/>
      <c r="OJX1" s="353"/>
      <c r="OJY1" s="353"/>
      <c r="OJZ1" s="353"/>
      <c r="OKA1" s="353"/>
      <c r="OKB1" s="353"/>
      <c r="OKC1" s="353"/>
      <c r="OKD1" s="353"/>
      <c r="OKE1" s="353"/>
      <c r="OKF1" s="353"/>
      <c r="OKG1" s="353"/>
      <c r="OKH1" s="353"/>
      <c r="OKI1" s="353"/>
      <c r="OKJ1" s="353"/>
      <c r="OKK1" s="353"/>
      <c r="OKL1" s="353"/>
      <c r="OKM1" s="353"/>
      <c r="OKN1" s="353"/>
      <c r="OKO1" s="353"/>
      <c r="OKP1" s="353"/>
      <c r="OKQ1" s="353"/>
      <c r="OKR1" s="353"/>
      <c r="OKS1" s="353"/>
      <c r="OKT1" s="353"/>
      <c r="OKU1" s="353"/>
      <c r="OKV1" s="353"/>
      <c r="OKW1" s="353"/>
      <c r="OKX1" s="353"/>
      <c r="OKY1" s="353"/>
      <c r="OKZ1" s="353"/>
      <c r="OLA1" s="353"/>
      <c r="OLB1" s="353"/>
      <c r="OLC1" s="353"/>
      <c r="OLD1" s="353"/>
      <c r="OLE1" s="353"/>
      <c r="OLF1" s="353"/>
      <c r="OLG1" s="353"/>
      <c r="OLH1" s="353"/>
      <c r="OLI1" s="353"/>
      <c r="OLJ1" s="353"/>
      <c r="OLK1" s="353"/>
      <c r="OLL1" s="353"/>
      <c r="OLM1" s="353"/>
      <c r="OLN1" s="353"/>
      <c r="OLO1" s="353"/>
      <c r="OLP1" s="353"/>
      <c r="OLQ1" s="353"/>
      <c r="OLR1" s="353"/>
      <c r="OLS1" s="353"/>
      <c r="OLT1" s="353"/>
      <c r="OLU1" s="353"/>
      <c r="OLV1" s="353"/>
      <c r="OLW1" s="353"/>
      <c r="OLX1" s="353"/>
      <c r="OLY1" s="353"/>
      <c r="OLZ1" s="353"/>
      <c r="OMA1" s="353"/>
      <c r="OMB1" s="353"/>
      <c r="OMC1" s="353"/>
      <c r="OMD1" s="353"/>
      <c r="OME1" s="353"/>
      <c r="OMF1" s="353"/>
      <c r="OMG1" s="353"/>
      <c r="OMH1" s="353"/>
      <c r="OMI1" s="353"/>
      <c r="OMJ1" s="353"/>
      <c r="OMK1" s="353"/>
      <c r="OML1" s="353"/>
      <c r="OMM1" s="353"/>
      <c r="OMN1" s="353"/>
      <c r="OMO1" s="353"/>
      <c r="OMP1" s="353"/>
      <c r="OMQ1" s="353"/>
      <c r="OMR1" s="353"/>
      <c r="OMS1" s="353"/>
      <c r="OMT1" s="353"/>
      <c r="OMU1" s="353"/>
      <c r="OMV1" s="353"/>
      <c r="OMW1" s="353"/>
      <c r="OMX1" s="353"/>
      <c r="OMY1" s="353"/>
      <c r="OMZ1" s="353"/>
      <c r="ONA1" s="353"/>
      <c r="ONB1" s="353"/>
      <c r="ONC1" s="353"/>
      <c r="OND1" s="353"/>
      <c r="ONE1" s="353"/>
      <c r="ONF1" s="353"/>
      <c r="ONG1" s="353"/>
      <c r="ONH1" s="353"/>
      <c r="ONI1" s="353"/>
      <c r="ONJ1" s="353"/>
      <c r="ONK1" s="353"/>
      <c r="ONL1" s="353"/>
      <c r="ONM1" s="353"/>
      <c r="ONN1" s="353"/>
      <c r="ONO1" s="353"/>
      <c r="ONP1" s="353"/>
      <c r="ONQ1" s="353"/>
      <c r="ONR1" s="353"/>
      <c r="ONS1" s="353"/>
      <c r="ONT1" s="353"/>
      <c r="ONU1" s="353"/>
      <c r="ONV1" s="353"/>
      <c r="ONW1" s="353"/>
      <c r="ONX1" s="353"/>
      <c r="ONY1" s="353"/>
      <c r="ONZ1" s="353"/>
      <c r="OOA1" s="353"/>
      <c r="OOB1" s="353"/>
      <c r="OOC1" s="353"/>
      <c r="OOD1" s="353"/>
      <c r="OOE1" s="353"/>
      <c r="OOF1" s="353"/>
      <c r="OOG1" s="353"/>
      <c r="OOH1" s="353"/>
      <c r="OOI1" s="353"/>
      <c r="OOJ1" s="353"/>
      <c r="OOK1" s="353"/>
      <c r="OOL1" s="353"/>
      <c r="OOM1" s="353"/>
      <c r="OON1" s="353"/>
      <c r="OOO1" s="353"/>
      <c r="OOP1" s="353"/>
      <c r="OOQ1" s="353"/>
      <c r="OOR1" s="353"/>
      <c r="OOS1" s="353"/>
      <c r="OOT1" s="353"/>
      <c r="OOU1" s="353"/>
      <c r="OOV1" s="353"/>
      <c r="OOW1" s="353"/>
      <c r="OOX1" s="353"/>
      <c r="OOY1" s="353"/>
      <c r="OOZ1" s="353"/>
      <c r="OPA1" s="353"/>
      <c r="OPB1" s="353"/>
      <c r="OPC1" s="353"/>
      <c r="OPD1" s="353"/>
      <c r="OPE1" s="353"/>
      <c r="OPF1" s="353"/>
      <c r="OPG1" s="353"/>
      <c r="OPH1" s="353"/>
      <c r="OPI1" s="353"/>
      <c r="OPJ1" s="353"/>
      <c r="OPK1" s="353"/>
      <c r="OPL1" s="353"/>
      <c r="OPM1" s="353"/>
      <c r="OPN1" s="353"/>
      <c r="OPO1" s="353"/>
      <c r="OPP1" s="353"/>
      <c r="OPQ1" s="353"/>
      <c r="OPR1" s="353"/>
      <c r="OPS1" s="353"/>
      <c r="OPT1" s="353"/>
      <c r="OPU1" s="353"/>
      <c r="OPV1" s="353"/>
      <c r="OPW1" s="353"/>
      <c r="OPX1" s="353"/>
      <c r="OPY1" s="353"/>
      <c r="OPZ1" s="353"/>
      <c r="OQA1" s="353"/>
      <c r="OQB1" s="353"/>
      <c r="OQC1" s="353"/>
      <c r="OQD1" s="353"/>
      <c r="OQE1" s="353"/>
      <c r="OQF1" s="353"/>
      <c r="OQG1" s="353"/>
      <c r="OQH1" s="353"/>
      <c r="OQI1" s="353"/>
      <c r="OQJ1" s="353"/>
      <c r="OQK1" s="353"/>
      <c r="OQL1" s="353"/>
      <c r="OQM1" s="353"/>
      <c r="OQN1" s="353"/>
      <c r="OQO1" s="353"/>
      <c r="OQP1" s="353"/>
      <c r="OQQ1" s="353"/>
      <c r="OQR1" s="353"/>
      <c r="OQS1" s="353"/>
      <c r="OQT1" s="353"/>
      <c r="OQU1" s="353"/>
      <c r="OQV1" s="353"/>
      <c r="OQW1" s="353"/>
      <c r="OQX1" s="353"/>
      <c r="OQY1" s="353"/>
      <c r="OQZ1" s="353"/>
      <c r="ORA1" s="353"/>
      <c r="ORB1" s="353"/>
      <c r="ORC1" s="353"/>
      <c r="ORD1" s="353"/>
      <c r="ORE1" s="353"/>
      <c r="ORF1" s="353"/>
      <c r="ORG1" s="353"/>
      <c r="ORH1" s="353"/>
      <c r="ORI1" s="353"/>
      <c r="ORJ1" s="353"/>
      <c r="ORK1" s="353"/>
      <c r="ORL1" s="353"/>
      <c r="ORM1" s="353"/>
      <c r="ORN1" s="353"/>
      <c r="ORO1" s="353"/>
      <c r="ORP1" s="353"/>
      <c r="ORQ1" s="353"/>
      <c r="ORR1" s="353"/>
      <c r="ORS1" s="353"/>
      <c r="ORT1" s="353"/>
      <c r="ORU1" s="353"/>
      <c r="ORV1" s="353"/>
      <c r="ORW1" s="353"/>
      <c r="ORX1" s="353"/>
      <c r="ORY1" s="353"/>
      <c r="ORZ1" s="353"/>
      <c r="OSA1" s="353"/>
      <c r="OSB1" s="353"/>
      <c r="OSC1" s="353"/>
      <c r="OSD1" s="353"/>
      <c r="OSE1" s="353"/>
      <c r="OSF1" s="353"/>
      <c r="OSG1" s="353"/>
      <c r="OSH1" s="353"/>
      <c r="OSI1" s="353"/>
      <c r="OSJ1" s="353"/>
      <c r="OSK1" s="353"/>
      <c r="OSL1" s="353"/>
      <c r="OSM1" s="353"/>
      <c r="OSN1" s="353"/>
      <c r="OSO1" s="353"/>
      <c r="OSP1" s="353"/>
      <c r="OSQ1" s="353"/>
      <c r="OSR1" s="353"/>
      <c r="OSS1" s="353"/>
      <c r="OST1" s="353"/>
      <c r="OSU1" s="353"/>
      <c r="OSV1" s="353"/>
      <c r="OSW1" s="353"/>
      <c r="OSX1" s="353"/>
      <c r="OSY1" s="353"/>
      <c r="OSZ1" s="353"/>
      <c r="OTA1" s="353"/>
      <c r="OTB1" s="353"/>
      <c r="OTC1" s="353"/>
      <c r="OTD1" s="353"/>
      <c r="OTE1" s="353"/>
      <c r="OTF1" s="353"/>
      <c r="OTG1" s="353"/>
      <c r="OTH1" s="353"/>
      <c r="OTI1" s="353"/>
      <c r="OTJ1" s="353"/>
      <c r="OTK1" s="353"/>
      <c r="OTL1" s="353"/>
      <c r="OTM1" s="353"/>
      <c r="OTN1" s="353"/>
      <c r="OTO1" s="353"/>
      <c r="OTP1" s="353"/>
      <c r="OTQ1" s="353"/>
      <c r="OTR1" s="353"/>
      <c r="OTS1" s="353"/>
      <c r="OTT1" s="353"/>
      <c r="OTU1" s="353"/>
      <c r="OTV1" s="353"/>
      <c r="OTW1" s="353"/>
      <c r="OTX1" s="353"/>
      <c r="OTY1" s="353"/>
      <c r="OTZ1" s="353"/>
      <c r="OUA1" s="353"/>
      <c r="OUB1" s="353"/>
      <c r="OUC1" s="353"/>
      <c r="OUD1" s="353"/>
      <c r="OUE1" s="353"/>
      <c r="OUF1" s="353"/>
      <c r="OUG1" s="353"/>
      <c r="OUH1" s="353"/>
      <c r="OUI1" s="353"/>
      <c r="OUJ1" s="353"/>
      <c r="OUK1" s="353"/>
      <c r="OUL1" s="353"/>
      <c r="OUM1" s="353"/>
      <c r="OUN1" s="353"/>
      <c r="OUO1" s="353"/>
      <c r="OUP1" s="353"/>
      <c r="OUQ1" s="353"/>
      <c r="OUR1" s="353"/>
      <c r="OUS1" s="353"/>
      <c r="OUT1" s="353"/>
      <c r="OUU1" s="353"/>
      <c r="OUV1" s="353"/>
      <c r="OUW1" s="353"/>
      <c r="OUX1" s="353"/>
      <c r="OUY1" s="353"/>
      <c r="OUZ1" s="353"/>
      <c r="OVA1" s="353"/>
      <c r="OVB1" s="353"/>
      <c r="OVC1" s="353"/>
      <c r="OVD1" s="353"/>
      <c r="OVE1" s="353"/>
      <c r="OVF1" s="353"/>
      <c r="OVG1" s="353"/>
      <c r="OVH1" s="353"/>
      <c r="OVI1" s="353"/>
      <c r="OVJ1" s="353"/>
      <c r="OVK1" s="353"/>
      <c r="OVL1" s="353"/>
      <c r="OVM1" s="353"/>
      <c r="OVN1" s="353"/>
      <c r="OVO1" s="353"/>
      <c r="OVP1" s="353"/>
      <c r="OVQ1" s="353"/>
      <c r="OVR1" s="353"/>
      <c r="OVS1" s="353"/>
      <c r="OVT1" s="353"/>
      <c r="OVU1" s="353"/>
      <c r="OVV1" s="353"/>
      <c r="OVW1" s="353"/>
      <c r="OVX1" s="353"/>
      <c r="OVY1" s="353"/>
      <c r="OVZ1" s="353"/>
      <c r="OWA1" s="353"/>
      <c r="OWB1" s="353"/>
      <c r="OWC1" s="353"/>
      <c r="OWD1" s="353"/>
      <c r="OWE1" s="353"/>
      <c r="OWF1" s="353"/>
      <c r="OWG1" s="353"/>
      <c r="OWH1" s="353"/>
      <c r="OWI1" s="353"/>
      <c r="OWJ1" s="353"/>
      <c r="OWK1" s="353"/>
      <c r="OWL1" s="353"/>
      <c r="OWM1" s="353"/>
      <c r="OWN1" s="353"/>
      <c r="OWO1" s="353"/>
      <c r="OWP1" s="353"/>
      <c r="OWQ1" s="353"/>
      <c r="OWR1" s="353"/>
      <c r="OWS1" s="353"/>
      <c r="OWT1" s="353"/>
      <c r="OWU1" s="353"/>
      <c r="OWV1" s="353"/>
      <c r="OWW1" s="353"/>
      <c r="OWX1" s="353"/>
      <c r="OWY1" s="353"/>
      <c r="OWZ1" s="353"/>
      <c r="OXA1" s="353"/>
      <c r="OXB1" s="353"/>
      <c r="OXC1" s="353"/>
      <c r="OXD1" s="353"/>
      <c r="OXE1" s="353"/>
      <c r="OXF1" s="353"/>
      <c r="OXG1" s="353"/>
      <c r="OXH1" s="353"/>
      <c r="OXI1" s="353"/>
      <c r="OXJ1" s="353"/>
      <c r="OXK1" s="353"/>
      <c r="OXL1" s="353"/>
      <c r="OXM1" s="353"/>
      <c r="OXN1" s="353"/>
      <c r="OXO1" s="353"/>
      <c r="OXP1" s="353"/>
      <c r="OXQ1" s="353"/>
      <c r="OXR1" s="353"/>
      <c r="OXS1" s="353"/>
      <c r="OXT1" s="353"/>
      <c r="OXU1" s="353"/>
      <c r="OXV1" s="353"/>
      <c r="OXW1" s="353"/>
      <c r="OXX1" s="353"/>
      <c r="OXY1" s="353"/>
      <c r="OXZ1" s="353"/>
      <c r="OYA1" s="353"/>
      <c r="OYB1" s="353"/>
      <c r="OYC1" s="353"/>
      <c r="OYD1" s="353"/>
      <c r="OYE1" s="353"/>
      <c r="OYF1" s="353"/>
      <c r="OYG1" s="353"/>
      <c r="OYH1" s="353"/>
      <c r="OYI1" s="353"/>
      <c r="OYJ1" s="353"/>
      <c r="OYK1" s="353"/>
      <c r="OYL1" s="353"/>
      <c r="OYM1" s="353"/>
      <c r="OYN1" s="353"/>
      <c r="OYO1" s="353"/>
      <c r="OYP1" s="353"/>
      <c r="OYQ1" s="353"/>
      <c r="OYR1" s="353"/>
      <c r="OYS1" s="353"/>
      <c r="OYT1" s="353"/>
      <c r="OYU1" s="353"/>
      <c r="OYV1" s="353"/>
      <c r="OYW1" s="353"/>
      <c r="OYX1" s="353"/>
      <c r="OYY1" s="353"/>
      <c r="OYZ1" s="353"/>
      <c r="OZA1" s="353"/>
      <c r="OZB1" s="353"/>
      <c r="OZC1" s="353"/>
      <c r="OZD1" s="353"/>
      <c r="OZE1" s="353"/>
      <c r="OZF1" s="353"/>
      <c r="OZG1" s="353"/>
      <c r="OZH1" s="353"/>
      <c r="OZI1" s="353"/>
      <c r="OZJ1" s="353"/>
      <c r="OZK1" s="353"/>
      <c r="OZL1" s="353"/>
      <c r="OZM1" s="353"/>
      <c r="OZN1" s="353"/>
      <c r="OZO1" s="353"/>
      <c r="OZP1" s="353"/>
      <c r="OZQ1" s="353"/>
      <c r="OZR1" s="353"/>
      <c r="OZS1" s="353"/>
      <c r="OZT1" s="353"/>
      <c r="OZU1" s="353"/>
      <c r="OZV1" s="353"/>
      <c r="OZW1" s="353"/>
      <c r="OZX1" s="353"/>
      <c r="OZY1" s="353"/>
      <c r="OZZ1" s="353"/>
      <c r="PAA1" s="353"/>
      <c r="PAB1" s="353"/>
      <c r="PAC1" s="353"/>
      <c r="PAD1" s="353"/>
      <c r="PAE1" s="353"/>
      <c r="PAF1" s="353"/>
      <c r="PAG1" s="353"/>
      <c r="PAH1" s="353"/>
      <c r="PAI1" s="353"/>
      <c r="PAJ1" s="353"/>
      <c r="PAK1" s="353"/>
      <c r="PAL1" s="353"/>
      <c r="PAM1" s="353"/>
      <c r="PAN1" s="353"/>
      <c r="PAO1" s="353"/>
      <c r="PAP1" s="353"/>
      <c r="PAQ1" s="353"/>
      <c r="PAR1" s="353"/>
      <c r="PAS1" s="353"/>
      <c r="PAT1" s="353"/>
      <c r="PAU1" s="353"/>
      <c r="PAV1" s="353"/>
      <c r="PAW1" s="353"/>
      <c r="PAX1" s="353"/>
      <c r="PAY1" s="353"/>
      <c r="PAZ1" s="353"/>
      <c r="PBA1" s="353"/>
      <c r="PBB1" s="353"/>
      <c r="PBC1" s="353"/>
      <c r="PBD1" s="353"/>
      <c r="PBE1" s="353"/>
      <c r="PBF1" s="353"/>
      <c r="PBG1" s="353"/>
      <c r="PBH1" s="353"/>
      <c r="PBI1" s="353"/>
      <c r="PBJ1" s="353"/>
      <c r="PBK1" s="353"/>
      <c r="PBL1" s="353"/>
      <c r="PBM1" s="353"/>
      <c r="PBN1" s="353"/>
      <c r="PBO1" s="353"/>
      <c r="PBP1" s="353"/>
      <c r="PBQ1" s="353"/>
      <c r="PBR1" s="353"/>
      <c r="PBS1" s="353"/>
      <c r="PBT1" s="353"/>
      <c r="PBU1" s="353"/>
      <c r="PBV1" s="353"/>
      <c r="PBW1" s="353"/>
      <c r="PBX1" s="353"/>
      <c r="PBY1" s="353"/>
      <c r="PBZ1" s="353"/>
      <c r="PCA1" s="353"/>
      <c r="PCB1" s="353"/>
      <c r="PCC1" s="353"/>
      <c r="PCD1" s="353"/>
      <c r="PCE1" s="353"/>
      <c r="PCF1" s="353"/>
      <c r="PCG1" s="353"/>
      <c r="PCH1" s="353"/>
      <c r="PCI1" s="353"/>
      <c r="PCJ1" s="353"/>
      <c r="PCK1" s="353"/>
      <c r="PCL1" s="353"/>
      <c r="PCM1" s="353"/>
      <c r="PCN1" s="353"/>
      <c r="PCO1" s="353"/>
      <c r="PCP1" s="353"/>
      <c r="PCQ1" s="353"/>
      <c r="PCR1" s="353"/>
      <c r="PCS1" s="353"/>
      <c r="PCT1" s="353"/>
      <c r="PCU1" s="353"/>
      <c r="PCV1" s="353"/>
      <c r="PCW1" s="353"/>
      <c r="PCX1" s="353"/>
      <c r="PCY1" s="353"/>
      <c r="PCZ1" s="353"/>
      <c r="PDA1" s="353"/>
      <c r="PDB1" s="353"/>
      <c r="PDC1" s="353"/>
      <c r="PDD1" s="353"/>
      <c r="PDE1" s="353"/>
      <c r="PDF1" s="353"/>
      <c r="PDG1" s="353"/>
      <c r="PDH1" s="353"/>
      <c r="PDI1" s="353"/>
      <c r="PDJ1" s="353"/>
      <c r="PDK1" s="353"/>
      <c r="PDL1" s="353"/>
      <c r="PDM1" s="353"/>
      <c r="PDN1" s="353"/>
      <c r="PDO1" s="353"/>
      <c r="PDP1" s="353"/>
      <c r="PDQ1" s="353"/>
      <c r="PDR1" s="353"/>
      <c r="PDS1" s="353"/>
      <c r="PDT1" s="353"/>
      <c r="PDU1" s="353"/>
      <c r="PDV1" s="353"/>
      <c r="PDW1" s="353"/>
      <c r="PDX1" s="353"/>
      <c r="PDY1" s="353"/>
      <c r="PDZ1" s="353"/>
      <c r="PEA1" s="353"/>
      <c r="PEB1" s="353"/>
      <c r="PEC1" s="353"/>
      <c r="PED1" s="353"/>
      <c r="PEE1" s="353"/>
      <c r="PEF1" s="353"/>
      <c r="PEG1" s="353"/>
      <c r="PEH1" s="353"/>
      <c r="PEI1" s="353"/>
      <c r="PEJ1" s="353"/>
      <c r="PEK1" s="353"/>
      <c r="PEL1" s="353"/>
      <c r="PEM1" s="353"/>
      <c r="PEN1" s="353"/>
      <c r="PEO1" s="353"/>
      <c r="PEP1" s="353"/>
      <c r="PEQ1" s="353"/>
      <c r="PER1" s="353"/>
      <c r="PES1" s="353"/>
      <c r="PET1" s="353"/>
      <c r="PEU1" s="353"/>
      <c r="PEV1" s="353"/>
      <c r="PEW1" s="353"/>
      <c r="PEX1" s="353"/>
      <c r="PEY1" s="353"/>
      <c r="PEZ1" s="353"/>
      <c r="PFA1" s="353"/>
      <c r="PFB1" s="353"/>
      <c r="PFC1" s="353"/>
      <c r="PFD1" s="353"/>
      <c r="PFE1" s="353"/>
      <c r="PFF1" s="353"/>
      <c r="PFG1" s="353"/>
      <c r="PFH1" s="353"/>
      <c r="PFI1" s="353"/>
      <c r="PFJ1" s="353"/>
      <c r="PFK1" s="353"/>
      <c r="PFL1" s="353"/>
      <c r="PFM1" s="353"/>
      <c r="PFN1" s="353"/>
      <c r="PFO1" s="353"/>
      <c r="PFP1" s="353"/>
      <c r="PFQ1" s="353"/>
      <c r="PFR1" s="353"/>
      <c r="PFS1" s="353"/>
      <c r="PFT1" s="353"/>
      <c r="PFU1" s="353"/>
      <c r="PFV1" s="353"/>
      <c r="PFW1" s="353"/>
      <c r="PFX1" s="353"/>
      <c r="PFY1" s="353"/>
      <c r="PFZ1" s="353"/>
      <c r="PGA1" s="353"/>
      <c r="PGB1" s="353"/>
      <c r="PGC1" s="353"/>
      <c r="PGD1" s="353"/>
      <c r="PGE1" s="353"/>
      <c r="PGF1" s="353"/>
      <c r="PGG1" s="353"/>
      <c r="PGH1" s="353"/>
      <c r="PGI1" s="353"/>
      <c r="PGJ1" s="353"/>
      <c r="PGK1" s="353"/>
      <c r="PGL1" s="353"/>
      <c r="PGM1" s="353"/>
      <c r="PGN1" s="353"/>
      <c r="PGO1" s="353"/>
      <c r="PGP1" s="353"/>
      <c r="PGQ1" s="353"/>
      <c r="PGR1" s="353"/>
      <c r="PGS1" s="353"/>
      <c r="PGT1" s="353"/>
      <c r="PGU1" s="353"/>
      <c r="PGV1" s="353"/>
      <c r="PGW1" s="353"/>
      <c r="PGX1" s="353"/>
      <c r="PGY1" s="353"/>
      <c r="PGZ1" s="353"/>
      <c r="PHA1" s="353"/>
      <c r="PHB1" s="353"/>
      <c r="PHC1" s="353"/>
      <c r="PHD1" s="353"/>
      <c r="PHE1" s="353"/>
      <c r="PHF1" s="353"/>
      <c r="PHG1" s="353"/>
      <c r="PHH1" s="353"/>
      <c r="PHI1" s="353"/>
      <c r="PHJ1" s="353"/>
      <c r="PHK1" s="353"/>
      <c r="PHL1" s="353"/>
      <c r="PHM1" s="353"/>
      <c r="PHN1" s="353"/>
      <c r="PHO1" s="353"/>
      <c r="PHP1" s="353"/>
      <c r="PHQ1" s="353"/>
      <c r="PHR1" s="353"/>
      <c r="PHS1" s="353"/>
      <c r="PHT1" s="353"/>
      <c r="PHU1" s="353"/>
      <c r="PHV1" s="353"/>
      <c r="PHW1" s="353"/>
      <c r="PHX1" s="353"/>
      <c r="PHY1" s="353"/>
      <c r="PHZ1" s="353"/>
      <c r="PIA1" s="353"/>
      <c r="PIB1" s="353"/>
      <c r="PIC1" s="353"/>
      <c r="PID1" s="353"/>
      <c r="PIE1" s="353"/>
      <c r="PIF1" s="353"/>
      <c r="PIG1" s="353"/>
      <c r="PIH1" s="353"/>
      <c r="PII1" s="353"/>
      <c r="PIJ1" s="353"/>
      <c r="PIK1" s="353"/>
      <c r="PIL1" s="353"/>
      <c r="PIM1" s="353"/>
      <c r="PIN1" s="353"/>
      <c r="PIO1" s="353"/>
      <c r="PIP1" s="353"/>
      <c r="PIQ1" s="353"/>
      <c r="PIR1" s="353"/>
      <c r="PIS1" s="353"/>
      <c r="PIT1" s="353"/>
      <c r="PIU1" s="353"/>
      <c r="PIV1" s="353"/>
      <c r="PIW1" s="353"/>
      <c r="PIX1" s="353"/>
      <c r="PIY1" s="353"/>
      <c r="PIZ1" s="353"/>
      <c r="PJA1" s="353"/>
      <c r="PJB1" s="353"/>
      <c r="PJC1" s="353"/>
      <c r="PJD1" s="353"/>
      <c r="PJE1" s="353"/>
      <c r="PJF1" s="353"/>
      <c r="PJG1" s="353"/>
      <c r="PJH1" s="353"/>
      <c r="PJI1" s="353"/>
      <c r="PJJ1" s="353"/>
      <c r="PJK1" s="353"/>
      <c r="PJL1" s="353"/>
      <c r="PJM1" s="353"/>
      <c r="PJN1" s="353"/>
      <c r="PJO1" s="353"/>
      <c r="PJP1" s="353"/>
      <c r="PJQ1" s="353"/>
      <c r="PJR1" s="353"/>
      <c r="PJS1" s="353"/>
      <c r="PJT1" s="353"/>
      <c r="PJU1" s="353"/>
      <c r="PJV1" s="353"/>
      <c r="PJW1" s="353"/>
      <c r="PJX1" s="353"/>
      <c r="PJY1" s="353"/>
      <c r="PJZ1" s="353"/>
      <c r="PKA1" s="353"/>
      <c r="PKB1" s="353"/>
      <c r="PKC1" s="353"/>
      <c r="PKD1" s="353"/>
      <c r="PKE1" s="353"/>
      <c r="PKF1" s="353"/>
      <c r="PKG1" s="353"/>
      <c r="PKH1" s="353"/>
      <c r="PKI1" s="353"/>
      <c r="PKJ1" s="353"/>
      <c r="PKK1" s="353"/>
      <c r="PKL1" s="353"/>
      <c r="PKM1" s="353"/>
      <c r="PKN1" s="353"/>
      <c r="PKO1" s="353"/>
      <c r="PKP1" s="353"/>
      <c r="PKQ1" s="353"/>
      <c r="PKR1" s="353"/>
      <c r="PKS1" s="353"/>
      <c r="PKT1" s="353"/>
      <c r="PKU1" s="353"/>
      <c r="PKV1" s="353"/>
      <c r="PKW1" s="353"/>
      <c r="PKX1" s="353"/>
      <c r="PKY1" s="353"/>
      <c r="PKZ1" s="353"/>
      <c r="PLA1" s="353"/>
      <c r="PLB1" s="353"/>
      <c r="PLC1" s="353"/>
      <c r="PLD1" s="353"/>
      <c r="PLE1" s="353"/>
      <c r="PLF1" s="353"/>
      <c r="PLG1" s="353"/>
      <c r="PLH1" s="353"/>
      <c r="PLI1" s="353"/>
      <c r="PLJ1" s="353"/>
      <c r="PLK1" s="353"/>
      <c r="PLL1" s="353"/>
      <c r="PLM1" s="353"/>
      <c r="PLN1" s="353"/>
      <c r="PLO1" s="353"/>
      <c r="PLP1" s="353"/>
      <c r="PLQ1" s="353"/>
      <c r="PLR1" s="353"/>
      <c r="PLS1" s="353"/>
      <c r="PLT1" s="353"/>
      <c r="PLU1" s="353"/>
      <c r="PLV1" s="353"/>
      <c r="PLW1" s="353"/>
      <c r="PLX1" s="353"/>
      <c r="PLY1" s="353"/>
      <c r="PLZ1" s="353"/>
      <c r="PMA1" s="353"/>
      <c r="PMB1" s="353"/>
      <c r="PMC1" s="353"/>
      <c r="PMD1" s="353"/>
      <c r="PME1" s="353"/>
      <c r="PMF1" s="353"/>
      <c r="PMG1" s="353"/>
      <c r="PMH1" s="353"/>
      <c r="PMI1" s="353"/>
      <c r="PMJ1" s="353"/>
      <c r="PMK1" s="353"/>
      <c r="PML1" s="353"/>
      <c r="PMM1" s="353"/>
      <c r="PMN1" s="353"/>
      <c r="PMO1" s="353"/>
      <c r="PMP1" s="353"/>
      <c r="PMQ1" s="353"/>
      <c r="PMR1" s="353"/>
      <c r="PMS1" s="353"/>
      <c r="PMT1" s="353"/>
      <c r="PMU1" s="353"/>
      <c r="PMV1" s="353"/>
      <c r="PMW1" s="353"/>
      <c r="PMX1" s="353"/>
      <c r="PMY1" s="353"/>
      <c r="PMZ1" s="353"/>
      <c r="PNA1" s="353"/>
      <c r="PNB1" s="353"/>
      <c r="PNC1" s="353"/>
      <c r="PND1" s="353"/>
      <c r="PNE1" s="353"/>
      <c r="PNF1" s="353"/>
      <c r="PNG1" s="353"/>
      <c r="PNH1" s="353"/>
      <c r="PNI1" s="353"/>
      <c r="PNJ1" s="353"/>
      <c r="PNK1" s="353"/>
      <c r="PNL1" s="353"/>
      <c r="PNM1" s="353"/>
      <c r="PNN1" s="353"/>
      <c r="PNO1" s="353"/>
      <c r="PNP1" s="353"/>
      <c r="PNQ1" s="353"/>
      <c r="PNR1" s="353"/>
      <c r="PNS1" s="353"/>
      <c r="PNT1" s="353"/>
      <c r="PNU1" s="353"/>
      <c r="PNV1" s="353"/>
      <c r="PNW1" s="353"/>
      <c r="PNX1" s="353"/>
      <c r="PNY1" s="353"/>
      <c r="PNZ1" s="353"/>
      <c r="POA1" s="353"/>
      <c r="POB1" s="353"/>
      <c r="POC1" s="353"/>
      <c r="POD1" s="353"/>
      <c r="POE1" s="353"/>
      <c r="POF1" s="353"/>
      <c r="POG1" s="353"/>
      <c r="POH1" s="353"/>
      <c r="POI1" s="353"/>
      <c r="POJ1" s="353"/>
      <c r="POK1" s="353"/>
      <c r="POL1" s="353"/>
      <c r="POM1" s="353"/>
      <c r="PON1" s="353"/>
      <c r="POO1" s="353"/>
      <c r="POP1" s="353"/>
      <c r="POQ1" s="353"/>
      <c r="POR1" s="353"/>
      <c r="POS1" s="353"/>
      <c r="POT1" s="353"/>
      <c r="POU1" s="353"/>
      <c r="POV1" s="353"/>
      <c r="POW1" s="353"/>
      <c r="POX1" s="353"/>
      <c r="POY1" s="353"/>
      <c r="POZ1" s="353"/>
      <c r="PPA1" s="353"/>
      <c r="PPB1" s="353"/>
      <c r="PPC1" s="353"/>
      <c r="PPD1" s="353"/>
      <c r="PPE1" s="353"/>
      <c r="PPF1" s="353"/>
      <c r="PPG1" s="353"/>
      <c r="PPH1" s="353"/>
      <c r="PPI1" s="353"/>
      <c r="PPJ1" s="353"/>
      <c r="PPK1" s="353"/>
      <c r="PPL1" s="353"/>
      <c r="PPM1" s="353"/>
      <c r="PPN1" s="353"/>
      <c r="PPO1" s="353"/>
      <c r="PPP1" s="353"/>
      <c r="PPQ1" s="353"/>
      <c r="PPR1" s="353"/>
      <c r="PPS1" s="353"/>
      <c r="PPT1" s="353"/>
      <c r="PPU1" s="353"/>
      <c r="PPV1" s="353"/>
      <c r="PPW1" s="353"/>
      <c r="PPX1" s="353"/>
      <c r="PPY1" s="353"/>
      <c r="PPZ1" s="353"/>
      <c r="PQA1" s="353"/>
      <c r="PQB1" s="353"/>
      <c r="PQC1" s="353"/>
      <c r="PQD1" s="353"/>
      <c r="PQE1" s="353"/>
      <c r="PQF1" s="353"/>
      <c r="PQG1" s="353"/>
      <c r="PQH1" s="353"/>
      <c r="PQI1" s="353"/>
      <c r="PQJ1" s="353"/>
      <c r="PQK1" s="353"/>
      <c r="PQL1" s="353"/>
      <c r="PQM1" s="353"/>
      <c r="PQN1" s="353"/>
      <c r="PQO1" s="353"/>
      <c r="PQP1" s="353"/>
      <c r="PQQ1" s="353"/>
      <c r="PQR1" s="353"/>
      <c r="PQS1" s="353"/>
      <c r="PQT1" s="353"/>
      <c r="PQU1" s="353"/>
      <c r="PQV1" s="353"/>
      <c r="PQW1" s="353"/>
      <c r="PQX1" s="353"/>
      <c r="PQY1" s="353"/>
      <c r="PQZ1" s="353"/>
      <c r="PRA1" s="353"/>
      <c r="PRB1" s="353"/>
      <c r="PRC1" s="353"/>
      <c r="PRD1" s="353"/>
      <c r="PRE1" s="353"/>
      <c r="PRF1" s="353"/>
      <c r="PRG1" s="353"/>
      <c r="PRH1" s="353"/>
      <c r="PRI1" s="353"/>
      <c r="PRJ1" s="353"/>
      <c r="PRK1" s="353"/>
      <c r="PRL1" s="353"/>
      <c r="PRM1" s="353"/>
      <c r="PRN1" s="353"/>
      <c r="PRO1" s="353"/>
      <c r="PRP1" s="353"/>
      <c r="PRQ1" s="353"/>
      <c r="PRR1" s="353"/>
      <c r="PRS1" s="353"/>
      <c r="PRT1" s="353"/>
      <c r="PRU1" s="353"/>
      <c r="PRV1" s="353"/>
      <c r="PRW1" s="353"/>
      <c r="PRX1" s="353"/>
      <c r="PRY1" s="353"/>
      <c r="PRZ1" s="353"/>
      <c r="PSA1" s="353"/>
      <c r="PSB1" s="353"/>
      <c r="PSC1" s="353"/>
      <c r="PSD1" s="353"/>
      <c r="PSE1" s="353"/>
      <c r="PSF1" s="353"/>
      <c r="PSG1" s="353"/>
      <c r="PSH1" s="353"/>
      <c r="PSI1" s="353"/>
      <c r="PSJ1" s="353"/>
      <c r="PSK1" s="353"/>
      <c r="PSL1" s="353"/>
      <c r="PSM1" s="353"/>
      <c r="PSN1" s="353"/>
      <c r="PSO1" s="353"/>
      <c r="PSP1" s="353"/>
      <c r="PSQ1" s="353"/>
      <c r="PSR1" s="353"/>
      <c r="PSS1" s="353"/>
      <c r="PST1" s="353"/>
      <c r="PSU1" s="353"/>
      <c r="PSV1" s="353"/>
      <c r="PSW1" s="353"/>
      <c r="PSX1" s="353"/>
      <c r="PSY1" s="353"/>
      <c r="PSZ1" s="353"/>
      <c r="PTA1" s="353"/>
      <c r="PTB1" s="353"/>
      <c r="PTC1" s="353"/>
      <c r="PTD1" s="353"/>
      <c r="PTE1" s="353"/>
      <c r="PTF1" s="353"/>
      <c r="PTG1" s="353"/>
      <c r="PTH1" s="353"/>
      <c r="PTI1" s="353"/>
      <c r="PTJ1" s="353"/>
      <c r="PTK1" s="353"/>
      <c r="PTL1" s="353"/>
      <c r="PTM1" s="353"/>
      <c r="PTN1" s="353"/>
      <c r="PTO1" s="353"/>
      <c r="PTP1" s="353"/>
      <c r="PTQ1" s="353"/>
      <c r="PTR1" s="353"/>
      <c r="PTS1" s="353"/>
      <c r="PTT1" s="353"/>
      <c r="PTU1" s="353"/>
      <c r="PTV1" s="353"/>
      <c r="PTW1" s="353"/>
      <c r="PTX1" s="353"/>
      <c r="PTY1" s="353"/>
      <c r="PTZ1" s="353"/>
      <c r="PUA1" s="353"/>
      <c r="PUB1" s="353"/>
      <c r="PUC1" s="353"/>
      <c r="PUD1" s="353"/>
      <c r="PUE1" s="353"/>
      <c r="PUF1" s="353"/>
      <c r="PUG1" s="353"/>
      <c r="PUH1" s="353"/>
      <c r="PUI1" s="353"/>
      <c r="PUJ1" s="353"/>
      <c r="PUK1" s="353"/>
      <c r="PUL1" s="353"/>
      <c r="PUM1" s="353"/>
      <c r="PUN1" s="353"/>
      <c r="PUO1" s="353"/>
      <c r="PUP1" s="353"/>
      <c r="PUQ1" s="353"/>
      <c r="PUR1" s="353"/>
      <c r="PUS1" s="353"/>
      <c r="PUT1" s="353"/>
      <c r="PUU1" s="353"/>
      <c r="PUV1" s="353"/>
      <c r="PUW1" s="353"/>
      <c r="PUX1" s="353"/>
      <c r="PUY1" s="353"/>
      <c r="PUZ1" s="353"/>
      <c r="PVA1" s="353"/>
      <c r="PVB1" s="353"/>
      <c r="PVC1" s="353"/>
      <c r="PVD1" s="353"/>
      <c r="PVE1" s="353"/>
      <c r="PVF1" s="353"/>
      <c r="PVG1" s="353"/>
      <c r="PVH1" s="353"/>
      <c r="PVI1" s="353"/>
      <c r="PVJ1" s="353"/>
      <c r="PVK1" s="353"/>
      <c r="PVL1" s="353"/>
      <c r="PVM1" s="353"/>
      <c r="PVN1" s="353"/>
      <c r="PVO1" s="353"/>
      <c r="PVP1" s="353"/>
      <c r="PVQ1" s="353"/>
      <c r="PVR1" s="353"/>
      <c r="PVS1" s="353"/>
      <c r="PVT1" s="353"/>
      <c r="PVU1" s="353"/>
      <c r="PVV1" s="353"/>
      <c r="PVW1" s="353"/>
      <c r="PVX1" s="353"/>
      <c r="PVY1" s="353"/>
      <c r="PVZ1" s="353"/>
      <c r="PWA1" s="353"/>
      <c r="PWB1" s="353"/>
      <c r="PWC1" s="353"/>
      <c r="PWD1" s="353"/>
      <c r="PWE1" s="353"/>
      <c r="PWF1" s="353"/>
      <c r="PWG1" s="353"/>
      <c r="PWH1" s="353"/>
      <c r="PWI1" s="353"/>
      <c r="PWJ1" s="353"/>
      <c r="PWK1" s="353"/>
      <c r="PWL1" s="353"/>
      <c r="PWM1" s="353"/>
      <c r="PWN1" s="353"/>
      <c r="PWO1" s="353"/>
      <c r="PWP1" s="353"/>
      <c r="PWQ1" s="353"/>
      <c r="PWR1" s="353"/>
      <c r="PWS1" s="353"/>
      <c r="PWT1" s="353"/>
      <c r="PWU1" s="353"/>
      <c r="PWV1" s="353"/>
      <c r="PWW1" s="353"/>
      <c r="PWX1" s="353"/>
      <c r="PWY1" s="353"/>
      <c r="PWZ1" s="353"/>
      <c r="PXA1" s="353"/>
      <c r="PXB1" s="353"/>
      <c r="PXC1" s="353"/>
      <c r="PXD1" s="353"/>
      <c r="PXE1" s="353"/>
      <c r="PXF1" s="353"/>
      <c r="PXG1" s="353"/>
      <c r="PXH1" s="353"/>
      <c r="PXI1" s="353"/>
      <c r="PXJ1" s="353"/>
      <c r="PXK1" s="353"/>
      <c r="PXL1" s="353"/>
      <c r="PXM1" s="353"/>
      <c r="PXN1" s="353"/>
      <c r="PXO1" s="353"/>
      <c r="PXP1" s="353"/>
      <c r="PXQ1" s="353"/>
      <c r="PXR1" s="353"/>
      <c r="PXS1" s="353"/>
      <c r="PXT1" s="353"/>
      <c r="PXU1" s="353"/>
      <c r="PXV1" s="353"/>
      <c r="PXW1" s="353"/>
      <c r="PXX1" s="353"/>
      <c r="PXY1" s="353"/>
      <c r="PXZ1" s="353"/>
      <c r="PYA1" s="353"/>
      <c r="PYB1" s="353"/>
      <c r="PYC1" s="353"/>
      <c r="PYD1" s="353"/>
      <c r="PYE1" s="353"/>
      <c r="PYF1" s="353"/>
      <c r="PYG1" s="353"/>
      <c r="PYH1" s="353"/>
      <c r="PYI1" s="353"/>
      <c r="PYJ1" s="353"/>
      <c r="PYK1" s="353"/>
      <c r="PYL1" s="353"/>
      <c r="PYM1" s="353"/>
      <c r="PYN1" s="353"/>
      <c r="PYO1" s="353"/>
      <c r="PYP1" s="353"/>
      <c r="PYQ1" s="353"/>
      <c r="PYR1" s="353"/>
      <c r="PYS1" s="353"/>
      <c r="PYT1" s="353"/>
      <c r="PYU1" s="353"/>
      <c r="PYV1" s="353"/>
      <c r="PYW1" s="353"/>
      <c r="PYX1" s="353"/>
      <c r="PYY1" s="353"/>
      <c r="PYZ1" s="353"/>
      <c r="PZA1" s="353"/>
      <c r="PZB1" s="353"/>
      <c r="PZC1" s="353"/>
      <c r="PZD1" s="353"/>
      <c r="PZE1" s="353"/>
      <c r="PZF1" s="353"/>
      <c r="PZG1" s="353"/>
      <c r="PZH1" s="353"/>
      <c r="PZI1" s="353"/>
      <c r="PZJ1" s="353"/>
      <c r="PZK1" s="353"/>
      <c r="PZL1" s="353"/>
      <c r="PZM1" s="353"/>
      <c r="PZN1" s="353"/>
      <c r="PZO1" s="353"/>
      <c r="PZP1" s="353"/>
      <c r="PZQ1" s="353"/>
      <c r="PZR1" s="353"/>
      <c r="PZS1" s="353"/>
      <c r="PZT1" s="353"/>
      <c r="PZU1" s="353"/>
      <c r="PZV1" s="353"/>
      <c r="PZW1" s="353"/>
      <c r="PZX1" s="353"/>
      <c r="PZY1" s="353"/>
      <c r="PZZ1" s="353"/>
      <c r="QAA1" s="353"/>
      <c r="QAB1" s="353"/>
      <c r="QAC1" s="353"/>
      <c r="QAD1" s="353"/>
      <c r="QAE1" s="353"/>
      <c r="QAF1" s="353"/>
      <c r="QAG1" s="353"/>
      <c r="QAH1" s="353"/>
      <c r="QAI1" s="353"/>
      <c r="QAJ1" s="353"/>
      <c r="QAK1" s="353"/>
      <c r="QAL1" s="353"/>
      <c r="QAM1" s="353"/>
      <c r="QAN1" s="353"/>
      <c r="QAO1" s="353"/>
      <c r="QAP1" s="353"/>
      <c r="QAQ1" s="353"/>
      <c r="QAR1" s="353"/>
      <c r="QAS1" s="353"/>
      <c r="QAT1" s="353"/>
      <c r="QAU1" s="353"/>
      <c r="QAV1" s="353"/>
      <c r="QAW1" s="353"/>
      <c r="QAX1" s="353"/>
      <c r="QAY1" s="353"/>
      <c r="QAZ1" s="353"/>
      <c r="QBA1" s="353"/>
      <c r="QBB1" s="353"/>
      <c r="QBC1" s="353"/>
      <c r="QBD1" s="353"/>
      <c r="QBE1" s="353"/>
      <c r="QBF1" s="353"/>
      <c r="QBG1" s="353"/>
      <c r="QBH1" s="353"/>
      <c r="QBI1" s="353"/>
      <c r="QBJ1" s="353"/>
      <c r="QBK1" s="353"/>
      <c r="QBL1" s="353"/>
      <c r="QBM1" s="353"/>
      <c r="QBN1" s="353"/>
      <c r="QBO1" s="353"/>
      <c r="QBP1" s="353"/>
      <c r="QBQ1" s="353"/>
      <c r="QBR1" s="353"/>
      <c r="QBS1" s="353"/>
      <c r="QBT1" s="353"/>
      <c r="QBU1" s="353"/>
      <c r="QBV1" s="353"/>
      <c r="QBW1" s="353"/>
      <c r="QBX1" s="353"/>
      <c r="QBY1" s="353"/>
      <c r="QBZ1" s="353"/>
      <c r="QCA1" s="353"/>
      <c r="QCB1" s="353"/>
      <c r="QCC1" s="353"/>
      <c r="QCD1" s="353"/>
      <c r="QCE1" s="353"/>
      <c r="QCF1" s="353"/>
      <c r="QCG1" s="353"/>
      <c r="QCH1" s="353"/>
      <c r="QCI1" s="353"/>
      <c r="QCJ1" s="353"/>
      <c r="QCK1" s="353"/>
      <c r="QCL1" s="353"/>
      <c r="QCM1" s="353"/>
      <c r="QCN1" s="353"/>
      <c r="QCO1" s="353"/>
      <c r="QCP1" s="353"/>
      <c r="QCQ1" s="353"/>
      <c r="QCR1" s="353"/>
      <c r="QCS1" s="353"/>
      <c r="QCT1" s="353"/>
      <c r="QCU1" s="353"/>
      <c r="QCV1" s="353"/>
      <c r="QCW1" s="353"/>
      <c r="QCX1" s="353"/>
      <c r="QCY1" s="353"/>
      <c r="QCZ1" s="353"/>
      <c r="QDA1" s="353"/>
      <c r="QDB1" s="353"/>
      <c r="QDC1" s="353"/>
      <c r="QDD1" s="353"/>
      <c r="QDE1" s="353"/>
      <c r="QDF1" s="353"/>
      <c r="QDG1" s="353"/>
      <c r="QDH1" s="353"/>
      <c r="QDI1" s="353"/>
      <c r="QDJ1" s="353"/>
      <c r="QDK1" s="353"/>
      <c r="QDL1" s="353"/>
      <c r="QDM1" s="353"/>
      <c r="QDN1" s="353"/>
      <c r="QDO1" s="353"/>
      <c r="QDP1" s="353"/>
      <c r="QDQ1" s="353"/>
      <c r="QDR1" s="353"/>
      <c r="QDS1" s="353"/>
      <c r="QDT1" s="353"/>
      <c r="QDU1" s="353"/>
      <c r="QDV1" s="353"/>
      <c r="QDW1" s="353"/>
      <c r="QDX1" s="353"/>
      <c r="QDY1" s="353"/>
      <c r="QDZ1" s="353"/>
      <c r="QEA1" s="353"/>
      <c r="QEB1" s="353"/>
      <c r="QEC1" s="353"/>
      <c r="QED1" s="353"/>
      <c r="QEE1" s="353"/>
      <c r="QEF1" s="353"/>
      <c r="QEG1" s="353"/>
      <c r="QEH1" s="353"/>
      <c r="QEI1" s="353"/>
      <c r="QEJ1" s="353"/>
      <c r="QEK1" s="353"/>
      <c r="QEL1" s="353"/>
      <c r="QEM1" s="353"/>
      <c r="QEN1" s="353"/>
      <c r="QEO1" s="353"/>
      <c r="QEP1" s="353"/>
      <c r="QEQ1" s="353"/>
      <c r="QER1" s="353"/>
      <c r="QES1" s="353"/>
      <c r="QET1" s="353"/>
      <c r="QEU1" s="353"/>
      <c r="QEV1" s="353"/>
      <c r="QEW1" s="353"/>
      <c r="QEX1" s="353"/>
      <c r="QEY1" s="353"/>
      <c r="QEZ1" s="353"/>
      <c r="QFA1" s="353"/>
      <c r="QFB1" s="353"/>
      <c r="QFC1" s="353"/>
      <c r="QFD1" s="353"/>
      <c r="QFE1" s="353"/>
      <c r="QFF1" s="353"/>
      <c r="QFG1" s="353"/>
      <c r="QFH1" s="353"/>
      <c r="QFI1" s="353"/>
      <c r="QFJ1" s="353"/>
      <c r="QFK1" s="353"/>
      <c r="QFL1" s="353"/>
      <c r="QFM1" s="353"/>
      <c r="QFN1" s="353"/>
      <c r="QFO1" s="353"/>
      <c r="QFP1" s="353"/>
      <c r="QFQ1" s="353"/>
      <c r="QFR1" s="353"/>
      <c r="QFS1" s="353"/>
      <c r="QFT1" s="353"/>
      <c r="QFU1" s="353"/>
      <c r="QFV1" s="353"/>
      <c r="QFW1" s="353"/>
      <c r="QFX1" s="353"/>
      <c r="QFY1" s="353"/>
      <c r="QFZ1" s="353"/>
      <c r="QGA1" s="353"/>
      <c r="QGB1" s="353"/>
      <c r="QGC1" s="353"/>
      <c r="QGD1" s="353"/>
      <c r="QGE1" s="353"/>
      <c r="QGF1" s="353"/>
      <c r="QGG1" s="353"/>
      <c r="QGH1" s="353"/>
      <c r="QGI1" s="353"/>
      <c r="QGJ1" s="353"/>
      <c r="QGK1" s="353"/>
      <c r="QGL1" s="353"/>
      <c r="QGM1" s="353"/>
      <c r="QGN1" s="353"/>
      <c r="QGO1" s="353"/>
      <c r="QGP1" s="353"/>
      <c r="QGQ1" s="353"/>
      <c r="QGR1" s="353"/>
      <c r="QGS1" s="353"/>
      <c r="QGT1" s="353"/>
      <c r="QGU1" s="353"/>
      <c r="QGV1" s="353"/>
      <c r="QGW1" s="353"/>
      <c r="QGX1" s="353"/>
      <c r="QGY1" s="353"/>
      <c r="QGZ1" s="353"/>
      <c r="QHA1" s="353"/>
      <c r="QHB1" s="353"/>
      <c r="QHC1" s="353"/>
      <c r="QHD1" s="353"/>
      <c r="QHE1" s="353"/>
      <c r="QHF1" s="353"/>
      <c r="QHG1" s="353"/>
      <c r="QHH1" s="353"/>
      <c r="QHI1" s="353"/>
      <c r="QHJ1" s="353"/>
      <c r="QHK1" s="353"/>
      <c r="QHL1" s="353"/>
      <c r="QHM1" s="353"/>
      <c r="QHN1" s="353"/>
      <c r="QHO1" s="353"/>
      <c r="QHP1" s="353"/>
      <c r="QHQ1" s="353"/>
      <c r="QHR1" s="353"/>
      <c r="QHS1" s="353"/>
      <c r="QHT1" s="353"/>
      <c r="QHU1" s="353"/>
      <c r="QHV1" s="353"/>
      <c r="QHW1" s="353"/>
      <c r="QHX1" s="353"/>
      <c r="QHY1" s="353"/>
      <c r="QHZ1" s="353"/>
      <c r="QIA1" s="353"/>
      <c r="QIB1" s="353"/>
      <c r="QIC1" s="353"/>
      <c r="QID1" s="353"/>
      <c r="QIE1" s="353"/>
      <c r="QIF1" s="353"/>
      <c r="QIG1" s="353"/>
      <c r="QIH1" s="353"/>
      <c r="QII1" s="353"/>
      <c r="QIJ1" s="353"/>
      <c r="QIK1" s="353"/>
      <c r="QIL1" s="353"/>
      <c r="QIM1" s="353"/>
      <c r="QIN1" s="353"/>
      <c r="QIO1" s="353"/>
      <c r="QIP1" s="353"/>
      <c r="QIQ1" s="353"/>
      <c r="QIR1" s="353"/>
      <c r="QIS1" s="353"/>
      <c r="QIT1" s="353"/>
      <c r="QIU1" s="353"/>
      <c r="QIV1" s="353"/>
      <c r="QIW1" s="353"/>
      <c r="QIX1" s="353"/>
      <c r="QIY1" s="353"/>
      <c r="QIZ1" s="353"/>
      <c r="QJA1" s="353"/>
      <c r="QJB1" s="353"/>
      <c r="QJC1" s="353"/>
      <c r="QJD1" s="353"/>
      <c r="QJE1" s="353"/>
      <c r="QJF1" s="353"/>
      <c r="QJG1" s="353"/>
      <c r="QJH1" s="353"/>
      <c r="QJI1" s="353"/>
      <c r="QJJ1" s="353"/>
      <c r="QJK1" s="353"/>
      <c r="QJL1" s="353"/>
      <c r="QJM1" s="353"/>
      <c r="QJN1" s="353"/>
      <c r="QJO1" s="353"/>
      <c r="QJP1" s="353"/>
      <c r="QJQ1" s="353"/>
      <c r="QJR1" s="353"/>
      <c r="QJS1" s="353"/>
      <c r="QJT1" s="353"/>
      <c r="QJU1" s="353"/>
      <c r="QJV1" s="353"/>
      <c r="QJW1" s="353"/>
      <c r="QJX1" s="353"/>
      <c r="QJY1" s="353"/>
      <c r="QJZ1" s="353"/>
      <c r="QKA1" s="353"/>
      <c r="QKB1" s="353"/>
      <c r="QKC1" s="353"/>
      <c r="QKD1" s="353"/>
      <c r="QKE1" s="353"/>
      <c r="QKF1" s="353"/>
      <c r="QKG1" s="353"/>
      <c r="QKH1" s="353"/>
      <c r="QKI1" s="353"/>
      <c r="QKJ1" s="353"/>
      <c r="QKK1" s="353"/>
      <c r="QKL1" s="353"/>
      <c r="QKM1" s="353"/>
      <c r="QKN1" s="353"/>
      <c r="QKO1" s="353"/>
      <c r="QKP1" s="353"/>
      <c r="QKQ1" s="353"/>
      <c r="QKR1" s="353"/>
      <c r="QKS1" s="353"/>
      <c r="QKT1" s="353"/>
      <c r="QKU1" s="353"/>
      <c r="QKV1" s="353"/>
      <c r="QKW1" s="353"/>
      <c r="QKX1" s="353"/>
      <c r="QKY1" s="353"/>
      <c r="QKZ1" s="353"/>
      <c r="QLA1" s="353"/>
      <c r="QLB1" s="353"/>
      <c r="QLC1" s="353"/>
      <c r="QLD1" s="353"/>
      <c r="QLE1" s="353"/>
      <c r="QLF1" s="353"/>
      <c r="QLG1" s="353"/>
      <c r="QLH1" s="353"/>
      <c r="QLI1" s="353"/>
      <c r="QLJ1" s="353"/>
      <c r="QLK1" s="353"/>
      <c r="QLL1" s="353"/>
      <c r="QLM1" s="353"/>
      <c r="QLN1" s="353"/>
      <c r="QLO1" s="353"/>
      <c r="QLP1" s="353"/>
      <c r="QLQ1" s="353"/>
      <c r="QLR1" s="353"/>
      <c r="QLS1" s="353"/>
      <c r="QLT1" s="353"/>
      <c r="QLU1" s="353"/>
      <c r="QLV1" s="353"/>
      <c r="QLW1" s="353"/>
      <c r="QLX1" s="353"/>
      <c r="QLY1" s="353"/>
      <c r="QLZ1" s="353"/>
      <c r="QMA1" s="353"/>
      <c r="QMB1" s="353"/>
      <c r="QMC1" s="353"/>
      <c r="QMD1" s="353"/>
      <c r="QME1" s="353"/>
      <c r="QMF1" s="353"/>
      <c r="QMG1" s="353"/>
      <c r="QMH1" s="353"/>
      <c r="QMI1" s="353"/>
      <c r="QMJ1" s="353"/>
      <c r="QMK1" s="353"/>
      <c r="QML1" s="353"/>
      <c r="QMM1" s="353"/>
      <c r="QMN1" s="353"/>
      <c r="QMO1" s="353"/>
      <c r="QMP1" s="353"/>
      <c r="QMQ1" s="353"/>
      <c r="QMR1" s="353"/>
      <c r="QMS1" s="353"/>
      <c r="QMT1" s="353"/>
      <c r="QMU1" s="353"/>
      <c r="QMV1" s="353"/>
      <c r="QMW1" s="353"/>
      <c r="QMX1" s="353"/>
      <c r="QMY1" s="353"/>
      <c r="QMZ1" s="353"/>
      <c r="QNA1" s="353"/>
      <c r="QNB1" s="353"/>
      <c r="QNC1" s="353"/>
      <c r="QND1" s="353"/>
      <c r="QNE1" s="353"/>
      <c r="QNF1" s="353"/>
      <c r="QNG1" s="353"/>
      <c r="QNH1" s="353"/>
      <c r="QNI1" s="353"/>
      <c r="QNJ1" s="353"/>
      <c r="QNK1" s="353"/>
      <c r="QNL1" s="353"/>
      <c r="QNM1" s="353"/>
      <c r="QNN1" s="353"/>
      <c r="QNO1" s="353"/>
      <c r="QNP1" s="353"/>
      <c r="QNQ1" s="353"/>
      <c r="QNR1" s="353"/>
      <c r="QNS1" s="353"/>
      <c r="QNT1" s="353"/>
      <c r="QNU1" s="353"/>
      <c r="QNV1" s="353"/>
      <c r="QNW1" s="353"/>
      <c r="QNX1" s="353"/>
      <c r="QNY1" s="353"/>
      <c r="QNZ1" s="353"/>
      <c r="QOA1" s="353"/>
      <c r="QOB1" s="353"/>
      <c r="QOC1" s="353"/>
      <c r="QOD1" s="353"/>
      <c r="QOE1" s="353"/>
      <c r="QOF1" s="353"/>
      <c r="QOG1" s="353"/>
      <c r="QOH1" s="353"/>
      <c r="QOI1" s="353"/>
      <c r="QOJ1" s="353"/>
      <c r="QOK1" s="353"/>
      <c r="QOL1" s="353"/>
      <c r="QOM1" s="353"/>
      <c r="QON1" s="353"/>
      <c r="QOO1" s="353"/>
      <c r="QOP1" s="353"/>
      <c r="QOQ1" s="353"/>
      <c r="QOR1" s="353"/>
      <c r="QOS1" s="353"/>
      <c r="QOT1" s="353"/>
      <c r="QOU1" s="353"/>
      <c r="QOV1" s="353"/>
      <c r="QOW1" s="353"/>
      <c r="QOX1" s="353"/>
      <c r="QOY1" s="353"/>
      <c r="QOZ1" s="353"/>
      <c r="QPA1" s="353"/>
      <c r="QPB1" s="353"/>
      <c r="QPC1" s="353"/>
      <c r="QPD1" s="353"/>
      <c r="QPE1" s="353"/>
      <c r="QPF1" s="353"/>
      <c r="QPG1" s="353"/>
      <c r="QPH1" s="353"/>
      <c r="QPI1" s="353"/>
      <c r="QPJ1" s="353"/>
      <c r="QPK1" s="353"/>
      <c r="QPL1" s="353"/>
      <c r="QPM1" s="353"/>
      <c r="QPN1" s="353"/>
      <c r="QPO1" s="353"/>
      <c r="QPP1" s="353"/>
      <c r="QPQ1" s="353"/>
      <c r="QPR1" s="353"/>
      <c r="QPS1" s="353"/>
      <c r="QPT1" s="353"/>
      <c r="QPU1" s="353"/>
      <c r="QPV1" s="353"/>
      <c r="QPW1" s="353"/>
      <c r="QPX1" s="353"/>
      <c r="QPY1" s="353"/>
      <c r="QPZ1" s="353"/>
      <c r="QQA1" s="353"/>
      <c r="QQB1" s="353"/>
      <c r="QQC1" s="353"/>
      <c r="QQD1" s="353"/>
      <c r="QQE1" s="353"/>
      <c r="QQF1" s="353"/>
      <c r="QQG1" s="353"/>
      <c r="QQH1" s="353"/>
      <c r="QQI1" s="353"/>
      <c r="QQJ1" s="353"/>
      <c r="QQK1" s="353"/>
      <c r="QQL1" s="353"/>
      <c r="QQM1" s="353"/>
      <c r="QQN1" s="353"/>
      <c r="QQO1" s="353"/>
      <c r="QQP1" s="353"/>
      <c r="QQQ1" s="353"/>
      <c r="QQR1" s="353"/>
      <c r="QQS1" s="353"/>
      <c r="QQT1" s="353"/>
      <c r="QQU1" s="353"/>
      <c r="QQV1" s="353"/>
      <c r="QQW1" s="353"/>
      <c r="QQX1" s="353"/>
      <c r="QQY1" s="353"/>
      <c r="QQZ1" s="353"/>
      <c r="QRA1" s="353"/>
      <c r="QRB1" s="353"/>
      <c r="QRC1" s="353"/>
      <c r="QRD1" s="353"/>
      <c r="QRE1" s="353"/>
      <c r="QRF1" s="353"/>
      <c r="QRG1" s="353"/>
      <c r="QRH1" s="353"/>
      <c r="QRI1" s="353"/>
      <c r="QRJ1" s="353"/>
      <c r="QRK1" s="353"/>
      <c r="QRL1" s="353"/>
      <c r="QRM1" s="353"/>
      <c r="QRN1" s="353"/>
      <c r="QRO1" s="353"/>
      <c r="QRP1" s="353"/>
      <c r="QRQ1" s="353"/>
      <c r="QRR1" s="353"/>
      <c r="QRS1" s="353"/>
      <c r="QRT1" s="353"/>
      <c r="QRU1" s="353"/>
      <c r="QRV1" s="353"/>
      <c r="QRW1" s="353"/>
      <c r="QRX1" s="353"/>
      <c r="QRY1" s="353"/>
      <c r="QRZ1" s="353"/>
      <c r="QSA1" s="353"/>
      <c r="QSB1" s="353"/>
      <c r="QSC1" s="353"/>
      <c r="QSD1" s="353"/>
      <c r="QSE1" s="353"/>
      <c r="QSF1" s="353"/>
      <c r="QSG1" s="353"/>
      <c r="QSH1" s="353"/>
      <c r="QSI1" s="353"/>
      <c r="QSJ1" s="353"/>
      <c r="QSK1" s="353"/>
      <c r="QSL1" s="353"/>
      <c r="QSM1" s="353"/>
      <c r="QSN1" s="353"/>
      <c r="QSO1" s="353"/>
      <c r="QSP1" s="353"/>
      <c r="QSQ1" s="353"/>
      <c r="QSR1" s="353"/>
      <c r="QSS1" s="353"/>
      <c r="QST1" s="353"/>
      <c r="QSU1" s="353"/>
      <c r="QSV1" s="353"/>
      <c r="QSW1" s="353"/>
      <c r="QSX1" s="353"/>
      <c r="QSY1" s="353"/>
      <c r="QSZ1" s="353"/>
      <c r="QTA1" s="353"/>
      <c r="QTB1" s="353"/>
      <c r="QTC1" s="353"/>
      <c r="QTD1" s="353"/>
      <c r="QTE1" s="353"/>
      <c r="QTF1" s="353"/>
      <c r="QTG1" s="353"/>
      <c r="QTH1" s="353"/>
      <c r="QTI1" s="353"/>
      <c r="QTJ1" s="353"/>
      <c r="QTK1" s="353"/>
      <c r="QTL1" s="353"/>
      <c r="QTM1" s="353"/>
      <c r="QTN1" s="353"/>
      <c r="QTO1" s="353"/>
      <c r="QTP1" s="353"/>
      <c r="QTQ1" s="353"/>
      <c r="QTR1" s="353"/>
      <c r="QTS1" s="353"/>
      <c r="QTT1" s="353"/>
      <c r="QTU1" s="353"/>
      <c r="QTV1" s="353"/>
      <c r="QTW1" s="353"/>
      <c r="QTX1" s="353"/>
      <c r="QTY1" s="353"/>
      <c r="QTZ1" s="353"/>
      <c r="QUA1" s="353"/>
      <c r="QUB1" s="353"/>
      <c r="QUC1" s="353"/>
      <c r="QUD1" s="353"/>
      <c r="QUE1" s="353"/>
      <c r="QUF1" s="353"/>
      <c r="QUG1" s="353"/>
      <c r="QUH1" s="353"/>
      <c r="QUI1" s="353"/>
      <c r="QUJ1" s="353"/>
      <c r="QUK1" s="353"/>
      <c r="QUL1" s="353"/>
      <c r="QUM1" s="353"/>
      <c r="QUN1" s="353"/>
      <c r="QUO1" s="353"/>
      <c r="QUP1" s="353"/>
      <c r="QUQ1" s="353"/>
      <c r="QUR1" s="353"/>
      <c r="QUS1" s="353"/>
      <c r="QUT1" s="353"/>
      <c r="QUU1" s="353"/>
      <c r="QUV1" s="353"/>
      <c r="QUW1" s="353"/>
      <c r="QUX1" s="353"/>
      <c r="QUY1" s="353"/>
      <c r="QUZ1" s="353"/>
      <c r="QVA1" s="353"/>
      <c r="QVB1" s="353"/>
      <c r="QVC1" s="353"/>
      <c r="QVD1" s="353"/>
      <c r="QVE1" s="353"/>
      <c r="QVF1" s="353"/>
      <c r="QVG1" s="353"/>
      <c r="QVH1" s="353"/>
      <c r="QVI1" s="353"/>
      <c r="QVJ1" s="353"/>
      <c r="QVK1" s="353"/>
      <c r="QVL1" s="353"/>
      <c r="QVM1" s="353"/>
      <c r="QVN1" s="353"/>
      <c r="QVO1" s="353"/>
      <c r="QVP1" s="353"/>
      <c r="QVQ1" s="353"/>
      <c r="QVR1" s="353"/>
      <c r="QVS1" s="353"/>
      <c r="QVT1" s="353"/>
      <c r="QVU1" s="353"/>
      <c r="QVV1" s="353"/>
      <c r="QVW1" s="353"/>
      <c r="QVX1" s="353"/>
      <c r="QVY1" s="353"/>
      <c r="QVZ1" s="353"/>
      <c r="QWA1" s="353"/>
      <c r="QWB1" s="353"/>
      <c r="QWC1" s="353"/>
      <c r="QWD1" s="353"/>
      <c r="QWE1" s="353"/>
      <c r="QWF1" s="353"/>
      <c r="QWG1" s="353"/>
      <c r="QWH1" s="353"/>
      <c r="QWI1" s="353"/>
      <c r="QWJ1" s="353"/>
      <c r="QWK1" s="353"/>
      <c r="QWL1" s="353"/>
      <c r="QWM1" s="353"/>
      <c r="QWN1" s="353"/>
      <c r="QWO1" s="353"/>
      <c r="QWP1" s="353"/>
      <c r="QWQ1" s="353"/>
      <c r="QWR1" s="353"/>
      <c r="QWS1" s="353"/>
      <c r="QWT1" s="353"/>
      <c r="QWU1" s="353"/>
      <c r="QWV1" s="353"/>
      <c r="QWW1" s="353"/>
      <c r="QWX1" s="353"/>
      <c r="QWY1" s="353"/>
      <c r="QWZ1" s="353"/>
      <c r="QXA1" s="353"/>
      <c r="QXB1" s="353"/>
      <c r="QXC1" s="353"/>
      <c r="QXD1" s="353"/>
      <c r="QXE1" s="353"/>
      <c r="QXF1" s="353"/>
      <c r="QXG1" s="353"/>
      <c r="QXH1" s="353"/>
      <c r="QXI1" s="353"/>
      <c r="QXJ1" s="353"/>
      <c r="QXK1" s="353"/>
      <c r="QXL1" s="353"/>
      <c r="QXM1" s="353"/>
      <c r="QXN1" s="353"/>
      <c r="QXO1" s="353"/>
      <c r="QXP1" s="353"/>
      <c r="QXQ1" s="353"/>
      <c r="QXR1" s="353"/>
      <c r="QXS1" s="353"/>
      <c r="QXT1" s="353"/>
      <c r="QXU1" s="353"/>
      <c r="QXV1" s="353"/>
      <c r="QXW1" s="353"/>
      <c r="QXX1" s="353"/>
      <c r="QXY1" s="353"/>
      <c r="QXZ1" s="353"/>
      <c r="QYA1" s="353"/>
      <c r="QYB1" s="353"/>
      <c r="QYC1" s="353"/>
      <c r="QYD1" s="353"/>
      <c r="QYE1" s="353"/>
      <c r="QYF1" s="353"/>
      <c r="QYG1" s="353"/>
      <c r="QYH1" s="353"/>
      <c r="QYI1" s="353"/>
      <c r="QYJ1" s="353"/>
      <c r="QYK1" s="353"/>
      <c r="QYL1" s="353"/>
      <c r="QYM1" s="353"/>
      <c r="QYN1" s="353"/>
      <c r="QYO1" s="353"/>
      <c r="QYP1" s="353"/>
      <c r="QYQ1" s="353"/>
      <c r="QYR1" s="353"/>
      <c r="QYS1" s="353"/>
      <c r="QYT1" s="353"/>
      <c r="QYU1" s="353"/>
      <c r="QYV1" s="353"/>
      <c r="QYW1" s="353"/>
      <c r="QYX1" s="353"/>
      <c r="QYY1" s="353"/>
      <c r="QYZ1" s="353"/>
      <c r="QZA1" s="353"/>
      <c r="QZB1" s="353"/>
      <c r="QZC1" s="353"/>
      <c r="QZD1" s="353"/>
      <c r="QZE1" s="353"/>
      <c r="QZF1" s="353"/>
      <c r="QZG1" s="353"/>
      <c r="QZH1" s="353"/>
      <c r="QZI1" s="353"/>
      <c r="QZJ1" s="353"/>
      <c r="QZK1" s="353"/>
      <c r="QZL1" s="353"/>
      <c r="QZM1" s="353"/>
      <c r="QZN1" s="353"/>
      <c r="QZO1" s="353"/>
      <c r="QZP1" s="353"/>
      <c r="QZQ1" s="353"/>
      <c r="QZR1" s="353"/>
      <c r="QZS1" s="353"/>
      <c r="QZT1" s="353"/>
      <c r="QZU1" s="353"/>
      <c r="QZV1" s="353"/>
      <c r="QZW1" s="353"/>
      <c r="QZX1" s="353"/>
      <c r="QZY1" s="353"/>
      <c r="QZZ1" s="353"/>
      <c r="RAA1" s="353"/>
      <c r="RAB1" s="353"/>
      <c r="RAC1" s="353"/>
      <c r="RAD1" s="353"/>
      <c r="RAE1" s="353"/>
      <c r="RAF1" s="353"/>
      <c r="RAG1" s="353"/>
      <c r="RAH1" s="353"/>
      <c r="RAI1" s="353"/>
      <c r="RAJ1" s="353"/>
      <c r="RAK1" s="353"/>
      <c r="RAL1" s="353"/>
      <c r="RAM1" s="353"/>
      <c r="RAN1" s="353"/>
      <c r="RAO1" s="353"/>
      <c r="RAP1" s="353"/>
      <c r="RAQ1" s="353"/>
      <c r="RAR1" s="353"/>
      <c r="RAS1" s="353"/>
      <c r="RAT1" s="353"/>
      <c r="RAU1" s="353"/>
      <c r="RAV1" s="353"/>
      <c r="RAW1" s="353"/>
      <c r="RAX1" s="353"/>
      <c r="RAY1" s="353"/>
      <c r="RAZ1" s="353"/>
      <c r="RBA1" s="353"/>
      <c r="RBB1" s="353"/>
      <c r="RBC1" s="353"/>
      <c r="RBD1" s="353"/>
      <c r="RBE1" s="353"/>
      <c r="RBF1" s="353"/>
      <c r="RBG1" s="353"/>
      <c r="RBH1" s="353"/>
      <c r="RBI1" s="353"/>
      <c r="RBJ1" s="353"/>
      <c r="RBK1" s="353"/>
      <c r="RBL1" s="353"/>
      <c r="RBM1" s="353"/>
      <c r="RBN1" s="353"/>
      <c r="RBO1" s="353"/>
      <c r="RBP1" s="353"/>
      <c r="RBQ1" s="353"/>
      <c r="RBR1" s="353"/>
      <c r="RBS1" s="353"/>
      <c r="RBT1" s="353"/>
      <c r="RBU1" s="353"/>
      <c r="RBV1" s="353"/>
      <c r="RBW1" s="353"/>
      <c r="RBX1" s="353"/>
      <c r="RBY1" s="353"/>
      <c r="RBZ1" s="353"/>
      <c r="RCA1" s="353"/>
      <c r="RCB1" s="353"/>
      <c r="RCC1" s="353"/>
      <c r="RCD1" s="353"/>
      <c r="RCE1" s="353"/>
      <c r="RCF1" s="353"/>
      <c r="RCG1" s="353"/>
      <c r="RCH1" s="353"/>
      <c r="RCI1" s="353"/>
      <c r="RCJ1" s="353"/>
      <c r="RCK1" s="353"/>
      <c r="RCL1" s="353"/>
      <c r="RCM1" s="353"/>
      <c r="RCN1" s="353"/>
      <c r="RCO1" s="353"/>
      <c r="RCP1" s="353"/>
      <c r="RCQ1" s="353"/>
      <c r="RCR1" s="353"/>
      <c r="RCS1" s="353"/>
      <c r="RCT1" s="353"/>
      <c r="RCU1" s="353"/>
      <c r="RCV1" s="353"/>
      <c r="RCW1" s="353"/>
      <c r="RCX1" s="353"/>
      <c r="RCY1" s="353"/>
      <c r="RCZ1" s="353"/>
      <c r="RDA1" s="353"/>
      <c r="RDB1" s="353"/>
      <c r="RDC1" s="353"/>
      <c r="RDD1" s="353"/>
      <c r="RDE1" s="353"/>
      <c r="RDF1" s="353"/>
      <c r="RDG1" s="353"/>
      <c r="RDH1" s="353"/>
      <c r="RDI1" s="353"/>
      <c r="RDJ1" s="353"/>
      <c r="RDK1" s="353"/>
      <c r="RDL1" s="353"/>
      <c r="RDM1" s="353"/>
      <c r="RDN1" s="353"/>
      <c r="RDO1" s="353"/>
      <c r="RDP1" s="353"/>
      <c r="RDQ1" s="353"/>
      <c r="RDR1" s="353"/>
      <c r="RDS1" s="353"/>
      <c r="RDT1" s="353"/>
      <c r="RDU1" s="353"/>
      <c r="RDV1" s="353"/>
      <c r="RDW1" s="353"/>
      <c r="RDX1" s="353"/>
      <c r="RDY1" s="353"/>
      <c r="RDZ1" s="353"/>
      <c r="REA1" s="353"/>
      <c r="REB1" s="353"/>
      <c r="REC1" s="353"/>
      <c r="RED1" s="353"/>
      <c r="REE1" s="353"/>
      <c r="REF1" s="353"/>
      <c r="REG1" s="353"/>
      <c r="REH1" s="353"/>
      <c r="REI1" s="353"/>
      <c r="REJ1" s="353"/>
      <c r="REK1" s="353"/>
      <c r="REL1" s="353"/>
      <c r="REM1" s="353"/>
      <c r="REN1" s="353"/>
      <c r="REO1" s="353"/>
      <c r="REP1" s="353"/>
      <c r="REQ1" s="353"/>
      <c r="RER1" s="353"/>
      <c r="RES1" s="353"/>
      <c r="RET1" s="353"/>
      <c r="REU1" s="353"/>
      <c r="REV1" s="353"/>
      <c r="REW1" s="353"/>
      <c r="REX1" s="353"/>
      <c r="REY1" s="353"/>
      <c r="REZ1" s="353"/>
      <c r="RFA1" s="353"/>
      <c r="RFB1" s="353"/>
      <c r="RFC1" s="353"/>
      <c r="RFD1" s="353"/>
      <c r="RFE1" s="353"/>
      <c r="RFF1" s="353"/>
      <c r="RFG1" s="353"/>
      <c r="RFH1" s="353"/>
      <c r="RFI1" s="353"/>
      <c r="RFJ1" s="353"/>
      <c r="RFK1" s="353"/>
      <c r="RFL1" s="353"/>
      <c r="RFM1" s="353"/>
      <c r="RFN1" s="353"/>
      <c r="RFO1" s="353"/>
      <c r="RFP1" s="353"/>
      <c r="RFQ1" s="353"/>
      <c r="RFR1" s="353"/>
      <c r="RFS1" s="353"/>
      <c r="RFT1" s="353"/>
      <c r="RFU1" s="353"/>
      <c r="RFV1" s="353"/>
      <c r="RFW1" s="353"/>
      <c r="RFX1" s="353"/>
      <c r="RFY1" s="353"/>
      <c r="RFZ1" s="353"/>
      <c r="RGA1" s="353"/>
      <c r="RGB1" s="353"/>
      <c r="RGC1" s="353"/>
      <c r="RGD1" s="353"/>
      <c r="RGE1" s="353"/>
      <c r="RGF1" s="353"/>
      <c r="RGG1" s="353"/>
      <c r="RGH1" s="353"/>
      <c r="RGI1" s="353"/>
      <c r="RGJ1" s="353"/>
      <c r="RGK1" s="353"/>
      <c r="RGL1" s="353"/>
      <c r="RGM1" s="353"/>
      <c r="RGN1" s="353"/>
      <c r="RGO1" s="353"/>
      <c r="RGP1" s="353"/>
      <c r="RGQ1" s="353"/>
      <c r="RGR1" s="353"/>
      <c r="RGS1" s="353"/>
      <c r="RGT1" s="353"/>
      <c r="RGU1" s="353"/>
      <c r="RGV1" s="353"/>
      <c r="RGW1" s="353"/>
      <c r="RGX1" s="353"/>
      <c r="RGY1" s="353"/>
      <c r="RGZ1" s="353"/>
      <c r="RHA1" s="353"/>
      <c r="RHB1" s="353"/>
      <c r="RHC1" s="353"/>
      <c r="RHD1" s="353"/>
      <c r="RHE1" s="353"/>
      <c r="RHF1" s="353"/>
      <c r="RHG1" s="353"/>
      <c r="RHH1" s="353"/>
      <c r="RHI1" s="353"/>
      <c r="RHJ1" s="353"/>
      <c r="RHK1" s="353"/>
      <c r="RHL1" s="353"/>
      <c r="RHM1" s="353"/>
      <c r="RHN1" s="353"/>
      <c r="RHO1" s="353"/>
      <c r="RHP1" s="353"/>
      <c r="RHQ1" s="353"/>
      <c r="RHR1" s="353"/>
      <c r="RHS1" s="353"/>
      <c r="RHT1" s="353"/>
      <c r="RHU1" s="353"/>
      <c r="RHV1" s="353"/>
      <c r="RHW1" s="353"/>
      <c r="RHX1" s="353"/>
      <c r="RHY1" s="353"/>
      <c r="RHZ1" s="353"/>
      <c r="RIA1" s="353"/>
      <c r="RIB1" s="353"/>
      <c r="RIC1" s="353"/>
      <c r="RID1" s="353"/>
      <c r="RIE1" s="353"/>
      <c r="RIF1" s="353"/>
      <c r="RIG1" s="353"/>
      <c r="RIH1" s="353"/>
      <c r="RII1" s="353"/>
      <c r="RIJ1" s="353"/>
      <c r="RIK1" s="353"/>
      <c r="RIL1" s="353"/>
      <c r="RIM1" s="353"/>
      <c r="RIN1" s="353"/>
      <c r="RIO1" s="353"/>
      <c r="RIP1" s="353"/>
      <c r="RIQ1" s="353"/>
      <c r="RIR1" s="353"/>
      <c r="RIS1" s="353"/>
      <c r="RIT1" s="353"/>
      <c r="RIU1" s="353"/>
      <c r="RIV1" s="353"/>
      <c r="RIW1" s="353"/>
      <c r="RIX1" s="353"/>
      <c r="RIY1" s="353"/>
      <c r="RIZ1" s="353"/>
      <c r="RJA1" s="353"/>
      <c r="RJB1" s="353"/>
      <c r="RJC1" s="353"/>
      <c r="RJD1" s="353"/>
      <c r="RJE1" s="353"/>
      <c r="RJF1" s="353"/>
      <c r="RJG1" s="353"/>
      <c r="RJH1" s="353"/>
      <c r="RJI1" s="353"/>
      <c r="RJJ1" s="353"/>
      <c r="RJK1" s="353"/>
      <c r="RJL1" s="353"/>
      <c r="RJM1" s="353"/>
      <c r="RJN1" s="353"/>
      <c r="RJO1" s="353"/>
      <c r="RJP1" s="353"/>
      <c r="RJQ1" s="353"/>
      <c r="RJR1" s="353"/>
      <c r="RJS1" s="353"/>
      <c r="RJT1" s="353"/>
      <c r="RJU1" s="353"/>
      <c r="RJV1" s="353"/>
      <c r="RJW1" s="353"/>
      <c r="RJX1" s="353"/>
      <c r="RJY1" s="353"/>
      <c r="RJZ1" s="353"/>
      <c r="RKA1" s="353"/>
      <c r="RKB1" s="353"/>
      <c r="RKC1" s="353"/>
      <c r="RKD1" s="353"/>
      <c r="RKE1" s="353"/>
      <c r="RKF1" s="353"/>
      <c r="RKG1" s="353"/>
      <c r="RKH1" s="353"/>
      <c r="RKI1" s="353"/>
      <c r="RKJ1" s="353"/>
      <c r="RKK1" s="353"/>
      <c r="RKL1" s="353"/>
      <c r="RKM1" s="353"/>
      <c r="RKN1" s="353"/>
      <c r="RKO1" s="353"/>
      <c r="RKP1" s="353"/>
      <c r="RKQ1" s="353"/>
      <c r="RKR1" s="353"/>
      <c r="RKS1" s="353"/>
      <c r="RKT1" s="353"/>
      <c r="RKU1" s="353"/>
      <c r="RKV1" s="353"/>
      <c r="RKW1" s="353"/>
      <c r="RKX1" s="353"/>
      <c r="RKY1" s="353"/>
      <c r="RKZ1" s="353"/>
      <c r="RLA1" s="353"/>
      <c r="RLB1" s="353"/>
      <c r="RLC1" s="353"/>
      <c r="RLD1" s="353"/>
      <c r="RLE1" s="353"/>
      <c r="RLF1" s="353"/>
      <c r="RLG1" s="353"/>
      <c r="RLH1" s="353"/>
      <c r="RLI1" s="353"/>
      <c r="RLJ1" s="353"/>
      <c r="RLK1" s="353"/>
      <c r="RLL1" s="353"/>
      <c r="RLM1" s="353"/>
      <c r="RLN1" s="353"/>
      <c r="RLO1" s="353"/>
      <c r="RLP1" s="353"/>
      <c r="RLQ1" s="353"/>
      <c r="RLR1" s="353"/>
      <c r="RLS1" s="353"/>
      <c r="RLT1" s="353"/>
      <c r="RLU1" s="353"/>
      <c r="RLV1" s="353"/>
      <c r="RLW1" s="353"/>
      <c r="RLX1" s="353"/>
      <c r="RLY1" s="353"/>
      <c r="RLZ1" s="353"/>
      <c r="RMA1" s="353"/>
      <c r="RMB1" s="353"/>
      <c r="RMC1" s="353"/>
      <c r="RMD1" s="353"/>
      <c r="RME1" s="353"/>
      <c r="RMF1" s="353"/>
      <c r="RMG1" s="353"/>
      <c r="RMH1" s="353"/>
      <c r="RMI1" s="353"/>
      <c r="RMJ1" s="353"/>
      <c r="RMK1" s="353"/>
      <c r="RML1" s="353"/>
      <c r="RMM1" s="353"/>
      <c r="RMN1" s="353"/>
      <c r="RMO1" s="353"/>
      <c r="RMP1" s="353"/>
      <c r="RMQ1" s="353"/>
      <c r="RMR1" s="353"/>
      <c r="RMS1" s="353"/>
      <c r="RMT1" s="353"/>
      <c r="RMU1" s="353"/>
      <c r="RMV1" s="353"/>
      <c r="RMW1" s="353"/>
      <c r="RMX1" s="353"/>
      <c r="RMY1" s="353"/>
      <c r="RMZ1" s="353"/>
      <c r="RNA1" s="353"/>
      <c r="RNB1" s="353"/>
      <c r="RNC1" s="353"/>
      <c r="RND1" s="353"/>
      <c r="RNE1" s="353"/>
      <c r="RNF1" s="353"/>
      <c r="RNG1" s="353"/>
      <c r="RNH1" s="353"/>
      <c r="RNI1" s="353"/>
      <c r="RNJ1" s="353"/>
      <c r="RNK1" s="353"/>
      <c r="RNL1" s="353"/>
      <c r="RNM1" s="353"/>
      <c r="RNN1" s="353"/>
      <c r="RNO1" s="353"/>
      <c r="RNP1" s="353"/>
      <c r="RNQ1" s="353"/>
      <c r="RNR1" s="353"/>
      <c r="RNS1" s="353"/>
      <c r="RNT1" s="353"/>
      <c r="RNU1" s="353"/>
      <c r="RNV1" s="353"/>
      <c r="RNW1" s="353"/>
      <c r="RNX1" s="353"/>
      <c r="RNY1" s="353"/>
      <c r="RNZ1" s="353"/>
      <c r="ROA1" s="353"/>
      <c r="ROB1" s="353"/>
      <c r="ROC1" s="353"/>
      <c r="ROD1" s="353"/>
      <c r="ROE1" s="353"/>
      <c r="ROF1" s="353"/>
      <c r="ROG1" s="353"/>
      <c r="ROH1" s="353"/>
      <c r="ROI1" s="353"/>
      <c r="ROJ1" s="353"/>
      <c r="ROK1" s="353"/>
      <c r="ROL1" s="353"/>
      <c r="ROM1" s="353"/>
      <c r="RON1" s="353"/>
      <c r="ROO1" s="353"/>
      <c r="ROP1" s="353"/>
      <c r="ROQ1" s="353"/>
      <c r="ROR1" s="353"/>
      <c r="ROS1" s="353"/>
      <c r="ROT1" s="353"/>
      <c r="ROU1" s="353"/>
      <c r="ROV1" s="353"/>
      <c r="ROW1" s="353"/>
      <c r="ROX1" s="353"/>
      <c r="ROY1" s="353"/>
      <c r="ROZ1" s="353"/>
      <c r="RPA1" s="353"/>
      <c r="RPB1" s="353"/>
      <c r="RPC1" s="353"/>
      <c r="RPD1" s="353"/>
      <c r="RPE1" s="353"/>
      <c r="RPF1" s="353"/>
      <c r="RPG1" s="353"/>
      <c r="RPH1" s="353"/>
      <c r="RPI1" s="353"/>
      <c r="RPJ1" s="353"/>
      <c r="RPK1" s="353"/>
      <c r="RPL1" s="353"/>
      <c r="RPM1" s="353"/>
      <c r="RPN1" s="353"/>
      <c r="RPO1" s="353"/>
      <c r="RPP1" s="353"/>
      <c r="RPQ1" s="353"/>
      <c r="RPR1" s="353"/>
      <c r="RPS1" s="353"/>
      <c r="RPT1" s="353"/>
      <c r="RPU1" s="353"/>
      <c r="RPV1" s="353"/>
      <c r="RPW1" s="353"/>
      <c r="RPX1" s="353"/>
      <c r="RPY1" s="353"/>
      <c r="RPZ1" s="353"/>
      <c r="RQA1" s="353"/>
      <c r="RQB1" s="353"/>
      <c r="RQC1" s="353"/>
      <c r="RQD1" s="353"/>
      <c r="RQE1" s="353"/>
      <c r="RQF1" s="353"/>
      <c r="RQG1" s="353"/>
      <c r="RQH1" s="353"/>
      <c r="RQI1" s="353"/>
      <c r="RQJ1" s="353"/>
      <c r="RQK1" s="353"/>
      <c r="RQL1" s="353"/>
      <c r="RQM1" s="353"/>
      <c r="RQN1" s="353"/>
      <c r="RQO1" s="353"/>
      <c r="RQP1" s="353"/>
      <c r="RQQ1" s="353"/>
      <c r="RQR1" s="353"/>
      <c r="RQS1" s="353"/>
      <c r="RQT1" s="353"/>
      <c r="RQU1" s="353"/>
      <c r="RQV1" s="353"/>
      <c r="RQW1" s="353"/>
      <c r="RQX1" s="353"/>
      <c r="RQY1" s="353"/>
      <c r="RQZ1" s="353"/>
      <c r="RRA1" s="353"/>
      <c r="RRB1" s="353"/>
      <c r="RRC1" s="353"/>
      <c r="RRD1" s="353"/>
      <c r="RRE1" s="353"/>
      <c r="RRF1" s="353"/>
      <c r="RRG1" s="353"/>
      <c r="RRH1" s="353"/>
      <c r="RRI1" s="353"/>
      <c r="RRJ1" s="353"/>
      <c r="RRK1" s="353"/>
      <c r="RRL1" s="353"/>
      <c r="RRM1" s="353"/>
      <c r="RRN1" s="353"/>
      <c r="RRO1" s="353"/>
      <c r="RRP1" s="353"/>
      <c r="RRQ1" s="353"/>
      <c r="RRR1" s="353"/>
      <c r="RRS1" s="353"/>
      <c r="RRT1" s="353"/>
      <c r="RRU1" s="353"/>
      <c r="RRV1" s="353"/>
      <c r="RRW1" s="353"/>
      <c r="RRX1" s="353"/>
      <c r="RRY1" s="353"/>
      <c r="RRZ1" s="353"/>
      <c r="RSA1" s="353"/>
      <c r="RSB1" s="353"/>
      <c r="RSC1" s="353"/>
      <c r="RSD1" s="353"/>
      <c r="RSE1" s="353"/>
      <c r="RSF1" s="353"/>
      <c r="RSG1" s="353"/>
      <c r="RSH1" s="353"/>
      <c r="RSI1" s="353"/>
      <c r="RSJ1" s="353"/>
      <c r="RSK1" s="353"/>
      <c r="RSL1" s="353"/>
      <c r="RSM1" s="353"/>
      <c r="RSN1" s="353"/>
      <c r="RSO1" s="353"/>
      <c r="RSP1" s="353"/>
      <c r="RSQ1" s="353"/>
      <c r="RSR1" s="353"/>
      <c r="RSS1" s="353"/>
      <c r="RST1" s="353"/>
      <c r="RSU1" s="353"/>
      <c r="RSV1" s="353"/>
      <c r="RSW1" s="353"/>
      <c r="RSX1" s="353"/>
      <c r="RSY1" s="353"/>
      <c r="RSZ1" s="353"/>
      <c r="RTA1" s="353"/>
      <c r="RTB1" s="353"/>
      <c r="RTC1" s="353"/>
      <c r="RTD1" s="353"/>
      <c r="RTE1" s="353"/>
      <c r="RTF1" s="353"/>
      <c r="RTG1" s="353"/>
      <c r="RTH1" s="353"/>
      <c r="RTI1" s="353"/>
      <c r="RTJ1" s="353"/>
      <c r="RTK1" s="353"/>
      <c r="RTL1" s="353"/>
      <c r="RTM1" s="353"/>
      <c r="RTN1" s="353"/>
      <c r="RTO1" s="353"/>
      <c r="RTP1" s="353"/>
      <c r="RTQ1" s="353"/>
      <c r="RTR1" s="353"/>
      <c r="RTS1" s="353"/>
      <c r="RTT1" s="353"/>
      <c r="RTU1" s="353"/>
      <c r="RTV1" s="353"/>
      <c r="RTW1" s="353"/>
      <c r="RTX1" s="353"/>
      <c r="RTY1" s="353"/>
      <c r="RTZ1" s="353"/>
      <c r="RUA1" s="353"/>
      <c r="RUB1" s="353"/>
      <c r="RUC1" s="353"/>
      <c r="RUD1" s="353"/>
      <c r="RUE1" s="353"/>
      <c r="RUF1" s="353"/>
      <c r="RUG1" s="353"/>
      <c r="RUH1" s="353"/>
      <c r="RUI1" s="353"/>
      <c r="RUJ1" s="353"/>
      <c r="RUK1" s="353"/>
      <c r="RUL1" s="353"/>
      <c r="RUM1" s="353"/>
      <c r="RUN1" s="353"/>
      <c r="RUO1" s="353"/>
      <c r="RUP1" s="353"/>
      <c r="RUQ1" s="353"/>
      <c r="RUR1" s="353"/>
      <c r="RUS1" s="353"/>
      <c r="RUT1" s="353"/>
      <c r="RUU1" s="353"/>
      <c r="RUV1" s="353"/>
      <c r="RUW1" s="353"/>
      <c r="RUX1" s="353"/>
      <c r="RUY1" s="353"/>
      <c r="RUZ1" s="353"/>
      <c r="RVA1" s="353"/>
      <c r="RVB1" s="353"/>
      <c r="RVC1" s="353"/>
      <c r="RVD1" s="353"/>
      <c r="RVE1" s="353"/>
      <c r="RVF1" s="353"/>
      <c r="RVG1" s="353"/>
      <c r="RVH1" s="353"/>
      <c r="RVI1" s="353"/>
      <c r="RVJ1" s="353"/>
      <c r="RVK1" s="353"/>
      <c r="RVL1" s="353"/>
      <c r="RVM1" s="353"/>
      <c r="RVN1" s="353"/>
      <c r="RVO1" s="353"/>
      <c r="RVP1" s="353"/>
      <c r="RVQ1" s="353"/>
      <c r="RVR1" s="353"/>
      <c r="RVS1" s="353"/>
      <c r="RVT1" s="353"/>
      <c r="RVU1" s="353"/>
      <c r="RVV1" s="353"/>
      <c r="RVW1" s="353"/>
      <c r="RVX1" s="353"/>
      <c r="RVY1" s="353"/>
      <c r="RVZ1" s="353"/>
      <c r="RWA1" s="353"/>
      <c r="RWB1" s="353"/>
      <c r="RWC1" s="353"/>
      <c r="RWD1" s="353"/>
      <c r="RWE1" s="353"/>
      <c r="RWF1" s="353"/>
      <c r="RWG1" s="353"/>
      <c r="RWH1" s="353"/>
      <c r="RWI1" s="353"/>
      <c r="RWJ1" s="353"/>
      <c r="RWK1" s="353"/>
      <c r="RWL1" s="353"/>
      <c r="RWM1" s="353"/>
      <c r="RWN1" s="353"/>
      <c r="RWO1" s="353"/>
      <c r="RWP1" s="353"/>
      <c r="RWQ1" s="353"/>
      <c r="RWR1" s="353"/>
      <c r="RWS1" s="353"/>
      <c r="RWT1" s="353"/>
      <c r="RWU1" s="353"/>
      <c r="RWV1" s="353"/>
      <c r="RWW1" s="353"/>
      <c r="RWX1" s="353"/>
      <c r="RWY1" s="353"/>
      <c r="RWZ1" s="353"/>
      <c r="RXA1" s="353"/>
      <c r="RXB1" s="353"/>
      <c r="RXC1" s="353"/>
      <c r="RXD1" s="353"/>
      <c r="RXE1" s="353"/>
      <c r="RXF1" s="353"/>
      <c r="RXG1" s="353"/>
      <c r="RXH1" s="353"/>
      <c r="RXI1" s="353"/>
      <c r="RXJ1" s="353"/>
      <c r="RXK1" s="353"/>
      <c r="RXL1" s="353"/>
      <c r="RXM1" s="353"/>
      <c r="RXN1" s="353"/>
      <c r="RXO1" s="353"/>
      <c r="RXP1" s="353"/>
      <c r="RXQ1" s="353"/>
      <c r="RXR1" s="353"/>
      <c r="RXS1" s="353"/>
      <c r="RXT1" s="353"/>
      <c r="RXU1" s="353"/>
      <c r="RXV1" s="353"/>
      <c r="RXW1" s="353"/>
      <c r="RXX1" s="353"/>
      <c r="RXY1" s="353"/>
      <c r="RXZ1" s="353"/>
      <c r="RYA1" s="353"/>
      <c r="RYB1" s="353"/>
      <c r="RYC1" s="353"/>
      <c r="RYD1" s="353"/>
      <c r="RYE1" s="353"/>
      <c r="RYF1" s="353"/>
      <c r="RYG1" s="353"/>
      <c r="RYH1" s="353"/>
      <c r="RYI1" s="353"/>
      <c r="RYJ1" s="353"/>
      <c r="RYK1" s="353"/>
      <c r="RYL1" s="353"/>
      <c r="RYM1" s="353"/>
      <c r="RYN1" s="353"/>
      <c r="RYO1" s="353"/>
      <c r="RYP1" s="353"/>
      <c r="RYQ1" s="353"/>
      <c r="RYR1" s="353"/>
      <c r="RYS1" s="353"/>
      <c r="RYT1" s="353"/>
      <c r="RYU1" s="353"/>
      <c r="RYV1" s="353"/>
      <c r="RYW1" s="353"/>
      <c r="RYX1" s="353"/>
      <c r="RYY1" s="353"/>
      <c r="RYZ1" s="353"/>
      <c r="RZA1" s="353"/>
      <c r="RZB1" s="353"/>
      <c r="RZC1" s="353"/>
      <c r="RZD1" s="353"/>
      <c r="RZE1" s="353"/>
      <c r="RZF1" s="353"/>
      <c r="RZG1" s="353"/>
      <c r="RZH1" s="353"/>
      <c r="RZI1" s="353"/>
      <c r="RZJ1" s="353"/>
      <c r="RZK1" s="353"/>
      <c r="RZL1" s="353"/>
      <c r="RZM1" s="353"/>
      <c r="RZN1" s="353"/>
      <c r="RZO1" s="353"/>
      <c r="RZP1" s="353"/>
      <c r="RZQ1" s="353"/>
      <c r="RZR1" s="353"/>
      <c r="RZS1" s="353"/>
      <c r="RZT1" s="353"/>
      <c r="RZU1" s="353"/>
      <c r="RZV1" s="353"/>
      <c r="RZW1" s="353"/>
      <c r="RZX1" s="353"/>
      <c r="RZY1" s="353"/>
      <c r="RZZ1" s="353"/>
      <c r="SAA1" s="353"/>
      <c r="SAB1" s="353"/>
      <c r="SAC1" s="353"/>
      <c r="SAD1" s="353"/>
      <c r="SAE1" s="353"/>
      <c r="SAF1" s="353"/>
      <c r="SAG1" s="353"/>
      <c r="SAH1" s="353"/>
      <c r="SAI1" s="353"/>
      <c r="SAJ1" s="353"/>
      <c r="SAK1" s="353"/>
      <c r="SAL1" s="353"/>
      <c r="SAM1" s="353"/>
      <c r="SAN1" s="353"/>
      <c r="SAO1" s="353"/>
      <c r="SAP1" s="353"/>
      <c r="SAQ1" s="353"/>
      <c r="SAR1" s="353"/>
      <c r="SAS1" s="353"/>
      <c r="SAT1" s="353"/>
      <c r="SAU1" s="353"/>
      <c r="SAV1" s="353"/>
      <c r="SAW1" s="353"/>
      <c r="SAX1" s="353"/>
      <c r="SAY1" s="353"/>
      <c r="SAZ1" s="353"/>
      <c r="SBA1" s="353"/>
      <c r="SBB1" s="353"/>
      <c r="SBC1" s="353"/>
      <c r="SBD1" s="353"/>
      <c r="SBE1" s="353"/>
      <c r="SBF1" s="353"/>
      <c r="SBG1" s="353"/>
      <c r="SBH1" s="353"/>
      <c r="SBI1" s="353"/>
      <c r="SBJ1" s="353"/>
      <c r="SBK1" s="353"/>
      <c r="SBL1" s="353"/>
      <c r="SBM1" s="353"/>
      <c r="SBN1" s="353"/>
      <c r="SBO1" s="353"/>
      <c r="SBP1" s="353"/>
      <c r="SBQ1" s="353"/>
      <c r="SBR1" s="353"/>
      <c r="SBS1" s="353"/>
      <c r="SBT1" s="353"/>
      <c r="SBU1" s="353"/>
      <c r="SBV1" s="353"/>
      <c r="SBW1" s="353"/>
      <c r="SBX1" s="353"/>
      <c r="SBY1" s="353"/>
      <c r="SBZ1" s="353"/>
      <c r="SCA1" s="353"/>
      <c r="SCB1" s="353"/>
      <c r="SCC1" s="353"/>
      <c r="SCD1" s="353"/>
      <c r="SCE1" s="353"/>
      <c r="SCF1" s="353"/>
      <c r="SCG1" s="353"/>
      <c r="SCH1" s="353"/>
      <c r="SCI1" s="353"/>
      <c r="SCJ1" s="353"/>
      <c r="SCK1" s="353"/>
      <c r="SCL1" s="353"/>
      <c r="SCM1" s="353"/>
      <c r="SCN1" s="353"/>
      <c r="SCO1" s="353"/>
      <c r="SCP1" s="353"/>
      <c r="SCQ1" s="353"/>
      <c r="SCR1" s="353"/>
      <c r="SCS1" s="353"/>
      <c r="SCT1" s="353"/>
      <c r="SCU1" s="353"/>
      <c r="SCV1" s="353"/>
      <c r="SCW1" s="353"/>
      <c r="SCX1" s="353"/>
      <c r="SCY1" s="353"/>
      <c r="SCZ1" s="353"/>
      <c r="SDA1" s="353"/>
      <c r="SDB1" s="353"/>
      <c r="SDC1" s="353"/>
      <c r="SDD1" s="353"/>
      <c r="SDE1" s="353"/>
      <c r="SDF1" s="353"/>
      <c r="SDG1" s="353"/>
      <c r="SDH1" s="353"/>
      <c r="SDI1" s="353"/>
      <c r="SDJ1" s="353"/>
      <c r="SDK1" s="353"/>
      <c r="SDL1" s="353"/>
      <c r="SDM1" s="353"/>
      <c r="SDN1" s="353"/>
      <c r="SDO1" s="353"/>
      <c r="SDP1" s="353"/>
      <c r="SDQ1" s="353"/>
      <c r="SDR1" s="353"/>
      <c r="SDS1" s="353"/>
      <c r="SDT1" s="353"/>
      <c r="SDU1" s="353"/>
      <c r="SDV1" s="353"/>
      <c r="SDW1" s="353"/>
      <c r="SDX1" s="353"/>
      <c r="SDY1" s="353"/>
      <c r="SDZ1" s="353"/>
      <c r="SEA1" s="353"/>
      <c r="SEB1" s="353"/>
      <c r="SEC1" s="353"/>
      <c r="SED1" s="353"/>
      <c r="SEE1" s="353"/>
      <c r="SEF1" s="353"/>
      <c r="SEG1" s="353"/>
      <c r="SEH1" s="353"/>
      <c r="SEI1" s="353"/>
      <c r="SEJ1" s="353"/>
      <c r="SEK1" s="353"/>
      <c r="SEL1" s="353"/>
      <c r="SEM1" s="353"/>
      <c r="SEN1" s="353"/>
      <c r="SEO1" s="353"/>
      <c r="SEP1" s="353"/>
      <c r="SEQ1" s="353"/>
      <c r="SER1" s="353"/>
      <c r="SES1" s="353"/>
      <c r="SET1" s="353"/>
      <c r="SEU1" s="353"/>
      <c r="SEV1" s="353"/>
      <c r="SEW1" s="353"/>
      <c r="SEX1" s="353"/>
      <c r="SEY1" s="353"/>
      <c r="SEZ1" s="353"/>
      <c r="SFA1" s="353"/>
      <c r="SFB1" s="353"/>
      <c r="SFC1" s="353"/>
      <c r="SFD1" s="353"/>
      <c r="SFE1" s="353"/>
      <c r="SFF1" s="353"/>
      <c r="SFG1" s="353"/>
      <c r="SFH1" s="353"/>
      <c r="SFI1" s="353"/>
      <c r="SFJ1" s="353"/>
      <c r="SFK1" s="353"/>
      <c r="SFL1" s="353"/>
      <c r="SFM1" s="353"/>
      <c r="SFN1" s="353"/>
      <c r="SFO1" s="353"/>
      <c r="SFP1" s="353"/>
      <c r="SFQ1" s="353"/>
      <c r="SFR1" s="353"/>
      <c r="SFS1" s="353"/>
      <c r="SFT1" s="353"/>
      <c r="SFU1" s="353"/>
      <c r="SFV1" s="353"/>
      <c r="SFW1" s="353"/>
      <c r="SFX1" s="353"/>
      <c r="SFY1" s="353"/>
      <c r="SFZ1" s="353"/>
      <c r="SGA1" s="353"/>
      <c r="SGB1" s="353"/>
      <c r="SGC1" s="353"/>
      <c r="SGD1" s="353"/>
      <c r="SGE1" s="353"/>
      <c r="SGF1" s="353"/>
      <c r="SGG1" s="353"/>
      <c r="SGH1" s="353"/>
      <c r="SGI1" s="353"/>
      <c r="SGJ1" s="353"/>
      <c r="SGK1" s="353"/>
      <c r="SGL1" s="353"/>
      <c r="SGM1" s="353"/>
      <c r="SGN1" s="353"/>
      <c r="SGO1" s="353"/>
      <c r="SGP1" s="353"/>
      <c r="SGQ1" s="353"/>
      <c r="SGR1" s="353"/>
      <c r="SGS1" s="353"/>
      <c r="SGT1" s="353"/>
      <c r="SGU1" s="353"/>
      <c r="SGV1" s="353"/>
      <c r="SGW1" s="353"/>
      <c r="SGX1" s="353"/>
      <c r="SGY1" s="353"/>
      <c r="SGZ1" s="353"/>
      <c r="SHA1" s="353"/>
      <c r="SHB1" s="353"/>
      <c r="SHC1" s="353"/>
      <c r="SHD1" s="353"/>
      <c r="SHE1" s="353"/>
      <c r="SHF1" s="353"/>
      <c r="SHG1" s="353"/>
      <c r="SHH1" s="353"/>
      <c r="SHI1" s="353"/>
      <c r="SHJ1" s="353"/>
      <c r="SHK1" s="353"/>
      <c r="SHL1" s="353"/>
      <c r="SHM1" s="353"/>
      <c r="SHN1" s="353"/>
      <c r="SHO1" s="353"/>
      <c r="SHP1" s="353"/>
      <c r="SHQ1" s="353"/>
      <c r="SHR1" s="353"/>
      <c r="SHS1" s="353"/>
      <c r="SHT1" s="353"/>
      <c r="SHU1" s="353"/>
      <c r="SHV1" s="353"/>
      <c r="SHW1" s="353"/>
      <c r="SHX1" s="353"/>
      <c r="SHY1" s="353"/>
      <c r="SHZ1" s="353"/>
      <c r="SIA1" s="353"/>
      <c r="SIB1" s="353"/>
      <c r="SIC1" s="353"/>
      <c r="SID1" s="353"/>
      <c r="SIE1" s="353"/>
      <c r="SIF1" s="353"/>
      <c r="SIG1" s="353"/>
      <c r="SIH1" s="353"/>
      <c r="SII1" s="353"/>
      <c r="SIJ1" s="353"/>
      <c r="SIK1" s="353"/>
      <c r="SIL1" s="353"/>
      <c r="SIM1" s="353"/>
      <c r="SIN1" s="353"/>
      <c r="SIO1" s="353"/>
      <c r="SIP1" s="353"/>
      <c r="SIQ1" s="353"/>
      <c r="SIR1" s="353"/>
      <c r="SIS1" s="353"/>
      <c r="SIT1" s="353"/>
      <c r="SIU1" s="353"/>
      <c r="SIV1" s="353"/>
      <c r="SIW1" s="353"/>
      <c r="SIX1" s="353"/>
      <c r="SIY1" s="353"/>
      <c r="SIZ1" s="353"/>
      <c r="SJA1" s="353"/>
      <c r="SJB1" s="353"/>
      <c r="SJC1" s="353"/>
      <c r="SJD1" s="353"/>
      <c r="SJE1" s="353"/>
      <c r="SJF1" s="353"/>
      <c r="SJG1" s="353"/>
      <c r="SJH1" s="353"/>
      <c r="SJI1" s="353"/>
      <c r="SJJ1" s="353"/>
      <c r="SJK1" s="353"/>
      <c r="SJL1" s="353"/>
      <c r="SJM1" s="353"/>
      <c r="SJN1" s="353"/>
      <c r="SJO1" s="353"/>
      <c r="SJP1" s="353"/>
      <c r="SJQ1" s="353"/>
      <c r="SJR1" s="353"/>
      <c r="SJS1" s="353"/>
      <c r="SJT1" s="353"/>
      <c r="SJU1" s="353"/>
      <c r="SJV1" s="353"/>
      <c r="SJW1" s="353"/>
      <c r="SJX1" s="353"/>
      <c r="SJY1" s="353"/>
      <c r="SJZ1" s="353"/>
      <c r="SKA1" s="353"/>
      <c r="SKB1" s="353"/>
      <c r="SKC1" s="353"/>
      <c r="SKD1" s="353"/>
      <c r="SKE1" s="353"/>
      <c r="SKF1" s="353"/>
      <c r="SKG1" s="353"/>
      <c r="SKH1" s="353"/>
      <c r="SKI1" s="353"/>
      <c r="SKJ1" s="353"/>
      <c r="SKK1" s="353"/>
      <c r="SKL1" s="353"/>
      <c r="SKM1" s="353"/>
      <c r="SKN1" s="353"/>
      <c r="SKO1" s="353"/>
      <c r="SKP1" s="353"/>
      <c r="SKQ1" s="353"/>
      <c r="SKR1" s="353"/>
      <c r="SKS1" s="353"/>
      <c r="SKT1" s="353"/>
      <c r="SKU1" s="353"/>
      <c r="SKV1" s="353"/>
      <c r="SKW1" s="353"/>
      <c r="SKX1" s="353"/>
      <c r="SKY1" s="353"/>
      <c r="SKZ1" s="353"/>
      <c r="SLA1" s="353"/>
      <c r="SLB1" s="353"/>
      <c r="SLC1" s="353"/>
      <c r="SLD1" s="353"/>
      <c r="SLE1" s="353"/>
      <c r="SLF1" s="353"/>
      <c r="SLG1" s="353"/>
      <c r="SLH1" s="353"/>
      <c r="SLI1" s="353"/>
      <c r="SLJ1" s="353"/>
      <c r="SLK1" s="353"/>
      <c r="SLL1" s="353"/>
      <c r="SLM1" s="353"/>
      <c r="SLN1" s="353"/>
      <c r="SLO1" s="353"/>
      <c r="SLP1" s="353"/>
      <c r="SLQ1" s="353"/>
      <c r="SLR1" s="353"/>
      <c r="SLS1" s="353"/>
      <c r="SLT1" s="353"/>
      <c r="SLU1" s="353"/>
      <c r="SLV1" s="353"/>
      <c r="SLW1" s="353"/>
      <c r="SLX1" s="353"/>
      <c r="SLY1" s="353"/>
      <c r="SLZ1" s="353"/>
      <c r="SMA1" s="353"/>
      <c r="SMB1" s="353"/>
      <c r="SMC1" s="353"/>
      <c r="SMD1" s="353"/>
      <c r="SME1" s="353"/>
      <c r="SMF1" s="353"/>
      <c r="SMG1" s="353"/>
      <c r="SMH1" s="353"/>
      <c r="SMI1" s="353"/>
      <c r="SMJ1" s="353"/>
      <c r="SMK1" s="353"/>
      <c r="SML1" s="353"/>
      <c r="SMM1" s="353"/>
      <c r="SMN1" s="353"/>
      <c r="SMO1" s="353"/>
      <c r="SMP1" s="353"/>
      <c r="SMQ1" s="353"/>
      <c r="SMR1" s="353"/>
      <c r="SMS1" s="353"/>
      <c r="SMT1" s="353"/>
      <c r="SMU1" s="353"/>
      <c r="SMV1" s="353"/>
      <c r="SMW1" s="353"/>
      <c r="SMX1" s="353"/>
      <c r="SMY1" s="353"/>
      <c r="SMZ1" s="353"/>
      <c r="SNA1" s="353"/>
      <c r="SNB1" s="353"/>
      <c r="SNC1" s="353"/>
      <c r="SND1" s="353"/>
      <c r="SNE1" s="353"/>
      <c r="SNF1" s="353"/>
      <c r="SNG1" s="353"/>
      <c r="SNH1" s="353"/>
      <c r="SNI1" s="353"/>
      <c r="SNJ1" s="353"/>
      <c r="SNK1" s="353"/>
      <c r="SNL1" s="353"/>
      <c r="SNM1" s="353"/>
      <c r="SNN1" s="353"/>
      <c r="SNO1" s="353"/>
      <c r="SNP1" s="353"/>
      <c r="SNQ1" s="353"/>
      <c r="SNR1" s="353"/>
      <c r="SNS1" s="353"/>
      <c r="SNT1" s="353"/>
      <c r="SNU1" s="353"/>
      <c r="SNV1" s="353"/>
      <c r="SNW1" s="353"/>
      <c r="SNX1" s="353"/>
      <c r="SNY1" s="353"/>
      <c r="SNZ1" s="353"/>
      <c r="SOA1" s="353"/>
      <c r="SOB1" s="353"/>
      <c r="SOC1" s="353"/>
      <c r="SOD1" s="353"/>
      <c r="SOE1" s="353"/>
      <c r="SOF1" s="353"/>
      <c r="SOG1" s="353"/>
      <c r="SOH1" s="353"/>
      <c r="SOI1" s="353"/>
      <c r="SOJ1" s="353"/>
      <c r="SOK1" s="353"/>
      <c r="SOL1" s="353"/>
      <c r="SOM1" s="353"/>
      <c r="SON1" s="353"/>
      <c r="SOO1" s="353"/>
      <c r="SOP1" s="353"/>
      <c r="SOQ1" s="353"/>
      <c r="SOR1" s="353"/>
      <c r="SOS1" s="353"/>
      <c r="SOT1" s="353"/>
      <c r="SOU1" s="353"/>
      <c r="SOV1" s="353"/>
      <c r="SOW1" s="353"/>
      <c r="SOX1" s="353"/>
      <c r="SOY1" s="353"/>
      <c r="SOZ1" s="353"/>
      <c r="SPA1" s="353"/>
      <c r="SPB1" s="353"/>
      <c r="SPC1" s="353"/>
      <c r="SPD1" s="353"/>
      <c r="SPE1" s="353"/>
      <c r="SPF1" s="353"/>
      <c r="SPG1" s="353"/>
      <c r="SPH1" s="353"/>
      <c r="SPI1" s="353"/>
      <c r="SPJ1" s="353"/>
      <c r="SPK1" s="353"/>
      <c r="SPL1" s="353"/>
      <c r="SPM1" s="353"/>
      <c r="SPN1" s="353"/>
      <c r="SPO1" s="353"/>
      <c r="SPP1" s="353"/>
      <c r="SPQ1" s="353"/>
      <c r="SPR1" s="353"/>
      <c r="SPS1" s="353"/>
      <c r="SPT1" s="353"/>
      <c r="SPU1" s="353"/>
      <c r="SPV1" s="353"/>
      <c r="SPW1" s="353"/>
      <c r="SPX1" s="353"/>
      <c r="SPY1" s="353"/>
      <c r="SPZ1" s="353"/>
      <c r="SQA1" s="353"/>
      <c r="SQB1" s="353"/>
      <c r="SQC1" s="353"/>
      <c r="SQD1" s="353"/>
      <c r="SQE1" s="353"/>
      <c r="SQF1" s="353"/>
      <c r="SQG1" s="353"/>
      <c r="SQH1" s="353"/>
      <c r="SQI1" s="353"/>
      <c r="SQJ1" s="353"/>
      <c r="SQK1" s="353"/>
      <c r="SQL1" s="353"/>
      <c r="SQM1" s="353"/>
      <c r="SQN1" s="353"/>
      <c r="SQO1" s="353"/>
      <c r="SQP1" s="353"/>
      <c r="SQQ1" s="353"/>
      <c r="SQR1" s="353"/>
      <c r="SQS1" s="353"/>
      <c r="SQT1" s="353"/>
      <c r="SQU1" s="353"/>
      <c r="SQV1" s="353"/>
      <c r="SQW1" s="353"/>
      <c r="SQX1" s="353"/>
      <c r="SQY1" s="353"/>
      <c r="SQZ1" s="353"/>
      <c r="SRA1" s="353"/>
      <c r="SRB1" s="353"/>
      <c r="SRC1" s="353"/>
      <c r="SRD1" s="353"/>
      <c r="SRE1" s="353"/>
      <c r="SRF1" s="353"/>
      <c r="SRG1" s="353"/>
      <c r="SRH1" s="353"/>
      <c r="SRI1" s="353"/>
      <c r="SRJ1" s="353"/>
      <c r="SRK1" s="353"/>
      <c r="SRL1" s="353"/>
      <c r="SRM1" s="353"/>
      <c r="SRN1" s="353"/>
      <c r="SRO1" s="353"/>
      <c r="SRP1" s="353"/>
      <c r="SRQ1" s="353"/>
      <c r="SRR1" s="353"/>
      <c r="SRS1" s="353"/>
      <c r="SRT1" s="353"/>
      <c r="SRU1" s="353"/>
      <c r="SRV1" s="353"/>
      <c r="SRW1" s="353"/>
      <c r="SRX1" s="353"/>
      <c r="SRY1" s="353"/>
      <c r="SRZ1" s="353"/>
      <c r="SSA1" s="353"/>
      <c r="SSB1" s="353"/>
      <c r="SSC1" s="353"/>
      <c r="SSD1" s="353"/>
      <c r="SSE1" s="353"/>
      <c r="SSF1" s="353"/>
      <c r="SSG1" s="353"/>
      <c r="SSH1" s="353"/>
      <c r="SSI1" s="353"/>
      <c r="SSJ1" s="353"/>
      <c r="SSK1" s="353"/>
      <c r="SSL1" s="353"/>
      <c r="SSM1" s="353"/>
      <c r="SSN1" s="353"/>
      <c r="SSO1" s="353"/>
      <c r="SSP1" s="353"/>
      <c r="SSQ1" s="353"/>
      <c r="SSR1" s="353"/>
      <c r="SSS1" s="353"/>
      <c r="SST1" s="353"/>
      <c r="SSU1" s="353"/>
      <c r="SSV1" s="353"/>
      <c r="SSW1" s="353"/>
      <c r="SSX1" s="353"/>
      <c r="SSY1" s="353"/>
      <c r="SSZ1" s="353"/>
      <c r="STA1" s="353"/>
      <c r="STB1" s="353"/>
      <c r="STC1" s="353"/>
      <c r="STD1" s="353"/>
      <c r="STE1" s="353"/>
      <c r="STF1" s="353"/>
      <c r="STG1" s="353"/>
      <c r="STH1" s="353"/>
      <c r="STI1" s="353"/>
      <c r="STJ1" s="353"/>
      <c r="STK1" s="353"/>
      <c r="STL1" s="353"/>
      <c r="STM1" s="353"/>
      <c r="STN1" s="353"/>
      <c r="STO1" s="353"/>
      <c r="STP1" s="353"/>
      <c r="STQ1" s="353"/>
      <c r="STR1" s="353"/>
      <c r="STS1" s="353"/>
      <c r="STT1" s="353"/>
      <c r="STU1" s="353"/>
      <c r="STV1" s="353"/>
      <c r="STW1" s="353"/>
      <c r="STX1" s="353"/>
      <c r="STY1" s="353"/>
      <c r="STZ1" s="353"/>
      <c r="SUA1" s="353"/>
      <c r="SUB1" s="353"/>
      <c r="SUC1" s="353"/>
      <c r="SUD1" s="353"/>
      <c r="SUE1" s="353"/>
      <c r="SUF1" s="353"/>
      <c r="SUG1" s="353"/>
      <c r="SUH1" s="353"/>
      <c r="SUI1" s="353"/>
      <c r="SUJ1" s="353"/>
      <c r="SUK1" s="353"/>
      <c r="SUL1" s="353"/>
      <c r="SUM1" s="353"/>
      <c r="SUN1" s="353"/>
      <c r="SUO1" s="353"/>
      <c r="SUP1" s="353"/>
      <c r="SUQ1" s="353"/>
      <c r="SUR1" s="353"/>
      <c r="SUS1" s="353"/>
      <c r="SUT1" s="353"/>
      <c r="SUU1" s="353"/>
      <c r="SUV1" s="353"/>
      <c r="SUW1" s="353"/>
      <c r="SUX1" s="353"/>
      <c r="SUY1" s="353"/>
      <c r="SUZ1" s="353"/>
      <c r="SVA1" s="353"/>
      <c r="SVB1" s="353"/>
      <c r="SVC1" s="353"/>
      <c r="SVD1" s="353"/>
      <c r="SVE1" s="353"/>
      <c r="SVF1" s="353"/>
      <c r="SVG1" s="353"/>
      <c r="SVH1" s="353"/>
      <c r="SVI1" s="353"/>
      <c r="SVJ1" s="353"/>
      <c r="SVK1" s="353"/>
      <c r="SVL1" s="353"/>
      <c r="SVM1" s="353"/>
      <c r="SVN1" s="353"/>
      <c r="SVO1" s="353"/>
      <c r="SVP1" s="353"/>
      <c r="SVQ1" s="353"/>
      <c r="SVR1" s="353"/>
      <c r="SVS1" s="353"/>
      <c r="SVT1" s="353"/>
      <c r="SVU1" s="353"/>
      <c r="SVV1" s="353"/>
      <c r="SVW1" s="353"/>
      <c r="SVX1" s="353"/>
      <c r="SVY1" s="353"/>
      <c r="SVZ1" s="353"/>
      <c r="SWA1" s="353"/>
      <c r="SWB1" s="353"/>
      <c r="SWC1" s="353"/>
      <c r="SWD1" s="353"/>
      <c r="SWE1" s="353"/>
      <c r="SWF1" s="353"/>
      <c r="SWG1" s="353"/>
      <c r="SWH1" s="353"/>
      <c r="SWI1" s="353"/>
      <c r="SWJ1" s="353"/>
      <c r="SWK1" s="353"/>
      <c r="SWL1" s="353"/>
      <c r="SWM1" s="353"/>
      <c r="SWN1" s="353"/>
      <c r="SWO1" s="353"/>
      <c r="SWP1" s="353"/>
      <c r="SWQ1" s="353"/>
      <c r="SWR1" s="353"/>
      <c r="SWS1" s="353"/>
      <c r="SWT1" s="353"/>
      <c r="SWU1" s="353"/>
      <c r="SWV1" s="353"/>
      <c r="SWW1" s="353"/>
      <c r="SWX1" s="353"/>
      <c r="SWY1" s="353"/>
      <c r="SWZ1" s="353"/>
      <c r="SXA1" s="353"/>
      <c r="SXB1" s="353"/>
      <c r="SXC1" s="353"/>
      <c r="SXD1" s="353"/>
      <c r="SXE1" s="353"/>
      <c r="SXF1" s="353"/>
      <c r="SXG1" s="353"/>
      <c r="SXH1" s="353"/>
      <c r="SXI1" s="353"/>
      <c r="SXJ1" s="353"/>
      <c r="SXK1" s="353"/>
      <c r="SXL1" s="353"/>
      <c r="SXM1" s="353"/>
      <c r="SXN1" s="353"/>
      <c r="SXO1" s="353"/>
      <c r="SXP1" s="353"/>
      <c r="SXQ1" s="353"/>
      <c r="SXR1" s="353"/>
      <c r="SXS1" s="353"/>
      <c r="SXT1" s="353"/>
      <c r="SXU1" s="353"/>
      <c r="SXV1" s="353"/>
      <c r="SXW1" s="353"/>
      <c r="SXX1" s="353"/>
      <c r="SXY1" s="353"/>
      <c r="SXZ1" s="353"/>
      <c r="SYA1" s="353"/>
      <c r="SYB1" s="353"/>
      <c r="SYC1" s="353"/>
      <c r="SYD1" s="353"/>
      <c r="SYE1" s="353"/>
      <c r="SYF1" s="353"/>
      <c r="SYG1" s="353"/>
      <c r="SYH1" s="353"/>
      <c r="SYI1" s="353"/>
      <c r="SYJ1" s="353"/>
      <c r="SYK1" s="353"/>
      <c r="SYL1" s="353"/>
      <c r="SYM1" s="353"/>
      <c r="SYN1" s="353"/>
      <c r="SYO1" s="353"/>
      <c r="SYP1" s="353"/>
      <c r="SYQ1" s="353"/>
      <c r="SYR1" s="353"/>
      <c r="SYS1" s="353"/>
      <c r="SYT1" s="353"/>
      <c r="SYU1" s="353"/>
      <c r="SYV1" s="353"/>
      <c r="SYW1" s="353"/>
      <c r="SYX1" s="353"/>
      <c r="SYY1" s="353"/>
      <c r="SYZ1" s="353"/>
      <c r="SZA1" s="353"/>
      <c r="SZB1" s="353"/>
      <c r="SZC1" s="353"/>
      <c r="SZD1" s="353"/>
      <c r="SZE1" s="353"/>
      <c r="SZF1" s="353"/>
      <c r="SZG1" s="353"/>
      <c r="SZH1" s="353"/>
      <c r="SZI1" s="353"/>
      <c r="SZJ1" s="353"/>
      <c r="SZK1" s="353"/>
      <c r="SZL1" s="353"/>
      <c r="SZM1" s="353"/>
      <c r="SZN1" s="353"/>
      <c r="SZO1" s="353"/>
      <c r="SZP1" s="353"/>
      <c r="SZQ1" s="353"/>
      <c r="SZR1" s="353"/>
      <c r="SZS1" s="353"/>
      <c r="SZT1" s="353"/>
      <c r="SZU1" s="353"/>
      <c r="SZV1" s="353"/>
      <c r="SZW1" s="353"/>
      <c r="SZX1" s="353"/>
      <c r="SZY1" s="353"/>
      <c r="SZZ1" s="353"/>
      <c r="TAA1" s="353"/>
      <c r="TAB1" s="353"/>
      <c r="TAC1" s="353"/>
      <c r="TAD1" s="353"/>
      <c r="TAE1" s="353"/>
      <c r="TAF1" s="353"/>
      <c r="TAG1" s="353"/>
      <c r="TAH1" s="353"/>
      <c r="TAI1" s="353"/>
      <c r="TAJ1" s="353"/>
      <c r="TAK1" s="353"/>
      <c r="TAL1" s="353"/>
      <c r="TAM1" s="353"/>
      <c r="TAN1" s="353"/>
      <c r="TAO1" s="353"/>
      <c r="TAP1" s="353"/>
      <c r="TAQ1" s="353"/>
      <c r="TAR1" s="353"/>
      <c r="TAS1" s="353"/>
      <c r="TAT1" s="353"/>
      <c r="TAU1" s="353"/>
      <c r="TAV1" s="353"/>
      <c r="TAW1" s="353"/>
      <c r="TAX1" s="353"/>
      <c r="TAY1" s="353"/>
      <c r="TAZ1" s="353"/>
      <c r="TBA1" s="353"/>
      <c r="TBB1" s="353"/>
      <c r="TBC1" s="353"/>
      <c r="TBD1" s="353"/>
      <c r="TBE1" s="353"/>
      <c r="TBF1" s="353"/>
      <c r="TBG1" s="353"/>
      <c r="TBH1" s="353"/>
      <c r="TBI1" s="353"/>
      <c r="TBJ1" s="353"/>
      <c r="TBK1" s="353"/>
      <c r="TBL1" s="353"/>
      <c r="TBM1" s="353"/>
      <c r="TBN1" s="353"/>
      <c r="TBO1" s="353"/>
      <c r="TBP1" s="353"/>
      <c r="TBQ1" s="353"/>
      <c r="TBR1" s="353"/>
      <c r="TBS1" s="353"/>
      <c r="TBT1" s="353"/>
      <c r="TBU1" s="353"/>
      <c r="TBV1" s="353"/>
      <c r="TBW1" s="353"/>
      <c r="TBX1" s="353"/>
      <c r="TBY1" s="353"/>
      <c r="TBZ1" s="353"/>
      <c r="TCA1" s="353"/>
      <c r="TCB1" s="353"/>
      <c r="TCC1" s="353"/>
      <c r="TCD1" s="353"/>
      <c r="TCE1" s="353"/>
      <c r="TCF1" s="353"/>
      <c r="TCG1" s="353"/>
      <c r="TCH1" s="353"/>
      <c r="TCI1" s="353"/>
      <c r="TCJ1" s="353"/>
      <c r="TCK1" s="353"/>
      <c r="TCL1" s="353"/>
      <c r="TCM1" s="353"/>
      <c r="TCN1" s="353"/>
      <c r="TCO1" s="353"/>
      <c r="TCP1" s="353"/>
      <c r="TCQ1" s="353"/>
      <c r="TCR1" s="353"/>
      <c r="TCS1" s="353"/>
      <c r="TCT1" s="353"/>
      <c r="TCU1" s="353"/>
      <c r="TCV1" s="353"/>
      <c r="TCW1" s="353"/>
      <c r="TCX1" s="353"/>
      <c r="TCY1" s="353"/>
      <c r="TCZ1" s="353"/>
      <c r="TDA1" s="353"/>
      <c r="TDB1" s="353"/>
      <c r="TDC1" s="353"/>
      <c r="TDD1" s="353"/>
      <c r="TDE1" s="353"/>
      <c r="TDF1" s="353"/>
      <c r="TDG1" s="353"/>
      <c r="TDH1" s="353"/>
      <c r="TDI1" s="353"/>
      <c r="TDJ1" s="353"/>
      <c r="TDK1" s="353"/>
      <c r="TDL1" s="353"/>
      <c r="TDM1" s="353"/>
      <c r="TDN1" s="353"/>
      <c r="TDO1" s="353"/>
      <c r="TDP1" s="353"/>
      <c r="TDQ1" s="353"/>
      <c r="TDR1" s="353"/>
      <c r="TDS1" s="353"/>
      <c r="TDT1" s="353"/>
      <c r="TDU1" s="353"/>
      <c r="TDV1" s="353"/>
      <c r="TDW1" s="353"/>
      <c r="TDX1" s="353"/>
      <c r="TDY1" s="353"/>
      <c r="TDZ1" s="353"/>
      <c r="TEA1" s="353"/>
      <c r="TEB1" s="353"/>
      <c r="TEC1" s="353"/>
      <c r="TED1" s="353"/>
      <c r="TEE1" s="353"/>
      <c r="TEF1" s="353"/>
      <c r="TEG1" s="353"/>
      <c r="TEH1" s="353"/>
      <c r="TEI1" s="353"/>
      <c r="TEJ1" s="353"/>
      <c r="TEK1" s="353"/>
      <c r="TEL1" s="353"/>
      <c r="TEM1" s="353"/>
      <c r="TEN1" s="353"/>
      <c r="TEO1" s="353"/>
      <c r="TEP1" s="353"/>
      <c r="TEQ1" s="353"/>
      <c r="TER1" s="353"/>
      <c r="TES1" s="353"/>
      <c r="TET1" s="353"/>
      <c r="TEU1" s="353"/>
      <c r="TEV1" s="353"/>
      <c r="TEW1" s="353"/>
      <c r="TEX1" s="353"/>
      <c r="TEY1" s="353"/>
      <c r="TEZ1" s="353"/>
      <c r="TFA1" s="353"/>
      <c r="TFB1" s="353"/>
      <c r="TFC1" s="353"/>
      <c r="TFD1" s="353"/>
      <c r="TFE1" s="353"/>
      <c r="TFF1" s="353"/>
      <c r="TFG1" s="353"/>
      <c r="TFH1" s="353"/>
      <c r="TFI1" s="353"/>
      <c r="TFJ1" s="353"/>
      <c r="TFK1" s="353"/>
      <c r="TFL1" s="353"/>
      <c r="TFM1" s="353"/>
      <c r="TFN1" s="353"/>
      <c r="TFO1" s="353"/>
      <c r="TFP1" s="353"/>
      <c r="TFQ1" s="353"/>
      <c r="TFR1" s="353"/>
      <c r="TFS1" s="353"/>
      <c r="TFT1" s="353"/>
      <c r="TFU1" s="353"/>
      <c r="TFV1" s="353"/>
      <c r="TFW1" s="353"/>
      <c r="TFX1" s="353"/>
      <c r="TFY1" s="353"/>
      <c r="TFZ1" s="353"/>
      <c r="TGA1" s="353"/>
      <c r="TGB1" s="353"/>
      <c r="TGC1" s="353"/>
      <c r="TGD1" s="353"/>
      <c r="TGE1" s="353"/>
      <c r="TGF1" s="353"/>
      <c r="TGG1" s="353"/>
      <c r="TGH1" s="353"/>
      <c r="TGI1" s="353"/>
      <c r="TGJ1" s="353"/>
      <c r="TGK1" s="353"/>
      <c r="TGL1" s="353"/>
      <c r="TGM1" s="353"/>
      <c r="TGN1" s="353"/>
      <c r="TGO1" s="353"/>
      <c r="TGP1" s="353"/>
      <c r="TGQ1" s="353"/>
      <c r="TGR1" s="353"/>
      <c r="TGS1" s="353"/>
      <c r="TGT1" s="353"/>
      <c r="TGU1" s="353"/>
      <c r="TGV1" s="353"/>
      <c r="TGW1" s="353"/>
      <c r="TGX1" s="353"/>
      <c r="TGY1" s="353"/>
      <c r="TGZ1" s="353"/>
      <c r="THA1" s="353"/>
      <c r="THB1" s="353"/>
      <c r="THC1" s="353"/>
      <c r="THD1" s="353"/>
      <c r="THE1" s="353"/>
      <c r="THF1" s="353"/>
      <c r="THG1" s="353"/>
      <c r="THH1" s="353"/>
      <c r="THI1" s="353"/>
      <c r="THJ1" s="353"/>
      <c r="THK1" s="353"/>
      <c r="THL1" s="353"/>
      <c r="THM1" s="353"/>
      <c r="THN1" s="353"/>
      <c r="THO1" s="353"/>
      <c r="THP1" s="353"/>
      <c r="THQ1" s="353"/>
      <c r="THR1" s="353"/>
      <c r="THS1" s="353"/>
      <c r="THT1" s="353"/>
      <c r="THU1" s="353"/>
      <c r="THV1" s="353"/>
      <c r="THW1" s="353"/>
      <c r="THX1" s="353"/>
      <c r="THY1" s="353"/>
      <c r="THZ1" s="353"/>
      <c r="TIA1" s="353"/>
      <c r="TIB1" s="353"/>
      <c r="TIC1" s="353"/>
      <c r="TID1" s="353"/>
      <c r="TIE1" s="353"/>
      <c r="TIF1" s="353"/>
      <c r="TIG1" s="353"/>
      <c r="TIH1" s="353"/>
      <c r="TII1" s="353"/>
      <c r="TIJ1" s="353"/>
      <c r="TIK1" s="353"/>
      <c r="TIL1" s="353"/>
      <c r="TIM1" s="353"/>
      <c r="TIN1" s="353"/>
      <c r="TIO1" s="353"/>
      <c r="TIP1" s="353"/>
      <c r="TIQ1" s="353"/>
      <c r="TIR1" s="353"/>
      <c r="TIS1" s="353"/>
      <c r="TIT1" s="353"/>
      <c r="TIU1" s="353"/>
      <c r="TIV1" s="353"/>
      <c r="TIW1" s="353"/>
      <c r="TIX1" s="353"/>
      <c r="TIY1" s="353"/>
      <c r="TIZ1" s="353"/>
      <c r="TJA1" s="353"/>
      <c r="TJB1" s="353"/>
      <c r="TJC1" s="353"/>
      <c r="TJD1" s="353"/>
      <c r="TJE1" s="353"/>
      <c r="TJF1" s="353"/>
      <c r="TJG1" s="353"/>
      <c r="TJH1" s="353"/>
      <c r="TJI1" s="353"/>
      <c r="TJJ1" s="353"/>
      <c r="TJK1" s="353"/>
      <c r="TJL1" s="353"/>
      <c r="TJM1" s="353"/>
      <c r="TJN1" s="353"/>
      <c r="TJO1" s="353"/>
      <c r="TJP1" s="353"/>
      <c r="TJQ1" s="353"/>
      <c r="TJR1" s="353"/>
      <c r="TJS1" s="353"/>
      <c r="TJT1" s="353"/>
      <c r="TJU1" s="353"/>
      <c r="TJV1" s="353"/>
      <c r="TJW1" s="353"/>
      <c r="TJX1" s="353"/>
      <c r="TJY1" s="353"/>
      <c r="TJZ1" s="353"/>
      <c r="TKA1" s="353"/>
      <c r="TKB1" s="353"/>
      <c r="TKC1" s="353"/>
      <c r="TKD1" s="353"/>
      <c r="TKE1" s="353"/>
      <c r="TKF1" s="353"/>
      <c r="TKG1" s="353"/>
      <c r="TKH1" s="353"/>
      <c r="TKI1" s="353"/>
      <c r="TKJ1" s="353"/>
      <c r="TKK1" s="353"/>
      <c r="TKL1" s="353"/>
      <c r="TKM1" s="353"/>
      <c r="TKN1" s="353"/>
      <c r="TKO1" s="353"/>
      <c r="TKP1" s="353"/>
      <c r="TKQ1" s="353"/>
      <c r="TKR1" s="353"/>
      <c r="TKS1" s="353"/>
      <c r="TKT1" s="353"/>
      <c r="TKU1" s="353"/>
      <c r="TKV1" s="353"/>
      <c r="TKW1" s="353"/>
      <c r="TKX1" s="353"/>
      <c r="TKY1" s="353"/>
      <c r="TKZ1" s="353"/>
      <c r="TLA1" s="353"/>
      <c r="TLB1" s="353"/>
      <c r="TLC1" s="353"/>
      <c r="TLD1" s="353"/>
      <c r="TLE1" s="353"/>
      <c r="TLF1" s="353"/>
      <c r="TLG1" s="353"/>
      <c r="TLH1" s="353"/>
      <c r="TLI1" s="353"/>
      <c r="TLJ1" s="353"/>
      <c r="TLK1" s="353"/>
      <c r="TLL1" s="353"/>
      <c r="TLM1" s="353"/>
      <c r="TLN1" s="353"/>
      <c r="TLO1" s="353"/>
      <c r="TLP1" s="353"/>
      <c r="TLQ1" s="353"/>
      <c r="TLR1" s="353"/>
      <c r="TLS1" s="353"/>
      <c r="TLT1" s="353"/>
      <c r="TLU1" s="353"/>
      <c r="TLV1" s="353"/>
      <c r="TLW1" s="353"/>
      <c r="TLX1" s="353"/>
      <c r="TLY1" s="353"/>
      <c r="TLZ1" s="353"/>
      <c r="TMA1" s="353"/>
      <c r="TMB1" s="353"/>
      <c r="TMC1" s="353"/>
      <c r="TMD1" s="353"/>
      <c r="TME1" s="353"/>
      <c r="TMF1" s="353"/>
      <c r="TMG1" s="353"/>
      <c r="TMH1" s="353"/>
      <c r="TMI1" s="353"/>
      <c r="TMJ1" s="353"/>
      <c r="TMK1" s="353"/>
      <c r="TML1" s="353"/>
      <c r="TMM1" s="353"/>
      <c r="TMN1" s="353"/>
      <c r="TMO1" s="353"/>
      <c r="TMP1" s="353"/>
      <c r="TMQ1" s="353"/>
      <c r="TMR1" s="353"/>
      <c r="TMS1" s="353"/>
      <c r="TMT1" s="353"/>
      <c r="TMU1" s="353"/>
      <c r="TMV1" s="353"/>
      <c r="TMW1" s="353"/>
      <c r="TMX1" s="353"/>
      <c r="TMY1" s="353"/>
      <c r="TMZ1" s="353"/>
      <c r="TNA1" s="353"/>
      <c r="TNB1" s="353"/>
      <c r="TNC1" s="353"/>
      <c r="TND1" s="353"/>
      <c r="TNE1" s="353"/>
      <c r="TNF1" s="353"/>
      <c r="TNG1" s="353"/>
      <c r="TNH1" s="353"/>
      <c r="TNI1" s="353"/>
      <c r="TNJ1" s="353"/>
      <c r="TNK1" s="353"/>
      <c r="TNL1" s="353"/>
      <c r="TNM1" s="353"/>
      <c r="TNN1" s="353"/>
      <c r="TNO1" s="353"/>
      <c r="TNP1" s="353"/>
      <c r="TNQ1" s="353"/>
      <c r="TNR1" s="353"/>
      <c r="TNS1" s="353"/>
      <c r="TNT1" s="353"/>
      <c r="TNU1" s="353"/>
      <c r="TNV1" s="353"/>
      <c r="TNW1" s="353"/>
      <c r="TNX1" s="353"/>
      <c r="TNY1" s="353"/>
      <c r="TNZ1" s="353"/>
      <c r="TOA1" s="353"/>
      <c r="TOB1" s="353"/>
      <c r="TOC1" s="353"/>
      <c r="TOD1" s="353"/>
      <c r="TOE1" s="353"/>
      <c r="TOF1" s="353"/>
      <c r="TOG1" s="353"/>
      <c r="TOH1" s="353"/>
      <c r="TOI1" s="353"/>
      <c r="TOJ1" s="353"/>
      <c r="TOK1" s="353"/>
      <c r="TOL1" s="353"/>
      <c r="TOM1" s="353"/>
      <c r="TON1" s="353"/>
      <c r="TOO1" s="353"/>
      <c r="TOP1" s="353"/>
      <c r="TOQ1" s="353"/>
      <c r="TOR1" s="353"/>
      <c r="TOS1" s="353"/>
      <c r="TOT1" s="353"/>
      <c r="TOU1" s="353"/>
      <c r="TOV1" s="353"/>
      <c r="TOW1" s="353"/>
      <c r="TOX1" s="353"/>
      <c r="TOY1" s="353"/>
      <c r="TOZ1" s="353"/>
      <c r="TPA1" s="353"/>
      <c r="TPB1" s="353"/>
      <c r="TPC1" s="353"/>
      <c r="TPD1" s="353"/>
      <c r="TPE1" s="353"/>
      <c r="TPF1" s="353"/>
      <c r="TPG1" s="353"/>
      <c r="TPH1" s="353"/>
      <c r="TPI1" s="353"/>
      <c r="TPJ1" s="353"/>
      <c r="TPK1" s="353"/>
      <c r="TPL1" s="353"/>
      <c r="TPM1" s="353"/>
      <c r="TPN1" s="353"/>
      <c r="TPO1" s="353"/>
      <c r="TPP1" s="353"/>
      <c r="TPQ1" s="353"/>
      <c r="TPR1" s="353"/>
      <c r="TPS1" s="353"/>
      <c r="TPT1" s="353"/>
      <c r="TPU1" s="353"/>
      <c r="TPV1" s="353"/>
      <c r="TPW1" s="353"/>
      <c r="TPX1" s="353"/>
      <c r="TPY1" s="353"/>
      <c r="TPZ1" s="353"/>
      <c r="TQA1" s="353"/>
      <c r="TQB1" s="353"/>
      <c r="TQC1" s="353"/>
      <c r="TQD1" s="353"/>
      <c r="TQE1" s="353"/>
      <c r="TQF1" s="353"/>
      <c r="TQG1" s="353"/>
      <c r="TQH1" s="353"/>
      <c r="TQI1" s="353"/>
      <c r="TQJ1" s="353"/>
      <c r="TQK1" s="353"/>
      <c r="TQL1" s="353"/>
      <c r="TQM1" s="353"/>
      <c r="TQN1" s="353"/>
      <c r="TQO1" s="353"/>
      <c r="TQP1" s="353"/>
      <c r="TQQ1" s="353"/>
      <c r="TQR1" s="353"/>
      <c r="TQS1" s="353"/>
      <c r="TQT1" s="353"/>
      <c r="TQU1" s="353"/>
      <c r="TQV1" s="353"/>
      <c r="TQW1" s="353"/>
      <c r="TQX1" s="353"/>
      <c r="TQY1" s="353"/>
      <c r="TQZ1" s="353"/>
      <c r="TRA1" s="353"/>
      <c r="TRB1" s="353"/>
      <c r="TRC1" s="353"/>
      <c r="TRD1" s="353"/>
      <c r="TRE1" s="353"/>
      <c r="TRF1" s="353"/>
      <c r="TRG1" s="353"/>
      <c r="TRH1" s="353"/>
      <c r="TRI1" s="353"/>
      <c r="TRJ1" s="353"/>
      <c r="TRK1" s="353"/>
      <c r="TRL1" s="353"/>
      <c r="TRM1" s="353"/>
      <c r="TRN1" s="353"/>
      <c r="TRO1" s="353"/>
      <c r="TRP1" s="353"/>
      <c r="TRQ1" s="353"/>
      <c r="TRR1" s="353"/>
      <c r="TRS1" s="353"/>
      <c r="TRT1" s="353"/>
      <c r="TRU1" s="353"/>
      <c r="TRV1" s="353"/>
      <c r="TRW1" s="353"/>
      <c r="TRX1" s="353"/>
      <c r="TRY1" s="353"/>
      <c r="TRZ1" s="353"/>
      <c r="TSA1" s="353"/>
      <c r="TSB1" s="353"/>
      <c r="TSC1" s="353"/>
      <c r="TSD1" s="353"/>
      <c r="TSE1" s="353"/>
      <c r="TSF1" s="353"/>
      <c r="TSG1" s="353"/>
      <c r="TSH1" s="353"/>
      <c r="TSI1" s="353"/>
      <c r="TSJ1" s="353"/>
      <c r="TSK1" s="353"/>
      <c r="TSL1" s="353"/>
      <c r="TSM1" s="353"/>
      <c r="TSN1" s="353"/>
      <c r="TSO1" s="353"/>
      <c r="TSP1" s="353"/>
      <c r="TSQ1" s="353"/>
      <c r="TSR1" s="353"/>
      <c r="TSS1" s="353"/>
      <c r="TST1" s="353"/>
      <c r="TSU1" s="353"/>
      <c r="TSV1" s="353"/>
      <c r="TSW1" s="353"/>
      <c r="TSX1" s="353"/>
      <c r="TSY1" s="353"/>
      <c r="TSZ1" s="353"/>
      <c r="TTA1" s="353"/>
      <c r="TTB1" s="353"/>
      <c r="TTC1" s="353"/>
      <c r="TTD1" s="353"/>
      <c r="TTE1" s="353"/>
      <c r="TTF1" s="353"/>
      <c r="TTG1" s="353"/>
      <c r="TTH1" s="353"/>
      <c r="TTI1" s="353"/>
      <c r="TTJ1" s="353"/>
      <c r="TTK1" s="353"/>
      <c r="TTL1" s="353"/>
      <c r="TTM1" s="353"/>
      <c r="TTN1" s="353"/>
      <c r="TTO1" s="353"/>
      <c r="TTP1" s="353"/>
      <c r="TTQ1" s="353"/>
      <c r="TTR1" s="353"/>
      <c r="TTS1" s="353"/>
      <c r="TTT1" s="353"/>
      <c r="TTU1" s="353"/>
      <c r="TTV1" s="353"/>
      <c r="TTW1" s="353"/>
      <c r="TTX1" s="353"/>
      <c r="TTY1" s="353"/>
      <c r="TTZ1" s="353"/>
      <c r="TUA1" s="353"/>
      <c r="TUB1" s="353"/>
      <c r="TUC1" s="353"/>
      <c r="TUD1" s="353"/>
      <c r="TUE1" s="353"/>
      <c r="TUF1" s="353"/>
      <c r="TUG1" s="353"/>
      <c r="TUH1" s="353"/>
      <c r="TUI1" s="353"/>
      <c r="TUJ1" s="353"/>
      <c r="TUK1" s="353"/>
      <c r="TUL1" s="353"/>
      <c r="TUM1" s="353"/>
      <c r="TUN1" s="353"/>
      <c r="TUO1" s="353"/>
      <c r="TUP1" s="353"/>
      <c r="TUQ1" s="353"/>
      <c r="TUR1" s="353"/>
      <c r="TUS1" s="353"/>
      <c r="TUT1" s="353"/>
      <c r="TUU1" s="353"/>
      <c r="TUV1" s="353"/>
      <c r="TUW1" s="353"/>
      <c r="TUX1" s="353"/>
      <c r="TUY1" s="353"/>
      <c r="TUZ1" s="353"/>
      <c r="TVA1" s="353"/>
      <c r="TVB1" s="353"/>
      <c r="TVC1" s="353"/>
      <c r="TVD1" s="353"/>
      <c r="TVE1" s="353"/>
      <c r="TVF1" s="353"/>
      <c r="TVG1" s="353"/>
      <c r="TVH1" s="353"/>
      <c r="TVI1" s="353"/>
      <c r="TVJ1" s="353"/>
      <c r="TVK1" s="353"/>
      <c r="TVL1" s="353"/>
      <c r="TVM1" s="353"/>
      <c r="TVN1" s="353"/>
      <c r="TVO1" s="353"/>
      <c r="TVP1" s="353"/>
      <c r="TVQ1" s="353"/>
      <c r="TVR1" s="353"/>
      <c r="TVS1" s="353"/>
      <c r="TVT1" s="353"/>
      <c r="TVU1" s="353"/>
      <c r="TVV1" s="353"/>
      <c r="TVW1" s="353"/>
      <c r="TVX1" s="353"/>
      <c r="TVY1" s="353"/>
      <c r="TVZ1" s="353"/>
      <c r="TWA1" s="353"/>
      <c r="TWB1" s="353"/>
      <c r="TWC1" s="353"/>
      <c r="TWD1" s="353"/>
      <c r="TWE1" s="353"/>
      <c r="TWF1" s="353"/>
      <c r="TWG1" s="353"/>
      <c r="TWH1" s="353"/>
      <c r="TWI1" s="353"/>
      <c r="TWJ1" s="353"/>
      <c r="TWK1" s="353"/>
      <c r="TWL1" s="353"/>
      <c r="TWM1" s="353"/>
      <c r="TWN1" s="353"/>
      <c r="TWO1" s="353"/>
      <c r="TWP1" s="353"/>
      <c r="TWQ1" s="353"/>
      <c r="TWR1" s="353"/>
      <c r="TWS1" s="353"/>
      <c r="TWT1" s="353"/>
      <c r="TWU1" s="353"/>
      <c r="TWV1" s="353"/>
      <c r="TWW1" s="353"/>
      <c r="TWX1" s="353"/>
      <c r="TWY1" s="353"/>
      <c r="TWZ1" s="353"/>
      <c r="TXA1" s="353"/>
      <c r="TXB1" s="353"/>
      <c r="TXC1" s="353"/>
      <c r="TXD1" s="353"/>
      <c r="TXE1" s="353"/>
      <c r="TXF1" s="353"/>
      <c r="TXG1" s="353"/>
      <c r="TXH1" s="353"/>
      <c r="TXI1" s="353"/>
      <c r="TXJ1" s="353"/>
      <c r="TXK1" s="353"/>
      <c r="TXL1" s="353"/>
      <c r="TXM1" s="353"/>
      <c r="TXN1" s="353"/>
      <c r="TXO1" s="353"/>
      <c r="TXP1" s="353"/>
      <c r="TXQ1" s="353"/>
      <c r="TXR1" s="353"/>
      <c r="TXS1" s="353"/>
      <c r="TXT1" s="353"/>
      <c r="TXU1" s="353"/>
      <c r="TXV1" s="353"/>
      <c r="TXW1" s="353"/>
      <c r="TXX1" s="353"/>
      <c r="TXY1" s="353"/>
      <c r="TXZ1" s="353"/>
      <c r="TYA1" s="353"/>
      <c r="TYB1" s="353"/>
      <c r="TYC1" s="353"/>
      <c r="TYD1" s="353"/>
      <c r="TYE1" s="353"/>
      <c r="TYF1" s="353"/>
      <c r="TYG1" s="353"/>
      <c r="TYH1" s="353"/>
      <c r="TYI1" s="353"/>
      <c r="TYJ1" s="353"/>
      <c r="TYK1" s="353"/>
      <c r="TYL1" s="353"/>
      <c r="TYM1" s="353"/>
      <c r="TYN1" s="353"/>
      <c r="TYO1" s="353"/>
      <c r="TYP1" s="353"/>
      <c r="TYQ1" s="353"/>
      <c r="TYR1" s="353"/>
      <c r="TYS1" s="353"/>
      <c r="TYT1" s="353"/>
      <c r="TYU1" s="353"/>
      <c r="TYV1" s="353"/>
      <c r="TYW1" s="353"/>
      <c r="TYX1" s="353"/>
      <c r="TYY1" s="353"/>
      <c r="TYZ1" s="353"/>
      <c r="TZA1" s="353"/>
      <c r="TZB1" s="353"/>
      <c r="TZC1" s="353"/>
      <c r="TZD1" s="353"/>
      <c r="TZE1" s="353"/>
      <c r="TZF1" s="353"/>
      <c r="TZG1" s="353"/>
      <c r="TZH1" s="353"/>
      <c r="TZI1" s="353"/>
      <c r="TZJ1" s="353"/>
      <c r="TZK1" s="353"/>
      <c r="TZL1" s="353"/>
      <c r="TZM1" s="353"/>
      <c r="TZN1" s="353"/>
      <c r="TZO1" s="353"/>
      <c r="TZP1" s="353"/>
      <c r="TZQ1" s="353"/>
      <c r="TZR1" s="353"/>
      <c r="TZS1" s="353"/>
      <c r="TZT1" s="353"/>
      <c r="TZU1" s="353"/>
      <c r="TZV1" s="353"/>
      <c r="TZW1" s="353"/>
      <c r="TZX1" s="353"/>
      <c r="TZY1" s="353"/>
      <c r="TZZ1" s="353"/>
      <c r="UAA1" s="353"/>
      <c r="UAB1" s="353"/>
      <c r="UAC1" s="353"/>
      <c r="UAD1" s="353"/>
      <c r="UAE1" s="353"/>
      <c r="UAF1" s="353"/>
      <c r="UAG1" s="353"/>
      <c r="UAH1" s="353"/>
      <c r="UAI1" s="353"/>
      <c r="UAJ1" s="353"/>
      <c r="UAK1" s="353"/>
      <c r="UAL1" s="353"/>
      <c r="UAM1" s="353"/>
      <c r="UAN1" s="353"/>
      <c r="UAO1" s="353"/>
      <c r="UAP1" s="353"/>
      <c r="UAQ1" s="353"/>
      <c r="UAR1" s="353"/>
      <c r="UAS1" s="353"/>
      <c r="UAT1" s="353"/>
      <c r="UAU1" s="353"/>
      <c r="UAV1" s="353"/>
      <c r="UAW1" s="353"/>
      <c r="UAX1" s="353"/>
      <c r="UAY1" s="353"/>
      <c r="UAZ1" s="353"/>
      <c r="UBA1" s="353"/>
      <c r="UBB1" s="353"/>
      <c r="UBC1" s="353"/>
      <c r="UBD1" s="353"/>
      <c r="UBE1" s="353"/>
      <c r="UBF1" s="353"/>
      <c r="UBG1" s="353"/>
      <c r="UBH1" s="353"/>
      <c r="UBI1" s="353"/>
      <c r="UBJ1" s="353"/>
      <c r="UBK1" s="353"/>
      <c r="UBL1" s="353"/>
      <c r="UBM1" s="353"/>
      <c r="UBN1" s="353"/>
      <c r="UBO1" s="353"/>
      <c r="UBP1" s="353"/>
      <c r="UBQ1" s="353"/>
      <c r="UBR1" s="353"/>
      <c r="UBS1" s="353"/>
      <c r="UBT1" s="353"/>
      <c r="UBU1" s="353"/>
      <c r="UBV1" s="353"/>
      <c r="UBW1" s="353"/>
      <c r="UBX1" s="353"/>
      <c r="UBY1" s="353"/>
      <c r="UBZ1" s="353"/>
      <c r="UCA1" s="353"/>
      <c r="UCB1" s="353"/>
      <c r="UCC1" s="353"/>
      <c r="UCD1" s="353"/>
      <c r="UCE1" s="353"/>
      <c r="UCF1" s="353"/>
      <c r="UCG1" s="353"/>
      <c r="UCH1" s="353"/>
      <c r="UCI1" s="353"/>
      <c r="UCJ1" s="353"/>
      <c r="UCK1" s="353"/>
      <c r="UCL1" s="353"/>
      <c r="UCM1" s="353"/>
      <c r="UCN1" s="353"/>
      <c r="UCO1" s="353"/>
      <c r="UCP1" s="353"/>
      <c r="UCQ1" s="353"/>
      <c r="UCR1" s="353"/>
      <c r="UCS1" s="353"/>
      <c r="UCT1" s="353"/>
      <c r="UCU1" s="353"/>
      <c r="UCV1" s="353"/>
      <c r="UCW1" s="353"/>
      <c r="UCX1" s="353"/>
      <c r="UCY1" s="353"/>
      <c r="UCZ1" s="353"/>
      <c r="UDA1" s="353"/>
      <c r="UDB1" s="353"/>
      <c r="UDC1" s="353"/>
      <c r="UDD1" s="353"/>
      <c r="UDE1" s="353"/>
      <c r="UDF1" s="353"/>
      <c r="UDG1" s="353"/>
      <c r="UDH1" s="353"/>
      <c r="UDI1" s="353"/>
      <c r="UDJ1" s="353"/>
      <c r="UDK1" s="353"/>
      <c r="UDL1" s="353"/>
      <c r="UDM1" s="353"/>
      <c r="UDN1" s="353"/>
      <c r="UDO1" s="353"/>
      <c r="UDP1" s="353"/>
      <c r="UDQ1" s="353"/>
      <c r="UDR1" s="353"/>
      <c r="UDS1" s="353"/>
      <c r="UDT1" s="353"/>
      <c r="UDU1" s="353"/>
      <c r="UDV1" s="353"/>
      <c r="UDW1" s="353"/>
      <c r="UDX1" s="353"/>
      <c r="UDY1" s="353"/>
      <c r="UDZ1" s="353"/>
      <c r="UEA1" s="353"/>
      <c r="UEB1" s="353"/>
      <c r="UEC1" s="353"/>
      <c r="UED1" s="353"/>
      <c r="UEE1" s="353"/>
      <c r="UEF1" s="353"/>
      <c r="UEG1" s="353"/>
      <c r="UEH1" s="353"/>
      <c r="UEI1" s="353"/>
      <c r="UEJ1" s="353"/>
      <c r="UEK1" s="353"/>
      <c r="UEL1" s="353"/>
      <c r="UEM1" s="353"/>
      <c r="UEN1" s="353"/>
      <c r="UEO1" s="353"/>
      <c r="UEP1" s="353"/>
      <c r="UEQ1" s="353"/>
      <c r="UER1" s="353"/>
      <c r="UES1" s="353"/>
      <c r="UET1" s="353"/>
      <c r="UEU1" s="353"/>
      <c r="UEV1" s="353"/>
      <c r="UEW1" s="353"/>
      <c r="UEX1" s="353"/>
      <c r="UEY1" s="353"/>
      <c r="UEZ1" s="353"/>
      <c r="UFA1" s="353"/>
      <c r="UFB1" s="353"/>
      <c r="UFC1" s="353"/>
      <c r="UFD1" s="353"/>
      <c r="UFE1" s="353"/>
      <c r="UFF1" s="353"/>
      <c r="UFG1" s="353"/>
      <c r="UFH1" s="353"/>
      <c r="UFI1" s="353"/>
      <c r="UFJ1" s="353"/>
      <c r="UFK1" s="353"/>
      <c r="UFL1" s="353"/>
      <c r="UFM1" s="353"/>
      <c r="UFN1" s="353"/>
      <c r="UFO1" s="353"/>
      <c r="UFP1" s="353"/>
      <c r="UFQ1" s="353"/>
      <c r="UFR1" s="353"/>
      <c r="UFS1" s="353"/>
      <c r="UFT1" s="353"/>
      <c r="UFU1" s="353"/>
      <c r="UFV1" s="353"/>
      <c r="UFW1" s="353"/>
      <c r="UFX1" s="353"/>
      <c r="UFY1" s="353"/>
      <c r="UFZ1" s="353"/>
      <c r="UGA1" s="353"/>
      <c r="UGB1" s="353"/>
      <c r="UGC1" s="353"/>
      <c r="UGD1" s="353"/>
      <c r="UGE1" s="353"/>
      <c r="UGF1" s="353"/>
      <c r="UGG1" s="353"/>
      <c r="UGH1" s="353"/>
      <c r="UGI1" s="353"/>
      <c r="UGJ1" s="353"/>
      <c r="UGK1" s="353"/>
      <c r="UGL1" s="353"/>
      <c r="UGM1" s="353"/>
      <c r="UGN1" s="353"/>
      <c r="UGO1" s="353"/>
      <c r="UGP1" s="353"/>
      <c r="UGQ1" s="353"/>
      <c r="UGR1" s="353"/>
      <c r="UGS1" s="353"/>
      <c r="UGT1" s="353"/>
      <c r="UGU1" s="353"/>
      <c r="UGV1" s="353"/>
      <c r="UGW1" s="353"/>
      <c r="UGX1" s="353"/>
      <c r="UGY1" s="353"/>
      <c r="UGZ1" s="353"/>
      <c r="UHA1" s="353"/>
      <c r="UHB1" s="353"/>
      <c r="UHC1" s="353"/>
      <c r="UHD1" s="353"/>
      <c r="UHE1" s="353"/>
      <c r="UHF1" s="353"/>
      <c r="UHG1" s="353"/>
      <c r="UHH1" s="353"/>
      <c r="UHI1" s="353"/>
      <c r="UHJ1" s="353"/>
      <c r="UHK1" s="353"/>
      <c r="UHL1" s="353"/>
      <c r="UHM1" s="353"/>
      <c r="UHN1" s="353"/>
      <c r="UHO1" s="353"/>
      <c r="UHP1" s="353"/>
      <c r="UHQ1" s="353"/>
      <c r="UHR1" s="353"/>
      <c r="UHS1" s="353"/>
      <c r="UHT1" s="353"/>
      <c r="UHU1" s="353"/>
      <c r="UHV1" s="353"/>
      <c r="UHW1" s="353"/>
      <c r="UHX1" s="353"/>
      <c r="UHY1" s="353"/>
      <c r="UHZ1" s="353"/>
      <c r="UIA1" s="353"/>
      <c r="UIB1" s="353"/>
      <c r="UIC1" s="353"/>
      <c r="UID1" s="353"/>
      <c r="UIE1" s="353"/>
      <c r="UIF1" s="353"/>
      <c r="UIG1" s="353"/>
      <c r="UIH1" s="353"/>
      <c r="UII1" s="353"/>
      <c r="UIJ1" s="353"/>
      <c r="UIK1" s="353"/>
      <c r="UIL1" s="353"/>
      <c r="UIM1" s="353"/>
      <c r="UIN1" s="353"/>
      <c r="UIO1" s="353"/>
      <c r="UIP1" s="353"/>
      <c r="UIQ1" s="353"/>
      <c r="UIR1" s="353"/>
      <c r="UIS1" s="353"/>
      <c r="UIT1" s="353"/>
      <c r="UIU1" s="353"/>
      <c r="UIV1" s="353"/>
      <c r="UIW1" s="353"/>
      <c r="UIX1" s="353"/>
      <c r="UIY1" s="353"/>
      <c r="UIZ1" s="353"/>
      <c r="UJA1" s="353"/>
      <c r="UJB1" s="353"/>
      <c r="UJC1" s="353"/>
      <c r="UJD1" s="353"/>
      <c r="UJE1" s="353"/>
      <c r="UJF1" s="353"/>
      <c r="UJG1" s="353"/>
      <c r="UJH1" s="353"/>
      <c r="UJI1" s="353"/>
      <c r="UJJ1" s="353"/>
      <c r="UJK1" s="353"/>
      <c r="UJL1" s="353"/>
      <c r="UJM1" s="353"/>
      <c r="UJN1" s="353"/>
      <c r="UJO1" s="353"/>
      <c r="UJP1" s="353"/>
      <c r="UJQ1" s="353"/>
      <c r="UJR1" s="353"/>
      <c r="UJS1" s="353"/>
      <c r="UJT1" s="353"/>
      <c r="UJU1" s="353"/>
      <c r="UJV1" s="353"/>
      <c r="UJW1" s="353"/>
      <c r="UJX1" s="353"/>
      <c r="UJY1" s="353"/>
      <c r="UJZ1" s="353"/>
      <c r="UKA1" s="353"/>
      <c r="UKB1" s="353"/>
      <c r="UKC1" s="353"/>
      <c r="UKD1" s="353"/>
      <c r="UKE1" s="353"/>
      <c r="UKF1" s="353"/>
      <c r="UKG1" s="353"/>
      <c r="UKH1" s="353"/>
      <c r="UKI1" s="353"/>
      <c r="UKJ1" s="353"/>
      <c r="UKK1" s="353"/>
      <c r="UKL1" s="353"/>
      <c r="UKM1" s="353"/>
      <c r="UKN1" s="353"/>
      <c r="UKO1" s="353"/>
      <c r="UKP1" s="353"/>
      <c r="UKQ1" s="353"/>
      <c r="UKR1" s="353"/>
      <c r="UKS1" s="353"/>
      <c r="UKT1" s="353"/>
      <c r="UKU1" s="353"/>
      <c r="UKV1" s="353"/>
      <c r="UKW1" s="353"/>
      <c r="UKX1" s="353"/>
      <c r="UKY1" s="353"/>
      <c r="UKZ1" s="353"/>
      <c r="ULA1" s="353"/>
      <c r="ULB1" s="353"/>
      <c r="ULC1" s="353"/>
      <c r="ULD1" s="353"/>
      <c r="ULE1" s="353"/>
      <c r="ULF1" s="353"/>
      <c r="ULG1" s="353"/>
      <c r="ULH1" s="353"/>
      <c r="ULI1" s="353"/>
      <c r="ULJ1" s="353"/>
      <c r="ULK1" s="353"/>
      <c r="ULL1" s="353"/>
      <c r="ULM1" s="353"/>
      <c r="ULN1" s="353"/>
      <c r="ULO1" s="353"/>
      <c r="ULP1" s="353"/>
      <c r="ULQ1" s="353"/>
      <c r="ULR1" s="353"/>
      <c r="ULS1" s="353"/>
      <c r="ULT1" s="353"/>
      <c r="ULU1" s="353"/>
      <c r="ULV1" s="353"/>
      <c r="ULW1" s="353"/>
      <c r="ULX1" s="353"/>
      <c r="ULY1" s="353"/>
      <c r="ULZ1" s="353"/>
      <c r="UMA1" s="353"/>
      <c r="UMB1" s="353"/>
      <c r="UMC1" s="353"/>
      <c r="UMD1" s="353"/>
      <c r="UME1" s="353"/>
      <c r="UMF1" s="353"/>
      <c r="UMG1" s="353"/>
      <c r="UMH1" s="353"/>
      <c r="UMI1" s="353"/>
      <c r="UMJ1" s="353"/>
      <c r="UMK1" s="353"/>
      <c r="UML1" s="353"/>
      <c r="UMM1" s="353"/>
      <c r="UMN1" s="353"/>
      <c r="UMO1" s="353"/>
      <c r="UMP1" s="353"/>
      <c r="UMQ1" s="353"/>
      <c r="UMR1" s="353"/>
      <c r="UMS1" s="353"/>
      <c r="UMT1" s="353"/>
      <c r="UMU1" s="353"/>
      <c r="UMV1" s="353"/>
      <c r="UMW1" s="353"/>
      <c r="UMX1" s="353"/>
      <c r="UMY1" s="353"/>
      <c r="UMZ1" s="353"/>
      <c r="UNA1" s="353"/>
      <c r="UNB1" s="353"/>
      <c r="UNC1" s="353"/>
      <c r="UND1" s="353"/>
      <c r="UNE1" s="353"/>
      <c r="UNF1" s="353"/>
      <c r="UNG1" s="353"/>
      <c r="UNH1" s="353"/>
      <c r="UNI1" s="353"/>
      <c r="UNJ1" s="353"/>
      <c r="UNK1" s="353"/>
      <c r="UNL1" s="353"/>
      <c r="UNM1" s="353"/>
      <c r="UNN1" s="353"/>
      <c r="UNO1" s="353"/>
      <c r="UNP1" s="353"/>
      <c r="UNQ1" s="353"/>
      <c r="UNR1" s="353"/>
      <c r="UNS1" s="353"/>
      <c r="UNT1" s="353"/>
      <c r="UNU1" s="353"/>
      <c r="UNV1" s="353"/>
      <c r="UNW1" s="353"/>
      <c r="UNX1" s="353"/>
      <c r="UNY1" s="353"/>
      <c r="UNZ1" s="353"/>
      <c r="UOA1" s="353"/>
      <c r="UOB1" s="353"/>
      <c r="UOC1" s="353"/>
      <c r="UOD1" s="353"/>
      <c r="UOE1" s="353"/>
      <c r="UOF1" s="353"/>
      <c r="UOG1" s="353"/>
      <c r="UOH1" s="353"/>
      <c r="UOI1" s="353"/>
      <c r="UOJ1" s="353"/>
      <c r="UOK1" s="353"/>
      <c r="UOL1" s="353"/>
      <c r="UOM1" s="353"/>
      <c r="UON1" s="353"/>
      <c r="UOO1" s="353"/>
      <c r="UOP1" s="353"/>
      <c r="UOQ1" s="353"/>
      <c r="UOR1" s="353"/>
      <c r="UOS1" s="353"/>
      <c r="UOT1" s="353"/>
      <c r="UOU1" s="353"/>
      <c r="UOV1" s="353"/>
      <c r="UOW1" s="353"/>
      <c r="UOX1" s="353"/>
      <c r="UOY1" s="353"/>
      <c r="UOZ1" s="353"/>
      <c r="UPA1" s="353"/>
      <c r="UPB1" s="353"/>
      <c r="UPC1" s="353"/>
      <c r="UPD1" s="353"/>
      <c r="UPE1" s="353"/>
      <c r="UPF1" s="353"/>
      <c r="UPG1" s="353"/>
      <c r="UPH1" s="353"/>
      <c r="UPI1" s="353"/>
      <c r="UPJ1" s="353"/>
      <c r="UPK1" s="353"/>
      <c r="UPL1" s="353"/>
      <c r="UPM1" s="353"/>
      <c r="UPN1" s="353"/>
      <c r="UPO1" s="353"/>
      <c r="UPP1" s="353"/>
      <c r="UPQ1" s="353"/>
      <c r="UPR1" s="353"/>
      <c r="UPS1" s="353"/>
      <c r="UPT1" s="353"/>
      <c r="UPU1" s="353"/>
      <c r="UPV1" s="353"/>
      <c r="UPW1" s="353"/>
      <c r="UPX1" s="353"/>
      <c r="UPY1" s="353"/>
      <c r="UPZ1" s="353"/>
      <c r="UQA1" s="353"/>
      <c r="UQB1" s="353"/>
      <c r="UQC1" s="353"/>
      <c r="UQD1" s="353"/>
      <c r="UQE1" s="353"/>
      <c r="UQF1" s="353"/>
      <c r="UQG1" s="353"/>
      <c r="UQH1" s="353"/>
      <c r="UQI1" s="353"/>
      <c r="UQJ1" s="353"/>
      <c r="UQK1" s="353"/>
      <c r="UQL1" s="353"/>
      <c r="UQM1" s="353"/>
      <c r="UQN1" s="353"/>
      <c r="UQO1" s="353"/>
      <c r="UQP1" s="353"/>
      <c r="UQQ1" s="353"/>
      <c r="UQR1" s="353"/>
      <c r="UQS1" s="353"/>
      <c r="UQT1" s="353"/>
      <c r="UQU1" s="353"/>
      <c r="UQV1" s="353"/>
      <c r="UQW1" s="353"/>
      <c r="UQX1" s="353"/>
      <c r="UQY1" s="353"/>
      <c r="UQZ1" s="353"/>
      <c r="URA1" s="353"/>
      <c r="URB1" s="353"/>
      <c r="URC1" s="353"/>
      <c r="URD1" s="353"/>
      <c r="URE1" s="353"/>
      <c r="URF1" s="353"/>
      <c r="URG1" s="353"/>
      <c r="URH1" s="353"/>
      <c r="URI1" s="353"/>
      <c r="URJ1" s="353"/>
      <c r="URK1" s="353"/>
      <c r="URL1" s="353"/>
      <c r="URM1" s="353"/>
      <c r="URN1" s="353"/>
      <c r="URO1" s="353"/>
      <c r="URP1" s="353"/>
      <c r="URQ1" s="353"/>
      <c r="URR1" s="353"/>
      <c r="URS1" s="353"/>
      <c r="URT1" s="353"/>
      <c r="URU1" s="353"/>
      <c r="URV1" s="353"/>
      <c r="URW1" s="353"/>
      <c r="URX1" s="353"/>
      <c r="URY1" s="353"/>
      <c r="URZ1" s="353"/>
      <c r="USA1" s="353"/>
      <c r="USB1" s="353"/>
      <c r="USC1" s="353"/>
      <c r="USD1" s="353"/>
      <c r="USE1" s="353"/>
      <c r="USF1" s="353"/>
      <c r="USG1" s="353"/>
      <c r="USH1" s="353"/>
      <c r="USI1" s="353"/>
      <c r="USJ1" s="353"/>
      <c r="USK1" s="353"/>
      <c r="USL1" s="353"/>
      <c r="USM1" s="353"/>
      <c r="USN1" s="353"/>
      <c r="USO1" s="353"/>
      <c r="USP1" s="353"/>
      <c r="USQ1" s="353"/>
      <c r="USR1" s="353"/>
      <c r="USS1" s="353"/>
      <c r="UST1" s="353"/>
      <c r="USU1" s="353"/>
      <c r="USV1" s="353"/>
      <c r="USW1" s="353"/>
      <c r="USX1" s="353"/>
      <c r="USY1" s="353"/>
      <c r="USZ1" s="353"/>
      <c r="UTA1" s="353"/>
      <c r="UTB1" s="353"/>
      <c r="UTC1" s="353"/>
      <c r="UTD1" s="353"/>
      <c r="UTE1" s="353"/>
      <c r="UTF1" s="353"/>
      <c r="UTG1" s="353"/>
      <c r="UTH1" s="353"/>
      <c r="UTI1" s="353"/>
      <c r="UTJ1" s="353"/>
      <c r="UTK1" s="353"/>
      <c r="UTL1" s="353"/>
      <c r="UTM1" s="353"/>
      <c r="UTN1" s="353"/>
      <c r="UTO1" s="353"/>
      <c r="UTP1" s="353"/>
      <c r="UTQ1" s="353"/>
      <c r="UTR1" s="353"/>
      <c r="UTS1" s="353"/>
      <c r="UTT1" s="353"/>
      <c r="UTU1" s="353"/>
      <c r="UTV1" s="353"/>
      <c r="UTW1" s="353"/>
      <c r="UTX1" s="353"/>
      <c r="UTY1" s="353"/>
      <c r="UTZ1" s="353"/>
      <c r="UUA1" s="353"/>
      <c r="UUB1" s="353"/>
      <c r="UUC1" s="353"/>
      <c r="UUD1" s="353"/>
      <c r="UUE1" s="353"/>
      <c r="UUF1" s="353"/>
      <c r="UUG1" s="353"/>
      <c r="UUH1" s="353"/>
      <c r="UUI1" s="353"/>
      <c r="UUJ1" s="353"/>
      <c r="UUK1" s="353"/>
      <c r="UUL1" s="353"/>
      <c r="UUM1" s="353"/>
      <c r="UUN1" s="353"/>
      <c r="UUO1" s="353"/>
      <c r="UUP1" s="353"/>
      <c r="UUQ1" s="353"/>
      <c r="UUR1" s="353"/>
      <c r="UUS1" s="353"/>
      <c r="UUT1" s="353"/>
      <c r="UUU1" s="353"/>
      <c r="UUV1" s="353"/>
      <c r="UUW1" s="353"/>
      <c r="UUX1" s="353"/>
      <c r="UUY1" s="353"/>
      <c r="UUZ1" s="353"/>
      <c r="UVA1" s="353"/>
      <c r="UVB1" s="353"/>
      <c r="UVC1" s="353"/>
      <c r="UVD1" s="353"/>
      <c r="UVE1" s="353"/>
      <c r="UVF1" s="353"/>
      <c r="UVG1" s="353"/>
      <c r="UVH1" s="353"/>
      <c r="UVI1" s="353"/>
      <c r="UVJ1" s="353"/>
      <c r="UVK1" s="353"/>
      <c r="UVL1" s="353"/>
      <c r="UVM1" s="353"/>
      <c r="UVN1" s="353"/>
      <c r="UVO1" s="353"/>
      <c r="UVP1" s="353"/>
      <c r="UVQ1" s="353"/>
      <c r="UVR1" s="353"/>
      <c r="UVS1" s="353"/>
      <c r="UVT1" s="353"/>
      <c r="UVU1" s="353"/>
      <c r="UVV1" s="353"/>
      <c r="UVW1" s="353"/>
      <c r="UVX1" s="353"/>
      <c r="UVY1" s="353"/>
      <c r="UVZ1" s="353"/>
      <c r="UWA1" s="353"/>
      <c r="UWB1" s="353"/>
      <c r="UWC1" s="353"/>
      <c r="UWD1" s="353"/>
      <c r="UWE1" s="353"/>
      <c r="UWF1" s="353"/>
      <c r="UWG1" s="353"/>
      <c r="UWH1" s="353"/>
      <c r="UWI1" s="353"/>
      <c r="UWJ1" s="353"/>
      <c r="UWK1" s="353"/>
      <c r="UWL1" s="353"/>
      <c r="UWM1" s="353"/>
      <c r="UWN1" s="353"/>
      <c r="UWO1" s="353"/>
      <c r="UWP1" s="353"/>
      <c r="UWQ1" s="353"/>
      <c r="UWR1" s="353"/>
      <c r="UWS1" s="353"/>
      <c r="UWT1" s="353"/>
      <c r="UWU1" s="353"/>
      <c r="UWV1" s="353"/>
      <c r="UWW1" s="353"/>
      <c r="UWX1" s="353"/>
      <c r="UWY1" s="353"/>
      <c r="UWZ1" s="353"/>
      <c r="UXA1" s="353"/>
      <c r="UXB1" s="353"/>
      <c r="UXC1" s="353"/>
      <c r="UXD1" s="353"/>
      <c r="UXE1" s="353"/>
      <c r="UXF1" s="353"/>
      <c r="UXG1" s="353"/>
      <c r="UXH1" s="353"/>
      <c r="UXI1" s="353"/>
      <c r="UXJ1" s="353"/>
      <c r="UXK1" s="353"/>
      <c r="UXL1" s="353"/>
      <c r="UXM1" s="353"/>
      <c r="UXN1" s="353"/>
      <c r="UXO1" s="353"/>
      <c r="UXP1" s="353"/>
      <c r="UXQ1" s="353"/>
      <c r="UXR1" s="353"/>
      <c r="UXS1" s="353"/>
      <c r="UXT1" s="353"/>
      <c r="UXU1" s="353"/>
      <c r="UXV1" s="353"/>
      <c r="UXW1" s="353"/>
      <c r="UXX1" s="353"/>
      <c r="UXY1" s="353"/>
      <c r="UXZ1" s="353"/>
      <c r="UYA1" s="353"/>
      <c r="UYB1" s="353"/>
      <c r="UYC1" s="353"/>
      <c r="UYD1" s="353"/>
      <c r="UYE1" s="353"/>
      <c r="UYF1" s="353"/>
      <c r="UYG1" s="353"/>
      <c r="UYH1" s="353"/>
      <c r="UYI1" s="353"/>
      <c r="UYJ1" s="353"/>
      <c r="UYK1" s="353"/>
      <c r="UYL1" s="353"/>
      <c r="UYM1" s="353"/>
      <c r="UYN1" s="353"/>
      <c r="UYO1" s="353"/>
      <c r="UYP1" s="353"/>
      <c r="UYQ1" s="353"/>
      <c r="UYR1" s="353"/>
      <c r="UYS1" s="353"/>
      <c r="UYT1" s="353"/>
      <c r="UYU1" s="353"/>
      <c r="UYV1" s="353"/>
      <c r="UYW1" s="353"/>
      <c r="UYX1" s="353"/>
      <c r="UYY1" s="353"/>
      <c r="UYZ1" s="353"/>
      <c r="UZA1" s="353"/>
      <c r="UZB1" s="353"/>
      <c r="UZC1" s="353"/>
      <c r="UZD1" s="353"/>
      <c r="UZE1" s="353"/>
      <c r="UZF1" s="353"/>
      <c r="UZG1" s="353"/>
      <c r="UZH1" s="353"/>
      <c r="UZI1" s="353"/>
      <c r="UZJ1" s="353"/>
      <c r="UZK1" s="353"/>
      <c r="UZL1" s="353"/>
      <c r="UZM1" s="353"/>
      <c r="UZN1" s="353"/>
      <c r="UZO1" s="353"/>
      <c r="UZP1" s="353"/>
      <c r="UZQ1" s="353"/>
      <c r="UZR1" s="353"/>
      <c r="UZS1" s="353"/>
      <c r="UZT1" s="353"/>
      <c r="UZU1" s="353"/>
      <c r="UZV1" s="353"/>
      <c r="UZW1" s="353"/>
      <c r="UZX1" s="353"/>
      <c r="UZY1" s="353"/>
      <c r="UZZ1" s="353"/>
      <c r="VAA1" s="353"/>
      <c r="VAB1" s="353"/>
      <c r="VAC1" s="353"/>
      <c r="VAD1" s="353"/>
      <c r="VAE1" s="353"/>
      <c r="VAF1" s="353"/>
      <c r="VAG1" s="353"/>
      <c r="VAH1" s="353"/>
      <c r="VAI1" s="353"/>
      <c r="VAJ1" s="353"/>
      <c r="VAK1" s="353"/>
      <c r="VAL1" s="353"/>
      <c r="VAM1" s="353"/>
      <c r="VAN1" s="353"/>
      <c r="VAO1" s="353"/>
      <c r="VAP1" s="353"/>
      <c r="VAQ1" s="353"/>
      <c r="VAR1" s="353"/>
      <c r="VAS1" s="353"/>
      <c r="VAT1" s="353"/>
      <c r="VAU1" s="353"/>
      <c r="VAV1" s="353"/>
      <c r="VAW1" s="353"/>
      <c r="VAX1" s="353"/>
      <c r="VAY1" s="353"/>
      <c r="VAZ1" s="353"/>
      <c r="VBA1" s="353"/>
      <c r="VBB1" s="353"/>
      <c r="VBC1" s="353"/>
      <c r="VBD1" s="353"/>
      <c r="VBE1" s="353"/>
      <c r="VBF1" s="353"/>
      <c r="VBG1" s="353"/>
      <c r="VBH1" s="353"/>
      <c r="VBI1" s="353"/>
      <c r="VBJ1" s="353"/>
      <c r="VBK1" s="353"/>
      <c r="VBL1" s="353"/>
      <c r="VBM1" s="353"/>
      <c r="VBN1" s="353"/>
      <c r="VBO1" s="353"/>
      <c r="VBP1" s="353"/>
      <c r="VBQ1" s="353"/>
      <c r="VBR1" s="353"/>
      <c r="VBS1" s="353"/>
      <c r="VBT1" s="353"/>
      <c r="VBU1" s="353"/>
      <c r="VBV1" s="353"/>
      <c r="VBW1" s="353"/>
      <c r="VBX1" s="353"/>
      <c r="VBY1" s="353"/>
      <c r="VBZ1" s="353"/>
      <c r="VCA1" s="353"/>
      <c r="VCB1" s="353"/>
      <c r="VCC1" s="353"/>
      <c r="VCD1" s="353"/>
      <c r="VCE1" s="353"/>
      <c r="VCF1" s="353"/>
      <c r="VCG1" s="353"/>
      <c r="VCH1" s="353"/>
      <c r="VCI1" s="353"/>
      <c r="VCJ1" s="353"/>
      <c r="VCK1" s="353"/>
      <c r="VCL1" s="353"/>
      <c r="VCM1" s="353"/>
      <c r="VCN1" s="353"/>
      <c r="VCO1" s="353"/>
      <c r="VCP1" s="353"/>
      <c r="VCQ1" s="353"/>
      <c r="VCR1" s="353"/>
      <c r="VCS1" s="353"/>
      <c r="VCT1" s="353"/>
      <c r="VCU1" s="353"/>
      <c r="VCV1" s="353"/>
      <c r="VCW1" s="353"/>
      <c r="VCX1" s="353"/>
      <c r="VCY1" s="353"/>
      <c r="VCZ1" s="353"/>
      <c r="VDA1" s="353"/>
      <c r="VDB1" s="353"/>
      <c r="VDC1" s="353"/>
      <c r="VDD1" s="353"/>
      <c r="VDE1" s="353"/>
      <c r="VDF1" s="353"/>
      <c r="VDG1" s="353"/>
      <c r="VDH1" s="353"/>
      <c r="VDI1" s="353"/>
      <c r="VDJ1" s="353"/>
      <c r="VDK1" s="353"/>
      <c r="VDL1" s="353"/>
      <c r="VDM1" s="353"/>
      <c r="VDN1" s="353"/>
      <c r="VDO1" s="353"/>
      <c r="VDP1" s="353"/>
      <c r="VDQ1" s="353"/>
      <c r="VDR1" s="353"/>
      <c r="VDS1" s="353"/>
      <c r="VDT1" s="353"/>
      <c r="VDU1" s="353"/>
      <c r="VDV1" s="353"/>
      <c r="VDW1" s="353"/>
      <c r="VDX1" s="353"/>
      <c r="VDY1" s="353"/>
      <c r="VDZ1" s="353"/>
      <c r="VEA1" s="353"/>
      <c r="VEB1" s="353"/>
      <c r="VEC1" s="353"/>
      <c r="VED1" s="353"/>
      <c r="VEE1" s="353"/>
      <c r="VEF1" s="353"/>
      <c r="VEG1" s="353"/>
      <c r="VEH1" s="353"/>
      <c r="VEI1" s="353"/>
      <c r="VEJ1" s="353"/>
      <c r="VEK1" s="353"/>
      <c r="VEL1" s="353"/>
      <c r="VEM1" s="353"/>
      <c r="VEN1" s="353"/>
      <c r="VEO1" s="353"/>
      <c r="VEP1" s="353"/>
      <c r="VEQ1" s="353"/>
      <c r="VER1" s="353"/>
      <c r="VES1" s="353"/>
      <c r="VET1" s="353"/>
      <c r="VEU1" s="353"/>
      <c r="VEV1" s="353"/>
      <c r="VEW1" s="353"/>
      <c r="VEX1" s="353"/>
      <c r="VEY1" s="353"/>
      <c r="VEZ1" s="353"/>
      <c r="VFA1" s="353"/>
      <c r="VFB1" s="353"/>
      <c r="VFC1" s="353"/>
      <c r="VFD1" s="353"/>
      <c r="VFE1" s="353"/>
      <c r="VFF1" s="353"/>
      <c r="VFG1" s="353"/>
      <c r="VFH1" s="353"/>
      <c r="VFI1" s="353"/>
      <c r="VFJ1" s="353"/>
      <c r="VFK1" s="353"/>
      <c r="VFL1" s="353"/>
      <c r="VFM1" s="353"/>
      <c r="VFN1" s="353"/>
      <c r="VFO1" s="353"/>
      <c r="VFP1" s="353"/>
      <c r="VFQ1" s="353"/>
      <c r="VFR1" s="353"/>
      <c r="VFS1" s="353"/>
      <c r="VFT1" s="353"/>
      <c r="VFU1" s="353"/>
      <c r="VFV1" s="353"/>
      <c r="VFW1" s="353"/>
      <c r="VFX1" s="353"/>
      <c r="VFY1" s="353"/>
      <c r="VFZ1" s="353"/>
      <c r="VGA1" s="353"/>
      <c r="VGB1" s="353"/>
      <c r="VGC1" s="353"/>
      <c r="VGD1" s="353"/>
      <c r="VGE1" s="353"/>
      <c r="VGF1" s="353"/>
      <c r="VGG1" s="353"/>
      <c r="VGH1" s="353"/>
      <c r="VGI1" s="353"/>
      <c r="VGJ1" s="353"/>
      <c r="VGK1" s="353"/>
      <c r="VGL1" s="353"/>
      <c r="VGM1" s="353"/>
      <c r="VGN1" s="353"/>
      <c r="VGO1" s="353"/>
      <c r="VGP1" s="353"/>
      <c r="VGQ1" s="353"/>
      <c r="VGR1" s="353"/>
      <c r="VGS1" s="353"/>
      <c r="VGT1" s="353"/>
      <c r="VGU1" s="353"/>
      <c r="VGV1" s="353"/>
      <c r="VGW1" s="353"/>
      <c r="VGX1" s="353"/>
      <c r="VGY1" s="353"/>
      <c r="VGZ1" s="353"/>
      <c r="VHA1" s="353"/>
      <c r="VHB1" s="353"/>
      <c r="VHC1" s="353"/>
      <c r="VHD1" s="353"/>
      <c r="VHE1" s="353"/>
      <c r="VHF1" s="353"/>
      <c r="VHG1" s="353"/>
      <c r="VHH1" s="353"/>
      <c r="VHI1" s="353"/>
      <c r="VHJ1" s="353"/>
      <c r="VHK1" s="353"/>
      <c r="VHL1" s="353"/>
      <c r="VHM1" s="353"/>
      <c r="VHN1" s="353"/>
      <c r="VHO1" s="353"/>
      <c r="VHP1" s="353"/>
      <c r="VHQ1" s="353"/>
      <c r="VHR1" s="353"/>
      <c r="VHS1" s="353"/>
      <c r="VHT1" s="353"/>
      <c r="VHU1" s="353"/>
      <c r="VHV1" s="353"/>
      <c r="VHW1" s="353"/>
      <c r="VHX1" s="353"/>
      <c r="VHY1" s="353"/>
      <c r="VHZ1" s="353"/>
      <c r="VIA1" s="353"/>
      <c r="VIB1" s="353"/>
      <c r="VIC1" s="353"/>
      <c r="VID1" s="353"/>
      <c r="VIE1" s="353"/>
      <c r="VIF1" s="353"/>
      <c r="VIG1" s="353"/>
      <c r="VIH1" s="353"/>
      <c r="VII1" s="353"/>
      <c r="VIJ1" s="353"/>
      <c r="VIK1" s="353"/>
      <c r="VIL1" s="353"/>
      <c r="VIM1" s="353"/>
      <c r="VIN1" s="353"/>
      <c r="VIO1" s="353"/>
      <c r="VIP1" s="353"/>
      <c r="VIQ1" s="353"/>
      <c r="VIR1" s="353"/>
      <c r="VIS1" s="353"/>
      <c r="VIT1" s="353"/>
      <c r="VIU1" s="353"/>
      <c r="VIV1" s="353"/>
      <c r="VIW1" s="353"/>
      <c r="VIX1" s="353"/>
      <c r="VIY1" s="353"/>
      <c r="VIZ1" s="353"/>
      <c r="VJA1" s="353"/>
      <c r="VJB1" s="353"/>
      <c r="VJC1" s="353"/>
      <c r="VJD1" s="353"/>
      <c r="VJE1" s="353"/>
      <c r="VJF1" s="353"/>
      <c r="VJG1" s="353"/>
      <c r="VJH1" s="353"/>
      <c r="VJI1" s="353"/>
      <c r="VJJ1" s="353"/>
      <c r="VJK1" s="353"/>
      <c r="VJL1" s="353"/>
      <c r="VJM1" s="353"/>
      <c r="VJN1" s="353"/>
      <c r="VJO1" s="353"/>
      <c r="VJP1" s="353"/>
      <c r="VJQ1" s="353"/>
      <c r="VJR1" s="353"/>
      <c r="VJS1" s="353"/>
      <c r="VJT1" s="353"/>
      <c r="VJU1" s="353"/>
      <c r="VJV1" s="353"/>
      <c r="VJW1" s="353"/>
      <c r="VJX1" s="353"/>
      <c r="VJY1" s="353"/>
      <c r="VJZ1" s="353"/>
      <c r="VKA1" s="353"/>
      <c r="VKB1" s="353"/>
      <c r="VKC1" s="353"/>
      <c r="VKD1" s="353"/>
      <c r="VKE1" s="353"/>
      <c r="VKF1" s="353"/>
      <c r="VKG1" s="353"/>
      <c r="VKH1" s="353"/>
      <c r="VKI1" s="353"/>
      <c r="VKJ1" s="353"/>
      <c r="VKK1" s="353"/>
      <c r="VKL1" s="353"/>
      <c r="VKM1" s="353"/>
      <c r="VKN1" s="353"/>
      <c r="VKO1" s="353"/>
      <c r="VKP1" s="353"/>
      <c r="VKQ1" s="353"/>
      <c r="VKR1" s="353"/>
      <c r="VKS1" s="353"/>
      <c r="VKT1" s="353"/>
      <c r="VKU1" s="353"/>
      <c r="VKV1" s="353"/>
      <c r="VKW1" s="353"/>
      <c r="VKX1" s="353"/>
      <c r="VKY1" s="353"/>
      <c r="VKZ1" s="353"/>
      <c r="VLA1" s="353"/>
      <c r="VLB1" s="353"/>
      <c r="VLC1" s="353"/>
      <c r="VLD1" s="353"/>
      <c r="VLE1" s="353"/>
      <c r="VLF1" s="353"/>
      <c r="VLG1" s="353"/>
      <c r="VLH1" s="353"/>
      <c r="VLI1" s="353"/>
      <c r="VLJ1" s="353"/>
      <c r="VLK1" s="353"/>
      <c r="VLL1" s="353"/>
      <c r="VLM1" s="353"/>
      <c r="VLN1" s="353"/>
      <c r="VLO1" s="353"/>
      <c r="VLP1" s="353"/>
      <c r="VLQ1" s="353"/>
      <c r="VLR1" s="353"/>
      <c r="VLS1" s="353"/>
      <c r="VLT1" s="353"/>
      <c r="VLU1" s="353"/>
      <c r="VLV1" s="353"/>
      <c r="VLW1" s="353"/>
      <c r="VLX1" s="353"/>
      <c r="VLY1" s="353"/>
      <c r="VLZ1" s="353"/>
      <c r="VMA1" s="353"/>
      <c r="VMB1" s="353"/>
      <c r="VMC1" s="353"/>
      <c r="VMD1" s="353"/>
      <c r="VME1" s="353"/>
      <c r="VMF1" s="353"/>
      <c r="VMG1" s="353"/>
      <c r="VMH1" s="353"/>
      <c r="VMI1" s="353"/>
      <c r="VMJ1" s="353"/>
      <c r="VMK1" s="353"/>
      <c r="VML1" s="353"/>
      <c r="VMM1" s="353"/>
      <c r="VMN1" s="353"/>
      <c r="VMO1" s="353"/>
      <c r="VMP1" s="353"/>
      <c r="VMQ1" s="353"/>
      <c r="VMR1" s="353"/>
      <c r="VMS1" s="353"/>
      <c r="VMT1" s="353"/>
      <c r="VMU1" s="353"/>
      <c r="VMV1" s="353"/>
      <c r="VMW1" s="353"/>
      <c r="VMX1" s="353"/>
      <c r="VMY1" s="353"/>
      <c r="VMZ1" s="353"/>
      <c r="VNA1" s="353"/>
      <c r="VNB1" s="353"/>
      <c r="VNC1" s="353"/>
      <c r="VND1" s="353"/>
      <c r="VNE1" s="353"/>
      <c r="VNF1" s="353"/>
      <c r="VNG1" s="353"/>
      <c r="VNH1" s="353"/>
      <c r="VNI1" s="353"/>
      <c r="VNJ1" s="353"/>
      <c r="VNK1" s="353"/>
      <c r="VNL1" s="353"/>
      <c r="VNM1" s="353"/>
      <c r="VNN1" s="353"/>
      <c r="VNO1" s="353"/>
      <c r="VNP1" s="353"/>
      <c r="VNQ1" s="353"/>
      <c r="VNR1" s="353"/>
      <c r="VNS1" s="353"/>
      <c r="VNT1" s="353"/>
      <c r="VNU1" s="353"/>
      <c r="VNV1" s="353"/>
      <c r="VNW1" s="353"/>
      <c r="VNX1" s="353"/>
      <c r="VNY1" s="353"/>
      <c r="VNZ1" s="353"/>
      <c r="VOA1" s="353"/>
      <c r="VOB1" s="353"/>
      <c r="VOC1" s="353"/>
      <c r="VOD1" s="353"/>
      <c r="VOE1" s="353"/>
      <c r="VOF1" s="353"/>
      <c r="VOG1" s="353"/>
      <c r="VOH1" s="353"/>
      <c r="VOI1" s="353"/>
      <c r="VOJ1" s="353"/>
      <c r="VOK1" s="353"/>
      <c r="VOL1" s="353"/>
      <c r="VOM1" s="353"/>
      <c r="VON1" s="353"/>
      <c r="VOO1" s="353"/>
      <c r="VOP1" s="353"/>
      <c r="VOQ1" s="353"/>
      <c r="VOR1" s="353"/>
      <c r="VOS1" s="353"/>
      <c r="VOT1" s="353"/>
      <c r="VOU1" s="353"/>
      <c r="VOV1" s="353"/>
      <c r="VOW1" s="353"/>
      <c r="VOX1" s="353"/>
      <c r="VOY1" s="353"/>
      <c r="VOZ1" s="353"/>
      <c r="VPA1" s="353"/>
      <c r="VPB1" s="353"/>
      <c r="VPC1" s="353"/>
      <c r="VPD1" s="353"/>
      <c r="VPE1" s="353"/>
      <c r="VPF1" s="353"/>
      <c r="VPG1" s="353"/>
      <c r="VPH1" s="353"/>
      <c r="VPI1" s="353"/>
      <c r="VPJ1" s="353"/>
      <c r="VPK1" s="353"/>
      <c r="VPL1" s="353"/>
      <c r="VPM1" s="353"/>
      <c r="VPN1" s="353"/>
      <c r="VPO1" s="353"/>
      <c r="VPP1" s="353"/>
      <c r="VPQ1" s="353"/>
      <c r="VPR1" s="353"/>
      <c r="VPS1" s="353"/>
      <c r="VPT1" s="353"/>
      <c r="VPU1" s="353"/>
      <c r="VPV1" s="353"/>
      <c r="VPW1" s="353"/>
      <c r="VPX1" s="353"/>
      <c r="VPY1" s="353"/>
      <c r="VPZ1" s="353"/>
      <c r="VQA1" s="353"/>
      <c r="VQB1" s="353"/>
      <c r="VQC1" s="353"/>
      <c r="VQD1" s="353"/>
      <c r="VQE1" s="353"/>
      <c r="VQF1" s="353"/>
      <c r="VQG1" s="353"/>
      <c r="VQH1" s="353"/>
      <c r="VQI1" s="353"/>
      <c r="VQJ1" s="353"/>
      <c r="VQK1" s="353"/>
      <c r="VQL1" s="353"/>
      <c r="VQM1" s="353"/>
      <c r="VQN1" s="353"/>
      <c r="VQO1" s="353"/>
      <c r="VQP1" s="353"/>
      <c r="VQQ1" s="353"/>
      <c r="VQR1" s="353"/>
      <c r="VQS1" s="353"/>
      <c r="VQT1" s="353"/>
      <c r="VQU1" s="353"/>
      <c r="VQV1" s="353"/>
      <c r="VQW1" s="353"/>
      <c r="VQX1" s="353"/>
      <c r="VQY1" s="353"/>
      <c r="VQZ1" s="353"/>
      <c r="VRA1" s="353"/>
      <c r="VRB1" s="353"/>
      <c r="VRC1" s="353"/>
      <c r="VRD1" s="353"/>
      <c r="VRE1" s="353"/>
      <c r="VRF1" s="353"/>
      <c r="VRG1" s="353"/>
      <c r="VRH1" s="353"/>
      <c r="VRI1" s="353"/>
      <c r="VRJ1" s="353"/>
      <c r="VRK1" s="353"/>
      <c r="VRL1" s="353"/>
      <c r="VRM1" s="353"/>
      <c r="VRN1" s="353"/>
      <c r="VRO1" s="353"/>
      <c r="VRP1" s="353"/>
      <c r="VRQ1" s="353"/>
      <c r="VRR1" s="353"/>
      <c r="VRS1" s="353"/>
      <c r="VRT1" s="353"/>
      <c r="VRU1" s="353"/>
      <c r="VRV1" s="353"/>
      <c r="VRW1" s="353"/>
      <c r="VRX1" s="353"/>
      <c r="VRY1" s="353"/>
      <c r="VRZ1" s="353"/>
      <c r="VSA1" s="353"/>
      <c r="VSB1" s="353"/>
      <c r="VSC1" s="353"/>
      <c r="VSD1" s="353"/>
      <c r="VSE1" s="353"/>
      <c r="VSF1" s="353"/>
      <c r="VSG1" s="353"/>
      <c r="VSH1" s="353"/>
      <c r="VSI1" s="353"/>
      <c r="VSJ1" s="353"/>
      <c r="VSK1" s="353"/>
      <c r="VSL1" s="353"/>
      <c r="VSM1" s="353"/>
      <c r="VSN1" s="353"/>
      <c r="VSO1" s="353"/>
      <c r="VSP1" s="353"/>
      <c r="VSQ1" s="353"/>
      <c r="VSR1" s="353"/>
      <c r="VSS1" s="353"/>
      <c r="VST1" s="353"/>
      <c r="VSU1" s="353"/>
      <c r="VSV1" s="353"/>
      <c r="VSW1" s="353"/>
      <c r="VSX1" s="353"/>
      <c r="VSY1" s="353"/>
      <c r="VSZ1" s="353"/>
      <c r="VTA1" s="353"/>
      <c r="VTB1" s="353"/>
      <c r="VTC1" s="353"/>
      <c r="VTD1" s="353"/>
      <c r="VTE1" s="353"/>
      <c r="VTF1" s="353"/>
      <c r="VTG1" s="353"/>
      <c r="VTH1" s="353"/>
      <c r="VTI1" s="353"/>
      <c r="VTJ1" s="353"/>
      <c r="VTK1" s="353"/>
      <c r="VTL1" s="353"/>
      <c r="VTM1" s="353"/>
      <c r="VTN1" s="353"/>
      <c r="VTO1" s="353"/>
      <c r="VTP1" s="353"/>
      <c r="VTQ1" s="353"/>
      <c r="VTR1" s="353"/>
      <c r="VTS1" s="353"/>
      <c r="VTT1" s="353"/>
      <c r="VTU1" s="353"/>
      <c r="VTV1" s="353"/>
      <c r="VTW1" s="353"/>
      <c r="VTX1" s="353"/>
      <c r="VTY1" s="353"/>
      <c r="VTZ1" s="353"/>
      <c r="VUA1" s="353"/>
      <c r="VUB1" s="353"/>
      <c r="VUC1" s="353"/>
      <c r="VUD1" s="353"/>
      <c r="VUE1" s="353"/>
      <c r="VUF1" s="353"/>
      <c r="VUG1" s="353"/>
      <c r="VUH1" s="353"/>
      <c r="VUI1" s="353"/>
      <c r="VUJ1" s="353"/>
      <c r="VUK1" s="353"/>
      <c r="VUL1" s="353"/>
      <c r="VUM1" s="353"/>
      <c r="VUN1" s="353"/>
      <c r="VUO1" s="353"/>
      <c r="VUP1" s="353"/>
      <c r="VUQ1" s="353"/>
      <c r="VUR1" s="353"/>
      <c r="VUS1" s="353"/>
      <c r="VUT1" s="353"/>
      <c r="VUU1" s="353"/>
      <c r="VUV1" s="353"/>
      <c r="VUW1" s="353"/>
      <c r="VUX1" s="353"/>
      <c r="VUY1" s="353"/>
      <c r="VUZ1" s="353"/>
      <c r="VVA1" s="353"/>
      <c r="VVB1" s="353"/>
      <c r="VVC1" s="353"/>
      <c r="VVD1" s="353"/>
      <c r="VVE1" s="353"/>
      <c r="VVF1" s="353"/>
      <c r="VVG1" s="353"/>
      <c r="VVH1" s="353"/>
      <c r="VVI1" s="353"/>
      <c r="VVJ1" s="353"/>
      <c r="VVK1" s="353"/>
      <c r="VVL1" s="353"/>
      <c r="VVM1" s="353"/>
      <c r="VVN1" s="353"/>
      <c r="VVO1" s="353"/>
      <c r="VVP1" s="353"/>
      <c r="VVQ1" s="353"/>
      <c r="VVR1" s="353"/>
      <c r="VVS1" s="353"/>
      <c r="VVT1" s="353"/>
      <c r="VVU1" s="353"/>
      <c r="VVV1" s="353"/>
      <c r="VVW1" s="353"/>
      <c r="VVX1" s="353"/>
      <c r="VVY1" s="353"/>
      <c r="VVZ1" s="353"/>
      <c r="VWA1" s="353"/>
      <c r="VWB1" s="353"/>
      <c r="VWC1" s="353"/>
      <c r="VWD1" s="353"/>
      <c r="VWE1" s="353"/>
      <c r="VWF1" s="353"/>
      <c r="VWG1" s="353"/>
      <c r="VWH1" s="353"/>
      <c r="VWI1" s="353"/>
      <c r="VWJ1" s="353"/>
      <c r="VWK1" s="353"/>
      <c r="VWL1" s="353"/>
      <c r="VWM1" s="353"/>
      <c r="VWN1" s="353"/>
      <c r="VWO1" s="353"/>
      <c r="VWP1" s="353"/>
      <c r="VWQ1" s="353"/>
      <c r="VWR1" s="353"/>
      <c r="VWS1" s="353"/>
      <c r="VWT1" s="353"/>
      <c r="VWU1" s="353"/>
      <c r="VWV1" s="353"/>
      <c r="VWW1" s="353"/>
      <c r="VWX1" s="353"/>
      <c r="VWY1" s="353"/>
      <c r="VWZ1" s="353"/>
      <c r="VXA1" s="353"/>
      <c r="VXB1" s="353"/>
      <c r="VXC1" s="353"/>
      <c r="VXD1" s="353"/>
      <c r="VXE1" s="353"/>
      <c r="VXF1" s="353"/>
      <c r="VXG1" s="353"/>
      <c r="VXH1" s="353"/>
      <c r="VXI1" s="353"/>
      <c r="VXJ1" s="353"/>
      <c r="VXK1" s="353"/>
      <c r="VXL1" s="353"/>
      <c r="VXM1" s="353"/>
      <c r="VXN1" s="353"/>
      <c r="VXO1" s="353"/>
      <c r="VXP1" s="353"/>
      <c r="VXQ1" s="353"/>
      <c r="VXR1" s="353"/>
      <c r="VXS1" s="353"/>
      <c r="VXT1" s="353"/>
      <c r="VXU1" s="353"/>
      <c r="VXV1" s="353"/>
      <c r="VXW1" s="353"/>
      <c r="VXX1" s="353"/>
      <c r="VXY1" s="353"/>
      <c r="VXZ1" s="353"/>
      <c r="VYA1" s="353"/>
      <c r="VYB1" s="353"/>
      <c r="VYC1" s="353"/>
      <c r="VYD1" s="353"/>
      <c r="VYE1" s="353"/>
      <c r="VYF1" s="353"/>
      <c r="VYG1" s="353"/>
      <c r="VYH1" s="353"/>
      <c r="VYI1" s="353"/>
      <c r="VYJ1" s="353"/>
      <c r="VYK1" s="353"/>
      <c r="VYL1" s="353"/>
      <c r="VYM1" s="353"/>
      <c r="VYN1" s="353"/>
      <c r="VYO1" s="353"/>
      <c r="VYP1" s="353"/>
      <c r="VYQ1" s="353"/>
      <c r="VYR1" s="353"/>
      <c r="VYS1" s="353"/>
      <c r="VYT1" s="353"/>
      <c r="VYU1" s="353"/>
      <c r="VYV1" s="353"/>
      <c r="VYW1" s="353"/>
      <c r="VYX1" s="353"/>
      <c r="VYY1" s="353"/>
      <c r="VYZ1" s="353"/>
      <c r="VZA1" s="353"/>
      <c r="VZB1" s="353"/>
      <c r="VZC1" s="353"/>
      <c r="VZD1" s="353"/>
      <c r="VZE1" s="353"/>
      <c r="VZF1" s="353"/>
      <c r="VZG1" s="353"/>
      <c r="VZH1" s="353"/>
      <c r="VZI1" s="353"/>
      <c r="VZJ1" s="353"/>
      <c r="VZK1" s="353"/>
      <c r="VZL1" s="353"/>
      <c r="VZM1" s="353"/>
      <c r="VZN1" s="353"/>
      <c r="VZO1" s="353"/>
      <c r="VZP1" s="353"/>
      <c r="VZQ1" s="353"/>
      <c r="VZR1" s="353"/>
      <c r="VZS1" s="353"/>
      <c r="VZT1" s="353"/>
      <c r="VZU1" s="353"/>
      <c r="VZV1" s="353"/>
      <c r="VZW1" s="353"/>
      <c r="VZX1" s="353"/>
      <c r="VZY1" s="353"/>
      <c r="VZZ1" s="353"/>
      <c r="WAA1" s="353"/>
      <c r="WAB1" s="353"/>
      <c r="WAC1" s="353"/>
      <c r="WAD1" s="353"/>
      <c r="WAE1" s="353"/>
      <c r="WAF1" s="353"/>
      <c r="WAG1" s="353"/>
      <c r="WAH1" s="353"/>
      <c r="WAI1" s="353"/>
      <c r="WAJ1" s="353"/>
      <c r="WAK1" s="353"/>
      <c r="WAL1" s="353"/>
      <c r="WAM1" s="353"/>
      <c r="WAN1" s="353"/>
      <c r="WAO1" s="353"/>
      <c r="WAP1" s="353"/>
      <c r="WAQ1" s="353"/>
      <c r="WAR1" s="353"/>
      <c r="WAS1" s="353"/>
      <c r="WAT1" s="353"/>
      <c r="WAU1" s="353"/>
      <c r="WAV1" s="353"/>
      <c r="WAW1" s="353"/>
      <c r="WAX1" s="353"/>
      <c r="WAY1" s="353"/>
      <c r="WAZ1" s="353"/>
      <c r="WBA1" s="353"/>
      <c r="WBB1" s="353"/>
      <c r="WBC1" s="353"/>
      <c r="WBD1" s="353"/>
      <c r="WBE1" s="353"/>
      <c r="WBF1" s="353"/>
      <c r="WBG1" s="353"/>
      <c r="WBH1" s="353"/>
      <c r="WBI1" s="353"/>
      <c r="WBJ1" s="353"/>
      <c r="WBK1" s="353"/>
      <c r="WBL1" s="353"/>
      <c r="WBM1" s="353"/>
      <c r="WBN1" s="353"/>
      <c r="WBO1" s="353"/>
      <c r="WBP1" s="353"/>
      <c r="WBQ1" s="353"/>
      <c r="WBR1" s="353"/>
      <c r="WBS1" s="353"/>
      <c r="WBT1" s="353"/>
      <c r="WBU1" s="353"/>
      <c r="WBV1" s="353"/>
      <c r="WBW1" s="353"/>
      <c r="WBX1" s="353"/>
      <c r="WBY1" s="353"/>
      <c r="WBZ1" s="353"/>
      <c r="WCA1" s="353"/>
      <c r="WCB1" s="353"/>
      <c r="WCC1" s="353"/>
      <c r="WCD1" s="353"/>
      <c r="WCE1" s="353"/>
      <c r="WCF1" s="353"/>
      <c r="WCG1" s="353"/>
      <c r="WCH1" s="353"/>
      <c r="WCI1" s="353"/>
      <c r="WCJ1" s="353"/>
      <c r="WCK1" s="353"/>
      <c r="WCL1" s="353"/>
      <c r="WCM1" s="353"/>
      <c r="WCN1" s="353"/>
      <c r="WCO1" s="353"/>
      <c r="WCP1" s="353"/>
      <c r="WCQ1" s="353"/>
      <c r="WCR1" s="353"/>
      <c r="WCS1" s="353"/>
      <c r="WCT1" s="353"/>
      <c r="WCU1" s="353"/>
      <c r="WCV1" s="353"/>
      <c r="WCW1" s="353"/>
      <c r="WCX1" s="353"/>
      <c r="WCY1" s="353"/>
      <c r="WCZ1" s="353"/>
      <c r="WDA1" s="353"/>
      <c r="WDB1" s="353"/>
      <c r="WDC1" s="353"/>
      <c r="WDD1" s="353"/>
      <c r="WDE1" s="353"/>
      <c r="WDF1" s="353"/>
      <c r="WDG1" s="353"/>
      <c r="WDH1" s="353"/>
      <c r="WDI1" s="353"/>
      <c r="WDJ1" s="353"/>
      <c r="WDK1" s="353"/>
      <c r="WDL1" s="353"/>
      <c r="WDM1" s="353"/>
      <c r="WDN1" s="353"/>
      <c r="WDO1" s="353"/>
      <c r="WDP1" s="353"/>
      <c r="WDQ1" s="353"/>
      <c r="WDR1" s="353"/>
      <c r="WDS1" s="353"/>
      <c r="WDT1" s="353"/>
      <c r="WDU1" s="353"/>
      <c r="WDV1" s="353"/>
      <c r="WDW1" s="353"/>
      <c r="WDX1" s="353"/>
      <c r="WDY1" s="353"/>
      <c r="WDZ1" s="353"/>
      <c r="WEA1" s="353"/>
      <c r="WEB1" s="353"/>
      <c r="WEC1" s="353"/>
      <c r="WED1" s="353"/>
      <c r="WEE1" s="353"/>
      <c r="WEF1" s="353"/>
      <c r="WEG1" s="353"/>
      <c r="WEH1" s="353"/>
      <c r="WEI1" s="353"/>
      <c r="WEJ1" s="353"/>
      <c r="WEK1" s="353"/>
      <c r="WEL1" s="353"/>
      <c r="WEM1" s="353"/>
      <c r="WEN1" s="353"/>
      <c r="WEO1" s="353"/>
      <c r="WEP1" s="353"/>
      <c r="WEQ1" s="353"/>
      <c r="WER1" s="353"/>
      <c r="WES1" s="353"/>
      <c r="WET1" s="353"/>
      <c r="WEU1" s="353"/>
      <c r="WEV1" s="353"/>
      <c r="WEW1" s="353"/>
      <c r="WEX1" s="353"/>
      <c r="WEY1" s="353"/>
      <c r="WEZ1" s="353"/>
      <c r="WFA1" s="353"/>
      <c r="WFB1" s="353"/>
      <c r="WFC1" s="353"/>
      <c r="WFD1" s="353"/>
      <c r="WFE1" s="353"/>
      <c r="WFF1" s="353"/>
      <c r="WFG1" s="353"/>
      <c r="WFH1" s="353"/>
      <c r="WFI1" s="353"/>
      <c r="WFJ1" s="353"/>
      <c r="WFK1" s="353"/>
      <c r="WFL1" s="353"/>
      <c r="WFM1" s="353"/>
      <c r="WFN1" s="353"/>
      <c r="WFO1" s="353"/>
      <c r="WFP1" s="353"/>
      <c r="WFQ1" s="353"/>
      <c r="WFR1" s="353"/>
      <c r="WFS1" s="353"/>
      <c r="WFT1" s="353"/>
      <c r="WFU1" s="353"/>
      <c r="WFV1" s="353"/>
      <c r="WFW1" s="353"/>
      <c r="WFX1" s="353"/>
      <c r="WFY1" s="353"/>
      <c r="WFZ1" s="353"/>
      <c r="WGA1" s="353"/>
      <c r="WGB1" s="353"/>
      <c r="WGC1" s="353"/>
      <c r="WGD1" s="353"/>
      <c r="WGE1" s="353"/>
      <c r="WGF1" s="353"/>
      <c r="WGG1" s="353"/>
      <c r="WGH1" s="353"/>
      <c r="WGI1" s="353"/>
      <c r="WGJ1" s="353"/>
      <c r="WGK1" s="353"/>
      <c r="WGL1" s="353"/>
      <c r="WGM1" s="353"/>
      <c r="WGN1" s="353"/>
      <c r="WGO1" s="353"/>
      <c r="WGP1" s="353"/>
      <c r="WGQ1" s="353"/>
      <c r="WGR1" s="353"/>
      <c r="WGS1" s="353"/>
      <c r="WGT1" s="353"/>
      <c r="WGU1" s="353"/>
      <c r="WGV1" s="353"/>
      <c r="WGW1" s="353"/>
      <c r="WGX1" s="353"/>
      <c r="WGY1" s="353"/>
      <c r="WGZ1" s="353"/>
      <c r="WHA1" s="353"/>
      <c r="WHB1" s="353"/>
      <c r="WHC1" s="353"/>
      <c r="WHD1" s="353"/>
      <c r="WHE1" s="353"/>
      <c r="WHF1" s="353"/>
      <c r="WHG1" s="353"/>
      <c r="WHH1" s="353"/>
      <c r="WHI1" s="353"/>
      <c r="WHJ1" s="353"/>
      <c r="WHK1" s="353"/>
      <c r="WHL1" s="353"/>
      <c r="WHM1" s="353"/>
      <c r="WHN1" s="353"/>
      <c r="WHO1" s="353"/>
      <c r="WHP1" s="353"/>
      <c r="WHQ1" s="353"/>
      <c r="WHR1" s="353"/>
      <c r="WHS1" s="353"/>
      <c r="WHT1" s="353"/>
      <c r="WHU1" s="353"/>
      <c r="WHV1" s="353"/>
      <c r="WHW1" s="353"/>
      <c r="WHX1" s="353"/>
      <c r="WHY1" s="353"/>
      <c r="WHZ1" s="353"/>
      <c r="WIA1" s="353"/>
      <c r="WIB1" s="353"/>
      <c r="WIC1" s="353"/>
      <c r="WID1" s="353"/>
      <c r="WIE1" s="353"/>
      <c r="WIF1" s="353"/>
      <c r="WIG1" s="353"/>
      <c r="WIH1" s="353"/>
      <c r="WII1" s="353"/>
      <c r="WIJ1" s="353"/>
      <c r="WIK1" s="353"/>
      <c r="WIL1" s="353"/>
      <c r="WIM1" s="353"/>
      <c r="WIN1" s="353"/>
      <c r="WIO1" s="353"/>
      <c r="WIP1" s="353"/>
      <c r="WIQ1" s="353"/>
      <c r="WIR1" s="353"/>
      <c r="WIS1" s="353"/>
      <c r="WIT1" s="353"/>
      <c r="WIU1" s="353"/>
      <c r="WIV1" s="353"/>
      <c r="WIW1" s="353"/>
      <c r="WIX1" s="353"/>
      <c r="WIY1" s="353"/>
      <c r="WIZ1" s="353"/>
      <c r="WJA1" s="353"/>
      <c r="WJB1" s="353"/>
      <c r="WJC1" s="353"/>
      <c r="WJD1" s="353"/>
      <c r="WJE1" s="353"/>
      <c r="WJF1" s="353"/>
      <c r="WJG1" s="353"/>
      <c r="WJH1" s="353"/>
      <c r="WJI1" s="353"/>
      <c r="WJJ1" s="353"/>
      <c r="WJK1" s="353"/>
      <c r="WJL1" s="353"/>
      <c r="WJM1" s="353"/>
      <c r="WJN1" s="353"/>
      <c r="WJO1" s="353"/>
      <c r="WJP1" s="353"/>
      <c r="WJQ1" s="353"/>
      <c r="WJR1" s="353"/>
      <c r="WJS1" s="353"/>
      <c r="WJT1" s="353"/>
      <c r="WJU1" s="353"/>
      <c r="WJV1" s="353"/>
      <c r="WJW1" s="353"/>
      <c r="WJX1" s="353"/>
      <c r="WJY1" s="353"/>
      <c r="WJZ1" s="353"/>
      <c r="WKA1" s="353"/>
      <c r="WKB1" s="353"/>
      <c r="WKC1" s="353"/>
      <c r="WKD1" s="353"/>
      <c r="WKE1" s="353"/>
      <c r="WKF1" s="353"/>
      <c r="WKG1" s="353"/>
      <c r="WKH1" s="353"/>
      <c r="WKI1" s="353"/>
      <c r="WKJ1" s="353"/>
      <c r="WKK1" s="353"/>
      <c r="WKL1" s="353"/>
      <c r="WKM1" s="353"/>
      <c r="WKN1" s="353"/>
      <c r="WKO1" s="353"/>
      <c r="WKP1" s="353"/>
      <c r="WKQ1" s="353"/>
      <c r="WKR1" s="353"/>
      <c r="WKS1" s="353"/>
      <c r="WKT1" s="353"/>
      <c r="WKU1" s="353"/>
      <c r="WKV1" s="353"/>
      <c r="WKW1" s="353"/>
      <c r="WKX1" s="353"/>
      <c r="WKY1" s="353"/>
      <c r="WKZ1" s="353"/>
      <c r="WLA1" s="353"/>
      <c r="WLB1" s="353"/>
      <c r="WLC1" s="353"/>
      <c r="WLD1" s="353"/>
      <c r="WLE1" s="353"/>
      <c r="WLF1" s="353"/>
      <c r="WLG1" s="353"/>
      <c r="WLH1" s="353"/>
      <c r="WLI1" s="353"/>
      <c r="WLJ1" s="353"/>
      <c r="WLK1" s="353"/>
      <c r="WLL1" s="353"/>
      <c r="WLM1" s="353"/>
      <c r="WLN1" s="353"/>
      <c r="WLO1" s="353"/>
      <c r="WLP1" s="353"/>
      <c r="WLQ1" s="353"/>
      <c r="WLR1" s="353"/>
      <c r="WLS1" s="353"/>
      <c r="WLT1" s="353"/>
      <c r="WLU1" s="353"/>
      <c r="WLV1" s="353"/>
      <c r="WLW1" s="353"/>
      <c r="WLX1" s="353"/>
      <c r="WLY1" s="353"/>
      <c r="WLZ1" s="353"/>
      <c r="WMA1" s="353"/>
      <c r="WMB1" s="353"/>
      <c r="WMC1" s="353"/>
      <c r="WMD1" s="353"/>
      <c r="WME1" s="353"/>
      <c r="WMF1" s="353"/>
      <c r="WMG1" s="353"/>
      <c r="WMH1" s="353"/>
      <c r="WMI1" s="353"/>
      <c r="WMJ1" s="353"/>
      <c r="WMK1" s="353"/>
      <c r="WML1" s="353"/>
      <c r="WMM1" s="353"/>
      <c r="WMN1" s="353"/>
      <c r="WMO1" s="353"/>
      <c r="WMP1" s="353"/>
      <c r="WMQ1" s="353"/>
      <c r="WMR1" s="353"/>
      <c r="WMS1" s="353"/>
      <c r="WMT1" s="353"/>
      <c r="WMU1" s="353"/>
      <c r="WMV1" s="353"/>
      <c r="WMW1" s="353"/>
      <c r="WMX1" s="353"/>
      <c r="WMY1" s="353"/>
      <c r="WMZ1" s="353"/>
      <c r="WNA1" s="353"/>
      <c r="WNB1" s="353"/>
      <c r="WNC1" s="353"/>
      <c r="WND1" s="353"/>
      <c r="WNE1" s="353"/>
      <c r="WNF1" s="353"/>
      <c r="WNG1" s="353"/>
      <c r="WNH1" s="353"/>
      <c r="WNI1" s="353"/>
      <c r="WNJ1" s="353"/>
      <c r="WNK1" s="353"/>
      <c r="WNL1" s="353"/>
      <c r="WNM1" s="353"/>
      <c r="WNN1" s="353"/>
      <c r="WNO1" s="353"/>
      <c r="WNP1" s="353"/>
      <c r="WNQ1" s="353"/>
      <c r="WNR1" s="353"/>
      <c r="WNS1" s="353"/>
      <c r="WNT1" s="353"/>
      <c r="WNU1" s="353"/>
      <c r="WNV1" s="353"/>
      <c r="WNW1" s="353"/>
      <c r="WNX1" s="353"/>
      <c r="WNY1" s="353"/>
      <c r="WNZ1" s="353"/>
      <c r="WOA1" s="353"/>
      <c r="WOB1" s="353"/>
      <c r="WOC1" s="353"/>
      <c r="WOD1" s="353"/>
      <c r="WOE1" s="353"/>
      <c r="WOF1" s="353"/>
      <c r="WOG1" s="353"/>
      <c r="WOH1" s="353"/>
      <c r="WOI1" s="353"/>
      <c r="WOJ1" s="353"/>
      <c r="WOK1" s="353"/>
      <c r="WOL1" s="353"/>
      <c r="WOM1" s="353"/>
      <c r="WON1" s="353"/>
      <c r="WOO1" s="353"/>
      <c r="WOP1" s="353"/>
      <c r="WOQ1" s="353"/>
      <c r="WOR1" s="353"/>
      <c r="WOS1" s="353"/>
      <c r="WOT1" s="353"/>
      <c r="WOU1" s="353"/>
      <c r="WOV1" s="353"/>
      <c r="WOW1" s="353"/>
      <c r="WOX1" s="353"/>
      <c r="WOY1" s="353"/>
      <c r="WOZ1" s="353"/>
      <c r="WPA1" s="353"/>
      <c r="WPB1" s="353"/>
      <c r="WPC1" s="353"/>
      <c r="WPD1" s="353"/>
      <c r="WPE1" s="353"/>
      <c r="WPF1" s="353"/>
      <c r="WPG1" s="353"/>
      <c r="WPH1" s="353"/>
      <c r="WPI1" s="353"/>
      <c r="WPJ1" s="353"/>
      <c r="WPK1" s="353"/>
      <c r="WPL1" s="353"/>
      <c r="WPM1" s="353"/>
      <c r="WPN1" s="353"/>
      <c r="WPO1" s="353"/>
      <c r="WPP1" s="353"/>
      <c r="WPQ1" s="353"/>
      <c r="WPR1" s="353"/>
      <c r="WPS1" s="353"/>
      <c r="WPT1" s="353"/>
      <c r="WPU1" s="353"/>
      <c r="WPV1" s="353"/>
      <c r="WPW1" s="353"/>
      <c r="WPX1" s="353"/>
      <c r="WPY1" s="353"/>
      <c r="WPZ1" s="353"/>
      <c r="WQA1" s="353"/>
      <c r="WQB1" s="353"/>
      <c r="WQC1" s="353"/>
      <c r="WQD1" s="353"/>
      <c r="WQE1" s="353"/>
      <c r="WQF1" s="353"/>
      <c r="WQG1" s="353"/>
      <c r="WQH1" s="353"/>
      <c r="WQI1" s="353"/>
      <c r="WQJ1" s="353"/>
      <c r="WQK1" s="353"/>
      <c r="WQL1" s="353"/>
      <c r="WQM1" s="353"/>
      <c r="WQN1" s="353"/>
      <c r="WQO1" s="353"/>
      <c r="WQP1" s="353"/>
      <c r="WQQ1" s="353"/>
      <c r="WQR1" s="353"/>
      <c r="WQS1" s="353"/>
      <c r="WQT1" s="353"/>
      <c r="WQU1" s="353"/>
      <c r="WQV1" s="353"/>
      <c r="WQW1" s="353"/>
      <c r="WQX1" s="353"/>
      <c r="WQY1" s="353"/>
      <c r="WQZ1" s="353"/>
      <c r="WRA1" s="353"/>
      <c r="WRB1" s="353"/>
      <c r="WRC1" s="353"/>
      <c r="WRD1" s="353"/>
      <c r="WRE1" s="353"/>
      <c r="WRF1" s="353"/>
      <c r="WRG1" s="353"/>
      <c r="WRH1" s="353"/>
      <c r="WRI1" s="353"/>
      <c r="WRJ1" s="353"/>
      <c r="WRK1" s="353"/>
      <c r="WRL1" s="353"/>
      <c r="WRM1" s="353"/>
      <c r="WRN1" s="353"/>
      <c r="WRO1" s="353"/>
      <c r="WRP1" s="353"/>
      <c r="WRQ1" s="353"/>
      <c r="WRR1" s="353"/>
      <c r="WRS1" s="353"/>
      <c r="WRT1" s="353"/>
      <c r="WRU1" s="353"/>
      <c r="WRV1" s="353"/>
      <c r="WRW1" s="353"/>
      <c r="WRX1" s="353"/>
      <c r="WRY1" s="353"/>
      <c r="WRZ1" s="353"/>
      <c r="WSA1" s="353"/>
      <c r="WSB1" s="353"/>
      <c r="WSC1" s="353"/>
      <c r="WSD1" s="353"/>
      <c r="WSE1" s="353"/>
      <c r="WSF1" s="353"/>
      <c r="WSG1" s="353"/>
      <c r="WSH1" s="353"/>
      <c r="WSI1" s="353"/>
      <c r="WSJ1" s="353"/>
      <c r="WSK1" s="353"/>
      <c r="WSL1" s="353"/>
      <c r="WSM1" s="353"/>
      <c r="WSN1" s="353"/>
      <c r="WSO1" s="353"/>
      <c r="WSP1" s="353"/>
      <c r="WSQ1" s="353"/>
      <c r="WSR1" s="353"/>
      <c r="WSS1" s="353"/>
      <c r="WST1" s="353"/>
      <c r="WSU1" s="353"/>
      <c r="WSV1" s="353"/>
      <c r="WSW1" s="353"/>
      <c r="WSX1" s="353"/>
      <c r="WSY1" s="353"/>
      <c r="WSZ1" s="353"/>
      <c r="WTA1" s="353"/>
      <c r="WTB1" s="353"/>
      <c r="WTC1" s="353"/>
      <c r="WTD1" s="353"/>
      <c r="WTE1" s="353"/>
      <c r="WTF1" s="353"/>
      <c r="WTG1" s="353"/>
      <c r="WTH1" s="353"/>
      <c r="WTI1" s="353"/>
      <c r="WTJ1" s="353"/>
      <c r="WTK1" s="353"/>
      <c r="WTL1" s="353"/>
      <c r="WTM1" s="353"/>
      <c r="WTN1" s="353"/>
      <c r="WTO1" s="353"/>
      <c r="WTP1" s="353"/>
      <c r="WTQ1" s="353"/>
      <c r="WTR1" s="353"/>
      <c r="WTS1" s="353"/>
      <c r="WTT1" s="353"/>
      <c r="WTU1" s="353"/>
      <c r="WTV1" s="353"/>
      <c r="WTW1" s="353"/>
      <c r="WTX1" s="353"/>
      <c r="WTY1" s="353"/>
      <c r="WTZ1" s="353"/>
      <c r="WUA1" s="353"/>
      <c r="WUB1" s="353"/>
      <c r="WUC1" s="353"/>
      <c r="WUD1" s="353"/>
      <c r="WUE1" s="353"/>
      <c r="WUF1" s="353"/>
      <c r="WUG1" s="353"/>
      <c r="WUH1" s="353"/>
      <c r="WUI1" s="353"/>
      <c r="WUJ1" s="353"/>
      <c r="WUK1" s="353"/>
      <c r="WUL1" s="353"/>
      <c r="WUM1" s="353"/>
      <c r="WUN1" s="353"/>
      <c r="WUO1" s="353"/>
      <c r="WUP1" s="353"/>
      <c r="WUQ1" s="353"/>
      <c r="WUR1" s="353"/>
      <c r="WUS1" s="353"/>
      <c r="WUT1" s="353"/>
      <c r="WUU1" s="353"/>
      <c r="WUV1" s="353"/>
      <c r="WUW1" s="353"/>
      <c r="WUX1" s="353"/>
      <c r="WUY1" s="353"/>
      <c r="WUZ1" s="353"/>
      <c r="WVA1" s="353"/>
      <c r="WVB1" s="353"/>
      <c r="WVC1" s="353"/>
      <c r="WVD1" s="353"/>
      <c r="WVE1" s="353"/>
      <c r="WVF1" s="353"/>
      <c r="WVG1" s="353"/>
      <c r="WVH1" s="353"/>
      <c r="WVI1" s="353"/>
      <c r="WVJ1" s="353"/>
      <c r="WVK1" s="353"/>
      <c r="WVL1" s="353"/>
      <c r="WVM1" s="353"/>
      <c r="WVN1" s="353"/>
      <c r="WVO1" s="353"/>
      <c r="WVP1" s="353"/>
      <c r="WVQ1" s="353"/>
      <c r="WVR1" s="353"/>
      <c r="WVS1" s="353"/>
      <c r="WVT1" s="353"/>
      <c r="WVU1" s="353"/>
      <c r="WVV1" s="353"/>
      <c r="WVW1" s="353"/>
      <c r="WVX1" s="353"/>
      <c r="WVY1" s="353"/>
      <c r="WVZ1" s="353"/>
      <c r="WWA1" s="353"/>
      <c r="WWB1" s="353"/>
      <c r="WWC1" s="353"/>
      <c r="WWD1" s="353"/>
      <c r="WWE1" s="353"/>
      <c r="WWF1" s="353"/>
      <c r="WWG1" s="353"/>
      <c r="WWH1" s="353"/>
      <c r="WWI1" s="353"/>
      <c r="WWJ1" s="353"/>
      <c r="WWK1" s="353"/>
      <c r="WWL1" s="353"/>
      <c r="WWM1" s="353"/>
      <c r="WWN1" s="353"/>
      <c r="WWO1" s="353"/>
      <c r="WWP1" s="353"/>
      <c r="WWQ1" s="353"/>
      <c r="WWR1" s="353"/>
      <c r="WWS1" s="353"/>
      <c r="WWT1" s="353"/>
      <c r="WWU1" s="353"/>
      <c r="WWV1" s="353"/>
      <c r="WWW1" s="353"/>
      <c r="WWX1" s="353"/>
      <c r="WWY1" s="353"/>
      <c r="WWZ1" s="353"/>
      <c r="WXA1" s="353"/>
      <c r="WXB1" s="353"/>
      <c r="WXC1" s="353"/>
      <c r="WXD1" s="353"/>
      <c r="WXE1" s="353"/>
      <c r="WXF1" s="353"/>
      <c r="WXG1" s="353"/>
      <c r="WXH1" s="353"/>
      <c r="WXI1" s="353"/>
      <c r="WXJ1" s="353"/>
      <c r="WXK1" s="353"/>
      <c r="WXL1" s="353"/>
      <c r="WXM1" s="353"/>
      <c r="WXN1" s="353"/>
      <c r="WXO1" s="353"/>
      <c r="WXP1" s="353"/>
      <c r="WXQ1" s="353"/>
      <c r="WXR1" s="353"/>
      <c r="WXS1" s="353"/>
      <c r="WXT1" s="353"/>
      <c r="WXU1" s="353"/>
      <c r="WXV1" s="353"/>
      <c r="WXW1" s="353"/>
      <c r="WXX1" s="353"/>
      <c r="WXY1" s="353"/>
      <c r="WXZ1" s="353"/>
      <c r="WYA1" s="353"/>
      <c r="WYB1" s="353"/>
      <c r="WYC1" s="353"/>
      <c r="WYD1" s="353"/>
      <c r="WYE1" s="353"/>
      <c r="WYF1" s="353"/>
      <c r="WYG1" s="353"/>
      <c r="WYH1" s="353"/>
      <c r="WYI1" s="353"/>
      <c r="WYJ1" s="353"/>
      <c r="WYK1" s="353"/>
      <c r="WYL1" s="353"/>
      <c r="WYM1" s="353"/>
      <c r="WYN1" s="353"/>
      <c r="WYO1" s="353"/>
      <c r="WYP1" s="353"/>
      <c r="WYQ1" s="353"/>
      <c r="WYR1" s="353"/>
      <c r="WYS1" s="353"/>
      <c r="WYT1" s="353"/>
      <c r="WYU1" s="353"/>
      <c r="WYV1" s="353"/>
      <c r="WYW1" s="353"/>
      <c r="WYX1" s="353"/>
      <c r="WYY1" s="353"/>
      <c r="WYZ1" s="353"/>
      <c r="WZA1" s="353"/>
      <c r="WZB1" s="353"/>
      <c r="WZC1" s="353"/>
      <c r="WZD1" s="353"/>
      <c r="WZE1" s="353"/>
      <c r="WZF1" s="353"/>
      <c r="WZG1" s="353"/>
      <c r="WZH1" s="353"/>
      <c r="WZI1" s="353"/>
      <c r="WZJ1" s="353"/>
      <c r="WZK1" s="353"/>
      <c r="WZL1" s="353"/>
      <c r="WZM1" s="353"/>
      <c r="WZN1" s="353"/>
      <c r="WZO1" s="353"/>
      <c r="WZP1" s="353"/>
      <c r="WZQ1" s="353"/>
      <c r="WZR1" s="353"/>
      <c r="WZS1" s="353"/>
      <c r="WZT1" s="353"/>
      <c r="WZU1" s="353"/>
      <c r="WZV1" s="353"/>
      <c r="WZW1" s="353"/>
      <c r="WZX1" s="353"/>
      <c r="WZY1" s="353"/>
      <c r="WZZ1" s="353"/>
      <c r="XAA1" s="353"/>
      <c r="XAB1" s="353"/>
      <c r="XAC1" s="353"/>
      <c r="XAD1" s="353"/>
      <c r="XAE1" s="353"/>
      <c r="XAF1" s="353"/>
      <c r="XAG1" s="353"/>
      <c r="XAH1" s="353"/>
      <c r="XAI1" s="353"/>
      <c r="XAJ1" s="353"/>
      <c r="XAK1" s="353"/>
      <c r="XAL1" s="353"/>
      <c r="XAM1" s="353"/>
      <c r="XAN1" s="353"/>
      <c r="XAO1" s="353"/>
      <c r="XAP1" s="353"/>
      <c r="XAQ1" s="353"/>
      <c r="XAR1" s="353"/>
      <c r="XAS1" s="353"/>
      <c r="XAT1" s="353"/>
      <c r="XAU1" s="353"/>
      <c r="XAV1" s="353"/>
      <c r="XAW1" s="353"/>
      <c r="XAX1" s="353"/>
      <c r="XAY1" s="353"/>
      <c r="XAZ1" s="353"/>
      <c r="XBA1" s="353"/>
      <c r="XBB1" s="353"/>
      <c r="XBC1" s="353"/>
      <c r="XBD1" s="353"/>
      <c r="XBE1" s="353"/>
      <c r="XBF1" s="353"/>
      <c r="XBG1" s="353"/>
      <c r="XBH1" s="353"/>
      <c r="XBI1" s="353"/>
      <c r="XBJ1" s="353"/>
      <c r="XBK1" s="353"/>
      <c r="XBL1" s="353"/>
      <c r="XBM1" s="353"/>
      <c r="XBN1" s="353"/>
      <c r="XBO1" s="353"/>
      <c r="XBP1" s="353"/>
      <c r="XBQ1" s="353"/>
      <c r="XBR1" s="353"/>
      <c r="XBS1" s="353"/>
      <c r="XBT1" s="353"/>
      <c r="XBU1" s="353"/>
      <c r="XBV1" s="353"/>
      <c r="XBW1" s="353"/>
      <c r="XBX1" s="353"/>
      <c r="XBY1" s="353"/>
      <c r="XBZ1" s="353"/>
      <c r="XCA1" s="353"/>
      <c r="XCB1" s="353"/>
      <c r="XCC1" s="353"/>
      <c r="XCD1" s="353"/>
      <c r="XCE1" s="353"/>
      <c r="XCF1" s="353"/>
      <c r="XCG1" s="353"/>
      <c r="XCH1" s="353"/>
      <c r="XCI1" s="353"/>
      <c r="XCJ1" s="353"/>
      <c r="XCK1" s="353"/>
      <c r="XCL1" s="353"/>
      <c r="XCM1" s="353"/>
      <c r="XCN1" s="353"/>
      <c r="XCO1" s="353"/>
      <c r="XCP1" s="353"/>
      <c r="XCQ1" s="353"/>
      <c r="XCR1" s="353"/>
      <c r="XCS1" s="353"/>
      <c r="XCT1" s="353"/>
      <c r="XCU1" s="353"/>
      <c r="XCV1" s="353"/>
      <c r="XCW1" s="353"/>
      <c r="XCX1" s="353"/>
      <c r="XCY1" s="353"/>
      <c r="XCZ1" s="353"/>
      <c r="XDA1" s="353"/>
      <c r="XDB1" s="353"/>
      <c r="XDC1" s="353"/>
      <c r="XDD1" s="353"/>
      <c r="XDE1" s="353"/>
      <c r="XDF1" s="353"/>
      <c r="XDG1" s="353"/>
      <c r="XDH1" s="353"/>
      <c r="XDI1" s="353"/>
      <c r="XDJ1" s="353"/>
      <c r="XDK1" s="353"/>
      <c r="XDL1" s="353"/>
      <c r="XDM1" s="353"/>
      <c r="XDN1" s="353"/>
      <c r="XDO1" s="353"/>
      <c r="XDP1" s="353"/>
      <c r="XDQ1" s="353"/>
      <c r="XDR1" s="353"/>
      <c r="XDS1" s="353"/>
      <c r="XDT1" s="353"/>
      <c r="XDU1" s="353"/>
      <c r="XDV1" s="353"/>
      <c r="XDW1" s="353"/>
      <c r="XDX1" s="353"/>
      <c r="XDY1" s="353"/>
      <c r="XDZ1" s="353"/>
      <c r="XEA1" s="353"/>
      <c r="XEB1" s="353"/>
      <c r="XEC1" s="353"/>
      <c r="XED1" s="353"/>
      <c r="XEE1" s="353"/>
      <c r="XEF1" s="353"/>
      <c r="XEG1" s="353"/>
      <c r="XEH1" s="353"/>
      <c r="XEI1" s="353"/>
      <c r="XEJ1" s="353"/>
      <c r="XEK1" s="353"/>
      <c r="XEL1" s="353"/>
      <c r="XEM1" s="353"/>
      <c r="XEN1" s="353"/>
      <c r="XEO1" s="353"/>
      <c r="XEP1" s="353"/>
      <c r="XEQ1" s="353"/>
      <c r="XER1" s="353"/>
      <c r="XES1" s="353"/>
      <c r="XET1" s="353"/>
      <c r="XEU1" s="353"/>
      <c r="XEV1" s="353"/>
      <c r="XEW1" s="353"/>
      <c r="XEX1" s="353"/>
      <c r="XEY1" s="353"/>
      <c r="XEZ1" s="353"/>
      <c r="XFA1" s="353"/>
      <c r="XFB1" s="353"/>
      <c r="XFC1" s="353"/>
      <c r="XFD1" s="353"/>
    </row>
    <row r="2" spans="2:16384" x14ac:dyDescent="0.25">
      <c r="I2" s="469"/>
      <c r="J2" s="469"/>
      <c r="X2" s="353"/>
      <c r="Y2" s="353"/>
      <c r="Z2" s="353"/>
      <c r="AA2" s="353"/>
      <c r="AB2" s="353"/>
      <c r="AC2" s="353"/>
      <c r="AD2" s="353"/>
      <c r="AE2" s="353"/>
      <c r="AF2" s="353"/>
      <c r="AG2" s="353"/>
      <c r="AH2" s="353"/>
      <c r="AI2" s="353"/>
      <c r="AJ2" s="353"/>
      <c r="AK2" s="353"/>
      <c r="AL2" s="353"/>
      <c r="AM2" s="353"/>
      <c r="AN2" s="353"/>
      <c r="AO2" s="353"/>
      <c r="AP2" s="353"/>
      <c r="AQ2" s="353"/>
      <c r="AR2" s="353"/>
      <c r="AS2" s="353"/>
      <c r="AT2" s="353"/>
      <c r="AU2" s="353"/>
      <c r="AV2" s="353"/>
      <c r="AW2" s="353"/>
      <c r="AX2" s="353"/>
      <c r="AY2" s="353"/>
      <c r="AZ2" s="353"/>
      <c r="BA2" s="353"/>
      <c r="BB2" s="353"/>
      <c r="BC2" s="353"/>
      <c r="BD2" s="353"/>
      <c r="BE2" s="353"/>
      <c r="BF2" s="353"/>
      <c r="BG2" s="353"/>
      <c r="BH2" s="353"/>
      <c r="BI2" s="353"/>
      <c r="BJ2" s="353"/>
      <c r="BK2" s="353"/>
      <c r="BL2" s="353"/>
      <c r="BM2" s="353"/>
      <c r="BN2" s="353"/>
      <c r="BO2" s="353"/>
      <c r="BP2" s="353"/>
      <c r="BQ2" s="353"/>
      <c r="BR2" s="353"/>
      <c r="BS2" s="353"/>
      <c r="BT2" s="353"/>
      <c r="BU2" s="353"/>
      <c r="BV2" s="353"/>
      <c r="BW2" s="353"/>
      <c r="BX2" s="353"/>
      <c r="BY2" s="353"/>
      <c r="BZ2" s="353"/>
      <c r="CA2" s="353"/>
      <c r="CB2" s="353"/>
      <c r="CC2" s="353"/>
      <c r="CD2" s="353"/>
      <c r="CE2" s="353"/>
      <c r="CF2" s="353"/>
      <c r="CG2" s="353"/>
      <c r="CH2" s="353"/>
      <c r="CI2" s="353"/>
      <c r="CJ2" s="353"/>
      <c r="CK2" s="353"/>
      <c r="CL2" s="353"/>
      <c r="CM2" s="353"/>
      <c r="CN2" s="353"/>
      <c r="CO2" s="353"/>
      <c r="CP2" s="353"/>
      <c r="CQ2" s="353"/>
      <c r="CR2" s="353"/>
      <c r="CS2" s="353"/>
      <c r="CT2" s="353"/>
      <c r="CU2" s="353"/>
      <c r="CV2" s="353"/>
      <c r="CW2" s="353"/>
      <c r="CX2" s="353"/>
      <c r="CY2" s="353"/>
      <c r="CZ2" s="353"/>
      <c r="DA2" s="353"/>
      <c r="DB2" s="353"/>
      <c r="DC2" s="353"/>
      <c r="DD2" s="353"/>
      <c r="DE2" s="353"/>
      <c r="DF2" s="353"/>
      <c r="DG2" s="353"/>
      <c r="DH2" s="353"/>
      <c r="DI2" s="353"/>
      <c r="DJ2" s="353"/>
      <c r="DK2" s="353"/>
      <c r="DL2" s="353"/>
      <c r="DM2" s="353"/>
      <c r="DN2" s="353"/>
      <c r="DO2" s="353"/>
      <c r="DP2" s="353"/>
      <c r="DQ2" s="353"/>
      <c r="DR2" s="353"/>
      <c r="DS2" s="353"/>
      <c r="DT2" s="353"/>
      <c r="DU2" s="353"/>
      <c r="DV2" s="353"/>
      <c r="DW2" s="353"/>
      <c r="DX2" s="353"/>
      <c r="DY2" s="353"/>
      <c r="DZ2" s="353"/>
      <c r="EA2" s="353"/>
      <c r="EB2" s="353"/>
      <c r="EC2" s="353"/>
      <c r="ED2" s="353"/>
      <c r="EE2" s="353"/>
      <c r="EF2" s="353"/>
      <c r="EG2" s="353"/>
      <c r="EH2" s="353"/>
      <c r="EI2" s="353"/>
      <c r="EJ2" s="353"/>
      <c r="EK2" s="353"/>
      <c r="EL2" s="353"/>
      <c r="EM2" s="353"/>
      <c r="EN2" s="353"/>
      <c r="EO2" s="353"/>
      <c r="EP2" s="353"/>
      <c r="EQ2" s="353"/>
      <c r="ER2" s="353"/>
      <c r="ES2" s="353"/>
      <c r="ET2" s="353"/>
      <c r="EU2" s="353"/>
      <c r="EV2" s="353"/>
      <c r="EW2" s="353"/>
      <c r="EX2" s="353"/>
      <c r="EY2" s="353"/>
      <c r="EZ2" s="353"/>
      <c r="FA2" s="353"/>
      <c r="FB2" s="353"/>
      <c r="FC2" s="353"/>
      <c r="FD2" s="353"/>
      <c r="FE2" s="353"/>
      <c r="FF2" s="353"/>
      <c r="FG2" s="353"/>
      <c r="FH2" s="353"/>
      <c r="FI2" s="353"/>
      <c r="FJ2" s="353"/>
      <c r="FK2" s="353"/>
      <c r="FL2" s="353"/>
      <c r="FM2" s="353"/>
      <c r="FN2" s="353"/>
      <c r="FO2" s="353"/>
      <c r="FP2" s="353"/>
      <c r="FQ2" s="353"/>
      <c r="FR2" s="353"/>
      <c r="FS2" s="353"/>
      <c r="FT2" s="353"/>
      <c r="FU2" s="353"/>
      <c r="FV2" s="353"/>
      <c r="FW2" s="353"/>
      <c r="FX2" s="353"/>
      <c r="FY2" s="353"/>
      <c r="FZ2" s="353"/>
      <c r="GA2" s="353"/>
      <c r="GB2" s="353"/>
      <c r="GC2" s="353"/>
      <c r="GD2" s="353"/>
      <c r="GE2" s="353"/>
      <c r="GF2" s="353"/>
      <c r="GG2" s="353"/>
      <c r="GH2" s="353"/>
      <c r="GI2" s="353"/>
      <c r="GJ2" s="353"/>
      <c r="GK2" s="353"/>
      <c r="GL2" s="353"/>
      <c r="GM2" s="353"/>
      <c r="GN2" s="353"/>
      <c r="GO2" s="353"/>
      <c r="GP2" s="353"/>
      <c r="GQ2" s="353"/>
      <c r="GR2" s="353"/>
      <c r="GS2" s="353"/>
      <c r="GT2" s="353"/>
      <c r="GU2" s="353"/>
      <c r="GV2" s="353"/>
      <c r="GW2" s="353"/>
      <c r="GX2" s="353"/>
      <c r="GY2" s="353"/>
      <c r="GZ2" s="353"/>
      <c r="HA2" s="353"/>
      <c r="HB2" s="353"/>
      <c r="HC2" s="353"/>
      <c r="HD2" s="353"/>
      <c r="HE2" s="353"/>
      <c r="HF2" s="353"/>
      <c r="HG2" s="353"/>
      <c r="HH2" s="353"/>
      <c r="HI2" s="353"/>
      <c r="HJ2" s="353"/>
      <c r="HK2" s="353"/>
      <c r="HL2" s="353"/>
      <c r="HM2" s="353"/>
      <c r="HN2" s="353"/>
      <c r="HO2" s="353"/>
      <c r="HP2" s="353"/>
      <c r="HQ2" s="353"/>
      <c r="HR2" s="353"/>
      <c r="HS2" s="353"/>
      <c r="HT2" s="353"/>
      <c r="HU2" s="353"/>
      <c r="HV2" s="353"/>
      <c r="HW2" s="353"/>
      <c r="HX2" s="353"/>
      <c r="HY2" s="353"/>
      <c r="HZ2" s="353"/>
      <c r="IA2" s="353"/>
      <c r="IB2" s="353"/>
      <c r="IC2" s="353"/>
      <c r="ID2" s="353"/>
      <c r="IE2" s="353"/>
      <c r="IF2" s="353"/>
      <c r="IG2" s="353"/>
      <c r="IH2" s="353"/>
      <c r="II2" s="353"/>
      <c r="IJ2" s="353"/>
      <c r="IK2" s="353"/>
      <c r="IL2" s="353"/>
      <c r="IM2" s="353"/>
      <c r="IN2" s="353"/>
      <c r="IO2" s="353"/>
      <c r="IP2" s="353"/>
      <c r="IQ2" s="353"/>
      <c r="IR2" s="353"/>
      <c r="IS2" s="353"/>
      <c r="IT2" s="353"/>
      <c r="IU2" s="353"/>
      <c r="IV2" s="353"/>
      <c r="IW2" s="353"/>
      <c r="IX2" s="353"/>
      <c r="IY2" s="353"/>
      <c r="IZ2" s="353"/>
      <c r="JA2" s="353"/>
      <c r="JB2" s="353"/>
      <c r="JC2" s="353"/>
      <c r="JD2" s="353"/>
      <c r="JE2" s="353"/>
      <c r="JF2" s="353"/>
      <c r="JG2" s="353"/>
      <c r="JH2" s="353"/>
      <c r="JI2" s="353"/>
      <c r="JJ2" s="353"/>
      <c r="JK2" s="353"/>
      <c r="JL2" s="353"/>
      <c r="JM2" s="353"/>
      <c r="JN2" s="353"/>
      <c r="JO2" s="353"/>
      <c r="JP2" s="353"/>
      <c r="JQ2" s="353"/>
      <c r="JR2" s="353"/>
      <c r="JS2" s="353"/>
      <c r="JT2" s="353"/>
      <c r="JU2" s="353"/>
      <c r="JV2" s="353"/>
      <c r="JW2" s="353"/>
      <c r="JX2" s="353"/>
      <c r="JY2" s="353"/>
      <c r="JZ2" s="353"/>
      <c r="KA2" s="353"/>
      <c r="KB2" s="353"/>
      <c r="KC2" s="353"/>
      <c r="KD2" s="353"/>
      <c r="KE2" s="353"/>
      <c r="KF2" s="353"/>
      <c r="KG2" s="353"/>
      <c r="KH2" s="353"/>
      <c r="KI2" s="353"/>
      <c r="KJ2" s="353"/>
      <c r="KK2" s="353"/>
      <c r="KL2" s="353"/>
      <c r="KM2" s="353"/>
      <c r="KN2" s="353"/>
      <c r="KO2" s="353"/>
      <c r="KP2" s="353"/>
      <c r="KQ2" s="353"/>
      <c r="KR2" s="353"/>
      <c r="KS2" s="353"/>
      <c r="KT2" s="353"/>
      <c r="KU2" s="353"/>
      <c r="KV2" s="353"/>
      <c r="KW2" s="353"/>
      <c r="KX2" s="353"/>
      <c r="KY2" s="353"/>
      <c r="KZ2" s="353"/>
      <c r="LA2" s="353"/>
      <c r="LB2" s="353"/>
      <c r="LC2" s="353"/>
      <c r="LD2" s="353"/>
      <c r="LE2" s="353"/>
      <c r="LF2" s="353"/>
      <c r="LG2" s="353"/>
      <c r="LH2" s="353"/>
      <c r="LI2" s="353"/>
      <c r="LJ2" s="353"/>
      <c r="LK2" s="353"/>
      <c r="LL2" s="353"/>
      <c r="LM2" s="353"/>
      <c r="LN2" s="353"/>
      <c r="LO2" s="353"/>
      <c r="LP2" s="353"/>
      <c r="LQ2" s="353"/>
      <c r="LR2" s="353"/>
      <c r="LS2" s="353"/>
      <c r="LT2" s="353"/>
      <c r="LU2" s="353"/>
      <c r="LV2" s="353"/>
      <c r="LW2" s="353"/>
      <c r="LX2" s="353"/>
      <c r="LY2" s="353"/>
      <c r="LZ2" s="353"/>
      <c r="MA2" s="353"/>
      <c r="MB2" s="353"/>
      <c r="MC2" s="353"/>
      <c r="MD2" s="353"/>
      <c r="ME2" s="353"/>
      <c r="MF2" s="353"/>
      <c r="MG2" s="353"/>
      <c r="MH2" s="353"/>
      <c r="MI2" s="353"/>
      <c r="MJ2" s="353"/>
      <c r="MK2" s="353"/>
      <c r="ML2" s="353"/>
      <c r="MM2" s="353"/>
      <c r="MN2" s="353"/>
      <c r="MO2" s="353"/>
      <c r="MP2" s="353"/>
      <c r="MQ2" s="353"/>
      <c r="MR2" s="353"/>
      <c r="MS2" s="353"/>
      <c r="MT2" s="353"/>
      <c r="MU2" s="353"/>
      <c r="MV2" s="353"/>
      <c r="MW2" s="353"/>
      <c r="MX2" s="353"/>
      <c r="MY2" s="353"/>
      <c r="MZ2" s="353"/>
      <c r="NA2" s="353"/>
      <c r="NB2" s="353"/>
      <c r="NC2" s="353"/>
      <c r="ND2" s="353"/>
      <c r="NE2" s="353"/>
      <c r="NF2" s="353"/>
      <c r="NG2" s="353"/>
      <c r="NH2" s="353"/>
      <c r="NI2" s="353"/>
      <c r="NJ2" s="353"/>
      <c r="NK2" s="353"/>
      <c r="NL2" s="353"/>
      <c r="NM2" s="353"/>
      <c r="NN2" s="353"/>
      <c r="NO2" s="353"/>
      <c r="NP2" s="353"/>
      <c r="NQ2" s="353"/>
      <c r="NR2" s="353"/>
      <c r="NS2" s="353"/>
      <c r="NT2" s="353"/>
      <c r="NU2" s="353"/>
      <c r="NV2" s="353"/>
      <c r="NW2" s="353"/>
      <c r="NX2" s="353"/>
      <c r="NY2" s="353"/>
      <c r="NZ2" s="353"/>
      <c r="OA2" s="353"/>
      <c r="OB2" s="353"/>
      <c r="OC2" s="353"/>
      <c r="OD2" s="353"/>
      <c r="OE2" s="353"/>
      <c r="OF2" s="353"/>
      <c r="OG2" s="353"/>
      <c r="OH2" s="353"/>
      <c r="OI2" s="353"/>
      <c r="OJ2" s="353"/>
      <c r="OK2" s="353"/>
      <c r="OL2" s="353"/>
      <c r="OM2" s="353"/>
      <c r="ON2" s="353"/>
      <c r="OO2" s="353"/>
      <c r="OP2" s="353"/>
      <c r="OQ2" s="353"/>
      <c r="OR2" s="353"/>
      <c r="OS2" s="353"/>
      <c r="OT2" s="353"/>
      <c r="OU2" s="353"/>
      <c r="OV2" s="353"/>
      <c r="OW2" s="353"/>
      <c r="OX2" s="353"/>
      <c r="OY2" s="353"/>
      <c r="OZ2" s="353"/>
      <c r="PA2" s="353"/>
      <c r="PB2" s="353"/>
      <c r="PC2" s="353"/>
      <c r="PD2" s="353"/>
      <c r="PE2" s="353"/>
      <c r="PF2" s="353"/>
      <c r="PG2" s="353"/>
      <c r="PH2" s="353"/>
      <c r="PI2" s="353"/>
      <c r="PJ2" s="353"/>
      <c r="PK2" s="353"/>
      <c r="PL2" s="353"/>
      <c r="PM2" s="353"/>
      <c r="PN2" s="353"/>
      <c r="PO2" s="353"/>
      <c r="PP2" s="353"/>
      <c r="PQ2" s="353"/>
      <c r="PR2" s="353"/>
      <c r="PS2" s="353"/>
      <c r="PT2" s="353"/>
      <c r="PU2" s="353"/>
      <c r="PV2" s="353"/>
      <c r="PW2" s="353"/>
      <c r="PX2" s="353"/>
      <c r="PY2" s="353"/>
      <c r="PZ2" s="353"/>
      <c r="QA2" s="353"/>
      <c r="QB2" s="353"/>
      <c r="QC2" s="353"/>
      <c r="QD2" s="353"/>
      <c r="QE2" s="353"/>
      <c r="QF2" s="353"/>
      <c r="QG2" s="353"/>
      <c r="QH2" s="353"/>
      <c r="QI2" s="353"/>
      <c r="QJ2" s="353"/>
      <c r="QK2" s="353"/>
      <c r="QL2" s="353"/>
      <c r="QM2" s="353"/>
      <c r="QN2" s="353"/>
      <c r="QO2" s="353"/>
      <c r="QP2" s="353"/>
      <c r="QQ2" s="353"/>
      <c r="QR2" s="353"/>
      <c r="QS2" s="353"/>
      <c r="QT2" s="353"/>
      <c r="QU2" s="353"/>
      <c r="QV2" s="353"/>
      <c r="QW2" s="353"/>
      <c r="QX2" s="353"/>
      <c r="QY2" s="353"/>
      <c r="QZ2" s="353"/>
      <c r="RA2" s="353"/>
      <c r="RB2" s="353"/>
      <c r="RC2" s="353"/>
      <c r="RD2" s="353"/>
      <c r="RE2" s="353"/>
      <c r="RF2" s="353"/>
      <c r="RG2" s="353"/>
      <c r="RH2" s="353"/>
      <c r="RI2" s="353"/>
      <c r="RJ2" s="353"/>
      <c r="RK2" s="353"/>
      <c r="RL2" s="353"/>
      <c r="RM2" s="353"/>
      <c r="RN2" s="353"/>
      <c r="RO2" s="353"/>
      <c r="RP2" s="353"/>
      <c r="RQ2" s="353"/>
      <c r="RR2" s="353"/>
      <c r="RS2" s="353"/>
      <c r="RT2" s="353"/>
      <c r="RU2" s="353"/>
      <c r="RV2" s="353"/>
      <c r="RW2" s="353"/>
      <c r="RX2" s="353"/>
      <c r="RY2" s="353"/>
      <c r="RZ2" s="353"/>
      <c r="SA2" s="353"/>
      <c r="SB2" s="353"/>
      <c r="SC2" s="353"/>
      <c r="SD2" s="353"/>
      <c r="SE2" s="353"/>
      <c r="SF2" s="353"/>
      <c r="SG2" s="353"/>
      <c r="SH2" s="353"/>
      <c r="SI2" s="353"/>
      <c r="SJ2" s="353"/>
      <c r="SK2" s="353"/>
      <c r="SL2" s="353"/>
      <c r="SM2" s="353"/>
      <c r="SN2" s="353"/>
      <c r="SO2" s="353"/>
      <c r="SP2" s="353"/>
      <c r="SQ2" s="353"/>
      <c r="SR2" s="353"/>
      <c r="SS2" s="353"/>
      <c r="ST2" s="353"/>
      <c r="SU2" s="353"/>
      <c r="SV2" s="353"/>
      <c r="SW2" s="353"/>
      <c r="SX2" s="353"/>
      <c r="SY2" s="353"/>
      <c r="SZ2" s="353"/>
      <c r="TA2" s="353"/>
      <c r="TB2" s="353"/>
      <c r="TC2" s="353"/>
      <c r="TD2" s="353"/>
      <c r="TE2" s="353"/>
      <c r="TF2" s="353"/>
      <c r="TG2" s="353"/>
      <c r="TH2" s="353"/>
      <c r="TI2" s="353"/>
      <c r="TJ2" s="353"/>
      <c r="TK2" s="353"/>
      <c r="TL2" s="353"/>
      <c r="TM2" s="353"/>
      <c r="TN2" s="353"/>
      <c r="TO2" s="353"/>
      <c r="TP2" s="353"/>
      <c r="TQ2" s="353"/>
      <c r="TR2" s="353"/>
      <c r="TS2" s="353"/>
      <c r="TT2" s="353"/>
      <c r="TU2" s="353"/>
      <c r="TV2" s="353"/>
      <c r="TW2" s="353"/>
      <c r="TX2" s="353"/>
      <c r="TY2" s="353"/>
      <c r="TZ2" s="353"/>
      <c r="UA2" s="353"/>
      <c r="UB2" s="353"/>
      <c r="UC2" s="353"/>
      <c r="UD2" s="353"/>
      <c r="UE2" s="353"/>
      <c r="UF2" s="353"/>
      <c r="UG2" s="353"/>
      <c r="UH2" s="353"/>
      <c r="UI2" s="353"/>
      <c r="UJ2" s="353"/>
      <c r="UK2" s="353"/>
      <c r="UL2" s="353"/>
      <c r="UM2" s="353"/>
      <c r="UN2" s="353"/>
      <c r="UO2" s="353"/>
      <c r="UP2" s="353"/>
      <c r="UQ2" s="353"/>
      <c r="UR2" s="353"/>
      <c r="US2" s="353"/>
      <c r="UT2" s="353"/>
      <c r="UU2" s="353"/>
      <c r="UV2" s="353"/>
      <c r="UW2" s="353"/>
      <c r="UX2" s="353"/>
      <c r="UY2" s="353"/>
      <c r="UZ2" s="353"/>
      <c r="VA2" s="353"/>
      <c r="VB2" s="353"/>
      <c r="VC2" s="353"/>
      <c r="VD2" s="353"/>
      <c r="VE2" s="353"/>
      <c r="VF2" s="353"/>
      <c r="VG2" s="353"/>
      <c r="VH2" s="353"/>
      <c r="VI2" s="353"/>
      <c r="VJ2" s="353"/>
      <c r="VK2" s="353"/>
      <c r="VL2" s="353"/>
      <c r="VM2" s="353"/>
      <c r="VN2" s="353"/>
      <c r="VO2" s="353"/>
      <c r="VP2" s="353"/>
      <c r="VQ2" s="353"/>
      <c r="VR2" s="353"/>
      <c r="VS2" s="353"/>
      <c r="VT2" s="353"/>
      <c r="VU2" s="353"/>
      <c r="VV2" s="353"/>
      <c r="VW2" s="353"/>
      <c r="VX2" s="353"/>
      <c r="VY2" s="353"/>
      <c r="VZ2" s="353"/>
      <c r="WA2" s="353"/>
      <c r="WB2" s="353"/>
      <c r="WC2" s="353"/>
      <c r="WD2" s="353"/>
      <c r="WE2" s="353"/>
      <c r="WF2" s="353"/>
      <c r="WG2" s="353"/>
      <c r="WH2" s="353"/>
      <c r="WI2" s="353"/>
      <c r="WJ2" s="353"/>
      <c r="WK2" s="353"/>
      <c r="WL2" s="353"/>
      <c r="WM2" s="353"/>
      <c r="WN2" s="353"/>
      <c r="WO2" s="353"/>
      <c r="WP2" s="353"/>
      <c r="WQ2" s="353"/>
      <c r="WR2" s="353"/>
      <c r="WS2" s="353"/>
      <c r="WT2" s="353"/>
      <c r="WU2" s="353"/>
      <c r="WV2" s="353"/>
      <c r="WW2" s="353"/>
      <c r="WX2" s="353"/>
      <c r="WY2" s="353"/>
      <c r="WZ2" s="353"/>
      <c r="XA2" s="353"/>
      <c r="XB2" s="353"/>
      <c r="XC2" s="353"/>
      <c r="XD2" s="353"/>
      <c r="XE2" s="353"/>
      <c r="XF2" s="353"/>
      <c r="XG2" s="353"/>
      <c r="XH2" s="353"/>
      <c r="XI2" s="353"/>
      <c r="XJ2" s="353"/>
      <c r="XK2" s="353"/>
      <c r="XL2" s="353"/>
      <c r="XM2" s="353"/>
      <c r="XN2" s="353"/>
      <c r="XO2" s="353"/>
      <c r="XP2" s="353"/>
      <c r="XQ2" s="353"/>
      <c r="XR2" s="353"/>
      <c r="XS2" s="353"/>
      <c r="XT2" s="353"/>
      <c r="XU2" s="353"/>
      <c r="XV2" s="353"/>
      <c r="XW2" s="353"/>
      <c r="XX2" s="353"/>
      <c r="XY2" s="353"/>
      <c r="XZ2" s="353"/>
      <c r="YA2" s="353"/>
      <c r="YB2" s="353"/>
      <c r="YC2" s="353"/>
      <c r="YD2" s="353"/>
      <c r="YE2" s="353"/>
      <c r="YF2" s="353"/>
      <c r="YG2" s="353"/>
      <c r="YH2" s="353"/>
      <c r="YI2" s="353"/>
      <c r="YJ2" s="353"/>
      <c r="YK2" s="353"/>
      <c r="YL2" s="353"/>
      <c r="YM2" s="353"/>
      <c r="YN2" s="353"/>
      <c r="YO2" s="353"/>
      <c r="YP2" s="353"/>
      <c r="YQ2" s="353"/>
      <c r="YR2" s="353"/>
      <c r="YS2" s="353"/>
      <c r="YT2" s="353"/>
      <c r="YU2" s="353"/>
      <c r="YV2" s="353"/>
      <c r="YW2" s="353"/>
      <c r="YX2" s="353"/>
      <c r="YY2" s="353"/>
      <c r="YZ2" s="353"/>
      <c r="ZA2" s="353"/>
      <c r="ZB2" s="353"/>
      <c r="ZC2" s="353"/>
      <c r="ZD2" s="353"/>
      <c r="ZE2" s="353"/>
      <c r="ZF2" s="353"/>
      <c r="ZG2" s="353"/>
      <c r="ZH2" s="353"/>
      <c r="ZI2" s="353"/>
      <c r="ZJ2" s="353"/>
      <c r="ZK2" s="353"/>
      <c r="ZL2" s="353"/>
      <c r="ZM2" s="353"/>
      <c r="ZN2" s="353"/>
      <c r="ZO2" s="353"/>
      <c r="ZP2" s="353"/>
      <c r="ZQ2" s="353"/>
      <c r="ZR2" s="353"/>
      <c r="ZS2" s="353"/>
      <c r="ZT2" s="353"/>
      <c r="ZU2" s="353"/>
      <c r="ZV2" s="353"/>
      <c r="ZW2" s="353"/>
      <c r="ZX2" s="353"/>
      <c r="ZY2" s="353"/>
      <c r="ZZ2" s="353"/>
      <c r="AAA2" s="353"/>
      <c r="AAB2" s="353"/>
      <c r="AAC2" s="353"/>
      <c r="AAD2" s="353"/>
      <c r="AAE2" s="353"/>
      <c r="AAF2" s="353"/>
      <c r="AAG2" s="353"/>
      <c r="AAH2" s="353"/>
      <c r="AAI2" s="353"/>
      <c r="AAJ2" s="353"/>
      <c r="AAK2" s="353"/>
      <c r="AAL2" s="353"/>
      <c r="AAM2" s="353"/>
      <c r="AAN2" s="353"/>
      <c r="AAO2" s="353"/>
      <c r="AAP2" s="353"/>
      <c r="AAQ2" s="353"/>
      <c r="AAR2" s="353"/>
      <c r="AAS2" s="353"/>
      <c r="AAT2" s="353"/>
      <c r="AAU2" s="353"/>
      <c r="AAV2" s="353"/>
      <c r="AAW2" s="353"/>
      <c r="AAX2" s="353"/>
      <c r="AAY2" s="353"/>
      <c r="AAZ2" s="353"/>
      <c r="ABA2" s="353"/>
      <c r="ABB2" s="353"/>
      <c r="ABC2" s="353"/>
      <c r="ABD2" s="353"/>
      <c r="ABE2" s="353"/>
      <c r="ABF2" s="353"/>
      <c r="ABG2" s="353"/>
      <c r="ABH2" s="353"/>
      <c r="ABI2" s="353"/>
      <c r="ABJ2" s="353"/>
      <c r="ABK2" s="353"/>
      <c r="ABL2" s="353"/>
      <c r="ABM2" s="353"/>
      <c r="ABN2" s="353"/>
      <c r="ABO2" s="353"/>
      <c r="ABP2" s="353"/>
      <c r="ABQ2" s="353"/>
      <c r="ABR2" s="353"/>
      <c r="ABS2" s="353"/>
      <c r="ABT2" s="353"/>
      <c r="ABU2" s="353"/>
      <c r="ABV2" s="353"/>
      <c r="ABW2" s="353"/>
      <c r="ABX2" s="353"/>
      <c r="ABY2" s="353"/>
      <c r="ABZ2" s="353"/>
      <c r="ACA2" s="353"/>
      <c r="ACB2" s="353"/>
      <c r="ACC2" s="353"/>
      <c r="ACD2" s="353"/>
      <c r="ACE2" s="353"/>
      <c r="ACF2" s="353"/>
      <c r="ACG2" s="353"/>
      <c r="ACH2" s="353"/>
      <c r="ACI2" s="353"/>
      <c r="ACJ2" s="353"/>
      <c r="ACK2" s="353"/>
      <c r="ACL2" s="353"/>
      <c r="ACM2" s="353"/>
      <c r="ACN2" s="353"/>
      <c r="ACO2" s="353"/>
      <c r="ACP2" s="353"/>
      <c r="ACQ2" s="353"/>
      <c r="ACR2" s="353"/>
      <c r="ACS2" s="353"/>
      <c r="ACT2" s="353"/>
      <c r="ACU2" s="353"/>
      <c r="ACV2" s="353"/>
      <c r="ACW2" s="353"/>
      <c r="ACX2" s="353"/>
      <c r="ACY2" s="353"/>
      <c r="ACZ2" s="353"/>
      <c r="ADA2" s="353"/>
      <c r="ADB2" s="353"/>
      <c r="ADC2" s="353"/>
      <c r="ADD2" s="353"/>
      <c r="ADE2" s="353"/>
      <c r="ADF2" s="353"/>
      <c r="ADG2" s="353"/>
      <c r="ADH2" s="353"/>
      <c r="ADI2" s="353"/>
      <c r="ADJ2" s="353"/>
      <c r="ADK2" s="353"/>
      <c r="ADL2" s="353"/>
      <c r="ADM2" s="353"/>
      <c r="ADN2" s="353"/>
      <c r="ADO2" s="353"/>
      <c r="ADP2" s="353"/>
      <c r="ADQ2" s="353"/>
      <c r="ADR2" s="353"/>
      <c r="ADS2" s="353"/>
      <c r="ADT2" s="353"/>
      <c r="ADU2" s="353"/>
      <c r="ADV2" s="353"/>
      <c r="ADW2" s="353"/>
      <c r="ADX2" s="353"/>
      <c r="ADY2" s="353"/>
      <c r="ADZ2" s="353"/>
      <c r="AEA2" s="353"/>
      <c r="AEB2" s="353"/>
      <c r="AEC2" s="353"/>
      <c r="AED2" s="353"/>
      <c r="AEE2" s="353"/>
      <c r="AEF2" s="353"/>
      <c r="AEG2" s="353"/>
      <c r="AEH2" s="353"/>
      <c r="AEI2" s="353"/>
      <c r="AEJ2" s="353"/>
      <c r="AEK2" s="353"/>
      <c r="AEL2" s="353"/>
      <c r="AEM2" s="353"/>
      <c r="AEN2" s="353"/>
      <c r="AEO2" s="353"/>
      <c r="AEP2" s="353"/>
      <c r="AEQ2" s="353"/>
      <c r="AER2" s="353"/>
      <c r="AES2" s="353"/>
      <c r="AET2" s="353"/>
      <c r="AEU2" s="353"/>
      <c r="AEV2" s="353"/>
      <c r="AEW2" s="353"/>
      <c r="AEX2" s="353"/>
      <c r="AEY2" s="353"/>
      <c r="AEZ2" s="353"/>
      <c r="AFA2" s="353"/>
      <c r="AFB2" s="353"/>
      <c r="AFC2" s="353"/>
      <c r="AFD2" s="353"/>
      <c r="AFE2" s="353"/>
      <c r="AFF2" s="353"/>
      <c r="AFG2" s="353"/>
      <c r="AFH2" s="353"/>
      <c r="AFI2" s="353"/>
      <c r="AFJ2" s="353"/>
      <c r="AFK2" s="353"/>
      <c r="AFL2" s="353"/>
      <c r="AFM2" s="353"/>
      <c r="AFN2" s="353"/>
      <c r="AFO2" s="353"/>
      <c r="AFP2" s="353"/>
      <c r="AFQ2" s="353"/>
      <c r="AFR2" s="353"/>
      <c r="AFS2" s="353"/>
      <c r="AFT2" s="353"/>
      <c r="AFU2" s="353"/>
      <c r="AFV2" s="353"/>
      <c r="AFW2" s="353"/>
      <c r="AFX2" s="353"/>
      <c r="AFY2" s="353"/>
      <c r="AFZ2" s="353"/>
      <c r="AGA2" s="353"/>
      <c r="AGB2" s="353"/>
      <c r="AGC2" s="353"/>
      <c r="AGD2" s="353"/>
      <c r="AGE2" s="353"/>
      <c r="AGF2" s="353"/>
      <c r="AGG2" s="353"/>
      <c r="AGH2" s="353"/>
      <c r="AGI2" s="353"/>
      <c r="AGJ2" s="353"/>
      <c r="AGK2" s="353"/>
      <c r="AGL2" s="353"/>
      <c r="AGM2" s="353"/>
      <c r="AGN2" s="353"/>
      <c r="AGO2" s="353"/>
      <c r="AGP2" s="353"/>
      <c r="AGQ2" s="353"/>
      <c r="AGR2" s="353"/>
      <c r="AGS2" s="353"/>
      <c r="AGT2" s="353"/>
      <c r="AGU2" s="353"/>
      <c r="AGV2" s="353"/>
      <c r="AGW2" s="353"/>
      <c r="AGX2" s="353"/>
      <c r="AGY2" s="353"/>
      <c r="AGZ2" s="353"/>
      <c r="AHA2" s="353"/>
      <c r="AHB2" s="353"/>
      <c r="AHC2" s="353"/>
      <c r="AHD2" s="353"/>
      <c r="AHE2" s="353"/>
      <c r="AHF2" s="353"/>
      <c r="AHG2" s="353"/>
      <c r="AHH2" s="353"/>
      <c r="AHI2" s="353"/>
      <c r="AHJ2" s="353"/>
      <c r="AHK2" s="353"/>
      <c r="AHL2" s="353"/>
      <c r="AHM2" s="353"/>
      <c r="AHN2" s="353"/>
      <c r="AHO2" s="353"/>
      <c r="AHP2" s="353"/>
      <c r="AHQ2" s="353"/>
      <c r="AHR2" s="353"/>
      <c r="AHS2" s="353"/>
      <c r="AHT2" s="353"/>
      <c r="AHU2" s="353"/>
      <c r="AHV2" s="353"/>
      <c r="AHW2" s="353"/>
      <c r="AHX2" s="353"/>
      <c r="AHY2" s="353"/>
      <c r="AHZ2" s="353"/>
      <c r="AIA2" s="353"/>
      <c r="AIB2" s="353"/>
      <c r="AIC2" s="353"/>
      <c r="AID2" s="353"/>
      <c r="AIE2" s="353"/>
      <c r="AIF2" s="353"/>
      <c r="AIG2" s="353"/>
      <c r="AIH2" s="353"/>
      <c r="AII2" s="353"/>
      <c r="AIJ2" s="353"/>
      <c r="AIK2" s="353"/>
      <c r="AIL2" s="353"/>
      <c r="AIM2" s="353"/>
      <c r="AIN2" s="353"/>
      <c r="AIO2" s="353"/>
      <c r="AIP2" s="353"/>
      <c r="AIQ2" s="353"/>
      <c r="AIR2" s="353"/>
      <c r="AIS2" s="353"/>
      <c r="AIT2" s="353"/>
      <c r="AIU2" s="353"/>
      <c r="AIV2" s="353"/>
      <c r="AIW2" s="353"/>
      <c r="AIX2" s="353"/>
      <c r="AIY2" s="353"/>
      <c r="AIZ2" s="353"/>
      <c r="AJA2" s="353"/>
      <c r="AJB2" s="353"/>
      <c r="AJC2" s="353"/>
      <c r="AJD2" s="353"/>
      <c r="AJE2" s="353"/>
      <c r="AJF2" s="353"/>
      <c r="AJG2" s="353"/>
      <c r="AJH2" s="353"/>
      <c r="AJI2" s="353"/>
      <c r="AJJ2" s="353"/>
      <c r="AJK2" s="353"/>
      <c r="AJL2" s="353"/>
      <c r="AJM2" s="353"/>
      <c r="AJN2" s="353"/>
      <c r="AJO2" s="353"/>
      <c r="AJP2" s="353"/>
      <c r="AJQ2" s="353"/>
      <c r="AJR2" s="353"/>
      <c r="AJS2" s="353"/>
      <c r="AJT2" s="353"/>
      <c r="AJU2" s="353"/>
      <c r="AJV2" s="353"/>
      <c r="AJW2" s="353"/>
      <c r="AJX2" s="353"/>
      <c r="AJY2" s="353"/>
      <c r="AJZ2" s="353"/>
      <c r="AKA2" s="353"/>
      <c r="AKB2" s="353"/>
      <c r="AKC2" s="353"/>
      <c r="AKD2" s="353"/>
      <c r="AKE2" s="353"/>
      <c r="AKF2" s="353"/>
      <c r="AKG2" s="353"/>
      <c r="AKH2" s="353"/>
      <c r="AKI2" s="353"/>
      <c r="AKJ2" s="353"/>
      <c r="AKK2" s="353"/>
      <c r="AKL2" s="353"/>
      <c r="AKM2" s="353"/>
      <c r="AKN2" s="353"/>
      <c r="AKO2" s="353"/>
      <c r="AKP2" s="353"/>
      <c r="AKQ2" s="353"/>
      <c r="AKR2" s="353"/>
      <c r="AKS2" s="353"/>
      <c r="AKT2" s="353"/>
      <c r="AKU2" s="353"/>
      <c r="AKV2" s="353"/>
      <c r="AKW2" s="353"/>
      <c r="AKX2" s="353"/>
      <c r="AKY2" s="353"/>
      <c r="AKZ2" s="353"/>
      <c r="ALA2" s="353"/>
      <c r="ALB2" s="353"/>
      <c r="ALC2" s="353"/>
      <c r="ALD2" s="353"/>
      <c r="ALE2" s="353"/>
      <c r="ALF2" s="353"/>
      <c r="ALG2" s="353"/>
      <c r="ALH2" s="353"/>
      <c r="ALI2" s="353"/>
      <c r="ALJ2" s="353"/>
      <c r="ALK2" s="353"/>
      <c r="ALL2" s="353"/>
      <c r="ALM2" s="353"/>
      <c r="ALN2" s="353"/>
      <c r="ALO2" s="353"/>
      <c r="ALP2" s="353"/>
      <c r="ALQ2" s="353"/>
      <c r="ALR2" s="353"/>
      <c r="ALS2" s="353"/>
      <c r="ALT2" s="353"/>
      <c r="ALU2" s="353"/>
      <c r="ALV2" s="353"/>
      <c r="ALW2" s="353"/>
      <c r="ALX2" s="353"/>
      <c r="ALY2" s="353"/>
      <c r="ALZ2" s="353"/>
      <c r="AMA2" s="353"/>
      <c r="AMB2" s="353"/>
      <c r="AMC2" s="353"/>
      <c r="AMD2" s="353"/>
      <c r="AME2" s="353"/>
      <c r="AMF2" s="353"/>
      <c r="AMG2" s="353"/>
      <c r="AMH2" s="353"/>
      <c r="AMI2" s="353"/>
      <c r="AMJ2" s="353"/>
      <c r="AMK2" s="353"/>
      <c r="AML2" s="353"/>
      <c r="AMM2" s="353"/>
      <c r="AMN2" s="353"/>
      <c r="AMO2" s="353"/>
      <c r="AMP2" s="353"/>
      <c r="AMQ2" s="353"/>
      <c r="AMR2" s="353"/>
      <c r="AMS2" s="353"/>
      <c r="AMT2" s="353"/>
      <c r="AMU2" s="353"/>
      <c r="AMV2" s="353"/>
      <c r="AMW2" s="353"/>
      <c r="AMX2" s="353"/>
      <c r="AMY2" s="353"/>
      <c r="AMZ2" s="353"/>
      <c r="ANA2" s="353"/>
      <c r="ANB2" s="353"/>
      <c r="ANC2" s="353"/>
      <c r="AND2" s="353"/>
      <c r="ANE2" s="353"/>
      <c r="ANF2" s="353"/>
      <c r="ANG2" s="353"/>
      <c r="ANH2" s="353"/>
      <c r="ANI2" s="353"/>
      <c r="ANJ2" s="353"/>
      <c r="ANK2" s="353"/>
      <c r="ANL2" s="353"/>
      <c r="ANM2" s="353"/>
      <c r="ANN2" s="353"/>
      <c r="ANO2" s="353"/>
      <c r="ANP2" s="353"/>
      <c r="ANQ2" s="353"/>
      <c r="ANR2" s="353"/>
      <c r="ANS2" s="353"/>
      <c r="ANT2" s="353"/>
      <c r="ANU2" s="353"/>
      <c r="ANV2" s="353"/>
      <c r="ANW2" s="353"/>
      <c r="ANX2" s="353"/>
      <c r="ANY2" s="353"/>
      <c r="ANZ2" s="353"/>
      <c r="AOA2" s="353"/>
      <c r="AOB2" s="353"/>
      <c r="AOC2" s="353"/>
      <c r="AOD2" s="353"/>
      <c r="AOE2" s="353"/>
      <c r="AOF2" s="353"/>
      <c r="AOG2" s="353"/>
      <c r="AOH2" s="353"/>
      <c r="AOI2" s="353"/>
      <c r="AOJ2" s="353"/>
      <c r="AOK2" s="353"/>
      <c r="AOL2" s="353"/>
      <c r="AOM2" s="353"/>
      <c r="AON2" s="353"/>
      <c r="AOO2" s="353"/>
      <c r="AOP2" s="353"/>
      <c r="AOQ2" s="353"/>
      <c r="AOR2" s="353"/>
      <c r="AOS2" s="353"/>
      <c r="AOT2" s="353"/>
      <c r="AOU2" s="353"/>
      <c r="AOV2" s="353"/>
      <c r="AOW2" s="353"/>
      <c r="AOX2" s="353"/>
      <c r="AOY2" s="353"/>
      <c r="AOZ2" s="353"/>
      <c r="APA2" s="353"/>
      <c r="APB2" s="353"/>
      <c r="APC2" s="353"/>
      <c r="APD2" s="353"/>
      <c r="APE2" s="353"/>
      <c r="APF2" s="353"/>
      <c r="APG2" s="353"/>
      <c r="APH2" s="353"/>
      <c r="API2" s="353"/>
      <c r="APJ2" s="353"/>
      <c r="APK2" s="353"/>
      <c r="APL2" s="353"/>
      <c r="APM2" s="353"/>
      <c r="APN2" s="353"/>
      <c r="APO2" s="353"/>
      <c r="APP2" s="353"/>
      <c r="APQ2" s="353"/>
      <c r="APR2" s="353"/>
      <c r="APS2" s="353"/>
      <c r="APT2" s="353"/>
      <c r="APU2" s="353"/>
      <c r="APV2" s="353"/>
      <c r="APW2" s="353"/>
      <c r="APX2" s="353"/>
      <c r="APY2" s="353"/>
      <c r="APZ2" s="353"/>
      <c r="AQA2" s="353"/>
      <c r="AQB2" s="353"/>
      <c r="AQC2" s="353"/>
      <c r="AQD2" s="353"/>
      <c r="AQE2" s="353"/>
      <c r="AQF2" s="353"/>
      <c r="AQG2" s="353"/>
      <c r="AQH2" s="353"/>
      <c r="AQI2" s="353"/>
      <c r="AQJ2" s="353"/>
      <c r="AQK2" s="353"/>
      <c r="AQL2" s="353"/>
      <c r="AQM2" s="353"/>
      <c r="AQN2" s="353"/>
      <c r="AQO2" s="353"/>
      <c r="AQP2" s="353"/>
      <c r="AQQ2" s="353"/>
      <c r="AQR2" s="353"/>
      <c r="AQS2" s="353"/>
      <c r="AQT2" s="353"/>
      <c r="AQU2" s="353"/>
      <c r="AQV2" s="353"/>
      <c r="AQW2" s="353"/>
      <c r="AQX2" s="353"/>
      <c r="AQY2" s="353"/>
      <c r="AQZ2" s="353"/>
      <c r="ARA2" s="353"/>
      <c r="ARB2" s="353"/>
      <c r="ARC2" s="353"/>
      <c r="ARD2" s="353"/>
      <c r="ARE2" s="353"/>
      <c r="ARF2" s="353"/>
      <c r="ARG2" s="353"/>
      <c r="ARH2" s="353"/>
      <c r="ARI2" s="353"/>
      <c r="ARJ2" s="353"/>
      <c r="ARK2" s="353"/>
      <c r="ARL2" s="353"/>
      <c r="ARM2" s="353"/>
      <c r="ARN2" s="353"/>
      <c r="ARO2" s="353"/>
      <c r="ARP2" s="353"/>
      <c r="ARQ2" s="353"/>
      <c r="ARR2" s="353"/>
      <c r="ARS2" s="353"/>
      <c r="ART2" s="353"/>
      <c r="ARU2" s="353"/>
      <c r="ARV2" s="353"/>
      <c r="ARW2" s="353"/>
      <c r="ARX2" s="353"/>
      <c r="ARY2" s="353"/>
      <c r="ARZ2" s="353"/>
      <c r="ASA2" s="353"/>
      <c r="ASB2" s="353"/>
      <c r="ASC2" s="353"/>
      <c r="ASD2" s="353"/>
      <c r="ASE2" s="353"/>
      <c r="ASF2" s="353"/>
      <c r="ASG2" s="353"/>
      <c r="ASH2" s="353"/>
      <c r="ASI2" s="353"/>
      <c r="ASJ2" s="353"/>
      <c r="ASK2" s="353"/>
      <c r="ASL2" s="353"/>
      <c r="ASM2" s="353"/>
      <c r="ASN2" s="353"/>
      <c r="ASO2" s="353"/>
      <c r="ASP2" s="353"/>
      <c r="ASQ2" s="353"/>
      <c r="ASR2" s="353"/>
      <c r="ASS2" s="353"/>
      <c r="AST2" s="353"/>
      <c r="ASU2" s="353"/>
      <c r="ASV2" s="353"/>
      <c r="ASW2" s="353"/>
      <c r="ASX2" s="353"/>
      <c r="ASY2" s="353"/>
      <c r="ASZ2" s="353"/>
      <c r="ATA2" s="353"/>
      <c r="ATB2" s="353"/>
      <c r="ATC2" s="353"/>
      <c r="ATD2" s="353"/>
      <c r="ATE2" s="353"/>
      <c r="ATF2" s="353"/>
      <c r="ATG2" s="353"/>
      <c r="ATH2" s="353"/>
      <c r="ATI2" s="353"/>
      <c r="ATJ2" s="353"/>
      <c r="ATK2" s="353"/>
      <c r="ATL2" s="353"/>
      <c r="ATM2" s="353"/>
      <c r="ATN2" s="353"/>
      <c r="ATO2" s="353"/>
      <c r="ATP2" s="353"/>
      <c r="ATQ2" s="353"/>
      <c r="ATR2" s="353"/>
      <c r="ATS2" s="353"/>
      <c r="ATT2" s="353"/>
      <c r="ATU2" s="353"/>
      <c r="ATV2" s="353"/>
      <c r="ATW2" s="353"/>
      <c r="ATX2" s="353"/>
      <c r="ATY2" s="353"/>
      <c r="ATZ2" s="353"/>
      <c r="AUA2" s="353"/>
      <c r="AUB2" s="353"/>
      <c r="AUC2" s="353"/>
      <c r="AUD2" s="353"/>
      <c r="AUE2" s="353"/>
      <c r="AUF2" s="353"/>
      <c r="AUG2" s="353"/>
      <c r="AUH2" s="353"/>
      <c r="AUI2" s="353"/>
      <c r="AUJ2" s="353"/>
      <c r="AUK2" s="353"/>
      <c r="AUL2" s="353"/>
      <c r="AUM2" s="353"/>
      <c r="AUN2" s="353"/>
      <c r="AUO2" s="353"/>
      <c r="AUP2" s="353"/>
      <c r="AUQ2" s="353"/>
      <c r="AUR2" s="353"/>
      <c r="AUS2" s="353"/>
      <c r="AUT2" s="353"/>
      <c r="AUU2" s="353"/>
      <c r="AUV2" s="353"/>
      <c r="AUW2" s="353"/>
      <c r="AUX2" s="353"/>
      <c r="AUY2" s="353"/>
      <c r="AUZ2" s="353"/>
      <c r="AVA2" s="353"/>
      <c r="AVB2" s="353"/>
      <c r="AVC2" s="353"/>
      <c r="AVD2" s="353"/>
      <c r="AVE2" s="353"/>
      <c r="AVF2" s="353"/>
      <c r="AVG2" s="353"/>
      <c r="AVH2" s="353"/>
      <c r="AVI2" s="353"/>
      <c r="AVJ2" s="353"/>
      <c r="AVK2" s="353"/>
      <c r="AVL2" s="353"/>
      <c r="AVM2" s="353"/>
      <c r="AVN2" s="353"/>
      <c r="AVO2" s="353"/>
      <c r="AVP2" s="353"/>
      <c r="AVQ2" s="353"/>
      <c r="AVR2" s="353"/>
      <c r="AVS2" s="353"/>
      <c r="AVT2" s="353"/>
      <c r="AVU2" s="353"/>
      <c r="AVV2" s="353"/>
      <c r="AVW2" s="353"/>
      <c r="AVX2" s="353"/>
      <c r="AVY2" s="353"/>
      <c r="AVZ2" s="353"/>
      <c r="AWA2" s="353"/>
      <c r="AWB2" s="353"/>
      <c r="AWC2" s="353"/>
      <c r="AWD2" s="353"/>
      <c r="AWE2" s="353"/>
      <c r="AWF2" s="353"/>
      <c r="AWG2" s="353"/>
      <c r="AWH2" s="353"/>
      <c r="AWI2" s="353"/>
      <c r="AWJ2" s="353"/>
      <c r="AWK2" s="353"/>
      <c r="AWL2" s="353"/>
      <c r="AWM2" s="353"/>
      <c r="AWN2" s="353"/>
      <c r="AWO2" s="353"/>
      <c r="AWP2" s="353"/>
      <c r="AWQ2" s="353"/>
      <c r="AWR2" s="353"/>
      <c r="AWS2" s="353"/>
      <c r="AWT2" s="353"/>
      <c r="AWU2" s="353"/>
      <c r="AWV2" s="353"/>
      <c r="AWW2" s="353"/>
      <c r="AWX2" s="353"/>
      <c r="AWY2" s="353"/>
      <c r="AWZ2" s="353"/>
      <c r="AXA2" s="353"/>
      <c r="AXB2" s="353"/>
      <c r="AXC2" s="353"/>
      <c r="AXD2" s="353"/>
      <c r="AXE2" s="353"/>
      <c r="AXF2" s="353"/>
      <c r="AXG2" s="353"/>
      <c r="AXH2" s="353"/>
      <c r="AXI2" s="353"/>
      <c r="AXJ2" s="353"/>
      <c r="AXK2" s="353"/>
      <c r="AXL2" s="353"/>
      <c r="AXM2" s="353"/>
      <c r="AXN2" s="353"/>
      <c r="AXO2" s="353"/>
      <c r="AXP2" s="353"/>
      <c r="AXQ2" s="353"/>
      <c r="AXR2" s="353"/>
      <c r="AXS2" s="353"/>
      <c r="AXT2" s="353"/>
      <c r="AXU2" s="353"/>
      <c r="AXV2" s="353"/>
      <c r="AXW2" s="353"/>
      <c r="AXX2" s="353"/>
      <c r="AXY2" s="353"/>
      <c r="AXZ2" s="353"/>
      <c r="AYA2" s="353"/>
      <c r="AYB2" s="353"/>
      <c r="AYC2" s="353"/>
      <c r="AYD2" s="353"/>
      <c r="AYE2" s="353"/>
      <c r="AYF2" s="353"/>
      <c r="AYG2" s="353"/>
      <c r="AYH2" s="353"/>
      <c r="AYI2" s="353"/>
      <c r="AYJ2" s="353"/>
      <c r="AYK2" s="353"/>
      <c r="AYL2" s="353"/>
      <c r="AYM2" s="353"/>
      <c r="AYN2" s="353"/>
      <c r="AYO2" s="353"/>
      <c r="AYP2" s="353"/>
      <c r="AYQ2" s="353"/>
      <c r="AYR2" s="353"/>
      <c r="AYS2" s="353"/>
      <c r="AYT2" s="353"/>
      <c r="AYU2" s="353"/>
      <c r="AYV2" s="353"/>
      <c r="AYW2" s="353"/>
      <c r="AYX2" s="353"/>
      <c r="AYY2" s="353"/>
      <c r="AYZ2" s="353"/>
      <c r="AZA2" s="353"/>
      <c r="AZB2" s="353"/>
      <c r="AZC2" s="353"/>
      <c r="AZD2" s="353"/>
      <c r="AZE2" s="353"/>
      <c r="AZF2" s="353"/>
      <c r="AZG2" s="353"/>
      <c r="AZH2" s="353"/>
      <c r="AZI2" s="353"/>
      <c r="AZJ2" s="353"/>
      <c r="AZK2" s="353"/>
      <c r="AZL2" s="353"/>
      <c r="AZM2" s="353"/>
      <c r="AZN2" s="353"/>
      <c r="AZO2" s="353"/>
      <c r="AZP2" s="353"/>
      <c r="AZQ2" s="353"/>
      <c r="AZR2" s="353"/>
      <c r="AZS2" s="353"/>
      <c r="AZT2" s="353"/>
      <c r="AZU2" s="353"/>
      <c r="AZV2" s="353"/>
      <c r="AZW2" s="353"/>
      <c r="AZX2" s="353"/>
      <c r="AZY2" s="353"/>
      <c r="AZZ2" s="353"/>
      <c r="BAA2" s="353"/>
      <c r="BAB2" s="353"/>
      <c r="BAC2" s="353"/>
      <c r="BAD2" s="353"/>
      <c r="BAE2" s="353"/>
      <c r="BAF2" s="353"/>
      <c r="BAG2" s="353"/>
      <c r="BAH2" s="353"/>
      <c r="BAI2" s="353"/>
      <c r="BAJ2" s="353"/>
      <c r="BAK2" s="353"/>
      <c r="BAL2" s="353"/>
      <c r="BAM2" s="353"/>
      <c r="BAN2" s="353"/>
      <c r="BAO2" s="353"/>
      <c r="BAP2" s="353"/>
      <c r="BAQ2" s="353"/>
      <c r="BAR2" s="353"/>
      <c r="BAS2" s="353"/>
      <c r="BAT2" s="353"/>
      <c r="BAU2" s="353"/>
      <c r="BAV2" s="353"/>
      <c r="BAW2" s="353"/>
      <c r="BAX2" s="353"/>
      <c r="BAY2" s="353"/>
      <c r="BAZ2" s="353"/>
      <c r="BBA2" s="353"/>
      <c r="BBB2" s="353"/>
      <c r="BBC2" s="353"/>
      <c r="BBD2" s="353"/>
      <c r="BBE2" s="353"/>
      <c r="BBF2" s="353"/>
      <c r="BBG2" s="353"/>
      <c r="BBH2" s="353"/>
      <c r="BBI2" s="353"/>
      <c r="BBJ2" s="353"/>
      <c r="BBK2" s="353"/>
      <c r="BBL2" s="353"/>
      <c r="BBM2" s="353"/>
      <c r="BBN2" s="353"/>
      <c r="BBO2" s="353"/>
      <c r="BBP2" s="353"/>
      <c r="BBQ2" s="353"/>
      <c r="BBR2" s="353"/>
      <c r="BBS2" s="353"/>
      <c r="BBT2" s="353"/>
      <c r="BBU2" s="353"/>
      <c r="BBV2" s="353"/>
      <c r="BBW2" s="353"/>
      <c r="BBX2" s="353"/>
      <c r="BBY2" s="353"/>
      <c r="BBZ2" s="353"/>
      <c r="BCA2" s="353"/>
      <c r="BCB2" s="353"/>
      <c r="BCC2" s="353"/>
      <c r="BCD2" s="353"/>
      <c r="BCE2" s="353"/>
      <c r="BCF2" s="353"/>
      <c r="BCG2" s="353"/>
      <c r="BCH2" s="353"/>
      <c r="BCI2" s="353"/>
      <c r="BCJ2" s="353"/>
      <c r="BCK2" s="353"/>
      <c r="BCL2" s="353"/>
      <c r="BCM2" s="353"/>
      <c r="BCN2" s="353"/>
      <c r="BCO2" s="353"/>
      <c r="BCP2" s="353"/>
      <c r="BCQ2" s="353"/>
      <c r="BCR2" s="353"/>
      <c r="BCS2" s="353"/>
      <c r="BCT2" s="353"/>
      <c r="BCU2" s="353"/>
      <c r="BCV2" s="353"/>
      <c r="BCW2" s="353"/>
      <c r="BCX2" s="353"/>
      <c r="BCY2" s="353"/>
      <c r="BCZ2" s="353"/>
      <c r="BDA2" s="353"/>
      <c r="BDB2" s="353"/>
      <c r="BDC2" s="353"/>
      <c r="BDD2" s="353"/>
      <c r="BDE2" s="353"/>
      <c r="BDF2" s="353"/>
      <c r="BDG2" s="353"/>
      <c r="BDH2" s="353"/>
      <c r="BDI2" s="353"/>
      <c r="BDJ2" s="353"/>
      <c r="BDK2" s="353"/>
      <c r="BDL2" s="353"/>
      <c r="BDM2" s="353"/>
      <c r="BDN2" s="353"/>
      <c r="BDO2" s="353"/>
      <c r="BDP2" s="353"/>
      <c r="BDQ2" s="353"/>
      <c r="BDR2" s="353"/>
      <c r="BDS2" s="353"/>
      <c r="BDT2" s="353"/>
      <c r="BDU2" s="353"/>
      <c r="BDV2" s="353"/>
      <c r="BDW2" s="353"/>
      <c r="BDX2" s="353"/>
      <c r="BDY2" s="353"/>
      <c r="BDZ2" s="353"/>
      <c r="BEA2" s="353"/>
      <c r="BEB2" s="353"/>
      <c r="BEC2" s="353"/>
      <c r="BED2" s="353"/>
      <c r="BEE2" s="353"/>
      <c r="BEF2" s="353"/>
      <c r="BEG2" s="353"/>
      <c r="BEH2" s="353"/>
      <c r="BEI2" s="353"/>
      <c r="BEJ2" s="353"/>
      <c r="BEK2" s="353"/>
      <c r="BEL2" s="353"/>
      <c r="BEM2" s="353"/>
      <c r="BEN2" s="353"/>
      <c r="BEO2" s="353"/>
      <c r="BEP2" s="353"/>
      <c r="BEQ2" s="353"/>
      <c r="BER2" s="353"/>
      <c r="BES2" s="353"/>
      <c r="BET2" s="353"/>
      <c r="BEU2" s="353"/>
      <c r="BEV2" s="353"/>
      <c r="BEW2" s="353"/>
      <c r="BEX2" s="353"/>
      <c r="BEY2" s="353"/>
      <c r="BEZ2" s="353"/>
      <c r="BFA2" s="353"/>
      <c r="BFB2" s="353"/>
      <c r="BFC2" s="353"/>
      <c r="BFD2" s="353"/>
      <c r="BFE2" s="353"/>
      <c r="BFF2" s="353"/>
      <c r="BFG2" s="353"/>
      <c r="BFH2" s="353"/>
      <c r="BFI2" s="353"/>
      <c r="BFJ2" s="353"/>
      <c r="BFK2" s="353"/>
      <c r="BFL2" s="353"/>
      <c r="BFM2" s="353"/>
      <c r="BFN2" s="353"/>
      <c r="BFO2" s="353"/>
      <c r="BFP2" s="353"/>
      <c r="BFQ2" s="353"/>
      <c r="BFR2" s="353"/>
      <c r="BFS2" s="353"/>
      <c r="BFT2" s="353"/>
      <c r="BFU2" s="353"/>
      <c r="BFV2" s="353"/>
      <c r="BFW2" s="353"/>
      <c r="BFX2" s="353"/>
      <c r="BFY2" s="353"/>
      <c r="BFZ2" s="353"/>
      <c r="BGA2" s="353"/>
      <c r="BGB2" s="353"/>
      <c r="BGC2" s="353"/>
      <c r="BGD2" s="353"/>
      <c r="BGE2" s="353"/>
      <c r="BGF2" s="353"/>
      <c r="BGG2" s="353"/>
      <c r="BGH2" s="353"/>
      <c r="BGI2" s="353"/>
      <c r="BGJ2" s="353"/>
      <c r="BGK2" s="353"/>
      <c r="BGL2" s="353"/>
      <c r="BGM2" s="353"/>
      <c r="BGN2" s="353"/>
      <c r="BGO2" s="353"/>
      <c r="BGP2" s="353"/>
      <c r="BGQ2" s="353"/>
      <c r="BGR2" s="353"/>
      <c r="BGS2" s="353"/>
      <c r="BGT2" s="353"/>
      <c r="BGU2" s="353"/>
      <c r="BGV2" s="353"/>
      <c r="BGW2" s="353"/>
      <c r="BGX2" s="353"/>
      <c r="BGY2" s="353"/>
      <c r="BGZ2" s="353"/>
      <c r="BHA2" s="353"/>
      <c r="BHB2" s="353"/>
      <c r="BHC2" s="353"/>
      <c r="BHD2" s="353"/>
      <c r="BHE2" s="353"/>
      <c r="BHF2" s="353"/>
      <c r="BHG2" s="353"/>
      <c r="BHH2" s="353"/>
      <c r="BHI2" s="353"/>
      <c r="BHJ2" s="353"/>
      <c r="BHK2" s="353"/>
      <c r="BHL2" s="353"/>
      <c r="BHM2" s="353"/>
      <c r="BHN2" s="353"/>
      <c r="BHO2" s="353"/>
      <c r="BHP2" s="353"/>
      <c r="BHQ2" s="353"/>
      <c r="BHR2" s="353"/>
      <c r="BHS2" s="353"/>
      <c r="BHT2" s="353"/>
      <c r="BHU2" s="353"/>
      <c r="BHV2" s="353"/>
      <c r="BHW2" s="353"/>
      <c r="BHX2" s="353"/>
      <c r="BHY2" s="353"/>
      <c r="BHZ2" s="353"/>
      <c r="BIA2" s="353"/>
      <c r="BIB2" s="353"/>
      <c r="BIC2" s="353"/>
      <c r="BID2" s="353"/>
      <c r="BIE2" s="353"/>
      <c r="BIF2" s="353"/>
      <c r="BIG2" s="353"/>
      <c r="BIH2" s="353"/>
      <c r="BII2" s="353"/>
      <c r="BIJ2" s="353"/>
      <c r="BIK2" s="353"/>
      <c r="BIL2" s="353"/>
      <c r="BIM2" s="353"/>
      <c r="BIN2" s="353"/>
      <c r="BIO2" s="353"/>
      <c r="BIP2" s="353"/>
      <c r="BIQ2" s="353"/>
      <c r="BIR2" s="353"/>
      <c r="BIS2" s="353"/>
      <c r="BIT2" s="353"/>
      <c r="BIU2" s="353"/>
      <c r="BIV2" s="353"/>
      <c r="BIW2" s="353"/>
      <c r="BIX2" s="353"/>
      <c r="BIY2" s="353"/>
      <c r="BIZ2" s="353"/>
      <c r="BJA2" s="353"/>
      <c r="BJB2" s="353"/>
      <c r="BJC2" s="353"/>
      <c r="BJD2" s="353"/>
      <c r="BJE2" s="353"/>
      <c r="BJF2" s="353"/>
      <c r="BJG2" s="353"/>
      <c r="BJH2" s="353"/>
      <c r="BJI2" s="353"/>
      <c r="BJJ2" s="353"/>
      <c r="BJK2" s="353"/>
      <c r="BJL2" s="353"/>
      <c r="BJM2" s="353"/>
      <c r="BJN2" s="353"/>
      <c r="BJO2" s="353"/>
      <c r="BJP2" s="353"/>
      <c r="BJQ2" s="353"/>
      <c r="BJR2" s="353"/>
      <c r="BJS2" s="353"/>
      <c r="BJT2" s="353"/>
      <c r="BJU2" s="353"/>
      <c r="BJV2" s="353"/>
      <c r="BJW2" s="353"/>
      <c r="BJX2" s="353"/>
      <c r="BJY2" s="353"/>
      <c r="BJZ2" s="353"/>
      <c r="BKA2" s="353"/>
      <c r="BKB2" s="353"/>
      <c r="BKC2" s="353"/>
      <c r="BKD2" s="353"/>
      <c r="BKE2" s="353"/>
      <c r="BKF2" s="353"/>
      <c r="BKG2" s="353"/>
      <c r="BKH2" s="353"/>
      <c r="BKI2" s="353"/>
      <c r="BKJ2" s="353"/>
      <c r="BKK2" s="353"/>
      <c r="BKL2" s="353"/>
      <c r="BKM2" s="353"/>
      <c r="BKN2" s="353"/>
      <c r="BKO2" s="353"/>
      <c r="BKP2" s="353"/>
      <c r="BKQ2" s="353"/>
      <c r="BKR2" s="353"/>
      <c r="BKS2" s="353"/>
      <c r="BKT2" s="353"/>
      <c r="BKU2" s="353"/>
      <c r="BKV2" s="353"/>
      <c r="BKW2" s="353"/>
      <c r="BKX2" s="353"/>
      <c r="BKY2" s="353"/>
      <c r="BKZ2" s="353"/>
      <c r="BLA2" s="353"/>
      <c r="BLB2" s="353"/>
      <c r="BLC2" s="353"/>
      <c r="BLD2" s="353"/>
      <c r="BLE2" s="353"/>
      <c r="BLF2" s="353"/>
      <c r="BLG2" s="353"/>
      <c r="BLH2" s="353"/>
      <c r="BLI2" s="353"/>
      <c r="BLJ2" s="353"/>
      <c r="BLK2" s="353"/>
      <c r="BLL2" s="353"/>
      <c r="BLM2" s="353"/>
      <c r="BLN2" s="353"/>
      <c r="BLO2" s="353"/>
      <c r="BLP2" s="353"/>
      <c r="BLQ2" s="353"/>
      <c r="BLR2" s="353"/>
      <c r="BLS2" s="353"/>
      <c r="BLT2" s="353"/>
      <c r="BLU2" s="353"/>
      <c r="BLV2" s="353"/>
      <c r="BLW2" s="353"/>
      <c r="BLX2" s="353"/>
      <c r="BLY2" s="353"/>
      <c r="BLZ2" s="353"/>
      <c r="BMA2" s="353"/>
      <c r="BMB2" s="353"/>
      <c r="BMC2" s="353"/>
      <c r="BMD2" s="353"/>
      <c r="BME2" s="353"/>
      <c r="BMF2" s="353"/>
      <c r="BMG2" s="353"/>
      <c r="BMH2" s="353"/>
      <c r="BMI2" s="353"/>
      <c r="BMJ2" s="353"/>
      <c r="BMK2" s="353"/>
      <c r="BML2" s="353"/>
      <c r="BMM2" s="353"/>
      <c r="BMN2" s="353"/>
      <c r="BMO2" s="353"/>
      <c r="BMP2" s="353"/>
      <c r="BMQ2" s="353"/>
      <c r="BMR2" s="353"/>
      <c r="BMS2" s="353"/>
      <c r="BMT2" s="353"/>
      <c r="BMU2" s="353"/>
      <c r="BMV2" s="353"/>
      <c r="BMW2" s="353"/>
      <c r="BMX2" s="353"/>
      <c r="BMY2" s="353"/>
      <c r="BMZ2" s="353"/>
      <c r="BNA2" s="353"/>
      <c r="BNB2" s="353"/>
      <c r="BNC2" s="353"/>
      <c r="BND2" s="353"/>
      <c r="BNE2" s="353"/>
      <c r="BNF2" s="353"/>
      <c r="BNG2" s="353"/>
      <c r="BNH2" s="353"/>
      <c r="BNI2" s="353"/>
      <c r="BNJ2" s="353"/>
      <c r="BNK2" s="353"/>
      <c r="BNL2" s="353"/>
      <c r="BNM2" s="353"/>
      <c r="BNN2" s="353"/>
      <c r="BNO2" s="353"/>
      <c r="BNP2" s="353"/>
      <c r="BNQ2" s="353"/>
      <c r="BNR2" s="353"/>
      <c r="BNS2" s="353"/>
      <c r="BNT2" s="353"/>
      <c r="BNU2" s="353"/>
      <c r="BNV2" s="353"/>
      <c r="BNW2" s="353"/>
      <c r="BNX2" s="353"/>
      <c r="BNY2" s="353"/>
      <c r="BNZ2" s="353"/>
      <c r="BOA2" s="353"/>
      <c r="BOB2" s="353"/>
      <c r="BOC2" s="353"/>
      <c r="BOD2" s="353"/>
      <c r="BOE2" s="353"/>
      <c r="BOF2" s="353"/>
      <c r="BOG2" s="353"/>
      <c r="BOH2" s="353"/>
      <c r="BOI2" s="353"/>
      <c r="BOJ2" s="353"/>
      <c r="BOK2" s="353"/>
      <c r="BOL2" s="353"/>
      <c r="BOM2" s="353"/>
      <c r="BON2" s="353"/>
      <c r="BOO2" s="353"/>
      <c r="BOP2" s="353"/>
      <c r="BOQ2" s="353"/>
      <c r="BOR2" s="353"/>
      <c r="BOS2" s="353"/>
      <c r="BOT2" s="353"/>
      <c r="BOU2" s="353"/>
      <c r="BOV2" s="353"/>
      <c r="BOW2" s="353"/>
      <c r="BOX2" s="353"/>
      <c r="BOY2" s="353"/>
      <c r="BOZ2" s="353"/>
      <c r="BPA2" s="353"/>
      <c r="BPB2" s="353"/>
      <c r="BPC2" s="353"/>
      <c r="BPD2" s="353"/>
      <c r="BPE2" s="353"/>
      <c r="BPF2" s="353"/>
      <c r="BPG2" s="353"/>
      <c r="BPH2" s="353"/>
      <c r="BPI2" s="353"/>
      <c r="BPJ2" s="353"/>
      <c r="BPK2" s="353"/>
      <c r="BPL2" s="353"/>
      <c r="BPM2" s="353"/>
      <c r="BPN2" s="353"/>
      <c r="BPO2" s="353"/>
      <c r="BPP2" s="353"/>
      <c r="BPQ2" s="353"/>
      <c r="BPR2" s="353"/>
      <c r="BPS2" s="353"/>
      <c r="BPT2" s="353"/>
      <c r="BPU2" s="353"/>
      <c r="BPV2" s="353"/>
      <c r="BPW2" s="353"/>
      <c r="BPX2" s="353"/>
      <c r="BPY2" s="353"/>
      <c r="BPZ2" s="353"/>
      <c r="BQA2" s="353"/>
      <c r="BQB2" s="353"/>
      <c r="BQC2" s="353"/>
      <c r="BQD2" s="353"/>
      <c r="BQE2" s="353"/>
      <c r="BQF2" s="353"/>
      <c r="BQG2" s="353"/>
      <c r="BQH2" s="353"/>
      <c r="BQI2" s="353"/>
      <c r="BQJ2" s="353"/>
      <c r="BQK2" s="353"/>
      <c r="BQL2" s="353"/>
      <c r="BQM2" s="353"/>
      <c r="BQN2" s="353"/>
      <c r="BQO2" s="353"/>
      <c r="BQP2" s="353"/>
      <c r="BQQ2" s="353"/>
      <c r="BQR2" s="353"/>
      <c r="BQS2" s="353"/>
      <c r="BQT2" s="353"/>
      <c r="BQU2" s="353"/>
      <c r="BQV2" s="353"/>
      <c r="BQW2" s="353"/>
      <c r="BQX2" s="353"/>
      <c r="BQY2" s="353"/>
      <c r="BQZ2" s="353"/>
      <c r="BRA2" s="353"/>
      <c r="BRB2" s="353"/>
      <c r="BRC2" s="353"/>
      <c r="BRD2" s="353"/>
      <c r="BRE2" s="353"/>
      <c r="BRF2" s="353"/>
      <c r="BRG2" s="353"/>
      <c r="BRH2" s="353"/>
      <c r="BRI2" s="353"/>
      <c r="BRJ2" s="353"/>
      <c r="BRK2" s="353"/>
      <c r="BRL2" s="353"/>
      <c r="BRM2" s="353"/>
      <c r="BRN2" s="353"/>
      <c r="BRO2" s="353"/>
      <c r="BRP2" s="353"/>
      <c r="BRQ2" s="353"/>
      <c r="BRR2" s="353"/>
      <c r="BRS2" s="353"/>
      <c r="BRT2" s="353"/>
      <c r="BRU2" s="353"/>
      <c r="BRV2" s="353"/>
      <c r="BRW2" s="353"/>
      <c r="BRX2" s="353"/>
      <c r="BRY2" s="353"/>
      <c r="BRZ2" s="353"/>
      <c r="BSA2" s="353"/>
      <c r="BSB2" s="353"/>
      <c r="BSC2" s="353"/>
      <c r="BSD2" s="353"/>
      <c r="BSE2" s="353"/>
      <c r="BSF2" s="353"/>
      <c r="BSG2" s="353"/>
      <c r="BSH2" s="353"/>
      <c r="BSI2" s="353"/>
      <c r="BSJ2" s="353"/>
      <c r="BSK2" s="353"/>
      <c r="BSL2" s="353"/>
      <c r="BSM2" s="353"/>
      <c r="BSN2" s="353"/>
      <c r="BSO2" s="353"/>
      <c r="BSP2" s="353"/>
      <c r="BSQ2" s="353"/>
      <c r="BSR2" s="353"/>
      <c r="BSS2" s="353"/>
      <c r="BST2" s="353"/>
      <c r="BSU2" s="353"/>
      <c r="BSV2" s="353"/>
      <c r="BSW2" s="353"/>
      <c r="BSX2" s="353"/>
      <c r="BSY2" s="353"/>
      <c r="BSZ2" s="353"/>
      <c r="BTA2" s="353"/>
      <c r="BTB2" s="353"/>
      <c r="BTC2" s="353"/>
      <c r="BTD2" s="353"/>
      <c r="BTE2" s="353"/>
      <c r="BTF2" s="353"/>
      <c r="BTG2" s="353"/>
      <c r="BTH2" s="353"/>
      <c r="BTI2" s="353"/>
      <c r="BTJ2" s="353"/>
      <c r="BTK2" s="353"/>
      <c r="BTL2" s="353"/>
      <c r="BTM2" s="353"/>
      <c r="BTN2" s="353"/>
      <c r="BTO2" s="353"/>
      <c r="BTP2" s="353"/>
      <c r="BTQ2" s="353"/>
      <c r="BTR2" s="353"/>
      <c r="BTS2" s="353"/>
      <c r="BTT2" s="353"/>
      <c r="BTU2" s="353"/>
      <c r="BTV2" s="353"/>
      <c r="BTW2" s="353"/>
      <c r="BTX2" s="353"/>
      <c r="BTY2" s="353"/>
      <c r="BTZ2" s="353"/>
      <c r="BUA2" s="353"/>
      <c r="BUB2" s="353"/>
      <c r="BUC2" s="353"/>
      <c r="BUD2" s="353"/>
      <c r="BUE2" s="353"/>
      <c r="BUF2" s="353"/>
      <c r="BUG2" s="353"/>
      <c r="BUH2" s="353"/>
      <c r="BUI2" s="353"/>
      <c r="BUJ2" s="353"/>
      <c r="BUK2" s="353"/>
      <c r="BUL2" s="353"/>
      <c r="BUM2" s="353"/>
      <c r="BUN2" s="353"/>
      <c r="BUO2" s="353"/>
      <c r="BUP2" s="353"/>
      <c r="BUQ2" s="353"/>
      <c r="BUR2" s="353"/>
      <c r="BUS2" s="353"/>
      <c r="BUT2" s="353"/>
      <c r="BUU2" s="353"/>
      <c r="BUV2" s="353"/>
      <c r="BUW2" s="353"/>
      <c r="BUX2" s="353"/>
      <c r="BUY2" s="353"/>
      <c r="BUZ2" s="353"/>
      <c r="BVA2" s="353"/>
      <c r="BVB2" s="353"/>
      <c r="BVC2" s="353"/>
      <c r="BVD2" s="353"/>
      <c r="BVE2" s="353"/>
      <c r="BVF2" s="353"/>
      <c r="BVG2" s="353"/>
      <c r="BVH2" s="353"/>
      <c r="BVI2" s="353"/>
      <c r="BVJ2" s="353"/>
      <c r="BVK2" s="353"/>
      <c r="BVL2" s="353"/>
      <c r="BVM2" s="353"/>
      <c r="BVN2" s="353"/>
      <c r="BVO2" s="353"/>
      <c r="BVP2" s="353"/>
      <c r="BVQ2" s="353"/>
      <c r="BVR2" s="353"/>
      <c r="BVS2" s="353"/>
      <c r="BVT2" s="353"/>
      <c r="BVU2" s="353"/>
      <c r="BVV2" s="353"/>
      <c r="BVW2" s="353"/>
      <c r="BVX2" s="353"/>
      <c r="BVY2" s="353"/>
      <c r="BVZ2" s="353"/>
      <c r="BWA2" s="353"/>
      <c r="BWB2" s="353"/>
      <c r="BWC2" s="353"/>
      <c r="BWD2" s="353"/>
      <c r="BWE2" s="353"/>
      <c r="BWF2" s="353"/>
      <c r="BWG2" s="353"/>
      <c r="BWH2" s="353"/>
      <c r="BWI2" s="353"/>
      <c r="BWJ2" s="353"/>
      <c r="BWK2" s="353"/>
      <c r="BWL2" s="353"/>
      <c r="BWM2" s="353"/>
      <c r="BWN2" s="353"/>
      <c r="BWO2" s="353"/>
      <c r="BWP2" s="353"/>
      <c r="BWQ2" s="353"/>
      <c r="BWR2" s="353"/>
      <c r="BWS2" s="353"/>
      <c r="BWT2" s="353"/>
      <c r="BWU2" s="353"/>
      <c r="BWV2" s="353"/>
      <c r="BWW2" s="353"/>
      <c r="BWX2" s="353"/>
      <c r="BWY2" s="353"/>
      <c r="BWZ2" s="353"/>
      <c r="BXA2" s="353"/>
      <c r="BXB2" s="353"/>
      <c r="BXC2" s="353"/>
      <c r="BXD2" s="353"/>
      <c r="BXE2" s="353"/>
      <c r="BXF2" s="353"/>
      <c r="BXG2" s="353"/>
      <c r="BXH2" s="353"/>
      <c r="BXI2" s="353"/>
      <c r="BXJ2" s="353"/>
      <c r="BXK2" s="353"/>
      <c r="BXL2" s="353"/>
      <c r="BXM2" s="353"/>
      <c r="BXN2" s="353"/>
      <c r="BXO2" s="353"/>
      <c r="BXP2" s="353"/>
      <c r="BXQ2" s="353"/>
      <c r="BXR2" s="353"/>
      <c r="BXS2" s="353"/>
      <c r="BXT2" s="353"/>
      <c r="BXU2" s="353"/>
      <c r="BXV2" s="353"/>
      <c r="BXW2" s="353"/>
      <c r="BXX2" s="353"/>
      <c r="BXY2" s="353"/>
      <c r="BXZ2" s="353"/>
      <c r="BYA2" s="353"/>
      <c r="BYB2" s="353"/>
      <c r="BYC2" s="353"/>
      <c r="BYD2" s="353"/>
      <c r="BYE2" s="353"/>
      <c r="BYF2" s="353"/>
      <c r="BYG2" s="353"/>
      <c r="BYH2" s="353"/>
      <c r="BYI2" s="353"/>
      <c r="BYJ2" s="353"/>
      <c r="BYK2" s="353"/>
      <c r="BYL2" s="353"/>
      <c r="BYM2" s="353"/>
      <c r="BYN2" s="353"/>
      <c r="BYO2" s="353"/>
      <c r="BYP2" s="353"/>
      <c r="BYQ2" s="353"/>
      <c r="BYR2" s="353"/>
      <c r="BYS2" s="353"/>
      <c r="BYT2" s="353"/>
      <c r="BYU2" s="353"/>
      <c r="BYV2" s="353"/>
      <c r="BYW2" s="353"/>
      <c r="BYX2" s="353"/>
      <c r="BYY2" s="353"/>
      <c r="BYZ2" s="353"/>
      <c r="BZA2" s="353"/>
      <c r="BZB2" s="353"/>
      <c r="BZC2" s="353"/>
      <c r="BZD2" s="353"/>
      <c r="BZE2" s="353"/>
      <c r="BZF2" s="353"/>
      <c r="BZG2" s="353"/>
      <c r="BZH2" s="353"/>
      <c r="BZI2" s="353"/>
      <c r="BZJ2" s="353"/>
      <c r="BZK2" s="353"/>
      <c r="BZL2" s="353"/>
      <c r="BZM2" s="353"/>
      <c r="BZN2" s="353"/>
      <c r="BZO2" s="353"/>
      <c r="BZP2" s="353"/>
      <c r="BZQ2" s="353"/>
      <c r="BZR2" s="353"/>
      <c r="BZS2" s="353"/>
      <c r="BZT2" s="353"/>
      <c r="BZU2" s="353"/>
      <c r="BZV2" s="353"/>
      <c r="BZW2" s="353"/>
      <c r="BZX2" s="353"/>
      <c r="BZY2" s="353"/>
      <c r="BZZ2" s="353"/>
      <c r="CAA2" s="353"/>
      <c r="CAB2" s="353"/>
      <c r="CAC2" s="353"/>
      <c r="CAD2" s="353"/>
      <c r="CAE2" s="353"/>
      <c r="CAF2" s="353"/>
      <c r="CAG2" s="353"/>
      <c r="CAH2" s="353"/>
      <c r="CAI2" s="353"/>
      <c r="CAJ2" s="353"/>
      <c r="CAK2" s="353"/>
      <c r="CAL2" s="353"/>
      <c r="CAM2" s="353"/>
      <c r="CAN2" s="353"/>
      <c r="CAO2" s="353"/>
      <c r="CAP2" s="353"/>
      <c r="CAQ2" s="353"/>
      <c r="CAR2" s="353"/>
      <c r="CAS2" s="353"/>
      <c r="CAT2" s="353"/>
      <c r="CAU2" s="353"/>
      <c r="CAV2" s="353"/>
      <c r="CAW2" s="353"/>
      <c r="CAX2" s="353"/>
      <c r="CAY2" s="353"/>
      <c r="CAZ2" s="353"/>
      <c r="CBA2" s="353"/>
      <c r="CBB2" s="353"/>
      <c r="CBC2" s="353"/>
      <c r="CBD2" s="353"/>
      <c r="CBE2" s="353"/>
      <c r="CBF2" s="353"/>
      <c r="CBG2" s="353"/>
      <c r="CBH2" s="353"/>
      <c r="CBI2" s="353"/>
      <c r="CBJ2" s="353"/>
      <c r="CBK2" s="353"/>
      <c r="CBL2" s="353"/>
      <c r="CBM2" s="353"/>
      <c r="CBN2" s="353"/>
      <c r="CBO2" s="353"/>
      <c r="CBP2" s="353"/>
      <c r="CBQ2" s="353"/>
      <c r="CBR2" s="353"/>
      <c r="CBS2" s="353"/>
      <c r="CBT2" s="353"/>
      <c r="CBU2" s="353"/>
      <c r="CBV2" s="353"/>
      <c r="CBW2" s="353"/>
      <c r="CBX2" s="353"/>
      <c r="CBY2" s="353"/>
      <c r="CBZ2" s="353"/>
      <c r="CCA2" s="353"/>
      <c r="CCB2" s="353"/>
      <c r="CCC2" s="353"/>
      <c r="CCD2" s="353"/>
      <c r="CCE2" s="353"/>
      <c r="CCF2" s="353"/>
      <c r="CCG2" s="353"/>
      <c r="CCH2" s="353"/>
      <c r="CCI2" s="353"/>
      <c r="CCJ2" s="353"/>
      <c r="CCK2" s="353"/>
      <c r="CCL2" s="353"/>
      <c r="CCM2" s="353"/>
      <c r="CCN2" s="353"/>
      <c r="CCO2" s="353"/>
      <c r="CCP2" s="353"/>
      <c r="CCQ2" s="353"/>
      <c r="CCR2" s="353"/>
      <c r="CCS2" s="353"/>
      <c r="CCT2" s="353"/>
      <c r="CCU2" s="353"/>
      <c r="CCV2" s="353"/>
      <c r="CCW2" s="353"/>
      <c r="CCX2" s="353"/>
      <c r="CCY2" s="353"/>
      <c r="CCZ2" s="353"/>
      <c r="CDA2" s="353"/>
      <c r="CDB2" s="353"/>
      <c r="CDC2" s="353"/>
      <c r="CDD2" s="353"/>
      <c r="CDE2" s="353"/>
      <c r="CDF2" s="353"/>
      <c r="CDG2" s="353"/>
      <c r="CDH2" s="353"/>
      <c r="CDI2" s="353"/>
      <c r="CDJ2" s="353"/>
      <c r="CDK2" s="353"/>
      <c r="CDL2" s="353"/>
      <c r="CDM2" s="353"/>
      <c r="CDN2" s="353"/>
      <c r="CDO2" s="353"/>
      <c r="CDP2" s="353"/>
      <c r="CDQ2" s="353"/>
      <c r="CDR2" s="353"/>
      <c r="CDS2" s="353"/>
      <c r="CDT2" s="353"/>
      <c r="CDU2" s="353"/>
      <c r="CDV2" s="353"/>
      <c r="CDW2" s="353"/>
      <c r="CDX2" s="353"/>
      <c r="CDY2" s="353"/>
      <c r="CDZ2" s="353"/>
      <c r="CEA2" s="353"/>
      <c r="CEB2" s="353"/>
      <c r="CEC2" s="353"/>
      <c r="CED2" s="353"/>
      <c r="CEE2" s="353"/>
      <c r="CEF2" s="353"/>
      <c r="CEG2" s="353"/>
      <c r="CEH2" s="353"/>
      <c r="CEI2" s="353"/>
      <c r="CEJ2" s="353"/>
      <c r="CEK2" s="353"/>
      <c r="CEL2" s="353"/>
      <c r="CEM2" s="353"/>
      <c r="CEN2" s="353"/>
      <c r="CEO2" s="353"/>
      <c r="CEP2" s="353"/>
      <c r="CEQ2" s="353"/>
      <c r="CER2" s="353"/>
      <c r="CES2" s="353"/>
      <c r="CET2" s="353"/>
      <c r="CEU2" s="353"/>
      <c r="CEV2" s="353"/>
      <c r="CEW2" s="353"/>
      <c r="CEX2" s="353"/>
      <c r="CEY2" s="353"/>
      <c r="CEZ2" s="353"/>
      <c r="CFA2" s="353"/>
      <c r="CFB2" s="353"/>
      <c r="CFC2" s="353"/>
      <c r="CFD2" s="353"/>
      <c r="CFE2" s="353"/>
      <c r="CFF2" s="353"/>
      <c r="CFG2" s="353"/>
      <c r="CFH2" s="353"/>
      <c r="CFI2" s="353"/>
      <c r="CFJ2" s="353"/>
      <c r="CFK2" s="353"/>
      <c r="CFL2" s="353"/>
      <c r="CFM2" s="353"/>
      <c r="CFN2" s="353"/>
      <c r="CFO2" s="353"/>
      <c r="CFP2" s="353"/>
      <c r="CFQ2" s="353"/>
      <c r="CFR2" s="353"/>
      <c r="CFS2" s="353"/>
      <c r="CFT2" s="353"/>
      <c r="CFU2" s="353"/>
      <c r="CFV2" s="353"/>
      <c r="CFW2" s="353"/>
      <c r="CFX2" s="353"/>
      <c r="CFY2" s="353"/>
      <c r="CFZ2" s="353"/>
      <c r="CGA2" s="353"/>
      <c r="CGB2" s="353"/>
      <c r="CGC2" s="353"/>
      <c r="CGD2" s="353"/>
      <c r="CGE2" s="353"/>
      <c r="CGF2" s="353"/>
      <c r="CGG2" s="353"/>
      <c r="CGH2" s="353"/>
      <c r="CGI2" s="353"/>
      <c r="CGJ2" s="353"/>
      <c r="CGK2" s="353"/>
      <c r="CGL2" s="353"/>
      <c r="CGM2" s="353"/>
      <c r="CGN2" s="353"/>
      <c r="CGO2" s="353"/>
      <c r="CGP2" s="353"/>
      <c r="CGQ2" s="353"/>
      <c r="CGR2" s="353"/>
      <c r="CGS2" s="353"/>
      <c r="CGT2" s="353"/>
      <c r="CGU2" s="353"/>
      <c r="CGV2" s="353"/>
      <c r="CGW2" s="353"/>
      <c r="CGX2" s="353"/>
      <c r="CGY2" s="353"/>
      <c r="CGZ2" s="353"/>
      <c r="CHA2" s="353"/>
      <c r="CHB2" s="353"/>
      <c r="CHC2" s="353"/>
      <c r="CHD2" s="353"/>
      <c r="CHE2" s="353"/>
      <c r="CHF2" s="353"/>
      <c r="CHG2" s="353"/>
      <c r="CHH2" s="353"/>
      <c r="CHI2" s="353"/>
      <c r="CHJ2" s="353"/>
      <c r="CHK2" s="353"/>
      <c r="CHL2" s="353"/>
      <c r="CHM2" s="353"/>
      <c r="CHN2" s="353"/>
      <c r="CHO2" s="353"/>
      <c r="CHP2" s="353"/>
      <c r="CHQ2" s="353"/>
      <c r="CHR2" s="353"/>
      <c r="CHS2" s="353"/>
      <c r="CHT2" s="353"/>
      <c r="CHU2" s="353"/>
      <c r="CHV2" s="353"/>
      <c r="CHW2" s="353"/>
      <c r="CHX2" s="353"/>
      <c r="CHY2" s="353"/>
      <c r="CHZ2" s="353"/>
      <c r="CIA2" s="353"/>
      <c r="CIB2" s="353"/>
      <c r="CIC2" s="353"/>
      <c r="CID2" s="353"/>
      <c r="CIE2" s="353"/>
      <c r="CIF2" s="353"/>
      <c r="CIG2" s="353"/>
      <c r="CIH2" s="353"/>
      <c r="CII2" s="353"/>
      <c r="CIJ2" s="353"/>
      <c r="CIK2" s="353"/>
      <c r="CIL2" s="353"/>
      <c r="CIM2" s="353"/>
      <c r="CIN2" s="353"/>
      <c r="CIO2" s="353"/>
      <c r="CIP2" s="353"/>
      <c r="CIQ2" s="353"/>
      <c r="CIR2" s="353"/>
      <c r="CIS2" s="353"/>
      <c r="CIT2" s="353"/>
      <c r="CIU2" s="353"/>
      <c r="CIV2" s="353"/>
      <c r="CIW2" s="353"/>
      <c r="CIX2" s="353"/>
      <c r="CIY2" s="353"/>
      <c r="CIZ2" s="353"/>
      <c r="CJA2" s="353"/>
      <c r="CJB2" s="353"/>
      <c r="CJC2" s="353"/>
      <c r="CJD2" s="353"/>
      <c r="CJE2" s="353"/>
      <c r="CJF2" s="353"/>
      <c r="CJG2" s="353"/>
      <c r="CJH2" s="353"/>
      <c r="CJI2" s="353"/>
      <c r="CJJ2" s="353"/>
      <c r="CJK2" s="353"/>
      <c r="CJL2" s="353"/>
      <c r="CJM2" s="353"/>
      <c r="CJN2" s="353"/>
      <c r="CJO2" s="353"/>
      <c r="CJP2" s="353"/>
      <c r="CJQ2" s="353"/>
      <c r="CJR2" s="353"/>
      <c r="CJS2" s="353"/>
      <c r="CJT2" s="353"/>
      <c r="CJU2" s="353"/>
      <c r="CJV2" s="353"/>
      <c r="CJW2" s="353"/>
      <c r="CJX2" s="353"/>
      <c r="CJY2" s="353"/>
      <c r="CJZ2" s="353"/>
      <c r="CKA2" s="353"/>
      <c r="CKB2" s="353"/>
      <c r="CKC2" s="353"/>
      <c r="CKD2" s="353"/>
      <c r="CKE2" s="353"/>
      <c r="CKF2" s="353"/>
      <c r="CKG2" s="353"/>
      <c r="CKH2" s="353"/>
      <c r="CKI2" s="353"/>
      <c r="CKJ2" s="353"/>
      <c r="CKK2" s="353"/>
      <c r="CKL2" s="353"/>
      <c r="CKM2" s="353"/>
      <c r="CKN2" s="353"/>
      <c r="CKO2" s="353"/>
      <c r="CKP2" s="353"/>
      <c r="CKQ2" s="353"/>
      <c r="CKR2" s="353"/>
      <c r="CKS2" s="353"/>
      <c r="CKT2" s="353"/>
      <c r="CKU2" s="353"/>
      <c r="CKV2" s="353"/>
      <c r="CKW2" s="353"/>
      <c r="CKX2" s="353"/>
      <c r="CKY2" s="353"/>
      <c r="CKZ2" s="353"/>
      <c r="CLA2" s="353"/>
      <c r="CLB2" s="353"/>
      <c r="CLC2" s="353"/>
      <c r="CLD2" s="353"/>
      <c r="CLE2" s="353"/>
      <c r="CLF2" s="353"/>
      <c r="CLG2" s="353"/>
      <c r="CLH2" s="353"/>
      <c r="CLI2" s="353"/>
      <c r="CLJ2" s="353"/>
      <c r="CLK2" s="353"/>
      <c r="CLL2" s="353"/>
      <c r="CLM2" s="353"/>
      <c r="CLN2" s="353"/>
      <c r="CLO2" s="353"/>
      <c r="CLP2" s="353"/>
      <c r="CLQ2" s="353"/>
      <c r="CLR2" s="353"/>
      <c r="CLS2" s="353"/>
      <c r="CLT2" s="353"/>
      <c r="CLU2" s="353"/>
      <c r="CLV2" s="353"/>
      <c r="CLW2" s="353"/>
      <c r="CLX2" s="353"/>
      <c r="CLY2" s="353"/>
      <c r="CLZ2" s="353"/>
      <c r="CMA2" s="353"/>
      <c r="CMB2" s="353"/>
      <c r="CMC2" s="353"/>
      <c r="CMD2" s="353"/>
      <c r="CME2" s="353"/>
      <c r="CMF2" s="353"/>
      <c r="CMG2" s="353"/>
      <c r="CMH2" s="353"/>
      <c r="CMI2" s="353"/>
      <c r="CMJ2" s="353"/>
      <c r="CMK2" s="353"/>
      <c r="CML2" s="353"/>
      <c r="CMM2" s="353"/>
      <c r="CMN2" s="353"/>
      <c r="CMO2" s="353"/>
      <c r="CMP2" s="353"/>
      <c r="CMQ2" s="353"/>
      <c r="CMR2" s="353"/>
      <c r="CMS2" s="353"/>
      <c r="CMT2" s="353"/>
      <c r="CMU2" s="353"/>
      <c r="CMV2" s="353"/>
      <c r="CMW2" s="353"/>
      <c r="CMX2" s="353"/>
      <c r="CMY2" s="353"/>
      <c r="CMZ2" s="353"/>
      <c r="CNA2" s="353"/>
      <c r="CNB2" s="353"/>
      <c r="CNC2" s="353"/>
      <c r="CND2" s="353"/>
      <c r="CNE2" s="353"/>
      <c r="CNF2" s="353"/>
      <c r="CNG2" s="353"/>
      <c r="CNH2" s="353"/>
      <c r="CNI2" s="353"/>
      <c r="CNJ2" s="353"/>
      <c r="CNK2" s="353"/>
      <c r="CNL2" s="353"/>
      <c r="CNM2" s="353"/>
      <c r="CNN2" s="353"/>
      <c r="CNO2" s="353"/>
      <c r="CNP2" s="353"/>
      <c r="CNQ2" s="353"/>
      <c r="CNR2" s="353"/>
      <c r="CNS2" s="353"/>
      <c r="CNT2" s="353"/>
      <c r="CNU2" s="353"/>
      <c r="CNV2" s="353"/>
      <c r="CNW2" s="353"/>
      <c r="CNX2" s="353"/>
      <c r="CNY2" s="353"/>
      <c r="CNZ2" s="353"/>
      <c r="COA2" s="353"/>
      <c r="COB2" s="353"/>
      <c r="COC2" s="353"/>
      <c r="COD2" s="353"/>
      <c r="COE2" s="353"/>
      <c r="COF2" s="353"/>
      <c r="COG2" s="353"/>
      <c r="COH2" s="353"/>
      <c r="COI2" s="353"/>
      <c r="COJ2" s="353"/>
      <c r="COK2" s="353"/>
      <c r="COL2" s="353"/>
      <c r="COM2" s="353"/>
      <c r="CON2" s="353"/>
      <c r="COO2" s="353"/>
      <c r="COP2" s="353"/>
      <c r="COQ2" s="353"/>
      <c r="COR2" s="353"/>
      <c r="COS2" s="353"/>
      <c r="COT2" s="353"/>
      <c r="COU2" s="353"/>
      <c r="COV2" s="353"/>
      <c r="COW2" s="353"/>
      <c r="COX2" s="353"/>
      <c r="COY2" s="353"/>
      <c r="COZ2" s="353"/>
      <c r="CPA2" s="353"/>
      <c r="CPB2" s="353"/>
      <c r="CPC2" s="353"/>
      <c r="CPD2" s="353"/>
      <c r="CPE2" s="353"/>
      <c r="CPF2" s="353"/>
      <c r="CPG2" s="353"/>
      <c r="CPH2" s="353"/>
      <c r="CPI2" s="353"/>
      <c r="CPJ2" s="353"/>
      <c r="CPK2" s="353"/>
      <c r="CPL2" s="353"/>
      <c r="CPM2" s="353"/>
      <c r="CPN2" s="353"/>
      <c r="CPO2" s="353"/>
      <c r="CPP2" s="353"/>
      <c r="CPQ2" s="353"/>
      <c r="CPR2" s="353"/>
      <c r="CPS2" s="353"/>
      <c r="CPT2" s="353"/>
      <c r="CPU2" s="353"/>
      <c r="CPV2" s="353"/>
      <c r="CPW2" s="353"/>
      <c r="CPX2" s="353"/>
      <c r="CPY2" s="353"/>
      <c r="CPZ2" s="353"/>
      <c r="CQA2" s="353"/>
      <c r="CQB2" s="353"/>
      <c r="CQC2" s="353"/>
      <c r="CQD2" s="353"/>
      <c r="CQE2" s="353"/>
      <c r="CQF2" s="353"/>
      <c r="CQG2" s="353"/>
      <c r="CQH2" s="353"/>
      <c r="CQI2" s="353"/>
      <c r="CQJ2" s="353"/>
      <c r="CQK2" s="353"/>
      <c r="CQL2" s="353"/>
      <c r="CQM2" s="353"/>
      <c r="CQN2" s="353"/>
      <c r="CQO2" s="353"/>
      <c r="CQP2" s="353"/>
      <c r="CQQ2" s="353"/>
      <c r="CQR2" s="353"/>
      <c r="CQS2" s="353"/>
      <c r="CQT2" s="353"/>
      <c r="CQU2" s="353"/>
      <c r="CQV2" s="353"/>
      <c r="CQW2" s="353"/>
      <c r="CQX2" s="353"/>
      <c r="CQY2" s="353"/>
      <c r="CQZ2" s="353"/>
      <c r="CRA2" s="353"/>
      <c r="CRB2" s="353"/>
      <c r="CRC2" s="353"/>
      <c r="CRD2" s="353"/>
      <c r="CRE2" s="353"/>
      <c r="CRF2" s="353"/>
      <c r="CRG2" s="353"/>
      <c r="CRH2" s="353"/>
      <c r="CRI2" s="353"/>
      <c r="CRJ2" s="353"/>
      <c r="CRK2" s="353"/>
      <c r="CRL2" s="353"/>
      <c r="CRM2" s="353"/>
      <c r="CRN2" s="353"/>
      <c r="CRO2" s="353"/>
      <c r="CRP2" s="353"/>
      <c r="CRQ2" s="353"/>
      <c r="CRR2" s="353"/>
      <c r="CRS2" s="353"/>
      <c r="CRT2" s="353"/>
      <c r="CRU2" s="353"/>
      <c r="CRV2" s="353"/>
      <c r="CRW2" s="353"/>
      <c r="CRX2" s="353"/>
      <c r="CRY2" s="353"/>
      <c r="CRZ2" s="353"/>
      <c r="CSA2" s="353"/>
      <c r="CSB2" s="353"/>
      <c r="CSC2" s="353"/>
      <c r="CSD2" s="353"/>
      <c r="CSE2" s="353"/>
      <c r="CSF2" s="353"/>
      <c r="CSG2" s="353"/>
      <c r="CSH2" s="353"/>
      <c r="CSI2" s="353"/>
      <c r="CSJ2" s="353"/>
      <c r="CSK2" s="353"/>
      <c r="CSL2" s="353"/>
      <c r="CSM2" s="353"/>
      <c r="CSN2" s="353"/>
      <c r="CSO2" s="353"/>
      <c r="CSP2" s="353"/>
      <c r="CSQ2" s="353"/>
      <c r="CSR2" s="353"/>
      <c r="CSS2" s="353"/>
      <c r="CST2" s="353"/>
      <c r="CSU2" s="353"/>
      <c r="CSV2" s="353"/>
      <c r="CSW2" s="353"/>
      <c r="CSX2" s="353"/>
      <c r="CSY2" s="353"/>
      <c r="CSZ2" s="353"/>
      <c r="CTA2" s="353"/>
      <c r="CTB2" s="353"/>
      <c r="CTC2" s="353"/>
      <c r="CTD2" s="353"/>
      <c r="CTE2" s="353"/>
      <c r="CTF2" s="353"/>
      <c r="CTG2" s="353"/>
      <c r="CTH2" s="353"/>
      <c r="CTI2" s="353"/>
      <c r="CTJ2" s="353"/>
      <c r="CTK2" s="353"/>
      <c r="CTL2" s="353"/>
      <c r="CTM2" s="353"/>
      <c r="CTN2" s="353"/>
      <c r="CTO2" s="353"/>
      <c r="CTP2" s="353"/>
      <c r="CTQ2" s="353"/>
      <c r="CTR2" s="353"/>
      <c r="CTS2" s="353"/>
      <c r="CTT2" s="353"/>
      <c r="CTU2" s="353"/>
      <c r="CTV2" s="353"/>
      <c r="CTW2" s="353"/>
      <c r="CTX2" s="353"/>
      <c r="CTY2" s="353"/>
      <c r="CTZ2" s="353"/>
      <c r="CUA2" s="353"/>
      <c r="CUB2" s="353"/>
      <c r="CUC2" s="353"/>
      <c r="CUD2" s="353"/>
      <c r="CUE2" s="353"/>
      <c r="CUF2" s="353"/>
      <c r="CUG2" s="353"/>
      <c r="CUH2" s="353"/>
      <c r="CUI2" s="353"/>
      <c r="CUJ2" s="353"/>
      <c r="CUK2" s="353"/>
      <c r="CUL2" s="353"/>
      <c r="CUM2" s="353"/>
      <c r="CUN2" s="353"/>
      <c r="CUO2" s="353"/>
      <c r="CUP2" s="353"/>
      <c r="CUQ2" s="353"/>
      <c r="CUR2" s="353"/>
      <c r="CUS2" s="353"/>
      <c r="CUT2" s="353"/>
      <c r="CUU2" s="353"/>
      <c r="CUV2" s="353"/>
      <c r="CUW2" s="353"/>
      <c r="CUX2" s="353"/>
      <c r="CUY2" s="353"/>
      <c r="CUZ2" s="353"/>
      <c r="CVA2" s="353"/>
      <c r="CVB2" s="353"/>
      <c r="CVC2" s="353"/>
      <c r="CVD2" s="353"/>
      <c r="CVE2" s="353"/>
      <c r="CVF2" s="353"/>
      <c r="CVG2" s="353"/>
      <c r="CVH2" s="353"/>
      <c r="CVI2" s="353"/>
      <c r="CVJ2" s="353"/>
      <c r="CVK2" s="353"/>
      <c r="CVL2" s="353"/>
      <c r="CVM2" s="353"/>
      <c r="CVN2" s="353"/>
      <c r="CVO2" s="353"/>
      <c r="CVP2" s="353"/>
      <c r="CVQ2" s="353"/>
      <c r="CVR2" s="353"/>
      <c r="CVS2" s="353"/>
      <c r="CVT2" s="353"/>
      <c r="CVU2" s="353"/>
      <c r="CVV2" s="353"/>
      <c r="CVW2" s="353"/>
      <c r="CVX2" s="353"/>
      <c r="CVY2" s="353"/>
      <c r="CVZ2" s="353"/>
      <c r="CWA2" s="353"/>
      <c r="CWB2" s="353"/>
      <c r="CWC2" s="353"/>
      <c r="CWD2" s="353"/>
      <c r="CWE2" s="353"/>
      <c r="CWF2" s="353"/>
      <c r="CWG2" s="353"/>
      <c r="CWH2" s="353"/>
      <c r="CWI2" s="353"/>
      <c r="CWJ2" s="353"/>
      <c r="CWK2" s="353"/>
      <c r="CWL2" s="353"/>
      <c r="CWM2" s="353"/>
      <c r="CWN2" s="353"/>
      <c r="CWO2" s="353"/>
      <c r="CWP2" s="353"/>
      <c r="CWQ2" s="353"/>
      <c r="CWR2" s="353"/>
      <c r="CWS2" s="353"/>
      <c r="CWT2" s="353"/>
      <c r="CWU2" s="353"/>
      <c r="CWV2" s="353"/>
      <c r="CWW2" s="353"/>
      <c r="CWX2" s="353"/>
      <c r="CWY2" s="353"/>
      <c r="CWZ2" s="353"/>
      <c r="CXA2" s="353"/>
      <c r="CXB2" s="353"/>
      <c r="CXC2" s="353"/>
      <c r="CXD2" s="353"/>
      <c r="CXE2" s="353"/>
      <c r="CXF2" s="353"/>
      <c r="CXG2" s="353"/>
      <c r="CXH2" s="353"/>
      <c r="CXI2" s="353"/>
      <c r="CXJ2" s="353"/>
      <c r="CXK2" s="353"/>
      <c r="CXL2" s="353"/>
      <c r="CXM2" s="353"/>
      <c r="CXN2" s="353"/>
      <c r="CXO2" s="353"/>
      <c r="CXP2" s="353"/>
      <c r="CXQ2" s="353"/>
      <c r="CXR2" s="353"/>
      <c r="CXS2" s="353"/>
      <c r="CXT2" s="353"/>
      <c r="CXU2" s="353"/>
      <c r="CXV2" s="353"/>
      <c r="CXW2" s="353"/>
      <c r="CXX2" s="353"/>
      <c r="CXY2" s="353"/>
      <c r="CXZ2" s="353"/>
      <c r="CYA2" s="353"/>
      <c r="CYB2" s="353"/>
      <c r="CYC2" s="353"/>
      <c r="CYD2" s="353"/>
      <c r="CYE2" s="353"/>
      <c r="CYF2" s="353"/>
      <c r="CYG2" s="353"/>
      <c r="CYH2" s="353"/>
      <c r="CYI2" s="353"/>
      <c r="CYJ2" s="353"/>
      <c r="CYK2" s="353"/>
      <c r="CYL2" s="353"/>
      <c r="CYM2" s="353"/>
      <c r="CYN2" s="353"/>
      <c r="CYO2" s="353"/>
      <c r="CYP2" s="353"/>
      <c r="CYQ2" s="353"/>
      <c r="CYR2" s="353"/>
      <c r="CYS2" s="353"/>
      <c r="CYT2" s="353"/>
      <c r="CYU2" s="353"/>
      <c r="CYV2" s="353"/>
      <c r="CYW2" s="353"/>
      <c r="CYX2" s="353"/>
      <c r="CYY2" s="353"/>
      <c r="CYZ2" s="353"/>
      <c r="CZA2" s="353"/>
      <c r="CZB2" s="353"/>
      <c r="CZC2" s="353"/>
      <c r="CZD2" s="353"/>
      <c r="CZE2" s="353"/>
      <c r="CZF2" s="353"/>
      <c r="CZG2" s="353"/>
      <c r="CZH2" s="353"/>
      <c r="CZI2" s="353"/>
      <c r="CZJ2" s="353"/>
      <c r="CZK2" s="353"/>
      <c r="CZL2" s="353"/>
      <c r="CZM2" s="353"/>
      <c r="CZN2" s="353"/>
      <c r="CZO2" s="353"/>
      <c r="CZP2" s="353"/>
      <c r="CZQ2" s="353"/>
      <c r="CZR2" s="353"/>
      <c r="CZS2" s="353"/>
      <c r="CZT2" s="353"/>
      <c r="CZU2" s="353"/>
      <c r="CZV2" s="353"/>
      <c r="CZW2" s="353"/>
      <c r="CZX2" s="353"/>
      <c r="CZY2" s="353"/>
      <c r="CZZ2" s="353"/>
      <c r="DAA2" s="353"/>
      <c r="DAB2" s="353"/>
      <c r="DAC2" s="353"/>
      <c r="DAD2" s="353"/>
      <c r="DAE2" s="353"/>
      <c r="DAF2" s="353"/>
      <c r="DAG2" s="353"/>
      <c r="DAH2" s="353"/>
      <c r="DAI2" s="353"/>
      <c r="DAJ2" s="353"/>
      <c r="DAK2" s="353"/>
      <c r="DAL2" s="353"/>
      <c r="DAM2" s="353"/>
      <c r="DAN2" s="353"/>
      <c r="DAO2" s="353"/>
      <c r="DAP2" s="353"/>
      <c r="DAQ2" s="353"/>
      <c r="DAR2" s="353"/>
      <c r="DAS2" s="353"/>
      <c r="DAT2" s="353"/>
      <c r="DAU2" s="353"/>
      <c r="DAV2" s="353"/>
      <c r="DAW2" s="353"/>
      <c r="DAX2" s="353"/>
      <c r="DAY2" s="353"/>
      <c r="DAZ2" s="353"/>
      <c r="DBA2" s="353"/>
      <c r="DBB2" s="353"/>
      <c r="DBC2" s="353"/>
      <c r="DBD2" s="353"/>
      <c r="DBE2" s="353"/>
      <c r="DBF2" s="353"/>
      <c r="DBG2" s="353"/>
      <c r="DBH2" s="353"/>
      <c r="DBI2" s="353"/>
      <c r="DBJ2" s="353"/>
      <c r="DBK2" s="353"/>
      <c r="DBL2" s="353"/>
      <c r="DBM2" s="353"/>
      <c r="DBN2" s="353"/>
      <c r="DBO2" s="353"/>
      <c r="DBP2" s="353"/>
      <c r="DBQ2" s="353"/>
      <c r="DBR2" s="353"/>
      <c r="DBS2" s="353"/>
      <c r="DBT2" s="353"/>
      <c r="DBU2" s="353"/>
      <c r="DBV2" s="353"/>
      <c r="DBW2" s="353"/>
      <c r="DBX2" s="353"/>
      <c r="DBY2" s="353"/>
      <c r="DBZ2" s="353"/>
      <c r="DCA2" s="353"/>
      <c r="DCB2" s="353"/>
      <c r="DCC2" s="353"/>
      <c r="DCD2" s="353"/>
      <c r="DCE2" s="353"/>
      <c r="DCF2" s="353"/>
      <c r="DCG2" s="353"/>
      <c r="DCH2" s="353"/>
      <c r="DCI2" s="353"/>
      <c r="DCJ2" s="353"/>
      <c r="DCK2" s="353"/>
      <c r="DCL2" s="353"/>
      <c r="DCM2" s="353"/>
      <c r="DCN2" s="353"/>
      <c r="DCO2" s="353"/>
      <c r="DCP2" s="353"/>
      <c r="DCQ2" s="353"/>
      <c r="DCR2" s="353"/>
      <c r="DCS2" s="353"/>
      <c r="DCT2" s="353"/>
      <c r="DCU2" s="353"/>
      <c r="DCV2" s="353"/>
      <c r="DCW2" s="353"/>
      <c r="DCX2" s="353"/>
      <c r="DCY2" s="353"/>
      <c r="DCZ2" s="353"/>
      <c r="DDA2" s="353"/>
      <c r="DDB2" s="353"/>
      <c r="DDC2" s="353"/>
      <c r="DDD2" s="353"/>
      <c r="DDE2" s="353"/>
      <c r="DDF2" s="353"/>
      <c r="DDG2" s="353"/>
      <c r="DDH2" s="353"/>
      <c r="DDI2" s="353"/>
      <c r="DDJ2" s="353"/>
      <c r="DDK2" s="353"/>
      <c r="DDL2" s="353"/>
      <c r="DDM2" s="353"/>
      <c r="DDN2" s="353"/>
      <c r="DDO2" s="353"/>
      <c r="DDP2" s="353"/>
      <c r="DDQ2" s="353"/>
      <c r="DDR2" s="353"/>
      <c r="DDS2" s="353"/>
      <c r="DDT2" s="353"/>
      <c r="DDU2" s="353"/>
      <c r="DDV2" s="353"/>
      <c r="DDW2" s="353"/>
      <c r="DDX2" s="353"/>
      <c r="DDY2" s="353"/>
      <c r="DDZ2" s="353"/>
      <c r="DEA2" s="353"/>
      <c r="DEB2" s="353"/>
      <c r="DEC2" s="353"/>
      <c r="DED2" s="353"/>
      <c r="DEE2" s="353"/>
      <c r="DEF2" s="353"/>
      <c r="DEG2" s="353"/>
      <c r="DEH2" s="353"/>
      <c r="DEI2" s="353"/>
      <c r="DEJ2" s="353"/>
      <c r="DEK2" s="353"/>
      <c r="DEL2" s="353"/>
      <c r="DEM2" s="353"/>
      <c r="DEN2" s="353"/>
      <c r="DEO2" s="353"/>
      <c r="DEP2" s="353"/>
      <c r="DEQ2" s="353"/>
      <c r="DER2" s="353"/>
      <c r="DES2" s="353"/>
      <c r="DET2" s="353"/>
      <c r="DEU2" s="353"/>
      <c r="DEV2" s="353"/>
      <c r="DEW2" s="353"/>
      <c r="DEX2" s="353"/>
      <c r="DEY2" s="353"/>
      <c r="DEZ2" s="353"/>
      <c r="DFA2" s="353"/>
      <c r="DFB2" s="353"/>
      <c r="DFC2" s="353"/>
      <c r="DFD2" s="353"/>
      <c r="DFE2" s="353"/>
      <c r="DFF2" s="353"/>
      <c r="DFG2" s="353"/>
      <c r="DFH2" s="353"/>
      <c r="DFI2" s="353"/>
      <c r="DFJ2" s="353"/>
      <c r="DFK2" s="353"/>
      <c r="DFL2" s="353"/>
      <c r="DFM2" s="353"/>
      <c r="DFN2" s="353"/>
      <c r="DFO2" s="353"/>
      <c r="DFP2" s="353"/>
      <c r="DFQ2" s="353"/>
      <c r="DFR2" s="353"/>
      <c r="DFS2" s="353"/>
      <c r="DFT2" s="353"/>
      <c r="DFU2" s="353"/>
      <c r="DFV2" s="353"/>
      <c r="DFW2" s="353"/>
      <c r="DFX2" s="353"/>
      <c r="DFY2" s="353"/>
      <c r="DFZ2" s="353"/>
      <c r="DGA2" s="353"/>
      <c r="DGB2" s="353"/>
      <c r="DGC2" s="353"/>
      <c r="DGD2" s="353"/>
      <c r="DGE2" s="353"/>
      <c r="DGF2" s="353"/>
      <c r="DGG2" s="353"/>
      <c r="DGH2" s="353"/>
      <c r="DGI2" s="353"/>
      <c r="DGJ2" s="353"/>
      <c r="DGK2" s="353"/>
      <c r="DGL2" s="353"/>
      <c r="DGM2" s="353"/>
      <c r="DGN2" s="353"/>
      <c r="DGO2" s="353"/>
      <c r="DGP2" s="353"/>
      <c r="DGQ2" s="353"/>
      <c r="DGR2" s="353"/>
      <c r="DGS2" s="353"/>
      <c r="DGT2" s="353"/>
      <c r="DGU2" s="353"/>
      <c r="DGV2" s="353"/>
      <c r="DGW2" s="353"/>
      <c r="DGX2" s="353"/>
      <c r="DGY2" s="353"/>
      <c r="DGZ2" s="353"/>
      <c r="DHA2" s="353"/>
      <c r="DHB2" s="353"/>
      <c r="DHC2" s="353"/>
      <c r="DHD2" s="353"/>
      <c r="DHE2" s="353"/>
      <c r="DHF2" s="353"/>
      <c r="DHG2" s="353"/>
      <c r="DHH2" s="353"/>
      <c r="DHI2" s="353"/>
      <c r="DHJ2" s="353"/>
      <c r="DHK2" s="353"/>
      <c r="DHL2" s="353"/>
      <c r="DHM2" s="353"/>
      <c r="DHN2" s="353"/>
      <c r="DHO2" s="353"/>
      <c r="DHP2" s="353"/>
      <c r="DHQ2" s="353"/>
      <c r="DHR2" s="353"/>
      <c r="DHS2" s="353"/>
      <c r="DHT2" s="353"/>
      <c r="DHU2" s="353"/>
      <c r="DHV2" s="353"/>
      <c r="DHW2" s="353"/>
      <c r="DHX2" s="353"/>
      <c r="DHY2" s="353"/>
      <c r="DHZ2" s="353"/>
      <c r="DIA2" s="353"/>
      <c r="DIB2" s="353"/>
      <c r="DIC2" s="353"/>
      <c r="DID2" s="353"/>
      <c r="DIE2" s="353"/>
      <c r="DIF2" s="353"/>
      <c r="DIG2" s="353"/>
      <c r="DIH2" s="353"/>
      <c r="DII2" s="353"/>
      <c r="DIJ2" s="353"/>
      <c r="DIK2" s="353"/>
      <c r="DIL2" s="353"/>
      <c r="DIM2" s="353"/>
      <c r="DIN2" s="353"/>
      <c r="DIO2" s="353"/>
      <c r="DIP2" s="353"/>
      <c r="DIQ2" s="353"/>
      <c r="DIR2" s="353"/>
      <c r="DIS2" s="353"/>
      <c r="DIT2" s="353"/>
      <c r="DIU2" s="353"/>
      <c r="DIV2" s="353"/>
      <c r="DIW2" s="353"/>
      <c r="DIX2" s="353"/>
      <c r="DIY2" s="353"/>
      <c r="DIZ2" s="353"/>
      <c r="DJA2" s="353"/>
      <c r="DJB2" s="353"/>
      <c r="DJC2" s="353"/>
      <c r="DJD2" s="353"/>
      <c r="DJE2" s="353"/>
      <c r="DJF2" s="353"/>
      <c r="DJG2" s="353"/>
      <c r="DJH2" s="353"/>
      <c r="DJI2" s="353"/>
      <c r="DJJ2" s="353"/>
      <c r="DJK2" s="353"/>
      <c r="DJL2" s="353"/>
      <c r="DJM2" s="353"/>
      <c r="DJN2" s="353"/>
      <c r="DJO2" s="353"/>
      <c r="DJP2" s="353"/>
      <c r="DJQ2" s="353"/>
      <c r="DJR2" s="353"/>
      <c r="DJS2" s="353"/>
      <c r="DJT2" s="353"/>
      <c r="DJU2" s="353"/>
      <c r="DJV2" s="353"/>
      <c r="DJW2" s="353"/>
      <c r="DJX2" s="353"/>
      <c r="DJY2" s="353"/>
      <c r="DJZ2" s="353"/>
      <c r="DKA2" s="353"/>
      <c r="DKB2" s="353"/>
      <c r="DKC2" s="353"/>
      <c r="DKD2" s="353"/>
      <c r="DKE2" s="353"/>
      <c r="DKF2" s="353"/>
      <c r="DKG2" s="353"/>
      <c r="DKH2" s="353"/>
      <c r="DKI2" s="353"/>
      <c r="DKJ2" s="353"/>
      <c r="DKK2" s="353"/>
      <c r="DKL2" s="353"/>
      <c r="DKM2" s="353"/>
      <c r="DKN2" s="353"/>
      <c r="DKO2" s="353"/>
      <c r="DKP2" s="353"/>
      <c r="DKQ2" s="353"/>
      <c r="DKR2" s="353"/>
      <c r="DKS2" s="353"/>
      <c r="DKT2" s="353"/>
      <c r="DKU2" s="353"/>
      <c r="DKV2" s="353"/>
      <c r="DKW2" s="353"/>
      <c r="DKX2" s="353"/>
      <c r="DKY2" s="353"/>
      <c r="DKZ2" s="353"/>
      <c r="DLA2" s="353"/>
      <c r="DLB2" s="353"/>
      <c r="DLC2" s="353"/>
      <c r="DLD2" s="353"/>
      <c r="DLE2" s="353"/>
      <c r="DLF2" s="353"/>
      <c r="DLG2" s="353"/>
      <c r="DLH2" s="353"/>
      <c r="DLI2" s="353"/>
      <c r="DLJ2" s="353"/>
      <c r="DLK2" s="353"/>
      <c r="DLL2" s="353"/>
      <c r="DLM2" s="353"/>
      <c r="DLN2" s="353"/>
      <c r="DLO2" s="353"/>
      <c r="DLP2" s="353"/>
      <c r="DLQ2" s="353"/>
      <c r="DLR2" s="353"/>
      <c r="DLS2" s="353"/>
      <c r="DLT2" s="353"/>
      <c r="DLU2" s="353"/>
      <c r="DLV2" s="353"/>
      <c r="DLW2" s="353"/>
      <c r="DLX2" s="353"/>
      <c r="DLY2" s="353"/>
      <c r="DLZ2" s="353"/>
      <c r="DMA2" s="353"/>
      <c r="DMB2" s="353"/>
      <c r="DMC2" s="353"/>
      <c r="DMD2" s="353"/>
      <c r="DME2" s="353"/>
      <c r="DMF2" s="353"/>
      <c r="DMG2" s="353"/>
      <c r="DMH2" s="353"/>
      <c r="DMI2" s="353"/>
      <c r="DMJ2" s="353"/>
      <c r="DMK2" s="353"/>
      <c r="DML2" s="353"/>
      <c r="DMM2" s="353"/>
      <c r="DMN2" s="353"/>
      <c r="DMO2" s="353"/>
      <c r="DMP2" s="353"/>
      <c r="DMQ2" s="353"/>
      <c r="DMR2" s="353"/>
      <c r="DMS2" s="353"/>
      <c r="DMT2" s="353"/>
      <c r="DMU2" s="353"/>
      <c r="DMV2" s="353"/>
      <c r="DMW2" s="353"/>
      <c r="DMX2" s="353"/>
      <c r="DMY2" s="353"/>
      <c r="DMZ2" s="353"/>
      <c r="DNA2" s="353"/>
      <c r="DNB2" s="353"/>
      <c r="DNC2" s="353"/>
      <c r="DND2" s="353"/>
      <c r="DNE2" s="353"/>
      <c r="DNF2" s="353"/>
      <c r="DNG2" s="353"/>
      <c r="DNH2" s="353"/>
      <c r="DNI2" s="353"/>
      <c r="DNJ2" s="353"/>
      <c r="DNK2" s="353"/>
      <c r="DNL2" s="353"/>
      <c r="DNM2" s="353"/>
      <c r="DNN2" s="353"/>
      <c r="DNO2" s="353"/>
      <c r="DNP2" s="353"/>
      <c r="DNQ2" s="353"/>
      <c r="DNR2" s="353"/>
      <c r="DNS2" s="353"/>
      <c r="DNT2" s="353"/>
      <c r="DNU2" s="353"/>
      <c r="DNV2" s="353"/>
      <c r="DNW2" s="353"/>
      <c r="DNX2" s="353"/>
      <c r="DNY2" s="353"/>
      <c r="DNZ2" s="353"/>
      <c r="DOA2" s="353"/>
      <c r="DOB2" s="353"/>
      <c r="DOC2" s="353"/>
      <c r="DOD2" s="353"/>
      <c r="DOE2" s="353"/>
      <c r="DOF2" s="353"/>
      <c r="DOG2" s="353"/>
      <c r="DOH2" s="353"/>
      <c r="DOI2" s="353"/>
      <c r="DOJ2" s="353"/>
      <c r="DOK2" s="353"/>
      <c r="DOL2" s="353"/>
      <c r="DOM2" s="353"/>
      <c r="DON2" s="353"/>
      <c r="DOO2" s="353"/>
      <c r="DOP2" s="353"/>
      <c r="DOQ2" s="353"/>
      <c r="DOR2" s="353"/>
      <c r="DOS2" s="353"/>
      <c r="DOT2" s="353"/>
      <c r="DOU2" s="353"/>
      <c r="DOV2" s="353"/>
      <c r="DOW2" s="353"/>
      <c r="DOX2" s="353"/>
      <c r="DOY2" s="353"/>
      <c r="DOZ2" s="353"/>
      <c r="DPA2" s="353"/>
      <c r="DPB2" s="353"/>
      <c r="DPC2" s="353"/>
      <c r="DPD2" s="353"/>
      <c r="DPE2" s="353"/>
      <c r="DPF2" s="353"/>
      <c r="DPG2" s="353"/>
      <c r="DPH2" s="353"/>
      <c r="DPI2" s="353"/>
      <c r="DPJ2" s="353"/>
      <c r="DPK2" s="353"/>
      <c r="DPL2" s="353"/>
      <c r="DPM2" s="353"/>
      <c r="DPN2" s="353"/>
      <c r="DPO2" s="353"/>
      <c r="DPP2" s="353"/>
      <c r="DPQ2" s="353"/>
      <c r="DPR2" s="353"/>
      <c r="DPS2" s="353"/>
      <c r="DPT2" s="353"/>
      <c r="DPU2" s="353"/>
      <c r="DPV2" s="353"/>
      <c r="DPW2" s="353"/>
      <c r="DPX2" s="353"/>
      <c r="DPY2" s="353"/>
      <c r="DPZ2" s="353"/>
      <c r="DQA2" s="353"/>
      <c r="DQB2" s="353"/>
      <c r="DQC2" s="353"/>
      <c r="DQD2" s="353"/>
      <c r="DQE2" s="353"/>
      <c r="DQF2" s="353"/>
      <c r="DQG2" s="353"/>
      <c r="DQH2" s="353"/>
      <c r="DQI2" s="353"/>
      <c r="DQJ2" s="353"/>
      <c r="DQK2" s="353"/>
      <c r="DQL2" s="353"/>
      <c r="DQM2" s="353"/>
      <c r="DQN2" s="353"/>
      <c r="DQO2" s="353"/>
      <c r="DQP2" s="353"/>
      <c r="DQQ2" s="353"/>
      <c r="DQR2" s="353"/>
      <c r="DQS2" s="353"/>
      <c r="DQT2" s="353"/>
      <c r="DQU2" s="353"/>
      <c r="DQV2" s="353"/>
      <c r="DQW2" s="353"/>
      <c r="DQX2" s="353"/>
      <c r="DQY2" s="353"/>
      <c r="DQZ2" s="353"/>
      <c r="DRA2" s="353"/>
      <c r="DRB2" s="353"/>
      <c r="DRC2" s="353"/>
      <c r="DRD2" s="353"/>
      <c r="DRE2" s="353"/>
      <c r="DRF2" s="353"/>
      <c r="DRG2" s="353"/>
      <c r="DRH2" s="353"/>
      <c r="DRI2" s="353"/>
      <c r="DRJ2" s="353"/>
      <c r="DRK2" s="353"/>
      <c r="DRL2" s="353"/>
      <c r="DRM2" s="353"/>
      <c r="DRN2" s="353"/>
      <c r="DRO2" s="353"/>
      <c r="DRP2" s="353"/>
      <c r="DRQ2" s="353"/>
      <c r="DRR2" s="353"/>
      <c r="DRS2" s="353"/>
      <c r="DRT2" s="353"/>
      <c r="DRU2" s="353"/>
      <c r="DRV2" s="353"/>
      <c r="DRW2" s="353"/>
      <c r="DRX2" s="353"/>
      <c r="DRY2" s="353"/>
      <c r="DRZ2" s="353"/>
      <c r="DSA2" s="353"/>
      <c r="DSB2" s="353"/>
      <c r="DSC2" s="353"/>
      <c r="DSD2" s="353"/>
      <c r="DSE2" s="353"/>
      <c r="DSF2" s="353"/>
      <c r="DSG2" s="353"/>
      <c r="DSH2" s="353"/>
      <c r="DSI2" s="353"/>
      <c r="DSJ2" s="353"/>
      <c r="DSK2" s="353"/>
      <c r="DSL2" s="353"/>
      <c r="DSM2" s="353"/>
      <c r="DSN2" s="353"/>
      <c r="DSO2" s="353"/>
      <c r="DSP2" s="353"/>
      <c r="DSQ2" s="353"/>
      <c r="DSR2" s="353"/>
      <c r="DSS2" s="353"/>
      <c r="DST2" s="353"/>
      <c r="DSU2" s="353"/>
      <c r="DSV2" s="353"/>
      <c r="DSW2" s="353"/>
      <c r="DSX2" s="353"/>
      <c r="DSY2" s="353"/>
      <c r="DSZ2" s="353"/>
      <c r="DTA2" s="353"/>
      <c r="DTB2" s="353"/>
      <c r="DTC2" s="353"/>
      <c r="DTD2" s="353"/>
      <c r="DTE2" s="353"/>
      <c r="DTF2" s="353"/>
      <c r="DTG2" s="353"/>
      <c r="DTH2" s="353"/>
      <c r="DTI2" s="353"/>
      <c r="DTJ2" s="353"/>
      <c r="DTK2" s="353"/>
      <c r="DTL2" s="353"/>
      <c r="DTM2" s="353"/>
      <c r="DTN2" s="353"/>
      <c r="DTO2" s="353"/>
      <c r="DTP2" s="353"/>
      <c r="DTQ2" s="353"/>
      <c r="DTR2" s="353"/>
      <c r="DTS2" s="353"/>
      <c r="DTT2" s="353"/>
      <c r="DTU2" s="353"/>
      <c r="DTV2" s="353"/>
      <c r="DTW2" s="353"/>
      <c r="DTX2" s="353"/>
      <c r="DTY2" s="353"/>
      <c r="DTZ2" s="353"/>
      <c r="DUA2" s="353"/>
      <c r="DUB2" s="353"/>
      <c r="DUC2" s="353"/>
      <c r="DUD2" s="353"/>
      <c r="DUE2" s="353"/>
      <c r="DUF2" s="353"/>
      <c r="DUG2" s="353"/>
      <c r="DUH2" s="353"/>
      <c r="DUI2" s="353"/>
      <c r="DUJ2" s="353"/>
      <c r="DUK2" s="353"/>
      <c r="DUL2" s="353"/>
      <c r="DUM2" s="353"/>
      <c r="DUN2" s="353"/>
      <c r="DUO2" s="353"/>
      <c r="DUP2" s="353"/>
      <c r="DUQ2" s="353"/>
      <c r="DUR2" s="353"/>
      <c r="DUS2" s="353"/>
      <c r="DUT2" s="353"/>
      <c r="DUU2" s="353"/>
      <c r="DUV2" s="353"/>
      <c r="DUW2" s="353"/>
      <c r="DUX2" s="353"/>
      <c r="DUY2" s="353"/>
      <c r="DUZ2" s="353"/>
      <c r="DVA2" s="353"/>
      <c r="DVB2" s="353"/>
      <c r="DVC2" s="353"/>
      <c r="DVD2" s="353"/>
      <c r="DVE2" s="353"/>
      <c r="DVF2" s="353"/>
      <c r="DVG2" s="353"/>
      <c r="DVH2" s="353"/>
      <c r="DVI2" s="353"/>
      <c r="DVJ2" s="353"/>
      <c r="DVK2" s="353"/>
      <c r="DVL2" s="353"/>
      <c r="DVM2" s="353"/>
      <c r="DVN2" s="353"/>
      <c r="DVO2" s="353"/>
      <c r="DVP2" s="353"/>
      <c r="DVQ2" s="353"/>
      <c r="DVR2" s="353"/>
      <c r="DVS2" s="353"/>
      <c r="DVT2" s="353"/>
      <c r="DVU2" s="353"/>
      <c r="DVV2" s="353"/>
      <c r="DVW2" s="353"/>
      <c r="DVX2" s="353"/>
      <c r="DVY2" s="353"/>
      <c r="DVZ2" s="353"/>
      <c r="DWA2" s="353"/>
      <c r="DWB2" s="353"/>
      <c r="DWC2" s="353"/>
      <c r="DWD2" s="353"/>
      <c r="DWE2" s="353"/>
      <c r="DWF2" s="353"/>
      <c r="DWG2" s="353"/>
      <c r="DWH2" s="353"/>
      <c r="DWI2" s="353"/>
      <c r="DWJ2" s="353"/>
      <c r="DWK2" s="353"/>
      <c r="DWL2" s="353"/>
      <c r="DWM2" s="353"/>
      <c r="DWN2" s="353"/>
      <c r="DWO2" s="353"/>
      <c r="DWP2" s="353"/>
      <c r="DWQ2" s="353"/>
      <c r="DWR2" s="353"/>
      <c r="DWS2" s="353"/>
      <c r="DWT2" s="353"/>
      <c r="DWU2" s="353"/>
      <c r="DWV2" s="353"/>
      <c r="DWW2" s="353"/>
      <c r="DWX2" s="353"/>
      <c r="DWY2" s="353"/>
      <c r="DWZ2" s="353"/>
      <c r="DXA2" s="353"/>
      <c r="DXB2" s="353"/>
      <c r="DXC2" s="353"/>
      <c r="DXD2" s="353"/>
      <c r="DXE2" s="353"/>
      <c r="DXF2" s="353"/>
      <c r="DXG2" s="353"/>
      <c r="DXH2" s="353"/>
      <c r="DXI2" s="353"/>
      <c r="DXJ2" s="353"/>
      <c r="DXK2" s="353"/>
      <c r="DXL2" s="353"/>
      <c r="DXM2" s="353"/>
      <c r="DXN2" s="353"/>
      <c r="DXO2" s="353"/>
      <c r="DXP2" s="353"/>
      <c r="DXQ2" s="353"/>
      <c r="DXR2" s="353"/>
      <c r="DXS2" s="353"/>
      <c r="DXT2" s="353"/>
      <c r="DXU2" s="353"/>
      <c r="DXV2" s="353"/>
      <c r="DXW2" s="353"/>
      <c r="DXX2" s="353"/>
      <c r="DXY2" s="353"/>
      <c r="DXZ2" s="353"/>
      <c r="DYA2" s="353"/>
      <c r="DYB2" s="353"/>
      <c r="DYC2" s="353"/>
      <c r="DYD2" s="353"/>
      <c r="DYE2" s="353"/>
      <c r="DYF2" s="353"/>
      <c r="DYG2" s="353"/>
      <c r="DYH2" s="353"/>
      <c r="DYI2" s="353"/>
      <c r="DYJ2" s="353"/>
      <c r="DYK2" s="353"/>
      <c r="DYL2" s="353"/>
      <c r="DYM2" s="353"/>
      <c r="DYN2" s="353"/>
      <c r="DYO2" s="353"/>
      <c r="DYP2" s="353"/>
      <c r="DYQ2" s="353"/>
      <c r="DYR2" s="353"/>
      <c r="DYS2" s="353"/>
      <c r="DYT2" s="353"/>
      <c r="DYU2" s="353"/>
      <c r="DYV2" s="353"/>
      <c r="DYW2" s="353"/>
      <c r="DYX2" s="353"/>
      <c r="DYY2" s="353"/>
      <c r="DYZ2" s="353"/>
      <c r="DZA2" s="353"/>
      <c r="DZB2" s="353"/>
      <c r="DZC2" s="353"/>
      <c r="DZD2" s="353"/>
      <c r="DZE2" s="353"/>
      <c r="DZF2" s="353"/>
      <c r="DZG2" s="353"/>
      <c r="DZH2" s="353"/>
      <c r="DZI2" s="353"/>
      <c r="DZJ2" s="353"/>
      <c r="DZK2" s="353"/>
      <c r="DZL2" s="353"/>
      <c r="DZM2" s="353"/>
      <c r="DZN2" s="353"/>
      <c r="DZO2" s="353"/>
      <c r="DZP2" s="353"/>
      <c r="DZQ2" s="353"/>
      <c r="DZR2" s="353"/>
      <c r="DZS2" s="353"/>
      <c r="DZT2" s="353"/>
      <c r="DZU2" s="353"/>
      <c r="DZV2" s="353"/>
      <c r="DZW2" s="353"/>
      <c r="DZX2" s="353"/>
      <c r="DZY2" s="353"/>
      <c r="DZZ2" s="353"/>
      <c r="EAA2" s="353"/>
      <c r="EAB2" s="353"/>
      <c r="EAC2" s="353"/>
      <c r="EAD2" s="353"/>
      <c r="EAE2" s="353"/>
      <c r="EAF2" s="353"/>
      <c r="EAG2" s="353"/>
      <c r="EAH2" s="353"/>
      <c r="EAI2" s="353"/>
      <c r="EAJ2" s="353"/>
      <c r="EAK2" s="353"/>
      <c r="EAL2" s="353"/>
      <c r="EAM2" s="353"/>
      <c r="EAN2" s="353"/>
      <c r="EAO2" s="353"/>
      <c r="EAP2" s="353"/>
      <c r="EAQ2" s="353"/>
      <c r="EAR2" s="353"/>
      <c r="EAS2" s="353"/>
      <c r="EAT2" s="353"/>
      <c r="EAU2" s="353"/>
      <c r="EAV2" s="353"/>
      <c r="EAW2" s="353"/>
      <c r="EAX2" s="353"/>
      <c r="EAY2" s="353"/>
      <c r="EAZ2" s="353"/>
      <c r="EBA2" s="353"/>
      <c r="EBB2" s="353"/>
      <c r="EBC2" s="353"/>
      <c r="EBD2" s="353"/>
      <c r="EBE2" s="353"/>
      <c r="EBF2" s="353"/>
      <c r="EBG2" s="353"/>
      <c r="EBH2" s="353"/>
      <c r="EBI2" s="353"/>
      <c r="EBJ2" s="353"/>
      <c r="EBK2" s="353"/>
      <c r="EBL2" s="353"/>
      <c r="EBM2" s="353"/>
      <c r="EBN2" s="353"/>
      <c r="EBO2" s="353"/>
      <c r="EBP2" s="353"/>
      <c r="EBQ2" s="353"/>
      <c r="EBR2" s="353"/>
      <c r="EBS2" s="353"/>
      <c r="EBT2" s="353"/>
      <c r="EBU2" s="353"/>
      <c r="EBV2" s="353"/>
      <c r="EBW2" s="353"/>
      <c r="EBX2" s="353"/>
      <c r="EBY2" s="353"/>
      <c r="EBZ2" s="353"/>
      <c r="ECA2" s="353"/>
      <c r="ECB2" s="353"/>
      <c r="ECC2" s="353"/>
      <c r="ECD2" s="353"/>
      <c r="ECE2" s="353"/>
      <c r="ECF2" s="353"/>
      <c r="ECG2" s="353"/>
      <c r="ECH2" s="353"/>
      <c r="ECI2" s="353"/>
      <c r="ECJ2" s="353"/>
      <c r="ECK2" s="353"/>
      <c r="ECL2" s="353"/>
      <c r="ECM2" s="353"/>
      <c r="ECN2" s="353"/>
      <c r="ECO2" s="353"/>
      <c r="ECP2" s="353"/>
      <c r="ECQ2" s="353"/>
      <c r="ECR2" s="353"/>
      <c r="ECS2" s="353"/>
      <c r="ECT2" s="353"/>
      <c r="ECU2" s="353"/>
      <c r="ECV2" s="353"/>
      <c r="ECW2" s="353"/>
      <c r="ECX2" s="353"/>
      <c r="ECY2" s="353"/>
      <c r="ECZ2" s="353"/>
      <c r="EDA2" s="353"/>
      <c r="EDB2" s="353"/>
      <c r="EDC2" s="353"/>
      <c r="EDD2" s="353"/>
      <c r="EDE2" s="353"/>
      <c r="EDF2" s="353"/>
      <c r="EDG2" s="353"/>
      <c r="EDH2" s="353"/>
      <c r="EDI2" s="353"/>
      <c r="EDJ2" s="353"/>
      <c r="EDK2" s="353"/>
      <c r="EDL2" s="353"/>
      <c r="EDM2" s="353"/>
      <c r="EDN2" s="353"/>
      <c r="EDO2" s="353"/>
      <c r="EDP2" s="353"/>
      <c r="EDQ2" s="353"/>
      <c r="EDR2" s="353"/>
      <c r="EDS2" s="353"/>
      <c r="EDT2" s="353"/>
      <c r="EDU2" s="353"/>
      <c r="EDV2" s="353"/>
      <c r="EDW2" s="353"/>
      <c r="EDX2" s="353"/>
      <c r="EDY2" s="353"/>
      <c r="EDZ2" s="353"/>
      <c r="EEA2" s="353"/>
      <c r="EEB2" s="353"/>
      <c r="EEC2" s="353"/>
      <c r="EED2" s="353"/>
      <c r="EEE2" s="353"/>
      <c r="EEF2" s="353"/>
      <c r="EEG2" s="353"/>
      <c r="EEH2" s="353"/>
      <c r="EEI2" s="353"/>
      <c r="EEJ2" s="353"/>
      <c r="EEK2" s="353"/>
      <c r="EEL2" s="353"/>
      <c r="EEM2" s="353"/>
      <c r="EEN2" s="353"/>
      <c r="EEO2" s="353"/>
      <c r="EEP2" s="353"/>
      <c r="EEQ2" s="353"/>
      <c r="EER2" s="353"/>
      <c r="EES2" s="353"/>
      <c r="EET2" s="353"/>
      <c r="EEU2" s="353"/>
      <c r="EEV2" s="353"/>
      <c r="EEW2" s="353"/>
      <c r="EEX2" s="353"/>
      <c r="EEY2" s="353"/>
      <c r="EEZ2" s="353"/>
      <c r="EFA2" s="353"/>
      <c r="EFB2" s="353"/>
      <c r="EFC2" s="353"/>
      <c r="EFD2" s="353"/>
      <c r="EFE2" s="353"/>
      <c r="EFF2" s="353"/>
      <c r="EFG2" s="353"/>
      <c r="EFH2" s="353"/>
      <c r="EFI2" s="353"/>
      <c r="EFJ2" s="353"/>
      <c r="EFK2" s="353"/>
      <c r="EFL2" s="353"/>
      <c r="EFM2" s="353"/>
      <c r="EFN2" s="353"/>
      <c r="EFO2" s="353"/>
      <c r="EFP2" s="353"/>
      <c r="EFQ2" s="353"/>
      <c r="EFR2" s="353"/>
      <c r="EFS2" s="353"/>
      <c r="EFT2" s="353"/>
      <c r="EFU2" s="353"/>
      <c r="EFV2" s="353"/>
      <c r="EFW2" s="353"/>
      <c r="EFX2" s="353"/>
      <c r="EFY2" s="353"/>
      <c r="EFZ2" s="353"/>
      <c r="EGA2" s="353"/>
      <c r="EGB2" s="353"/>
      <c r="EGC2" s="353"/>
      <c r="EGD2" s="353"/>
      <c r="EGE2" s="353"/>
      <c r="EGF2" s="353"/>
      <c r="EGG2" s="353"/>
      <c r="EGH2" s="353"/>
      <c r="EGI2" s="353"/>
      <c r="EGJ2" s="353"/>
      <c r="EGK2" s="353"/>
      <c r="EGL2" s="353"/>
      <c r="EGM2" s="353"/>
      <c r="EGN2" s="353"/>
      <c r="EGO2" s="353"/>
      <c r="EGP2" s="353"/>
      <c r="EGQ2" s="353"/>
      <c r="EGR2" s="353"/>
      <c r="EGS2" s="353"/>
      <c r="EGT2" s="353"/>
      <c r="EGU2" s="353"/>
      <c r="EGV2" s="353"/>
      <c r="EGW2" s="353"/>
      <c r="EGX2" s="353"/>
      <c r="EGY2" s="353"/>
      <c r="EGZ2" s="353"/>
      <c r="EHA2" s="353"/>
      <c r="EHB2" s="353"/>
      <c r="EHC2" s="353"/>
      <c r="EHD2" s="353"/>
      <c r="EHE2" s="353"/>
      <c r="EHF2" s="353"/>
      <c r="EHG2" s="353"/>
      <c r="EHH2" s="353"/>
      <c r="EHI2" s="353"/>
      <c r="EHJ2" s="353"/>
      <c r="EHK2" s="353"/>
      <c r="EHL2" s="353"/>
      <c r="EHM2" s="353"/>
      <c r="EHN2" s="353"/>
      <c r="EHO2" s="353"/>
      <c r="EHP2" s="353"/>
      <c r="EHQ2" s="353"/>
      <c r="EHR2" s="353"/>
      <c r="EHS2" s="353"/>
      <c r="EHT2" s="353"/>
      <c r="EHU2" s="353"/>
      <c r="EHV2" s="353"/>
      <c r="EHW2" s="353"/>
      <c r="EHX2" s="353"/>
      <c r="EHY2" s="353"/>
      <c r="EHZ2" s="353"/>
      <c r="EIA2" s="353"/>
      <c r="EIB2" s="353"/>
      <c r="EIC2" s="353"/>
      <c r="EID2" s="353"/>
      <c r="EIE2" s="353"/>
      <c r="EIF2" s="353"/>
      <c r="EIG2" s="353"/>
      <c r="EIH2" s="353"/>
      <c r="EII2" s="353"/>
      <c r="EIJ2" s="353"/>
      <c r="EIK2" s="353"/>
      <c r="EIL2" s="353"/>
      <c r="EIM2" s="353"/>
      <c r="EIN2" s="353"/>
      <c r="EIO2" s="353"/>
      <c r="EIP2" s="353"/>
      <c r="EIQ2" s="353"/>
      <c r="EIR2" s="353"/>
      <c r="EIS2" s="353"/>
      <c r="EIT2" s="353"/>
      <c r="EIU2" s="353"/>
      <c r="EIV2" s="353"/>
      <c r="EIW2" s="353"/>
      <c r="EIX2" s="353"/>
      <c r="EIY2" s="353"/>
      <c r="EIZ2" s="353"/>
      <c r="EJA2" s="353"/>
      <c r="EJB2" s="353"/>
      <c r="EJC2" s="353"/>
      <c r="EJD2" s="353"/>
      <c r="EJE2" s="353"/>
      <c r="EJF2" s="353"/>
      <c r="EJG2" s="353"/>
      <c r="EJH2" s="353"/>
      <c r="EJI2" s="353"/>
      <c r="EJJ2" s="353"/>
      <c r="EJK2" s="353"/>
      <c r="EJL2" s="353"/>
      <c r="EJM2" s="353"/>
      <c r="EJN2" s="353"/>
      <c r="EJO2" s="353"/>
      <c r="EJP2" s="353"/>
      <c r="EJQ2" s="353"/>
      <c r="EJR2" s="353"/>
      <c r="EJS2" s="353"/>
      <c r="EJT2" s="353"/>
      <c r="EJU2" s="353"/>
      <c r="EJV2" s="353"/>
      <c r="EJW2" s="353"/>
      <c r="EJX2" s="353"/>
      <c r="EJY2" s="353"/>
      <c r="EJZ2" s="353"/>
      <c r="EKA2" s="353"/>
      <c r="EKB2" s="353"/>
      <c r="EKC2" s="353"/>
      <c r="EKD2" s="353"/>
      <c r="EKE2" s="353"/>
      <c r="EKF2" s="353"/>
      <c r="EKG2" s="353"/>
      <c r="EKH2" s="353"/>
      <c r="EKI2" s="353"/>
      <c r="EKJ2" s="353"/>
      <c r="EKK2" s="353"/>
      <c r="EKL2" s="353"/>
      <c r="EKM2" s="353"/>
      <c r="EKN2" s="353"/>
      <c r="EKO2" s="353"/>
      <c r="EKP2" s="353"/>
      <c r="EKQ2" s="353"/>
      <c r="EKR2" s="353"/>
      <c r="EKS2" s="353"/>
      <c r="EKT2" s="353"/>
      <c r="EKU2" s="353"/>
      <c r="EKV2" s="353"/>
      <c r="EKW2" s="353"/>
      <c r="EKX2" s="353"/>
      <c r="EKY2" s="353"/>
      <c r="EKZ2" s="353"/>
      <c r="ELA2" s="353"/>
      <c r="ELB2" s="353"/>
      <c r="ELC2" s="353"/>
      <c r="ELD2" s="353"/>
      <c r="ELE2" s="353"/>
      <c r="ELF2" s="353"/>
      <c r="ELG2" s="353"/>
      <c r="ELH2" s="353"/>
      <c r="ELI2" s="353"/>
      <c r="ELJ2" s="353"/>
      <c r="ELK2" s="353"/>
      <c r="ELL2" s="353"/>
      <c r="ELM2" s="353"/>
      <c r="ELN2" s="353"/>
      <c r="ELO2" s="353"/>
      <c r="ELP2" s="353"/>
      <c r="ELQ2" s="353"/>
      <c r="ELR2" s="353"/>
      <c r="ELS2" s="353"/>
      <c r="ELT2" s="353"/>
      <c r="ELU2" s="353"/>
      <c r="ELV2" s="353"/>
      <c r="ELW2" s="353"/>
      <c r="ELX2" s="353"/>
      <c r="ELY2" s="353"/>
      <c r="ELZ2" s="353"/>
      <c r="EMA2" s="353"/>
      <c r="EMB2" s="353"/>
      <c r="EMC2" s="353"/>
      <c r="EMD2" s="353"/>
      <c r="EME2" s="353"/>
      <c r="EMF2" s="353"/>
      <c r="EMG2" s="353"/>
      <c r="EMH2" s="353"/>
      <c r="EMI2" s="353"/>
      <c r="EMJ2" s="353"/>
      <c r="EMK2" s="353"/>
      <c r="EML2" s="353"/>
      <c r="EMM2" s="353"/>
      <c r="EMN2" s="353"/>
      <c r="EMO2" s="353"/>
      <c r="EMP2" s="353"/>
      <c r="EMQ2" s="353"/>
      <c r="EMR2" s="353"/>
      <c r="EMS2" s="353"/>
      <c r="EMT2" s="353"/>
      <c r="EMU2" s="353"/>
      <c r="EMV2" s="353"/>
      <c r="EMW2" s="353"/>
      <c r="EMX2" s="353"/>
      <c r="EMY2" s="353"/>
      <c r="EMZ2" s="353"/>
      <c r="ENA2" s="353"/>
      <c r="ENB2" s="353"/>
      <c r="ENC2" s="353"/>
      <c r="END2" s="353"/>
      <c r="ENE2" s="353"/>
      <c r="ENF2" s="353"/>
      <c r="ENG2" s="353"/>
      <c r="ENH2" s="353"/>
      <c r="ENI2" s="353"/>
      <c r="ENJ2" s="353"/>
      <c r="ENK2" s="353"/>
      <c r="ENL2" s="353"/>
      <c r="ENM2" s="353"/>
      <c r="ENN2" s="353"/>
      <c r="ENO2" s="353"/>
      <c r="ENP2" s="353"/>
      <c r="ENQ2" s="353"/>
      <c r="ENR2" s="353"/>
      <c r="ENS2" s="353"/>
      <c r="ENT2" s="353"/>
      <c r="ENU2" s="353"/>
      <c r="ENV2" s="353"/>
      <c r="ENW2" s="353"/>
      <c r="ENX2" s="353"/>
      <c r="ENY2" s="353"/>
      <c r="ENZ2" s="353"/>
      <c r="EOA2" s="353"/>
      <c r="EOB2" s="353"/>
      <c r="EOC2" s="353"/>
      <c r="EOD2" s="353"/>
      <c r="EOE2" s="353"/>
      <c r="EOF2" s="353"/>
      <c r="EOG2" s="353"/>
      <c r="EOH2" s="353"/>
      <c r="EOI2" s="353"/>
      <c r="EOJ2" s="353"/>
      <c r="EOK2" s="353"/>
      <c r="EOL2" s="353"/>
      <c r="EOM2" s="353"/>
      <c r="EON2" s="353"/>
      <c r="EOO2" s="353"/>
      <c r="EOP2" s="353"/>
      <c r="EOQ2" s="353"/>
      <c r="EOR2" s="353"/>
      <c r="EOS2" s="353"/>
      <c r="EOT2" s="353"/>
      <c r="EOU2" s="353"/>
      <c r="EOV2" s="353"/>
      <c r="EOW2" s="353"/>
      <c r="EOX2" s="353"/>
      <c r="EOY2" s="353"/>
      <c r="EOZ2" s="353"/>
      <c r="EPA2" s="353"/>
      <c r="EPB2" s="353"/>
      <c r="EPC2" s="353"/>
      <c r="EPD2" s="353"/>
      <c r="EPE2" s="353"/>
      <c r="EPF2" s="353"/>
      <c r="EPG2" s="353"/>
      <c r="EPH2" s="353"/>
      <c r="EPI2" s="353"/>
      <c r="EPJ2" s="353"/>
      <c r="EPK2" s="353"/>
      <c r="EPL2" s="353"/>
      <c r="EPM2" s="353"/>
      <c r="EPN2" s="353"/>
      <c r="EPO2" s="353"/>
      <c r="EPP2" s="353"/>
      <c r="EPQ2" s="353"/>
      <c r="EPR2" s="353"/>
      <c r="EPS2" s="353"/>
      <c r="EPT2" s="353"/>
      <c r="EPU2" s="353"/>
      <c r="EPV2" s="353"/>
      <c r="EPW2" s="353"/>
      <c r="EPX2" s="353"/>
      <c r="EPY2" s="353"/>
      <c r="EPZ2" s="353"/>
      <c r="EQA2" s="353"/>
      <c r="EQB2" s="353"/>
      <c r="EQC2" s="353"/>
      <c r="EQD2" s="353"/>
      <c r="EQE2" s="353"/>
      <c r="EQF2" s="353"/>
      <c r="EQG2" s="353"/>
      <c r="EQH2" s="353"/>
      <c r="EQI2" s="353"/>
      <c r="EQJ2" s="353"/>
      <c r="EQK2" s="353"/>
      <c r="EQL2" s="353"/>
      <c r="EQM2" s="353"/>
      <c r="EQN2" s="353"/>
      <c r="EQO2" s="353"/>
      <c r="EQP2" s="353"/>
      <c r="EQQ2" s="353"/>
      <c r="EQR2" s="353"/>
      <c r="EQS2" s="353"/>
      <c r="EQT2" s="353"/>
      <c r="EQU2" s="353"/>
      <c r="EQV2" s="353"/>
      <c r="EQW2" s="353"/>
      <c r="EQX2" s="353"/>
      <c r="EQY2" s="353"/>
      <c r="EQZ2" s="353"/>
      <c r="ERA2" s="353"/>
      <c r="ERB2" s="353"/>
      <c r="ERC2" s="353"/>
      <c r="ERD2" s="353"/>
      <c r="ERE2" s="353"/>
      <c r="ERF2" s="353"/>
      <c r="ERG2" s="353"/>
      <c r="ERH2" s="353"/>
      <c r="ERI2" s="353"/>
      <c r="ERJ2" s="353"/>
      <c r="ERK2" s="353"/>
      <c r="ERL2" s="353"/>
      <c r="ERM2" s="353"/>
      <c r="ERN2" s="353"/>
      <c r="ERO2" s="353"/>
      <c r="ERP2" s="353"/>
      <c r="ERQ2" s="353"/>
      <c r="ERR2" s="353"/>
      <c r="ERS2" s="353"/>
      <c r="ERT2" s="353"/>
      <c r="ERU2" s="353"/>
      <c r="ERV2" s="353"/>
      <c r="ERW2" s="353"/>
      <c r="ERX2" s="353"/>
      <c r="ERY2" s="353"/>
      <c r="ERZ2" s="353"/>
      <c r="ESA2" s="353"/>
      <c r="ESB2" s="353"/>
      <c r="ESC2" s="353"/>
      <c r="ESD2" s="353"/>
      <c r="ESE2" s="353"/>
      <c r="ESF2" s="353"/>
      <c r="ESG2" s="353"/>
      <c r="ESH2" s="353"/>
      <c r="ESI2" s="353"/>
      <c r="ESJ2" s="353"/>
      <c r="ESK2" s="353"/>
      <c r="ESL2" s="353"/>
      <c r="ESM2" s="353"/>
      <c r="ESN2" s="353"/>
      <c r="ESO2" s="353"/>
      <c r="ESP2" s="353"/>
      <c r="ESQ2" s="353"/>
      <c r="ESR2" s="353"/>
      <c r="ESS2" s="353"/>
      <c r="EST2" s="353"/>
      <c r="ESU2" s="353"/>
      <c r="ESV2" s="353"/>
      <c r="ESW2" s="353"/>
      <c r="ESX2" s="353"/>
      <c r="ESY2" s="353"/>
      <c r="ESZ2" s="353"/>
      <c r="ETA2" s="353"/>
      <c r="ETB2" s="353"/>
      <c r="ETC2" s="353"/>
      <c r="ETD2" s="353"/>
      <c r="ETE2" s="353"/>
      <c r="ETF2" s="353"/>
      <c r="ETG2" s="353"/>
      <c r="ETH2" s="353"/>
      <c r="ETI2" s="353"/>
      <c r="ETJ2" s="353"/>
      <c r="ETK2" s="353"/>
      <c r="ETL2" s="353"/>
      <c r="ETM2" s="353"/>
      <c r="ETN2" s="353"/>
      <c r="ETO2" s="353"/>
      <c r="ETP2" s="353"/>
      <c r="ETQ2" s="353"/>
      <c r="ETR2" s="353"/>
      <c r="ETS2" s="353"/>
      <c r="ETT2" s="353"/>
      <c r="ETU2" s="353"/>
      <c r="ETV2" s="353"/>
      <c r="ETW2" s="353"/>
      <c r="ETX2" s="353"/>
      <c r="ETY2" s="353"/>
      <c r="ETZ2" s="353"/>
      <c r="EUA2" s="353"/>
      <c r="EUB2" s="353"/>
      <c r="EUC2" s="353"/>
      <c r="EUD2" s="353"/>
      <c r="EUE2" s="353"/>
      <c r="EUF2" s="353"/>
      <c r="EUG2" s="353"/>
      <c r="EUH2" s="353"/>
      <c r="EUI2" s="353"/>
      <c r="EUJ2" s="353"/>
      <c r="EUK2" s="353"/>
      <c r="EUL2" s="353"/>
      <c r="EUM2" s="353"/>
      <c r="EUN2" s="353"/>
      <c r="EUO2" s="353"/>
      <c r="EUP2" s="353"/>
      <c r="EUQ2" s="353"/>
      <c r="EUR2" s="353"/>
      <c r="EUS2" s="353"/>
      <c r="EUT2" s="353"/>
      <c r="EUU2" s="353"/>
      <c r="EUV2" s="353"/>
      <c r="EUW2" s="353"/>
      <c r="EUX2" s="353"/>
      <c r="EUY2" s="353"/>
      <c r="EUZ2" s="353"/>
      <c r="EVA2" s="353"/>
      <c r="EVB2" s="353"/>
      <c r="EVC2" s="353"/>
      <c r="EVD2" s="353"/>
      <c r="EVE2" s="353"/>
      <c r="EVF2" s="353"/>
      <c r="EVG2" s="353"/>
      <c r="EVH2" s="353"/>
      <c r="EVI2" s="353"/>
      <c r="EVJ2" s="353"/>
      <c r="EVK2" s="353"/>
      <c r="EVL2" s="353"/>
      <c r="EVM2" s="353"/>
      <c r="EVN2" s="353"/>
      <c r="EVO2" s="353"/>
      <c r="EVP2" s="353"/>
      <c r="EVQ2" s="353"/>
      <c r="EVR2" s="353"/>
      <c r="EVS2" s="353"/>
      <c r="EVT2" s="353"/>
      <c r="EVU2" s="353"/>
      <c r="EVV2" s="353"/>
      <c r="EVW2" s="353"/>
      <c r="EVX2" s="353"/>
      <c r="EVY2" s="353"/>
      <c r="EVZ2" s="353"/>
      <c r="EWA2" s="353"/>
      <c r="EWB2" s="353"/>
      <c r="EWC2" s="353"/>
      <c r="EWD2" s="353"/>
      <c r="EWE2" s="353"/>
      <c r="EWF2" s="353"/>
      <c r="EWG2" s="353"/>
      <c r="EWH2" s="353"/>
      <c r="EWI2" s="353"/>
      <c r="EWJ2" s="353"/>
      <c r="EWK2" s="353"/>
      <c r="EWL2" s="353"/>
      <c r="EWM2" s="353"/>
      <c r="EWN2" s="353"/>
      <c r="EWO2" s="353"/>
      <c r="EWP2" s="353"/>
      <c r="EWQ2" s="353"/>
      <c r="EWR2" s="353"/>
      <c r="EWS2" s="353"/>
      <c r="EWT2" s="353"/>
      <c r="EWU2" s="353"/>
      <c r="EWV2" s="353"/>
      <c r="EWW2" s="353"/>
      <c r="EWX2" s="353"/>
      <c r="EWY2" s="353"/>
      <c r="EWZ2" s="353"/>
      <c r="EXA2" s="353"/>
      <c r="EXB2" s="353"/>
      <c r="EXC2" s="353"/>
      <c r="EXD2" s="353"/>
      <c r="EXE2" s="353"/>
      <c r="EXF2" s="353"/>
      <c r="EXG2" s="353"/>
      <c r="EXH2" s="353"/>
      <c r="EXI2" s="353"/>
      <c r="EXJ2" s="353"/>
      <c r="EXK2" s="353"/>
      <c r="EXL2" s="353"/>
      <c r="EXM2" s="353"/>
      <c r="EXN2" s="353"/>
      <c r="EXO2" s="353"/>
      <c r="EXP2" s="353"/>
      <c r="EXQ2" s="353"/>
      <c r="EXR2" s="353"/>
      <c r="EXS2" s="353"/>
      <c r="EXT2" s="353"/>
      <c r="EXU2" s="353"/>
      <c r="EXV2" s="353"/>
      <c r="EXW2" s="353"/>
      <c r="EXX2" s="353"/>
      <c r="EXY2" s="353"/>
      <c r="EXZ2" s="353"/>
      <c r="EYA2" s="353"/>
      <c r="EYB2" s="353"/>
      <c r="EYC2" s="353"/>
      <c r="EYD2" s="353"/>
      <c r="EYE2" s="353"/>
      <c r="EYF2" s="353"/>
      <c r="EYG2" s="353"/>
      <c r="EYH2" s="353"/>
      <c r="EYI2" s="353"/>
      <c r="EYJ2" s="353"/>
      <c r="EYK2" s="353"/>
      <c r="EYL2" s="353"/>
      <c r="EYM2" s="353"/>
      <c r="EYN2" s="353"/>
      <c r="EYO2" s="353"/>
      <c r="EYP2" s="353"/>
      <c r="EYQ2" s="353"/>
      <c r="EYR2" s="353"/>
      <c r="EYS2" s="353"/>
      <c r="EYT2" s="353"/>
      <c r="EYU2" s="353"/>
      <c r="EYV2" s="353"/>
      <c r="EYW2" s="353"/>
      <c r="EYX2" s="353"/>
      <c r="EYY2" s="353"/>
      <c r="EYZ2" s="353"/>
      <c r="EZA2" s="353"/>
      <c r="EZB2" s="353"/>
      <c r="EZC2" s="353"/>
      <c r="EZD2" s="353"/>
      <c r="EZE2" s="353"/>
      <c r="EZF2" s="353"/>
      <c r="EZG2" s="353"/>
      <c r="EZH2" s="353"/>
      <c r="EZI2" s="353"/>
      <c r="EZJ2" s="353"/>
      <c r="EZK2" s="353"/>
      <c r="EZL2" s="353"/>
      <c r="EZM2" s="353"/>
      <c r="EZN2" s="353"/>
      <c r="EZO2" s="353"/>
      <c r="EZP2" s="353"/>
      <c r="EZQ2" s="353"/>
      <c r="EZR2" s="353"/>
      <c r="EZS2" s="353"/>
      <c r="EZT2" s="353"/>
      <c r="EZU2" s="353"/>
      <c r="EZV2" s="353"/>
      <c r="EZW2" s="353"/>
      <c r="EZX2" s="353"/>
      <c r="EZY2" s="353"/>
      <c r="EZZ2" s="353"/>
      <c r="FAA2" s="353"/>
      <c r="FAB2" s="353"/>
      <c r="FAC2" s="353"/>
      <c r="FAD2" s="353"/>
      <c r="FAE2" s="353"/>
      <c r="FAF2" s="353"/>
      <c r="FAG2" s="353"/>
      <c r="FAH2" s="353"/>
      <c r="FAI2" s="353"/>
      <c r="FAJ2" s="353"/>
      <c r="FAK2" s="353"/>
      <c r="FAL2" s="353"/>
      <c r="FAM2" s="353"/>
      <c r="FAN2" s="353"/>
      <c r="FAO2" s="353"/>
      <c r="FAP2" s="353"/>
      <c r="FAQ2" s="353"/>
      <c r="FAR2" s="353"/>
      <c r="FAS2" s="353"/>
      <c r="FAT2" s="353"/>
      <c r="FAU2" s="353"/>
      <c r="FAV2" s="353"/>
      <c r="FAW2" s="353"/>
      <c r="FAX2" s="353"/>
      <c r="FAY2" s="353"/>
      <c r="FAZ2" s="353"/>
      <c r="FBA2" s="353"/>
      <c r="FBB2" s="353"/>
      <c r="FBC2" s="353"/>
      <c r="FBD2" s="353"/>
      <c r="FBE2" s="353"/>
      <c r="FBF2" s="353"/>
      <c r="FBG2" s="353"/>
      <c r="FBH2" s="353"/>
      <c r="FBI2" s="353"/>
      <c r="FBJ2" s="353"/>
      <c r="FBK2" s="353"/>
      <c r="FBL2" s="353"/>
      <c r="FBM2" s="353"/>
      <c r="FBN2" s="353"/>
      <c r="FBO2" s="353"/>
      <c r="FBP2" s="353"/>
      <c r="FBQ2" s="353"/>
      <c r="FBR2" s="353"/>
      <c r="FBS2" s="353"/>
      <c r="FBT2" s="353"/>
      <c r="FBU2" s="353"/>
      <c r="FBV2" s="353"/>
      <c r="FBW2" s="353"/>
      <c r="FBX2" s="353"/>
      <c r="FBY2" s="353"/>
      <c r="FBZ2" s="353"/>
      <c r="FCA2" s="353"/>
      <c r="FCB2" s="353"/>
      <c r="FCC2" s="353"/>
      <c r="FCD2" s="353"/>
      <c r="FCE2" s="353"/>
      <c r="FCF2" s="353"/>
      <c r="FCG2" s="353"/>
      <c r="FCH2" s="353"/>
      <c r="FCI2" s="353"/>
      <c r="FCJ2" s="353"/>
      <c r="FCK2" s="353"/>
      <c r="FCL2" s="353"/>
      <c r="FCM2" s="353"/>
      <c r="FCN2" s="353"/>
      <c r="FCO2" s="353"/>
      <c r="FCP2" s="353"/>
      <c r="FCQ2" s="353"/>
      <c r="FCR2" s="353"/>
      <c r="FCS2" s="353"/>
      <c r="FCT2" s="353"/>
      <c r="FCU2" s="353"/>
      <c r="FCV2" s="353"/>
      <c r="FCW2" s="353"/>
      <c r="FCX2" s="353"/>
      <c r="FCY2" s="353"/>
      <c r="FCZ2" s="353"/>
      <c r="FDA2" s="353"/>
      <c r="FDB2" s="353"/>
      <c r="FDC2" s="353"/>
      <c r="FDD2" s="353"/>
      <c r="FDE2" s="353"/>
      <c r="FDF2" s="353"/>
      <c r="FDG2" s="353"/>
      <c r="FDH2" s="353"/>
      <c r="FDI2" s="353"/>
      <c r="FDJ2" s="353"/>
      <c r="FDK2" s="353"/>
      <c r="FDL2" s="353"/>
      <c r="FDM2" s="353"/>
      <c r="FDN2" s="353"/>
      <c r="FDO2" s="353"/>
      <c r="FDP2" s="353"/>
      <c r="FDQ2" s="353"/>
      <c r="FDR2" s="353"/>
      <c r="FDS2" s="353"/>
      <c r="FDT2" s="353"/>
      <c r="FDU2" s="353"/>
      <c r="FDV2" s="353"/>
      <c r="FDW2" s="353"/>
      <c r="FDX2" s="353"/>
      <c r="FDY2" s="353"/>
      <c r="FDZ2" s="353"/>
      <c r="FEA2" s="353"/>
      <c r="FEB2" s="353"/>
      <c r="FEC2" s="353"/>
      <c r="FED2" s="353"/>
      <c r="FEE2" s="353"/>
      <c r="FEF2" s="353"/>
      <c r="FEG2" s="353"/>
      <c r="FEH2" s="353"/>
      <c r="FEI2" s="353"/>
      <c r="FEJ2" s="353"/>
      <c r="FEK2" s="353"/>
      <c r="FEL2" s="353"/>
      <c r="FEM2" s="353"/>
      <c r="FEN2" s="353"/>
      <c r="FEO2" s="353"/>
      <c r="FEP2" s="353"/>
      <c r="FEQ2" s="353"/>
      <c r="FER2" s="353"/>
      <c r="FES2" s="353"/>
      <c r="FET2" s="353"/>
      <c r="FEU2" s="353"/>
      <c r="FEV2" s="353"/>
      <c r="FEW2" s="353"/>
      <c r="FEX2" s="353"/>
      <c r="FEY2" s="353"/>
      <c r="FEZ2" s="353"/>
      <c r="FFA2" s="353"/>
      <c r="FFB2" s="353"/>
      <c r="FFC2" s="353"/>
      <c r="FFD2" s="353"/>
      <c r="FFE2" s="353"/>
      <c r="FFF2" s="353"/>
      <c r="FFG2" s="353"/>
      <c r="FFH2" s="353"/>
      <c r="FFI2" s="353"/>
      <c r="FFJ2" s="353"/>
      <c r="FFK2" s="353"/>
      <c r="FFL2" s="353"/>
      <c r="FFM2" s="353"/>
      <c r="FFN2" s="353"/>
      <c r="FFO2" s="353"/>
      <c r="FFP2" s="353"/>
      <c r="FFQ2" s="353"/>
      <c r="FFR2" s="353"/>
      <c r="FFS2" s="353"/>
      <c r="FFT2" s="353"/>
      <c r="FFU2" s="353"/>
      <c r="FFV2" s="353"/>
      <c r="FFW2" s="353"/>
      <c r="FFX2" s="353"/>
      <c r="FFY2" s="353"/>
      <c r="FFZ2" s="353"/>
      <c r="FGA2" s="353"/>
      <c r="FGB2" s="353"/>
      <c r="FGC2" s="353"/>
      <c r="FGD2" s="353"/>
      <c r="FGE2" s="353"/>
      <c r="FGF2" s="353"/>
      <c r="FGG2" s="353"/>
      <c r="FGH2" s="353"/>
      <c r="FGI2" s="353"/>
      <c r="FGJ2" s="353"/>
      <c r="FGK2" s="353"/>
      <c r="FGL2" s="353"/>
      <c r="FGM2" s="353"/>
      <c r="FGN2" s="353"/>
      <c r="FGO2" s="353"/>
      <c r="FGP2" s="353"/>
      <c r="FGQ2" s="353"/>
      <c r="FGR2" s="353"/>
      <c r="FGS2" s="353"/>
      <c r="FGT2" s="353"/>
      <c r="FGU2" s="353"/>
      <c r="FGV2" s="353"/>
      <c r="FGW2" s="353"/>
      <c r="FGX2" s="353"/>
      <c r="FGY2" s="353"/>
      <c r="FGZ2" s="353"/>
      <c r="FHA2" s="353"/>
      <c r="FHB2" s="353"/>
      <c r="FHC2" s="353"/>
      <c r="FHD2" s="353"/>
      <c r="FHE2" s="353"/>
      <c r="FHF2" s="353"/>
      <c r="FHG2" s="353"/>
      <c r="FHH2" s="353"/>
      <c r="FHI2" s="353"/>
      <c r="FHJ2" s="353"/>
      <c r="FHK2" s="353"/>
      <c r="FHL2" s="353"/>
      <c r="FHM2" s="353"/>
      <c r="FHN2" s="353"/>
      <c r="FHO2" s="353"/>
      <c r="FHP2" s="353"/>
      <c r="FHQ2" s="353"/>
      <c r="FHR2" s="353"/>
      <c r="FHS2" s="353"/>
      <c r="FHT2" s="353"/>
      <c r="FHU2" s="353"/>
      <c r="FHV2" s="353"/>
      <c r="FHW2" s="353"/>
      <c r="FHX2" s="353"/>
      <c r="FHY2" s="353"/>
      <c r="FHZ2" s="353"/>
      <c r="FIA2" s="353"/>
      <c r="FIB2" s="353"/>
      <c r="FIC2" s="353"/>
      <c r="FID2" s="353"/>
      <c r="FIE2" s="353"/>
      <c r="FIF2" s="353"/>
      <c r="FIG2" s="353"/>
      <c r="FIH2" s="353"/>
      <c r="FII2" s="353"/>
      <c r="FIJ2" s="353"/>
      <c r="FIK2" s="353"/>
      <c r="FIL2" s="353"/>
      <c r="FIM2" s="353"/>
      <c r="FIN2" s="353"/>
      <c r="FIO2" s="353"/>
      <c r="FIP2" s="353"/>
      <c r="FIQ2" s="353"/>
      <c r="FIR2" s="353"/>
      <c r="FIS2" s="353"/>
      <c r="FIT2" s="353"/>
      <c r="FIU2" s="353"/>
      <c r="FIV2" s="353"/>
      <c r="FIW2" s="353"/>
      <c r="FIX2" s="353"/>
      <c r="FIY2" s="353"/>
      <c r="FIZ2" s="353"/>
      <c r="FJA2" s="353"/>
      <c r="FJB2" s="353"/>
      <c r="FJC2" s="353"/>
      <c r="FJD2" s="353"/>
      <c r="FJE2" s="353"/>
      <c r="FJF2" s="353"/>
      <c r="FJG2" s="353"/>
      <c r="FJH2" s="353"/>
      <c r="FJI2" s="353"/>
      <c r="FJJ2" s="353"/>
      <c r="FJK2" s="353"/>
      <c r="FJL2" s="353"/>
      <c r="FJM2" s="353"/>
      <c r="FJN2" s="353"/>
      <c r="FJO2" s="353"/>
      <c r="FJP2" s="353"/>
      <c r="FJQ2" s="353"/>
      <c r="FJR2" s="353"/>
      <c r="FJS2" s="353"/>
      <c r="FJT2" s="353"/>
      <c r="FJU2" s="353"/>
      <c r="FJV2" s="353"/>
      <c r="FJW2" s="353"/>
      <c r="FJX2" s="353"/>
      <c r="FJY2" s="353"/>
      <c r="FJZ2" s="353"/>
      <c r="FKA2" s="353"/>
      <c r="FKB2" s="353"/>
      <c r="FKC2" s="353"/>
      <c r="FKD2" s="353"/>
      <c r="FKE2" s="353"/>
      <c r="FKF2" s="353"/>
      <c r="FKG2" s="353"/>
      <c r="FKH2" s="353"/>
      <c r="FKI2" s="353"/>
      <c r="FKJ2" s="353"/>
      <c r="FKK2" s="353"/>
      <c r="FKL2" s="353"/>
      <c r="FKM2" s="353"/>
      <c r="FKN2" s="353"/>
      <c r="FKO2" s="353"/>
      <c r="FKP2" s="353"/>
      <c r="FKQ2" s="353"/>
      <c r="FKR2" s="353"/>
      <c r="FKS2" s="353"/>
      <c r="FKT2" s="353"/>
      <c r="FKU2" s="353"/>
      <c r="FKV2" s="353"/>
      <c r="FKW2" s="353"/>
      <c r="FKX2" s="353"/>
      <c r="FKY2" s="353"/>
      <c r="FKZ2" s="353"/>
      <c r="FLA2" s="353"/>
      <c r="FLB2" s="353"/>
      <c r="FLC2" s="353"/>
      <c r="FLD2" s="353"/>
      <c r="FLE2" s="353"/>
      <c r="FLF2" s="353"/>
      <c r="FLG2" s="353"/>
      <c r="FLH2" s="353"/>
      <c r="FLI2" s="353"/>
      <c r="FLJ2" s="353"/>
      <c r="FLK2" s="353"/>
      <c r="FLL2" s="353"/>
      <c r="FLM2" s="353"/>
      <c r="FLN2" s="353"/>
      <c r="FLO2" s="353"/>
      <c r="FLP2" s="353"/>
      <c r="FLQ2" s="353"/>
      <c r="FLR2" s="353"/>
      <c r="FLS2" s="353"/>
      <c r="FLT2" s="353"/>
      <c r="FLU2" s="353"/>
      <c r="FLV2" s="353"/>
      <c r="FLW2" s="353"/>
      <c r="FLX2" s="353"/>
      <c r="FLY2" s="353"/>
      <c r="FLZ2" s="353"/>
      <c r="FMA2" s="353"/>
      <c r="FMB2" s="353"/>
      <c r="FMC2" s="353"/>
      <c r="FMD2" s="353"/>
      <c r="FME2" s="353"/>
      <c r="FMF2" s="353"/>
      <c r="FMG2" s="353"/>
      <c r="FMH2" s="353"/>
      <c r="FMI2" s="353"/>
      <c r="FMJ2" s="353"/>
      <c r="FMK2" s="353"/>
      <c r="FML2" s="353"/>
      <c r="FMM2" s="353"/>
      <c r="FMN2" s="353"/>
      <c r="FMO2" s="353"/>
      <c r="FMP2" s="353"/>
      <c r="FMQ2" s="353"/>
      <c r="FMR2" s="353"/>
      <c r="FMS2" s="353"/>
      <c r="FMT2" s="353"/>
      <c r="FMU2" s="353"/>
      <c r="FMV2" s="353"/>
      <c r="FMW2" s="353"/>
      <c r="FMX2" s="353"/>
      <c r="FMY2" s="353"/>
      <c r="FMZ2" s="353"/>
      <c r="FNA2" s="353"/>
      <c r="FNB2" s="353"/>
      <c r="FNC2" s="353"/>
      <c r="FND2" s="353"/>
      <c r="FNE2" s="353"/>
      <c r="FNF2" s="353"/>
      <c r="FNG2" s="353"/>
      <c r="FNH2" s="353"/>
      <c r="FNI2" s="353"/>
      <c r="FNJ2" s="353"/>
      <c r="FNK2" s="353"/>
      <c r="FNL2" s="353"/>
      <c r="FNM2" s="353"/>
      <c r="FNN2" s="353"/>
      <c r="FNO2" s="353"/>
      <c r="FNP2" s="353"/>
      <c r="FNQ2" s="353"/>
      <c r="FNR2" s="353"/>
      <c r="FNS2" s="353"/>
      <c r="FNT2" s="353"/>
      <c r="FNU2" s="353"/>
      <c r="FNV2" s="353"/>
      <c r="FNW2" s="353"/>
      <c r="FNX2" s="353"/>
      <c r="FNY2" s="353"/>
      <c r="FNZ2" s="353"/>
      <c r="FOA2" s="353"/>
      <c r="FOB2" s="353"/>
      <c r="FOC2" s="353"/>
      <c r="FOD2" s="353"/>
      <c r="FOE2" s="353"/>
      <c r="FOF2" s="353"/>
      <c r="FOG2" s="353"/>
      <c r="FOH2" s="353"/>
      <c r="FOI2" s="353"/>
      <c r="FOJ2" s="353"/>
      <c r="FOK2" s="353"/>
      <c r="FOL2" s="353"/>
      <c r="FOM2" s="353"/>
      <c r="FON2" s="353"/>
      <c r="FOO2" s="353"/>
      <c r="FOP2" s="353"/>
      <c r="FOQ2" s="353"/>
      <c r="FOR2" s="353"/>
      <c r="FOS2" s="353"/>
      <c r="FOT2" s="353"/>
      <c r="FOU2" s="353"/>
      <c r="FOV2" s="353"/>
      <c r="FOW2" s="353"/>
      <c r="FOX2" s="353"/>
      <c r="FOY2" s="353"/>
      <c r="FOZ2" s="353"/>
      <c r="FPA2" s="353"/>
      <c r="FPB2" s="353"/>
      <c r="FPC2" s="353"/>
      <c r="FPD2" s="353"/>
      <c r="FPE2" s="353"/>
      <c r="FPF2" s="353"/>
      <c r="FPG2" s="353"/>
      <c r="FPH2" s="353"/>
      <c r="FPI2" s="353"/>
      <c r="FPJ2" s="353"/>
      <c r="FPK2" s="353"/>
      <c r="FPL2" s="353"/>
      <c r="FPM2" s="353"/>
      <c r="FPN2" s="353"/>
      <c r="FPO2" s="353"/>
      <c r="FPP2" s="353"/>
      <c r="FPQ2" s="353"/>
      <c r="FPR2" s="353"/>
      <c r="FPS2" s="353"/>
      <c r="FPT2" s="353"/>
      <c r="FPU2" s="353"/>
      <c r="FPV2" s="353"/>
      <c r="FPW2" s="353"/>
      <c r="FPX2" s="353"/>
      <c r="FPY2" s="353"/>
      <c r="FPZ2" s="353"/>
      <c r="FQA2" s="353"/>
      <c r="FQB2" s="353"/>
      <c r="FQC2" s="353"/>
      <c r="FQD2" s="353"/>
      <c r="FQE2" s="353"/>
      <c r="FQF2" s="353"/>
      <c r="FQG2" s="353"/>
      <c r="FQH2" s="353"/>
      <c r="FQI2" s="353"/>
      <c r="FQJ2" s="353"/>
      <c r="FQK2" s="353"/>
      <c r="FQL2" s="353"/>
      <c r="FQM2" s="353"/>
      <c r="FQN2" s="353"/>
      <c r="FQO2" s="353"/>
      <c r="FQP2" s="353"/>
      <c r="FQQ2" s="353"/>
      <c r="FQR2" s="353"/>
      <c r="FQS2" s="353"/>
      <c r="FQT2" s="353"/>
      <c r="FQU2" s="353"/>
      <c r="FQV2" s="353"/>
      <c r="FQW2" s="353"/>
      <c r="FQX2" s="353"/>
      <c r="FQY2" s="353"/>
      <c r="FQZ2" s="353"/>
      <c r="FRA2" s="353"/>
      <c r="FRB2" s="353"/>
      <c r="FRC2" s="353"/>
      <c r="FRD2" s="353"/>
      <c r="FRE2" s="353"/>
      <c r="FRF2" s="353"/>
      <c r="FRG2" s="353"/>
      <c r="FRH2" s="353"/>
      <c r="FRI2" s="353"/>
      <c r="FRJ2" s="353"/>
      <c r="FRK2" s="353"/>
      <c r="FRL2" s="353"/>
      <c r="FRM2" s="353"/>
      <c r="FRN2" s="353"/>
      <c r="FRO2" s="353"/>
      <c r="FRP2" s="353"/>
      <c r="FRQ2" s="353"/>
      <c r="FRR2" s="353"/>
      <c r="FRS2" s="353"/>
      <c r="FRT2" s="353"/>
      <c r="FRU2" s="353"/>
      <c r="FRV2" s="353"/>
      <c r="FRW2" s="353"/>
      <c r="FRX2" s="353"/>
      <c r="FRY2" s="353"/>
      <c r="FRZ2" s="353"/>
      <c r="FSA2" s="353"/>
      <c r="FSB2" s="353"/>
      <c r="FSC2" s="353"/>
      <c r="FSD2" s="353"/>
      <c r="FSE2" s="353"/>
      <c r="FSF2" s="353"/>
      <c r="FSG2" s="353"/>
      <c r="FSH2" s="353"/>
      <c r="FSI2" s="353"/>
      <c r="FSJ2" s="353"/>
      <c r="FSK2" s="353"/>
      <c r="FSL2" s="353"/>
      <c r="FSM2" s="353"/>
      <c r="FSN2" s="353"/>
      <c r="FSO2" s="353"/>
      <c r="FSP2" s="353"/>
      <c r="FSQ2" s="353"/>
      <c r="FSR2" s="353"/>
      <c r="FSS2" s="353"/>
      <c r="FST2" s="353"/>
      <c r="FSU2" s="353"/>
      <c r="FSV2" s="353"/>
      <c r="FSW2" s="353"/>
      <c r="FSX2" s="353"/>
      <c r="FSY2" s="353"/>
      <c r="FSZ2" s="353"/>
      <c r="FTA2" s="353"/>
      <c r="FTB2" s="353"/>
      <c r="FTC2" s="353"/>
      <c r="FTD2" s="353"/>
      <c r="FTE2" s="353"/>
      <c r="FTF2" s="353"/>
      <c r="FTG2" s="353"/>
      <c r="FTH2" s="353"/>
      <c r="FTI2" s="353"/>
      <c r="FTJ2" s="353"/>
      <c r="FTK2" s="353"/>
      <c r="FTL2" s="353"/>
      <c r="FTM2" s="353"/>
      <c r="FTN2" s="353"/>
      <c r="FTO2" s="353"/>
      <c r="FTP2" s="353"/>
      <c r="FTQ2" s="353"/>
      <c r="FTR2" s="353"/>
      <c r="FTS2" s="353"/>
      <c r="FTT2" s="353"/>
      <c r="FTU2" s="353"/>
      <c r="FTV2" s="353"/>
      <c r="FTW2" s="353"/>
      <c r="FTX2" s="353"/>
      <c r="FTY2" s="353"/>
      <c r="FTZ2" s="353"/>
      <c r="FUA2" s="353"/>
      <c r="FUB2" s="353"/>
      <c r="FUC2" s="353"/>
      <c r="FUD2" s="353"/>
      <c r="FUE2" s="353"/>
      <c r="FUF2" s="353"/>
      <c r="FUG2" s="353"/>
      <c r="FUH2" s="353"/>
      <c r="FUI2" s="353"/>
      <c r="FUJ2" s="353"/>
      <c r="FUK2" s="353"/>
      <c r="FUL2" s="353"/>
      <c r="FUM2" s="353"/>
      <c r="FUN2" s="353"/>
      <c r="FUO2" s="353"/>
      <c r="FUP2" s="353"/>
      <c r="FUQ2" s="353"/>
      <c r="FUR2" s="353"/>
      <c r="FUS2" s="353"/>
      <c r="FUT2" s="353"/>
      <c r="FUU2" s="353"/>
      <c r="FUV2" s="353"/>
      <c r="FUW2" s="353"/>
      <c r="FUX2" s="353"/>
      <c r="FUY2" s="353"/>
      <c r="FUZ2" s="353"/>
      <c r="FVA2" s="353"/>
      <c r="FVB2" s="353"/>
      <c r="FVC2" s="353"/>
      <c r="FVD2" s="353"/>
      <c r="FVE2" s="353"/>
      <c r="FVF2" s="353"/>
      <c r="FVG2" s="353"/>
      <c r="FVH2" s="353"/>
      <c r="FVI2" s="353"/>
      <c r="FVJ2" s="353"/>
      <c r="FVK2" s="353"/>
      <c r="FVL2" s="353"/>
      <c r="FVM2" s="353"/>
      <c r="FVN2" s="353"/>
      <c r="FVO2" s="353"/>
      <c r="FVP2" s="353"/>
      <c r="FVQ2" s="353"/>
      <c r="FVR2" s="353"/>
      <c r="FVS2" s="353"/>
      <c r="FVT2" s="353"/>
      <c r="FVU2" s="353"/>
      <c r="FVV2" s="353"/>
      <c r="FVW2" s="353"/>
      <c r="FVX2" s="353"/>
      <c r="FVY2" s="353"/>
      <c r="FVZ2" s="353"/>
      <c r="FWA2" s="353"/>
      <c r="FWB2" s="353"/>
      <c r="FWC2" s="353"/>
      <c r="FWD2" s="353"/>
      <c r="FWE2" s="353"/>
      <c r="FWF2" s="353"/>
      <c r="FWG2" s="353"/>
      <c r="FWH2" s="353"/>
      <c r="FWI2" s="353"/>
      <c r="FWJ2" s="353"/>
      <c r="FWK2" s="353"/>
      <c r="FWL2" s="353"/>
      <c r="FWM2" s="353"/>
      <c r="FWN2" s="353"/>
      <c r="FWO2" s="353"/>
      <c r="FWP2" s="353"/>
      <c r="FWQ2" s="353"/>
      <c r="FWR2" s="353"/>
      <c r="FWS2" s="353"/>
      <c r="FWT2" s="353"/>
      <c r="FWU2" s="353"/>
      <c r="FWV2" s="353"/>
      <c r="FWW2" s="353"/>
      <c r="FWX2" s="353"/>
      <c r="FWY2" s="353"/>
      <c r="FWZ2" s="353"/>
      <c r="FXA2" s="353"/>
      <c r="FXB2" s="353"/>
      <c r="FXC2" s="353"/>
      <c r="FXD2" s="353"/>
      <c r="FXE2" s="353"/>
      <c r="FXF2" s="353"/>
      <c r="FXG2" s="353"/>
      <c r="FXH2" s="353"/>
      <c r="FXI2" s="353"/>
      <c r="FXJ2" s="353"/>
      <c r="FXK2" s="353"/>
      <c r="FXL2" s="353"/>
      <c r="FXM2" s="353"/>
      <c r="FXN2" s="353"/>
      <c r="FXO2" s="353"/>
      <c r="FXP2" s="353"/>
      <c r="FXQ2" s="353"/>
      <c r="FXR2" s="353"/>
      <c r="FXS2" s="353"/>
      <c r="FXT2" s="353"/>
      <c r="FXU2" s="353"/>
      <c r="FXV2" s="353"/>
      <c r="FXW2" s="353"/>
      <c r="FXX2" s="353"/>
      <c r="FXY2" s="353"/>
      <c r="FXZ2" s="353"/>
      <c r="FYA2" s="353"/>
      <c r="FYB2" s="353"/>
      <c r="FYC2" s="353"/>
      <c r="FYD2" s="353"/>
      <c r="FYE2" s="353"/>
      <c r="FYF2" s="353"/>
      <c r="FYG2" s="353"/>
      <c r="FYH2" s="353"/>
      <c r="FYI2" s="353"/>
      <c r="FYJ2" s="353"/>
      <c r="FYK2" s="353"/>
      <c r="FYL2" s="353"/>
      <c r="FYM2" s="353"/>
      <c r="FYN2" s="353"/>
      <c r="FYO2" s="353"/>
      <c r="FYP2" s="353"/>
      <c r="FYQ2" s="353"/>
      <c r="FYR2" s="353"/>
      <c r="FYS2" s="353"/>
      <c r="FYT2" s="353"/>
      <c r="FYU2" s="353"/>
      <c r="FYV2" s="353"/>
      <c r="FYW2" s="353"/>
      <c r="FYX2" s="353"/>
      <c r="FYY2" s="353"/>
      <c r="FYZ2" s="353"/>
      <c r="FZA2" s="353"/>
      <c r="FZB2" s="353"/>
      <c r="FZC2" s="353"/>
      <c r="FZD2" s="353"/>
      <c r="FZE2" s="353"/>
      <c r="FZF2" s="353"/>
      <c r="FZG2" s="353"/>
      <c r="FZH2" s="353"/>
      <c r="FZI2" s="353"/>
      <c r="FZJ2" s="353"/>
      <c r="FZK2" s="353"/>
      <c r="FZL2" s="353"/>
      <c r="FZM2" s="353"/>
      <c r="FZN2" s="353"/>
      <c r="FZO2" s="353"/>
      <c r="FZP2" s="353"/>
      <c r="FZQ2" s="353"/>
      <c r="FZR2" s="353"/>
      <c r="FZS2" s="353"/>
      <c r="FZT2" s="353"/>
      <c r="FZU2" s="353"/>
      <c r="FZV2" s="353"/>
      <c r="FZW2" s="353"/>
      <c r="FZX2" s="353"/>
      <c r="FZY2" s="353"/>
      <c r="FZZ2" s="353"/>
      <c r="GAA2" s="353"/>
      <c r="GAB2" s="353"/>
      <c r="GAC2" s="353"/>
      <c r="GAD2" s="353"/>
      <c r="GAE2" s="353"/>
      <c r="GAF2" s="353"/>
      <c r="GAG2" s="353"/>
      <c r="GAH2" s="353"/>
      <c r="GAI2" s="353"/>
      <c r="GAJ2" s="353"/>
      <c r="GAK2" s="353"/>
      <c r="GAL2" s="353"/>
      <c r="GAM2" s="353"/>
      <c r="GAN2" s="353"/>
      <c r="GAO2" s="353"/>
      <c r="GAP2" s="353"/>
      <c r="GAQ2" s="353"/>
      <c r="GAR2" s="353"/>
      <c r="GAS2" s="353"/>
      <c r="GAT2" s="353"/>
      <c r="GAU2" s="353"/>
      <c r="GAV2" s="353"/>
      <c r="GAW2" s="353"/>
      <c r="GAX2" s="353"/>
      <c r="GAY2" s="353"/>
      <c r="GAZ2" s="353"/>
      <c r="GBA2" s="353"/>
      <c r="GBB2" s="353"/>
      <c r="GBC2" s="353"/>
      <c r="GBD2" s="353"/>
      <c r="GBE2" s="353"/>
      <c r="GBF2" s="353"/>
      <c r="GBG2" s="353"/>
      <c r="GBH2" s="353"/>
      <c r="GBI2" s="353"/>
      <c r="GBJ2" s="353"/>
      <c r="GBK2" s="353"/>
      <c r="GBL2" s="353"/>
      <c r="GBM2" s="353"/>
      <c r="GBN2" s="353"/>
      <c r="GBO2" s="353"/>
      <c r="GBP2" s="353"/>
      <c r="GBQ2" s="353"/>
      <c r="GBR2" s="353"/>
      <c r="GBS2" s="353"/>
      <c r="GBT2" s="353"/>
      <c r="GBU2" s="353"/>
      <c r="GBV2" s="353"/>
      <c r="GBW2" s="353"/>
      <c r="GBX2" s="353"/>
      <c r="GBY2" s="353"/>
      <c r="GBZ2" s="353"/>
      <c r="GCA2" s="353"/>
      <c r="GCB2" s="353"/>
      <c r="GCC2" s="353"/>
      <c r="GCD2" s="353"/>
      <c r="GCE2" s="353"/>
      <c r="GCF2" s="353"/>
      <c r="GCG2" s="353"/>
      <c r="GCH2" s="353"/>
      <c r="GCI2" s="353"/>
      <c r="GCJ2" s="353"/>
      <c r="GCK2" s="353"/>
      <c r="GCL2" s="353"/>
      <c r="GCM2" s="353"/>
      <c r="GCN2" s="353"/>
      <c r="GCO2" s="353"/>
      <c r="GCP2" s="353"/>
      <c r="GCQ2" s="353"/>
      <c r="GCR2" s="353"/>
      <c r="GCS2" s="353"/>
      <c r="GCT2" s="353"/>
      <c r="GCU2" s="353"/>
      <c r="GCV2" s="353"/>
      <c r="GCW2" s="353"/>
      <c r="GCX2" s="353"/>
      <c r="GCY2" s="353"/>
      <c r="GCZ2" s="353"/>
      <c r="GDA2" s="353"/>
      <c r="GDB2" s="353"/>
      <c r="GDC2" s="353"/>
      <c r="GDD2" s="353"/>
      <c r="GDE2" s="353"/>
      <c r="GDF2" s="353"/>
      <c r="GDG2" s="353"/>
      <c r="GDH2" s="353"/>
      <c r="GDI2" s="353"/>
      <c r="GDJ2" s="353"/>
      <c r="GDK2" s="353"/>
      <c r="GDL2" s="353"/>
      <c r="GDM2" s="353"/>
      <c r="GDN2" s="353"/>
      <c r="GDO2" s="353"/>
      <c r="GDP2" s="353"/>
      <c r="GDQ2" s="353"/>
      <c r="GDR2" s="353"/>
      <c r="GDS2" s="353"/>
      <c r="GDT2" s="353"/>
      <c r="GDU2" s="353"/>
      <c r="GDV2" s="353"/>
      <c r="GDW2" s="353"/>
      <c r="GDX2" s="353"/>
      <c r="GDY2" s="353"/>
      <c r="GDZ2" s="353"/>
      <c r="GEA2" s="353"/>
      <c r="GEB2" s="353"/>
      <c r="GEC2" s="353"/>
      <c r="GED2" s="353"/>
      <c r="GEE2" s="353"/>
      <c r="GEF2" s="353"/>
      <c r="GEG2" s="353"/>
      <c r="GEH2" s="353"/>
      <c r="GEI2" s="353"/>
      <c r="GEJ2" s="353"/>
      <c r="GEK2" s="353"/>
      <c r="GEL2" s="353"/>
      <c r="GEM2" s="353"/>
      <c r="GEN2" s="353"/>
      <c r="GEO2" s="353"/>
      <c r="GEP2" s="353"/>
      <c r="GEQ2" s="353"/>
      <c r="GER2" s="353"/>
      <c r="GES2" s="353"/>
      <c r="GET2" s="353"/>
      <c r="GEU2" s="353"/>
      <c r="GEV2" s="353"/>
      <c r="GEW2" s="353"/>
      <c r="GEX2" s="353"/>
      <c r="GEY2" s="353"/>
      <c r="GEZ2" s="353"/>
      <c r="GFA2" s="353"/>
      <c r="GFB2" s="353"/>
      <c r="GFC2" s="353"/>
      <c r="GFD2" s="353"/>
      <c r="GFE2" s="353"/>
      <c r="GFF2" s="353"/>
      <c r="GFG2" s="353"/>
      <c r="GFH2" s="353"/>
      <c r="GFI2" s="353"/>
      <c r="GFJ2" s="353"/>
      <c r="GFK2" s="353"/>
      <c r="GFL2" s="353"/>
      <c r="GFM2" s="353"/>
      <c r="GFN2" s="353"/>
      <c r="GFO2" s="353"/>
      <c r="GFP2" s="353"/>
      <c r="GFQ2" s="353"/>
      <c r="GFR2" s="353"/>
      <c r="GFS2" s="353"/>
      <c r="GFT2" s="353"/>
      <c r="GFU2" s="353"/>
      <c r="GFV2" s="353"/>
      <c r="GFW2" s="353"/>
      <c r="GFX2" s="353"/>
      <c r="GFY2" s="353"/>
      <c r="GFZ2" s="353"/>
      <c r="GGA2" s="353"/>
      <c r="GGB2" s="353"/>
      <c r="GGC2" s="353"/>
      <c r="GGD2" s="353"/>
      <c r="GGE2" s="353"/>
      <c r="GGF2" s="353"/>
      <c r="GGG2" s="353"/>
      <c r="GGH2" s="353"/>
      <c r="GGI2" s="353"/>
      <c r="GGJ2" s="353"/>
      <c r="GGK2" s="353"/>
      <c r="GGL2" s="353"/>
      <c r="GGM2" s="353"/>
      <c r="GGN2" s="353"/>
      <c r="GGO2" s="353"/>
      <c r="GGP2" s="353"/>
      <c r="GGQ2" s="353"/>
      <c r="GGR2" s="353"/>
      <c r="GGS2" s="353"/>
      <c r="GGT2" s="353"/>
      <c r="GGU2" s="353"/>
      <c r="GGV2" s="353"/>
      <c r="GGW2" s="353"/>
      <c r="GGX2" s="353"/>
      <c r="GGY2" s="353"/>
      <c r="GGZ2" s="353"/>
      <c r="GHA2" s="353"/>
      <c r="GHB2" s="353"/>
      <c r="GHC2" s="353"/>
      <c r="GHD2" s="353"/>
      <c r="GHE2" s="353"/>
      <c r="GHF2" s="353"/>
      <c r="GHG2" s="353"/>
      <c r="GHH2" s="353"/>
      <c r="GHI2" s="353"/>
      <c r="GHJ2" s="353"/>
      <c r="GHK2" s="353"/>
      <c r="GHL2" s="353"/>
      <c r="GHM2" s="353"/>
      <c r="GHN2" s="353"/>
      <c r="GHO2" s="353"/>
      <c r="GHP2" s="353"/>
      <c r="GHQ2" s="353"/>
      <c r="GHR2" s="353"/>
      <c r="GHS2" s="353"/>
      <c r="GHT2" s="353"/>
      <c r="GHU2" s="353"/>
      <c r="GHV2" s="353"/>
      <c r="GHW2" s="353"/>
      <c r="GHX2" s="353"/>
      <c r="GHY2" s="353"/>
      <c r="GHZ2" s="353"/>
      <c r="GIA2" s="353"/>
      <c r="GIB2" s="353"/>
      <c r="GIC2" s="353"/>
      <c r="GID2" s="353"/>
      <c r="GIE2" s="353"/>
      <c r="GIF2" s="353"/>
      <c r="GIG2" s="353"/>
      <c r="GIH2" s="353"/>
      <c r="GII2" s="353"/>
      <c r="GIJ2" s="353"/>
      <c r="GIK2" s="353"/>
      <c r="GIL2" s="353"/>
      <c r="GIM2" s="353"/>
      <c r="GIN2" s="353"/>
      <c r="GIO2" s="353"/>
      <c r="GIP2" s="353"/>
      <c r="GIQ2" s="353"/>
      <c r="GIR2" s="353"/>
      <c r="GIS2" s="353"/>
      <c r="GIT2" s="353"/>
      <c r="GIU2" s="353"/>
      <c r="GIV2" s="353"/>
      <c r="GIW2" s="353"/>
      <c r="GIX2" s="353"/>
      <c r="GIY2" s="353"/>
      <c r="GIZ2" s="353"/>
      <c r="GJA2" s="353"/>
      <c r="GJB2" s="353"/>
      <c r="GJC2" s="353"/>
      <c r="GJD2" s="353"/>
      <c r="GJE2" s="353"/>
      <c r="GJF2" s="353"/>
      <c r="GJG2" s="353"/>
      <c r="GJH2" s="353"/>
      <c r="GJI2" s="353"/>
      <c r="GJJ2" s="353"/>
      <c r="GJK2" s="353"/>
      <c r="GJL2" s="353"/>
      <c r="GJM2" s="353"/>
      <c r="GJN2" s="353"/>
      <c r="GJO2" s="353"/>
      <c r="GJP2" s="353"/>
      <c r="GJQ2" s="353"/>
      <c r="GJR2" s="353"/>
      <c r="GJS2" s="353"/>
      <c r="GJT2" s="353"/>
      <c r="GJU2" s="353"/>
      <c r="GJV2" s="353"/>
      <c r="GJW2" s="353"/>
      <c r="GJX2" s="353"/>
      <c r="GJY2" s="353"/>
      <c r="GJZ2" s="353"/>
      <c r="GKA2" s="353"/>
      <c r="GKB2" s="353"/>
      <c r="GKC2" s="353"/>
      <c r="GKD2" s="353"/>
      <c r="GKE2" s="353"/>
      <c r="GKF2" s="353"/>
      <c r="GKG2" s="353"/>
      <c r="GKH2" s="353"/>
      <c r="GKI2" s="353"/>
      <c r="GKJ2" s="353"/>
      <c r="GKK2" s="353"/>
      <c r="GKL2" s="353"/>
      <c r="GKM2" s="353"/>
      <c r="GKN2" s="353"/>
      <c r="GKO2" s="353"/>
      <c r="GKP2" s="353"/>
      <c r="GKQ2" s="353"/>
      <c r="GKR2" s="353"/>
      <c r="GKS2" s="353"/>
      <c r="GKT2" s="353"/>
      <c r="GKU2" s="353"/>
      <c r="GKV2" s="353"/>
      <c r="GKW2" s="353"/>
      <c r="GKX2" s="353"/>
      <c r="GKY2" s="353"/>
      <c r="GKZ2" s="353"/>
      <c r="GLA2" s="353"/>
      <c r="GLB2" s="353"/>
      <c r="GLC2" s="353"/>
      <c r="GLD2" s="353"/>
      <c r="GLE2" s="353"/>
      <c r="GLF2" s="353"/>
      <c r="GLG2" s="353"/>
      <c r="GLH2" s="353"/>
      <c r="GLI2" s="353"/>
      <c r="GLJ2" s="353"/>
      <c r="GLK2" s="353"/>
      <c r="GLL2" s="353"/>
      <c r="GLM2" s="353"/>
      <c r="GLN2" s="353"/>
      <c r="GLO2" s="353"/>
      <c r="GLP2" s="353"/>
      <c r="GLQ2" s="353"/>
      <c r="GLR2" s="353"/>
      <c r="GLS2" s="353"/>
      <c r="GLT2" s="353"/>
      <c r="GLU2" s="353"/>
      <c r="GLV2" s="353"/>
      <c r="GLW2" s="353"/>
      <c r="GLX2" s="353"/>
      <c r="GLY2" s="353"/>
      <c r="GLZ2" s="353"/>
      <c r="GMA2" s="353"/>
      <c r="GMB2" s="353"/>
      <c r="GMC2" s="353"/>
      <c r="GMD2" s="353"/>
      <c r="GME2" s="353"/>
      <c r="GMF2" s="353"/>
      <c r="GMG2" s="353"/>
      <c r="GMH2" s="353"/>
      <c r="GMI2" s="353"/>
      <c r="GMJ2" s="353"/>
      <c r="GMK2" s="353"/>
      <c r="GML2" s="353"/>
      <c r="GMM2" s="353"/>
      <c r="GMN2" s="353"/>
      <c r="GMO2" s="353"/>
      <c r="GMP2" s="353"/>
      <c r="GMQ2" s="353"/>
      <c r="GMR2" s="353"/>
      <c r="GMS2" s="353"/>
      <c r="GMT2" s="353"/>
      <c r="GMU2" s="353"/>
      <c r="GMV2" s="353"/>
      <c r="GMW2" s="353"/>
      <c r="GMX2" s="353"/>
      <c r="GMY2" s="353"/>
      <c r="GMZ2" s="353"/>
      <c r="GNA2" s="353"/>
      <c r="GNB2" s="353"/>
      <c r="GNC2" s="353"/>
      <c r="GND2" s="353"/>
      <c r="GNE2" s="353"/>
      <c r="GNF2" s="353"/>
      <c r="GNG2" s="353"/>
      <c r="GNH2" s="353"/>
      <c r="GNI2" s="353"/>
      <c r="GNJ2" s="353"/>
      <c r="GNK2" s="353"/>
      <c r="GNL2" s="353"/>
      <c r="GNM2" s="353"/>
      <c r="GNN2" s="353"/>
      <c r="GNO2" s="353"/>
      <c r="GNP2" s="353"/>
      <c r="GNQ2" s="353"/>
      <c r="GNR2" s="353"/>
      <c r="GNS2" s="353"/>
      <c r="GNT2" s="353"/>
      <c r="GNU2" s="353"/>
      <c r="GNV2" s="353"/>
      <c r="GNW2" s="353"/>
      <c r="GNX2" s="353"/>
      <c r="GNY2" s="353"/>
      <c r="GNZ2" s="353"/>
      <c r="GOA2" s="353"/>
      <c r="GOB2" s="353"/>
      <c r="GOC2" s="353"/>
      <c r="GOD2" s="353"/>
      <c r="GOE2" s="353"/>
      <c r="GOF2" s="353"/>
      <c r="GOG2" s="353"/>
      <c r="GOH2" s="353"/>
      <c r="GOI2" s="353"/>
      <c r="GOJ2" s="353"/>
      <c r="GOK2" s="353"/>
      <c r="GOL2" s="353"/>
      <c r="GOM2" s="353"/>
      <c r="GON2" s="353"/>
      <c r="GOO2" s="353"/>
      <c r="GOP2" s="353"/>
      <c r="GOQ2" s="353"/>
      <c r="GOR2" s="353"/>
      <c r="GOS2" s="353"/>
      <c r="GOT2" s="353"/>
      <c r="GOU2" s="353"/>
      <c r="GOV2" s="353"/>
      <c r="GOW2" s="353"/>
      <c r="GOX2" s="353"/>
      <c r="GOY2" s="353"/>
      <c r="GOZ2" s="353"/>
      <c r="GPA2" s="353"/>
      <c r="GPB2" s="353"/>
      <c r="GPC2" s="353"/>
      <c r="GPD2" s="353"/>
      <c r="GPE2" s="353"/>
      <c r="GPF2" s="353"/>
      <c r="GPG2" s="353"/>
      <c r="GPH2" s="353"/>
      <c r="GPI2" s="353"/>
      <c r="GPJ2" s="353"/>
      <c r="GPK2" s="353"/>
      <c r="GPL2" s="353"/>
      <c r="GPM2" s="353"/>
      <c r="GPN2" s="353"/>
      <c r="GPO2" s="353"/>
      <c r="GPP2" s="353"/>
      <c r="GPQ2" s="353"/>
      <c r="GPR2" s="353"/>
      <c r="GPS2" s="353"/>
      <c r="GPT2" s="353"/>
      <c r="GPU2" s="353"/>
      <c r="GPV2" s="353"/>
      <c r="GPW2" s="353"/>
      <c r="GPX2" s="353"/>
      <c r="GPY2" s="353"/>
      <c r="GPZ2" s="353"/>
      <c r="GQA2" s="353"/>
      <c r="GQB2" s="353"/>
      <c r="GQC2" s="353"/>
      <c r="GQD2" s="353"/>
      <c r="GQE2" s="353"/>
      <c r="GQF2" s="353"/>
      <c r="GQG2" s="353"/>
      <c r="GQH2" s="353"/>
      <c r="GQI2" s="353"/>
      <c r="GQJ2" s="353"/>
      <c r="GQK2" s="353"/>
      <c r="GQL2" s="353"/>
      <c r="GQM2" s="353"/>
      <c r="GQN2" s="353"/>
      <c r="GQO2" s="353"/>
      <c r="GQP2" s="353"/>
      <c r="GQQ2" s="353"/>
      <c r="GQR2" s="353"/>
      <c r="GQS2" s="353"/>
      <c r="GQT2" s="353"/>
      <c r="GQU2" s="353"/>
      <c r="GQV2" s="353"/>
      <c r="GQW2" s="353"/>
      <c r="GQX2" s="353"/>
      <c r="GQY2" s="353"/>
      <c r="GQZ2" s="353"/>
      <c r="GRA2" s="353"/>
      <c r="GRB2" s="353"/>
      <c r="GRC2" s="353"/>
      <c r="GRD2" s="353"/>
      <c r="GRE2" s="353"/>
      <c r="GRF2" s="353"/>
      <c r="GRG2" s="353"/>
      <c r="GRH2" s="353"/>
      <c r="GRI2" s="353"/>
      <c r="GRJ2" s="353"/>
      <c r="GRK2" s="353"/>
      <c r="GRL2" s="353"/>
      <c r="GRM2" s="353"/>
      <c r="GRN2" s="353"/>
      <c r="GRO2" s="353"/>
      <c r="GRP2" s="353"/>
      <c r="GRQ2" s="353"/>
      <c r="GRR2" s="353"/>
      <c r="GRS2" s="353"/>
      <c r="GRT2" s="353"/>
      <c r="GRU2" s="353"/>
      <c r="GRV2" s="353"/>
      <c r="GRW2" s="353"/>
      <c r="GRX2" s="353"/>
      <c r="GRY2" s="353"/>
      <c r="GRZ2" s="353"/>
      <c r="GSA2" s="353"/>
      <c r="GSB2" s="353"/>
      <c r="GSC2" s="353"/>
      <c r="GSD2" s="353"/>
      <c r="GSE2" s="353"/>
      <c r="GSF2" s="353"/>
      <c r="GSG2" s="353"/>
      <c r="GSH2" s="353"/>
      <c r="GSI2" s="353"/>
      <c r="GSJ2" s="353"/>
      <c r="GSK2" s="353"/>
      <c r="GSL2" s="353"/>
      <c r="GSM2" s="353"/>
      <c r="GSN2" s="353"/>
      <c r="GSO2" s="353"/>
      <c r="GSP2" s="353"/>
      <c r="GSQ2" s="353"/>
      <c r="GSR2" s="353"/>
      <c r="GSS2" s="353"/>
      <c r="GST2" s="353"/>
      <c r="GSU2" s="353"/>
      <c r="GSV2" s="353"/>
      <c r="GSW2" s="353"/>
      <c r="GSX2" s="353"/>
      <c r="GSY2" s="353"/>
      <c r="GSZ2" s="353"/>
      <c r="GTA2" s="353"/>
      <c r="GTB2" s="353"/>
      <c r="GTC2" s="353"/>
      <c r="GTD2" s="353"/>
      <c r="GTE2" s="353"/>
      <c r="GTF2" s="353"/>
      <c r="GTG2" s="353"/>
      <c r="GTH2" s="353"/>
      <c r="GTI2" s="353"/>
      <c r="GTJ2" s="353"/>
      <c r="GTK2" s="353"/>
      <c r="GTL2" s="353"/>
      <c r="GTM2" s="353"/>
      <c r="GTN2" s="353"/>
      <c r="GTO2" s="353"/>
      <c r="GTP2" s="353"/>
      <c r="GTQ2" s="353"/>
      <c r="GTR2" s="353"/>
      <c r="GTS2" s="353"/>
      <c r="GTT2" s="353"/>
      <c r="GTU2" s="353"/>
      <c r="GTV2" s="353"/>
      <c r="GTW2" s="353"/>
      <c r="GTX2" s="353"/>
      <c r="GTY2" s="353"/>
      <c r="GTZ2" s="353"/>
      <c r="GUA2" s="353"/>
      <c r="GUB2" s="353"/>
      <c r="GUC2" s="353"/>
      <c r="GUD2" s="353"/>
      <c r="GUE2" s="353"/>
      <c r="GUF2" s="353"/>
      <c r="GUG2" s="353"/>
      <c r="GUH2" s="353"/>
      <c r="GUI2" s="353"/>
      <c r="GUJ2" s="353"/>
      <c r="GUK2" s="353"/>
      <c r="GUL2" s="353"/>
      <c r="GUM2" s="353"/>
      <c r="GUN2" s="353"/>
      <c r="GUO2" s="353"/>
      <c r="GUP2" s="353"/>
      <c r="GUQ2" s="353"/>
      <c r="GUR2" s="353"/>
      <c r="GUS2" s="353"/>
      <c r="GUT2" s="353"/>
      <c r="GUU2" s="353"/>
      <c r="GUV2" s="353"/>
      <c r="GUW2" s="353"/>
      <c r="GUX2" s="353"/>
      <c r="GUY2" s="353"/>
      <c r="GUZ2" s="353"/>
      <c r="GVA2" s="353"/>
      <c r="GVB2" s="353"/>
      <c r="GVC2" s="353"/>
      <c r="GVD2" s="353"/>
      <c r="GVE2" s="353"/>
      <c r="GVF2" s="353"/>
      <c r="GVG2" s="353"/>
      <c r="GVH2" s="353"/>
      <c r="GVI2" s="353"/>
      <c r="GVJ2" s="353"/>
      <c r="GVK2" s="353"/>
      <c r="GVL2" s="353"/>
      <c r="GVM2" s="353"/>
      <c r="GVN2" s="353"/>
      <c r="GVO2" s="353"/>
      <c r="GVP2" s="353"/>
      <c r="GVQ2" s="353"/>
      <c r="GVR2" s="353"/>
      <c r="GVS2" s="353"/>
      <c r="GVT2" s="353"/>
      <c r="GVU2" s="353"/>
      <c r="GVV2" s="353"/>
      <c r="GVW2" s="353"/>
      <c r="GVX2" s="353"/>
      <c r="GVY2" s="353"/>
      <c r="GVZ2" s="353"/>
      <c r="GWA2" s="353"/>
      <c r="GWB2" s="353"/>
      <c r="GWC2" s="353"/>
      <c r="GWD2" s="353"/>
      <c r="GWE2" s="353"/>
      <c r="GWF2" s="353"/>
      <c r="GWG2" s="353"/>
      <c r="GWH2" s="353"/>
      <c r="GWI2" s="353"/>
      <c r="GWJ2" s="353"/>
      <c r="GWK2" s="353"/>
      <c r="GWL2" s="353"/>
      <c r="GWM2" s="353"/>
      <c r="GWN2" s="353"/>
      <c r="GWO2" s="353"/>
      <c r="GWP2" s="353"/>
      <c r="GWQ2" s="353"/>
      <c r="GWR2" s="353"/>
      <c r="GWS2" s="353"/>
      <c r="GWT2" s="353"/>
      <c r="GWU2" s="353"/>
      <c r="GWV2" s="353"/>
      <c r="GWW2" s="353"/>
      <c r="GWX2" s="353"/>
      <c r="GWY2" s="353"/>
      <c r="GWZ2" s="353"/>
      <c r="GXA2" s="353"/>
      <c r="GXB2" s="353"/>
      <c r="GXC2" s="353"/>
      <c r="GXD2" s="353"/>
      <c r="GXE2" s="353"/>
      <c r="GXF2" s="353"/>
      <c r="GXG2" s="353"/>
      <c r="GXH2" s="353"/>
      <c r="GXI2" s="353"/>
      <c r="GXJ2" s="353"/>
      <c r="GXK2" s="353"/>
      <c r="GXL2" s="353"/>
      <c r="GXM2" s="353"/>
      <c r="GXN2" s="353"/>
      <c r="GXO2" s="353"/>
      <c r="GXP2" s="353"/>
      <c r="GXQ2" s="353"/>
      <c r="GXR2" s="353"/>
      <c r="GXS2" s="353"/>
      <c r="GXT2" s="353"/>
      <c r="GXU2" s="353"/>
      <c r="GXV2" s="353"/>
      <c r="GXW2" s="353"/>
      <c r="GXX2" s="353"/>
      <c r="GXY2" s="353"/>
      <c r="GXZ2" s="353"/>
      <c r="GYA2" s="353"/>
      <c r="GYB2" s="353"/>
      <c r="GYC2" s="353"/>
      <c r="GYD2" s="353"/>
      <c r="GYE2" s="353"/>
      <c r="GYF2" s="353"/>
      <c r="GYG2" s="353"/>
      <c r="GYH2" s="353"/>
      <c r="GYI2" s="353"/>
      <c r="GYJ2" s="353"/>
      <c r="GYK2" s="353"/>
      <c r="GYL2" s="353"/>
      <c r="GYM2" s="353"/>
      <c r="GYN2" s="353"/>
      <c r="GYO2" s="353"/>
      <c r="GYP2" s="353"/>
      <c r="GYQ2" s="353"/>
      <c r="GYR2" s="353"/>
      <c r="GYS2" s="353"/>
      <c r="GYT2" s="353"/>
      <c r="GYU2" s="353"/>
      <c r="GYV2" s="353"/>
      <c r="GYW2" s="353"/>
      <c r="GYX2" s="353"/>
      <c r="GYY2" s="353"/>
      <c r="GYZ2" s="353"/>
      <c r="GZA2" s="353"/>
      <c r="GZB2" s="353"/>
      <c r="GZC2" s="353"/>
      <c r="GZD2" s="353"/>
      <c r="GZE2" s="353"/>
      <c r="GZF2" s="353"/>
      <c r="GZG2" s="353"/>
      <c r="GZH2" s="353"/>
      <c r="GZI2" s="353"/>
      <c r="GZJ2" s="353"/>
      <c r="GZK2" s="353"/>
      <c r="GZL2" s="353"/>
      <c r="GZM2" s="353"/>
      <c r="GZN2" s="353"/>
      <c r="GZO2" s="353"/>
      <c r="GZP2" s="353"/>
      <c r="GZQ2" s="353"/>
      <c r="GZR2" s="353"/>
      <c r="GZS2" s="353"/>
      <c r="GZT2" s="353"/>
      <c r="GZU2" s="353"/>
      <c r="GZV2" s="353"/>
      <c r="GZW2" s="353"/>
      <c r="GZX2" s="353"/>
      <c r="GZY2" s="353"/>
      <c r="GZZ2" s="353"/>
      <c r="HAA2" s="353"/>
      <c r="HAB2" s="353"/>
      <c r="HAC2" s="353"/>
      <c r="HAD2" s="353"/>
      <c r="HAE2" s="353"/>
      <c r="HAF2" s="353"/>
      <c r="HAG2" s="353"/>
      <c r="HAH2" s="353"/>
      <c r="HAI2" s="353"/>
      <c r="HAJ2" s="353"/>
      <c r="HAK2" s="353"/>
      <c r="HAL2" s="353"/>
      <c r="HAM2" s="353"/>
      <c r="HAN2" s="353"/>
      <c r="HAO2" s="353"/>
      <c r="HAP2" s="353"/>
      <c r="HAQ2" s="353"/>
      <c r="HAR2" s="353"/>
      <c r="HAS2" s="353"/>
      <c r="HAT2" s="353"/>
      <c r="HAU2" s="353"/>
      <c r="HAV2" s="353"/>
      <c r="HAW2" s="353"/>
      <c r="HAX2" s="353"/>
      <c r="HAY2" s="353"/>
      <c r="HAZ2" s="353"/>
      <c r="HBA2" s="353"/>
      <c r="HBB2" s="353"/>
      <c r="HBC2" s="353"/>
      <c r="HBD2" s="353"/>
      <c r="HBE2" s="353"/>
      <c r="HBF2" s="353"/>
      <c r="HBG2" s="353"/>
      <c r="HBH2" s="353"/>
      <c r="HBI2" s="353"/>
      <c r="HBJ2" s="353"/>
      <c r="HBK2" s="353"/>
      <c r="HBL2" s="353"/>
      <c r="HBM2" s="353"/>
      <c r="HBN2" s="353"/>
      <c r="HBO2" s="353"/>
      <c r="HBP2" s="353"/>
      <c r="HBQ2" s="353"/>
      <c r="HBR2" s="353"/>
      <c r="HBS2" s="353"/>
      <c r="HBT2" s="353"/>
      <c r="HBU2" s="353"/>
      <c r="HBV2" s="353"/>
      <c r="HBW2" s="353"/>
      <c r="HBX2" s="353"/>
      <c r="HBY2" s="353"/>
      <c r="HBZ2" s="353"/>
      <c r="HCA2" s="353"/>
      <c r="HCB2" s="353"/>
      <c r="HCC2" s="353"/>
      <c r="HCD2" s="353"/>
      <c r="HCE2" s="353"/>
      <c r="HCF2" s="353"/>
      <c r="HCG2" s="353"/>
      <c r="HCH2" s="353"/>
      <c r="HCI2" s="353"/>
      <c r="HCJ2" s="353"/>
      <c r="HCK2" s="353"/>
      <c r="HCL2" s="353"/>
      <c r="HCM2" s="353"/>
      <c r="HCN2" s="353"/>
      <c r="HCO2" s="353"/>
      <c r="HCP2" s="353"/>
      <c r="HCQ2" s="353"/>
      <c r="HCR2" s="353"/>
      <c r="HCS2" s="353"/>
      <c r="HCT2" s="353"/>
      <c r="HCU2" s="353"/>
      <c r="HCV2" s="353"/>
      <c r="HCW2" s="353"/>
      <c r="HCX2" s="353"/>
      <c r="HCY2" s="353"/>
      <c r="HCZ2" s="353"/>
      <c r="HDA2" s="353"/>
      <c r="HDB2" s="353"/>
      <c r="HDC2" s="353"/>
      <c r="HDD2" s="353"/>
      <c r="HDE2" s="353"/>
      <c r="HDF2" s="353"/>
      <c r="HDG2" s="353"/>
      <c r="HDH2" s="353"/>
      <c r="HDI2" s="353"/>
      <c r="HDJ2" s="353"/>
      <c r="HDK2" s="353"/>
      <c r="HDL2" s="353"/>
      <c r="HDM2" s="353"/>
      <c r="HDN2" s="353"/>
      <c r="HDO2" s="353"/>
      <c r="HDP2" s="353"/>
      <c r="HDQ2" s="353"/>
      <c r="HDR2" s="353"/>
      <c r="HDS2" s="353"/>
      <c r="HDT2" s="353"/>
      <c r="HDU2" s="353"/>
      <c r="HDV2" s="353"/>
      <c r="HDW2" s="353"/>
      <c r="HDX2" s="353"/>
      <c r="HDY2" s="353"/>
      <c r="HDZ2" s="353"/>
      <c r="HEA2" s="353"/>
      <c r="HEB2" s="353"/>
      <c r="HEC2" s="353"/>
      <c r="HED2" s="353"/>
      <c r="HEE2" s="353"/>
      <c r="HEF2" s="353"/>
      <c r="HEG2" s="353"/>
      <c r="HEH2" s="353"/>
      <c r="HEI2" s="353"/>
      <c r="HEJ2" s="353"/>
      <c r="HEK2" s="353"/>
      <c r="HEL2" s="353"/>
      <c r="HEM2" s="353"/>
      <c r="HEN2" s="353"/>
      <c r="HEO2" s="353"/>
      <c r="HEP2" s="353"/>
      <c r="HEQ2" s="353"/>
      <c r="HER2" s="353"/>
      <c r="HES2" s="353"/>
      <c r="HET2" s="353"/>
      <c r="HEU2" s="353"/>
      <c r="HEV2" s="353"/>
      <c r="HEW2" s="353"/>
      <c r="HEX2" s="353"/>
      <c r="HEY2" s="353"/>
      <c r="HEZ2" s="353"/>
      <c r="HFA2" s="353"/>
      <c r="HFB2" s="353"/>
      <c r="HFC2" s="353"/>
      <c r="HFD2" s="353"/>
      <c r="HFE2" s="353"/>
      <c r="HFF2" s="353"/>
      <c r="HFG2" s="353"/>
      <c r="HFH2" s="353"/>
      <c r="HFI2" s="353"/>
      <c r="HFJ2" s="353"/>
      <c r="HFK2" s="353"/>
      <c r="HFL2" s="353"/>
      <c r="HFM2" s="353"/>
      <c r="HFN2" s="353"/>
      <c r="HFO2" s="353"/>
      <c r="HFP2" s="353"/>
      <c r="HFQ2" s="353"/>
      <c r="HFR2" s="353"/>
      <c r="HFS2" s="353"/>
      <c r="HFT2" s="353"/>
      <c r="HFU2" s="353"/>
      <c r="HFV2" s="353"/>
      <c r="HFW2" s="353"/>
      <c r="HFX2" s="353"/>
      <c r="HFY2" s="353"/>
      <c r="HFZ2" s="353"/>
      <c r="HGA2" s="353"/>
      <c r="HGB2" s="353"/>
      <c r="HGC2" s="353"/>
      <c r="HGD2" s="353"/>
      <c r="HGE2" s="353"/>
      <c r="HGF2" s="353"/>
      <c r="HGG2" s="353"/>
      <c r="HGH2" s="353"/>
      <c r="HGI2" s="353"/>
      <c r="HGJ2" s="353"/>
      <c r="HGK2" s="353"/>
      <c r="HGL2" s="353"/>
      <c r="HGM2" s="353"/>
      <c r="HGN2" s="353"/>
      <c r="HGO2" s="353"/>
      <c r="HGP2" s="353"/>
      <c r="HGQ2" s="353"/>
      <c r="HGR2" s="353"/>
      <c r="HGS2" s="353"/>
      <c r="HGT2" s="353"/>
      <c r="HGU2" s="353"/>
      <c r="HGV2" s="353"/>
      <c r="HGW2" s="353"/>
      <c r="HGX2" s="353"/>
      <c r="HGY2" s="353"/>
      <c r="HGZ2" s="353"/>
      <c r="HHA2" s="353"/>
      <c r="HHB2" s="353"/>
      <c r="HHC2" s="353"/>
      <c r="HHD2" s="353"/>
      <c r="HHE2" s="353"/>
      <c r="HHF2" s="353"/>
      <c r="HHG2" s="353"/>
      <c r="HHH2" s="353"/>
      <c r="HHI2" s="353"/>
      <c r="HHJ2" s="353"/>
      <c r="HHK2" s="353"/>
      <c r="HHL2" s="353"/>
      <c r="HHM2" s="353"/>
      <c r="HHN2" s="353"/>
      <c r="HHO2" s="353"/>
      <c r="HHP2" s="353"/>
      <c r="HHQ2" s="353"/>
      <c r="HHR2" s="353"/>
      <c r="HHS2" s="353"/>
      <c r="HHT2" s="353"/>
      <c r="HHU2" s="353"/>
      <c r="HHV2" s="353"/>
      <c r="HHW2" s="353"/>
      <c r="HHX2" s="353"/>
      <c r="HHY2" s="353"/>
      <c r="HHZ2" s="353"/>
      <c r="HIA2" s="353"/>
      <c r="HIB2" s="353"/>
      <c r="HIC2" s="353"/>
      <c r="HID2" s="353"/>
      <c r="HIE2" s="353"/>
      <c r="HIF2" s="353"/>
      <c r="HIG2" s="353"/>
      <c r="HIH2" s="353"/>
      <c r="HII2" s="353"/>
      <c r="HIJ2" s="353"/>
      <c r="HIK2" s="353"/>
      <c r="HIL2" s="353"/>
      <c r="HIM2" s="353"/>
      <c r="HIN2" s="353"/>
      <c r="HIO2" s="353"/>
      <c r="HIP2" s="353"/>
      <c r="HIQ2" s="353"/>
      <c r="HIR2" s="353"/>
      <c r="HIS2" s="353"/>
      <c r="HIT2" s="353"/>
      <c r="HIU2" s="353"/>
      <c r="HIV2" s="353"/>
      <c r="HIW2" s="353"/>
      <c r="HIX2" s="353"/>
      <c r="HIY2" s="353"/>
      <c r="HIZ2" s="353"/>
      <c r="HJA2" s="353"/>
      <c r="HJB2" s="353"/>
      <c r="HJC2" s="353"/>
      <c r="HJD2" s="353"/>
      <c r="HJE2" s="353"/>
      <c r="HJF2" s="353"/>
      <c r="HJG2" s="353"/>
      <c r="HJH2" s="353"/>
      <c r="HJI2" s="353"/>
      <c r="HJJ2" s="353"/>
      <c r="HJK2" s="353"/>
      <c r="HJL2" s="353"/>
      <c r="HJM2" s="353"/>
      <c r="HJN2" s="353"/>
      <c r="HJO2" s="353"/>
      <c r="HJP2" s="353"/>
      <c r="HJQ2" s="353"/>
      <c r="HJR2" s="353"/>
      <c r="HJS2" s="353"/>
      <c r="HJT2" s="353"/>
      <c r="HJU2" s="353"/>
      <c r="HJV2" s="353"/>
      <c r="HJW2" s="353"/>
      <c r="HJX2" s="353"/>
      <c r="HJY2" s="353"/>
      <c r="HJZ2" s="353"/>
      <c r="HKA2" s="353"/>
      <c r="HKB2" s="353"/>
      <c r="HKC2" s="353"/>
      <c r="HKD2" s="353"/>
      <c r="HKE2" s="353"/>
      <c r="HKF2" s="353"/>
      <c r="HKG2" s="353"/>
      <c r="HKH2" s="353"/>
      <c r="HKI2" s="353"/>
      <c r="HKJ2" s="353"/>
      <c r="HKK2" s="353"/>
      <c r="HKL2" s="353"/>
      <c r="HKM2" s="353"/>
      <c r="HKN2" s="353"/>
      <c r="HKO2" s="353"/>
      <c r="HKP2" s="353"/>
      <c r="HKQ2" s="353"/>
      <c r="HKR2" s="353"/>
      <c r="HKS2" s="353"/>
      <c r="HKT2" s="353"/>
      <c r="HKU2" s="353"/>
      <c r="HKV2" s="353"/>
      <c r="HKW2" s="353"/>
      <c r="HKX2" s="353"/>
      <c r="HKY2" s="353"/>
      <c r="HKZ2" s="353"/>
      <c r="HLA2" s="353"/>
      <c r="HLB2" s="353"/>
      <c r="HLC2" s="353"/>
      <c r="HLD2" s="353"/>
      <c r="HLE2" s="353"/>
      <c r="HLF2" s="353"/>
      <c r="HLG2" s="353"/>
      <c r="HLH2" s="353"/>
      <c r="HLI2" s="353"/>
      <c r="HLJ2" s="353"/>
      <c r="HLK2" s="353"/>
      <c r="HLL2" s="353"/>
      <c r="HLM2" s="353"/>
      <c r="HLN2" s="353"/>
      <c r="HLO2" s="353"/>
      <c r="HLP2" s="353"/>
      <c r="HLQ2" s="353"/>
      <c r="HLR2" s="353"/>
      <c r="HLS2" s="353"/>
      <c r="HLT2" s="353"/>
      <c r="HLU2" s="353"/>
      <c r="HLV2" s="353"/>
      <c r="HLW2" s="353"/>
      <c r="HLX2" s="353"/>
      <c r="HLY2" s="353"/>
      <c r="HLZ2" s="353"/>
      <c r="HMA2" s="353"/>
      <c r="HMB2" s="353"/>
      <c r="HMC2" s="353"/>
      <c r="HMD2" s="353"/>
      <c r="HME2" s="353"/>
      <c r="HMF2" s="353"/>
      <c r="HMG2" s="353"/>
      <c r="HMH2" s="353"/>
      <c r="HMI2" s="353"/>
      <c r="HMJ2" s="353"/>
      <c r="HMK2" s="353"/>
      <c r="HML2" s="353"/>
      <c r="HMM2" s="353"/>
      <c r="HMN2" s="353"/>
      <c r="HMO2" s="353"/>
      <c r="HMP2" s="353"/>
      <c r="HMQ2" s="353"/>
      <c r="HMR2" s="353"/>
      <c r="HMS2" s="353"/>
      <c r="HMT2" s="353"/>
      <c r="HMU2" s="353"/>
      <c r="HMV2" s="353"/>
      <c r="HMW2" s="353"/>
      <c r="HMX2" s="353"/>
      <c r="HMY2" s="353"/>
      <c r="HMZ2" s="353"/>
      <c r="HNA2" s="353"/>
      <c r="HNB2" s="353"/>
      <c r="HNC2" s="353"/>
      <c r="HND2" s="353"/>
      <c r="HNE2" s="353"/>
      <c r="HNF2" s="353"/>
      <c r="HNG2" s="353"/>
      <c r="HNH2" s="353"/>
      <c r="HNI2" s="353"/>
      <c r="HNJ2" s="353"/>
      <c r="HNK2" s="353"/>
      <c r="HNL2" s="353"/>
      <c r="HNM2" s="353"/>
      <c r="HNN2" s="353"/>
      <c r="HNO2" s="353"/>
      <c r="HNP2" s="353"/>
      <c r="HNQ2" s="353"/>
      <c r="HNR2" s="353"/>
      <c r="HNS2" s="353"/>
      <c r="HNT2" s="353"/>
      <c r="HNU2" s="353"/>
      <c r="HNV2" s="353"/>
      <c r="HNW2" s="353"/>
      <c r="HNX2" s="353"/>
      <c r="HNY2" s="353"/>
      <c r="HNZ2" s="353"/>
      <c r="HOA2" s="353"/>
      <c r="HOB2" s="353"/>
      <c r="HOC2" s="353"/>
      <c r="HOD2" s="353"/>
      <c r="HOE2" s="353"/>
      <c r="HOF2" s="353"/>
      <c r="HOG2" s="353"/>
      <c r="HOH2" s="353"/>
      <c r="HOI2" s="353"/>
      <c r="HOJ2" s="353"/>
      <c r="HOK2" s="353"/>
      <c r="HOL2" s="353"/>
      <c r="HOM2" s="353"/>
      <c r="HON2" s="353"/>
      <c r="HOO2" s="353"/>
      <c r="HOP2" s="353"/>
      <c r="HOQ2" s="353"/>
      <c r="HOR2" s="353"/>
      <c r="HOS2" s="353"/>
      <c r="HOT2" s="353"/>
      <c r="HOU2" s="353"/>
      <c r="HOV2" s="353"/>
      <c r="HOW2" s="353"/>
      <c r="HOX2" s="353"/>
      <c r="HOY2" s="353"/>
      <c r="HOZ2" s="353"/>
      <c r="HPA2" s="353"/>
      <c r="HPB2" s="353"/>
      <c r="HPC2" s="353"/>
      <c r="HPD2" s="353"/>
      <c r="HPE2" s="353"/>
      <c r="HPF2" s="353"/>
      <c r="HPG2" s="353"/>
      <c r="HPH2" s="353"/>
      <c r="HPI2" s="353"/>
      <c r="HPJ2" s="353"/>
      <c r="HPK2" s="353"/>
      <c r="HPL2" s="353"/>
      <c r="HPM2" s="353"/>
      <c r="HPN2" s="353"/>
      <c r="HPO2" s="353"/>
      <c r="HPP2" s="353"/>
      <c r="HPQ2" s="353"/>
      <c r="HPR2" s="353"/>
      <c r="HPS2" s="353"/>
      <c r="HPT2" s="353"/>
      <c r="HPU2" s="353"/>
      <c r="HPV2" s="353"/>
      <c r="HPW2" s="353"/>
      <c r="HPX2" s="353"/>
      <c r="HPY2" s="353"/>
      <c r="HPZ2" s="353"/>
      <c r="HQA2" s="353"/>
      <c r="HQB2" s="353"/>
      <c r="HQC2" s="353"/>
      <c r="HQD2" s="353"/>
      <c r="HQE2" s="353"/>
      <c r="HQF2" s="353"/>
      <c r="HQG2" s="353"/>
      <c r="HQH2" s="353"/>
      <c r="HQI2" s="353"/>
      <c r="HQJ2" s="353"/>
      <c r="HQK2" s="353"/>
      <c r="HQL2" s="353"/>
      <c r="HQM2" s="353"/>
      <c r="HQN2" s="353"/>
      <c r="HQO2" s="353"/>
      <c r="HQP2" s="353"/>
      <c r="HQQ2" s="353"/>
      <c r="HQR2" s="353"/>
      <c r="HQS2" s="353"/>
      <c r="HQT2" s="353"/>
      <c r="HQU2" s="353"/>
      <c r="HQV2" s="353"/>
      <c r="HQW2" s="353"/>
      <c r="HQX2" s="353"/>
      <c r="HQY2" s="353"/>
      <c r="HQZ2" s="353"/>
      <c r="HRA2" s="353"/>
      <c r="HRB2" s="353"/>
      <c r="HRC2" s="353"/>
      <c r="HRD2" s="353"/>
      <c r="HRE2" s="353"/>
      <c r="HRF2" s="353"/>
      <c r="HRG2" s="353"/>
      <c r="HRH2" s="353"/>
      <c r="HRI2" s="353"/>
      <c r="HRJ2" s="353"/>
      <c r="HRK2" s="353"/>
      <c r="HRL2" s="353"/>
      <c r="HRM2" s="353"/>
      <c r="HRN2" s="353"/>
      <c r="HRO2" s="353"/>
      <c r="HRP2" s="353"/>
      <c r="HRQ2" s="353"/>
      <c r="HRR2" s="353"/>
      <c r="HRS2" s="353"/>
      <c r="HRT2" s="353"/>
      <c r="HRU2" s="353"/>
      <c r="HRV2" s="353"/>
      <c r="HRW2" s="353"/>
      <c r="HRX2" s="353"/>
      <c r="HRY2" s="353"/>
      <c r="HRZ2" s="353"/>
      <c r="HSA2" s="353"/>
      <c r="HSB2" s="353"/>
      <c r="HSC2" s="353"/>
      <c r="HSD2" s="353"/>
      <c r="HSE2" s="353"/>
      <c r="HSF2" s="353"/>
      <c r="HSG2" s="353"/>
      <c r="HSH2" s="353"/>
      <c r="HSI2" s="353"/>
      <c r="HSJ2" s="353"/>
      <c r="HSK2" s="353"/>
      <c r="HSL2" s="353"/>
      <c r="HSM2" s="353"/>
      <c r="HSN2" s="353"/>
      <c r="HSO2" s="353"/>
      <c r="HSP2" s="353"/>
      <c r="HSQ2" s="353"/>
      <c r="HSR2" s="353"/>
      <c r="HSS2" s="353"/>
      <c r="HST2" s="353"/>
      <c r="HSU2" s="353"/>
      <c r="HSV2" s="353"/>
      <c r="HSW2" s="353"/>
      <c r="HSX2" s="353"/>
      <c r="HSY2" s="353"/>
      <c r="HSZ2" s="353"/>
      <c r="HTA2" s="353"/>
      <c r="HTB2" s="353"/>
      <c r="HTC2" s="353"/>
      <c r="HTD2" s="353"/>
      <c r="HTE2" s="353"/>
      <c r="HTF2" s="353"/>
      <c r="HTG2" s="353"/>
      <c r="HTH2" s="353"/>
      <c r="HTI2" s="353"/>
      <c r="HTJ2" s="353"/>
      <c r="HTK2" s="353"/>
      <c r="HTL2" s="353"/>
      <c r="HTM2" s="353"/>
      <c r="HTN2" s="353"/>
      <c r="HTO2" s="353"/>
      <c r="HTP2" s="353"/>
      <c r="HTQ2" s="353"/>
      <c r="HTR2" s="353"/>
      <c r="HTS2" s="353"/>
      <c r="HTT2" s="353"/>
      <c r="HTU2" s="353"/>
      <c r="HTV2" s="353"/>
      <c r="HTW2" s="353"/>
      <c r="HTX2" s="353"/>
      <c r="HTY2" s="353"/>
      <c r="HTZ2" s="353"/>
      <c r="HUA2" s="353"/>
      <c r="HUB2" s="353"/>
      <c r="HUC2" s="353"/>
      <c r="HUD2" s="353"/>
      <c r="HUE2" s="353"/>
      <c r="HUF2" s="353"/>
      <c r="HUG2" s="353"/>
      <c r="HUH2" s="353"/>
      <c r="HUI2" s="353"/>
      <c r="HUJ2" s="353"/>
      <c r="HUK2" s="353"/>
      <c r="HUL2" s="353"/>
      <c r="HUM2" s="353"/>
      <c r="HUN2" s="353"/>
      <c r="HUO2" s="353"/>
      <c r="HUP2" s="353"/>
      <c r="HUQ2" s="353"/>
      <c r="HUR2" s="353"/>
      <c r="HUS2" s="353"/>
      <c r="HUT2" s="353"/>
      <c r="HUU2" s="353"/>
      <c r="HUV2" s="353"/>
      <c r="HUW2" s="353"/>
      <c r="HUX2" s="353"/>
      <c r="HUY2" s="353"/>
      <c r="HUZ2" s="353"/>
      <c r="HVA2" s="353"/>
      <c r="HVB2" s="353"/>
      <c r="HVC2" s="353"/>
      <c r="HVD2" s="353"/>
      <c r="HVE2" s="353"/>
      <c r="HVF2" s="353"/>
      <c r="HVG2" s="353"/>
      <c r="HVH2" s="353"/>
      <c r="HVI2" s="353"/>
      <c r="HVJ2" s="353"/>
      <c r="HVK2" s="353"/>
      <c r="HVL2" s="353"/>
      <c r="HVM2" s="353"/>
      <c r="HVN2" s="353"/>
      <c r="HVO2" s="353"/>
      <c r="HVP2" s="353"/>
      <c r="HVQ2" s="353"/>
      <c r="HVR2" s="353"/>
      <c r="HVS2" s="353"/>
      <c r="HVT2" s="353"/>
      <c r="HVU2" s="353"/>
      <c r="HVV2" s="353"/>
      <c r="HVW2" s="353"/>
      <c r="HVX2" s="353"/>
      <c r="HVY2" s="353"/>
      <c r="HVZ2" s="353"/>
      <c r="HWA2" s="353"/>
      <c r="HWB2" s="353"/>
      <c r="HWC2" s="353"/>
      <c r="HWD2" s="353"/>
      <c r="HWE2" s="353"/>
      <c r="HWF2" s="353"/>
      <c r="HWG2" s="353"/>
      <c r="HWH2" s="353"/>
      <c r="HWI2" s="353"/>
      <c r="HWJ2" s="353"/>
      <c r="HWK2" s="353"/>
      <c r="HWL2" s="353"/>
      <c r="HWM2" s="353"/>
      <c r="HWN2" s="353"/>
      <c r="HWO2" s="353"/>
      <c r="HWP2" s="353"/>
      <c r="HWQ2" s="353"/>
      <c r="HWR2" s="353"/>
      <c r="HWS2" s="353"/>
      <c r="HWT2" s="353"/>
      <c r="HWU2" s="353"/>
      <c r="HWV2" s="353"/>
      <c r="HWW2" s="353"/>
      <c r="HWX2" s="353"/>
      <c r="HWY2" s="353"/>
      <c r="HWZ2" s="353"/>
      <c r="HXA2" s="353"/>
      <c r="HXB2" s="353"/>
      <c r="HXC2" s="353"/>
      <c r="HXD2" s="353"/>
      <c r="HXE2" s="353"/>
      <c r="HXF2" s="353"/>
      <c r="HXG2" s="353"/>
      <c r="HXH2" s="353"/>
      <c r="HXI2" s="353"/>
      <c r="HXJ2" s="353"/>
      <c r="HXK2" s="353"/>
      <c r="HXL2" s="353"/>
      <c r="HXM2" s="353"/>
      <c r="HXN2" s="353"/>
      <c r="HXO2" s="353"/>
      <c r="HXP2" s="353"/>
      <c r="HXQ2" s="353"/>
      <c r="HXR2" s="353"/>
      <c r="HXS2" s="353"/>
      <c r="HXT2" s="353"/>
      <c r="HXU2" s="353"/>
      <c r="HXV2" s="353"/>
      <c r="HXW2" s="353"/>
      <c r="HXX2" s="353"/>
      <c r="HXY2" s="353"/>
      <c r="HXZ2" s="353"/>
      <c r="HYA2" s="353"/>
      <c r="HYB2" s="353"/>
      <c r="HYC2" s="353"/>
      <c r="HYD2" s="353"/>
      <c r="HYE2" s="353"/>
      <c r="HYF2" s="353"/>
      <c r="HYG2" s="353"/>
      <c r="HYH2" s="353"/>
      <c r="HYI2" s="353"/>
      <c r="HYJ2" s="353"/>
      <c r="HYK2" s="353"/>
      <c r="HYL2" s="353"/>
      <c r="HYM2" s="353"/>
      <c r="HYN2" s="353"/>
      <c r="HYO2" s="353"/>
      <c r="HYP2" s="353"/>
      <c r="HYQ2" s="353"/>
      <c r="HYR2" s="353"/>
      <c r="HYS2" s="353"/>
      <c r="HYT2" s="353"/>
      <c r="HYU2" s="353"/>
      <c r="HYV2" s="353"/>
      <c r="HYW2" s="353"/>
      <c r="HYX2" s="353"/>
      <c r="HYY2" s="353"/>
      <c r="HYZ2" s="353"/>
      <c r="HZA2" s="353"/>
      <c r="HZB2" s="353"/>
      <c r="HZC2" s="353"/>
      <c r="HZD2" s="353"/>
      <c r="HZE2" s="353"/>
      <c r="HZF2" s="353"/>
      <c r="HZG2" s="353"/>
      <c r="HZH2" s="353"/>
      <c r="HZI2" s="353"/>
      <c r="HZJ2" s="353"/>
      <c r="HZK2" s="353"/>
      <c r="HZL2" s="353"/>
      <c r="HZM2" s="353"/>
      <c r="HZN2" s="353"/>
      <c r="HZO2" s="353"/>
      <c r="HZP2" s="353"/>
      <c r="HZQ2" s="353"/>
      <c r="HZR2" s="353"/>
      <c r="HZS2" s="353"/>
      <c r="HZT2" s="353"/>
      <c r="HZU2" s="353"/>
      <c r="HZV2" s="353"/>
      <c r="HZW2" s="353"/>
      <c r="HZX2" s="353"/>
      <c r="HZY2" s="353"/>
      <c r="HZZ2" s="353"/>
      <c r="IAA2" s="353"/>
      <c r="IAB2" s="353"/>
      <c r="IAC2" s="353"/>
      <c r="IAD2" s="353"/>
      <c r="IAE2" s="353"/>
      <c r="IAF2" s="353"/>
      <c r="IAG2" s="353"/>
      <c r="IAH2" s="353"/>
      <c r="IAI2" s="353"/>
      <c r="IAJ2" s="353"/>
      <c r="IAK2" s="353"/>
      <c r="IAL2" s="353"/>
      <c r="IAM2" s="353"/>
      <c r="IAN2" s="353"/>
      <c r="IAO2" s="353"/>
      <c r="IAP2" s="353"/>
      <c r="IAQ2" s="353"/>
      <c r="IAR2" s="353"/>
      <c r="IAS2" s="353"/>
      <c r="IAT2" s="353"/>
      <c r="IAU2" s="353"/>
      <c r="IAV2" s="353"/>
      <c r="IAW2" s="353"/>
      <c r="IAX2" s="353"/>
      <c r="IAY2" s="353"/>
      <c r="IAZ2" s="353"/>
      <c r="IBA2" s="353"/>
      <c r="IBB2" s="353"/>
      <c r="IBC2" s="353"/>
      <c r="IBD2" s="353"/>
      <c r="IBE2" s="353"/>
      <c r="IBF2" s="353"/>
      <c r="IBG2" s="353"/>
      <c r="IBH2" s="353"/>
      <c r="IBI2" s="353"/>
      <c r="IBJ2" s="353"/>
      <c r="IBK2" s="353"/>
      <c r="IBL2" s="353"/>
      <c r="IBM2" s="353"/>
      <c r="IBN2" s="353"/>
      <c r="IBO2" s="353"/>
      <c r="IBP2" s="353"/>
      <c r="IBQ2" s="353"/>
      <c r="IBR2" s="353"/>
      <c r="IBS2" s="353"/>
      <c r="IBT2" s="353"/>
      <c r="IBU2" s="353"/>
      <c r="IBV2" s="353"/>
      <c r="IBW2" s="353"/>
      <c r="IBX2" s="353"/>
      <c r="IBY2" s="353"/>
      <c r="IBZ2" s="353"/>
      <c r="ICA2" s="353"/>
      <c r="ICB2" s="353"/>
      <c r="ICC2" s="353"/>
      <c r="ICD2" s="353"/>
      <c r="ICE2" s="353"/>
      <c r="ICF2" s="353"/>
      <c r="ICG2" s="353"/>
      <c r="ICH2" s="353"/>
      <c r="ICI2" s="353"/>
      <c r="ICJ2" s="353"/>
      <c r="ICK2" s="353"/>
      <c r="ICL2" s="353"/>
      <c r="ICM2" s="353"/>
      <c r="ICN2" s="353"/>
      <c r="ICO2" s="353"/>
      <c r="ICP2" s="353"/>
      <c r="ICQ2" s="353"/>
      <c r="ICR2" s="353"/>
      <c r="ICS2" s="353"/>
      <c r="ICT2" s="353"/>
      <c r="ICU2" s="353"/>
      <c r="ICV2" s="353"/>
      <c r="ICW2" s="353"/>
      <c r="ICX2" s="353"/>
      <c r="ICY2" s="353"/>
      <c r="ICZ2" s="353"/>
      <c r="IDA2" s="353"/>
      <c r="IDB2" s="353"/>
      <c r="IDC2" s="353"/>
      <c r="IDD2" s="353"/>
      <c r="IDE2" s="353"/>
      <c r="IDF2" s="353"/>
      <c r="IDG2" s="353"/>
      <c r="IDH2" s="353"/>
      <c r="IDI2" s="353"/>
      <c r="IDJ2" s="353"/>
      <c r="IDK2" s="353"/>
      <c r="IDL2" s="353"/>
      <c r="IDM2" s="353"/>
      <c r="IDN2" s="353"/>
      <c r="IDO2" s="353"/>
      <c r="IDP2" s="353"/>
      <c r="IDQ2" s="353"/>
      <c r="IDR2" s="353"/>
      <c r="IDS2" s="353"/>
      <c r="IDT2" s="353"/>
      <c r="IDU2" s="353"/>
      <c r="IDV2" s="353"/>
      <c r="IDW2" s="353"/>
      <c r="IDX2" s="353"/>
      <c r="IDY2" s="353"/>
      <c r="IDZ2" s="353"/>
      <c r="IEA2" s="353"/>
      <c r="IEB2" s="353"/>
      <c r="IEC2" s="353"/>
      <c r="IED2" s="353"/>
      <c r="IEE2" s="353"/>
      <c r="IEF2" s="353"/>
      <c r="IEG2" s="353"/>
      <c r="IEH2" s="353"/>
      <c r="IEI2" s="353"/>
      <c r="IEJ2" s="353"/>
      <c r="IEK2" s="353"/>
      <c r="IEL2" s="353"/>
      <c r="IEM2" s="353"/>
      <c r="IEN2" s="353"/>
      <c r="IEO2" s="353"/>
      <c r="IEP2" s="353"/>
      <c r="IEQ2" s="353"/>
      <c r="IER2" s="353"/>
      <c r="IES2" s="353"/>
      <c r="IET2" s="353"/>
      <c r="IEU2" s="353"/>
      <c r="IEV2" s="353"/>
      <c r="IEW2" s="353"/>
      <c r="IEX2" s="353"/>
      <c r="IEY2" s="353"/>
      <c r="IEZ2" s="353"/>
      <c r="IFA2" s="353"/>
      <c r="IFB2" s="353"/>
      <c r="IFC2" s="353"/>
      <c r="IFD2" s="353"/>
      <c r="IFE2" s="353"/>
      <c r="IFF2" s="353"/>
      <c r="IFG2" s="353"/>
      <c r="IFH2" s="353"/>
      <c r="IFI2" s="353"/>
      <c r="IFJ2" s="353"/>
      <c r="IFK2" s="353"/>
      <c r="IFL2" s="353"/>
      <c r="IFM2" s="353"/>
      <c r="IFN2" s="353"/>
      <c r="IFO2" s="353"/>
      <c r="IFP2" s="353"/>
      <c r="IFQ2" s="353"/>
      <c r="IFR2" s="353"/>
      <c r="IFS2" s="353"/>
      <c r="IFT2" s="353"/>
      <c r="IFU2" s="353"/>
      <c r="IFV2" s="353"/>
      <c r="IFW2" s="353"/>
      <c r="IFX2" s="353"/>
      <c r="IFY2" s="353"/>
      <c r="IFZ2" s="353"/>
      <c r="IGA2" s="353"/>
      <c r="IGB2" s="353"/>
      <c r="IGC2" s="353"/>
      <c r="IGD2" s="353"/>
      <c r="IGE2" s="353"/>
      <c r="IGF2" s="353"/>
      <c r="IGG2" s="353"/>
      <c r="IGH2" s="353"/>
      <c r="IGI2" s="353"/>
      <c r="IGJ2" s="353"/>
      <c r="IGK2" s="353"/>
      <c r="IGL2" s="353"/>
      <c r="IGM2" s="353"/>
      <c r="IGN2" s="353"/>
      <c r="IGO2" s="353"/>
      <c r="IGP2" s="353"/>
      <c r="IGQ2" s="353"/>
      <c r="IGR2" s="353"/>
      <c r="IGS2" s="353"/>
      <c r="IGT2" s="353"/>
      <c r="IGU2" s="353"/>
      <c r="IGV2" s="353"/>
      <c r="IGW2" s="353"/>
      <c r="IGX2" s="353"/>
      <c r="IGY2" s="353"/>
      <c r="IGZ2" s="353"/>
      <c r="IHA2" s="353"/>
      <c r="IHB2" s="353"/>
      <c r="IHC2" s="353"/>
      <c r="IHD2" s="353"/>
      <c r="IHE2" s="353"/>
      <c r="IHF2" s="353"/>
      <c r="IHG2" s="353"/>
      <c r="IHH2" s="353"/>
      <c r="IHI2" s="353"/>
      <c r="IHJ2" s="353"/>
      <c r="IHK2" s="353"/>
      <c r="IHL2" s="353"/>
      <c r="IHM2" s="353"/>
      <c r="IHN2" s="353"/>
      <c r="IHO2" s="353"/>
      <c r="IHP2" s="353"/>
      <c r="IHQ2" s="353"/>
      <c r="IHR2" s="353"/>
      <c r="IHS2" s="353"/>
      <c r="IHT2" s="353"/>
      <c r="IHU2" s="353"/>
      <c r="IHV2" s="353"/>
      <c r="IHW2" s="353"/>
      <c r="IHX2" s="353"/>
      <c r="IHY2" s="353"/>
      <c r="IHZ2" s="353"/>
      <c r="IIA2" s="353"/>
      <c r="IIB2" s="353"/>
      <c r="IIC2" s="353"/>
      <c r="IID2" s="353"/>
      <c r="IIE2" s="353"/>
      <c r="IIF2" s="353"/>
      <c r="IIG2" s="353"/>
      <c r="IIH2" s="353"/>
      <c r="III2" s="353"/>
      <c r="IIJ2" s="353"/>
      <c r="IIK2" s="353"/>
      <c r="IIL2" s="353"/>
      <c r="IIM2" s="353"/>
      <c r="IIN2" s="353"/>
      <c r="IIO2" s="353"/>
      <c r="IIP2" s="353"/>
      <c r="IIQ2" s="353"/>
      <c r="IIR2" s="353"/>
      <c r="IIS2" s="353"/>
      <c r="IIT2" s="353"/>
      <c r="IIU2" s="353"/>
      <c r="IIV2" s="353"/>
      <c r="IIW2" s="353"/>
      <c r="IIX2" s="353"/>
      <c r="IIY2" s="353"/>
      <c r="IIZ2" s="353"/>
      <c r="IJA2" s="353"/>
      <c r="IJB2" s="353"/>
      <c r="IJC2" s="353"/>
      <c r="IJD2" s="353"/>
      <c r="IJE2" s="353"/>
      <c r="IJF2" s="353"/>
      <c r="IJG2" s="353"/>
      <c r="IJH2" s="353"/>
      <c r="IJI2" s="353"/>
      <c r="IJJ2" s="353"/>
      <c r="IJK2" s="353"/>
      <c r="IJL2" s="353"/>
      <c r="IJM2" s="353"/>
      <c r="IJN2" s="353"/>
      <c r="IJO2" s="353"/>
      <c r="IJP2" s="353"/>
      <c r="IJQ2" s="353"/>
      <c r="IJR2" s="353"/>
      <c r="IJS2" s="353"/>
      <c r="IJT2" s="353"/>
      <c r="IJU2" s="353"/>
      <c r="IJV2" s="353"/>
      <c r="IJW2" s="353"/>
      <c r="IJX2" s="353"/>
      <c r="IJY2" s="353"/>
      <c r="IJZ2" s="353"/>
      <c r="IKA2" s="353"/>
      <c r="IKB2" s="353"/>
      <c r="IKC2" s="353"/>
      <c r="IKD2" s="353"/>
      <c r="IKE2" s="353"/>
      <c r="IKF2" s="353"/>
      <c r="IKG2" s="353"/>
      <c r="IKH2" s="353"/>
      <c r="IKI2" s="353"/>
      <c r="IKJ2" s="353"/>
      <c r="IKK2" s="353"/>
      <c r="IKL2" s="353"/>
      <c r="IKM2" s="353"/>
      <c r="IKN2" s="353"/>
      <c r="IKO2" s="353"/>
      <c r="IKP2" s="353"/>
      <c r="IKQ2" s="353"/>
      <c r="IKR2" s="353"/>
      <c r="IKS2" s="353"/>
      <c r="IKT2" s="353"/>
      <c r="IKU2" s="353"/>
      <c r="IKV2" s="353"/>
      <c r="IKW2" s="353"/>
      <c r="IKX2" s="353"/>
      <c r="IKY2" s="353"/>
      <c r="IKZ2" s="353"/>
      <c r="ILA2" s="353"/>
      <c r="ILB2" s="353"/>
      <c r="ILC2" s="353"/>
      <c r="ILD2" s="353"/>
      <c r="ILE2" s="353"/>
      <c r="ILF2" s="353"/>
      <c r="ILG2" s="353"/>
      <c r="ILH2" s="353"/>
      <c r="ILI2" s="353"/>
      <c r="ILJ2" s="353"/>
      <c r="ILK2" s="353"/>
      <c r="ILL2" s="353"/>
      <c r="ILM2" s="353"/>
      <c r="ILN2" s="353"/>
      <c r="ILO2" s="353"/>
      <c r="ILP2" s="353"/>
      <c r="ILQ2" s="353"/>
      <c r="ILR2" s="353"/>
      <c r="ILS2" s="353"/>
      <c r="ILT2" s="353"/>
      <c r="ILU2" s="353"/>
      <c r="ILV2" s="353"/>
      <c r="ILW2" s="353"/>
      <c r="ILX2" s="353"/>
      <c r="ILY2" s="353"/>
      <c r="ILZ2" s="353"/>
      <c r="IMA2" s="353"/>
      <c r="IMB2" s="353"/>
      <c r="IMC2" s="353"/>
      <c r="IMD2" s="353"/>
      <c r="IME2" s="353"/>
      <c r="IMF2" s="353"/>
      <c r="IMG2" s="353"/>
      <c r="IMH2" s="353"/>
      <c r="IMI2" s="353"/>
      <c r="IMJ2" s="353"/>
      <c r="IMK2" s="353"/>
      <c r="IML2" s="353"/>
      <c r="IMM2" s="353"/>
      <c r="IMN2" s="353"/>
      <c r="IMO2" s="353"/>
      <c r="IMP2" s="353"/>
      <c r="IMQ2" s="353"/>
      <c r="IMR2" s="353"/>
      <c r="IMS2" s="353"/>
      <c r="IMT2" s="353"/>
      <c r="IMU2" s="353"/>
      <c r="IMV2" s="353"/>
      <c r="IMW2" s="353"/>
      <c r="IMX2" s="353"/>
      <c r="IMY2" s="353"/>
      <c r="IMZ2" s="353"/>
      <c r="INA2" s="353"/>
      <c r="INB2" s="353"/>
      <c r="INC2" s="353"/>
      <c r="IND2" s="353"/>
      <c r="INE2" s="353"/>
      <c r="INF2" s="353"/>
      <c r="ING2" s="353"/>
      <c r="INH2" s="353"/>
      <c r="INI2" s="353"/>
      <c r="INJ2" s="353"/>
      <c r="INK2" s="353"/>
      <c r="INL2" s="353"/>
      <c r="INM2" s="353"/>
      <c r="INN2" s="353"/>
      <c r="INO2" s="353"/>
      <c r="INP2" s="353"/>
      <c r="INQ2" s="353"/>
      <c r="INR2" s="353"/>
      <c r="INS2" s="353"/>
      <c r="INT2" s="353"/>
      <c r="INU2" s="353"/>
      <c r="INV2" s="353"/>
      <c r="INW2" s="353"/>
      <c r="INX2" s="353"/>
      <c r="INY2" s="353"/>
      <c r="INZ2" s="353"/>
      <c r="IOA2" s="353"/>
      <c r="IOB2" s="353"/>
      <c r="IOC2" s="353"/>
      <c r="IOD2" s="353"/>
      <c r="IOE2" s="353"/>
      <c r="IOF2" s="353"/>
      <c r="IOG2" s="353"/>
      <c r="IOH2" s="353"/>
      <c r="IOI2" s="353"/>
      <c r="IOJ2" s="353"/>
      <c r="IOK2" s="353"/>
      <c r="IOL2" s="353"/>
      <c r="IOM2" s="353"/>
      <c r="ION2" s="353"/>
      <c r="IOO2" s="353"/>
      <c r="IOP2" s="353"/>
      <c r="IOQ2" s="353"/>
      <c r="IOR2" s="353"/>
      <c r="IOS2" s="353"/>
      <c r="IOT2" s="353"/>
      <c r="IOU2" s="353"/>
      <c r="IOV2" s="353"/>
      <c r="IOW2" s="353"/>
      <c r="IOX2" s="353"/>
      <c r="IOY2" s="353"/>
      <c r="IOZ2" s="353"/>
      <c r="IPA2" s="353"/>
      <c r="IPB2" s="353"/>
      <c r="IPC2" s="353"/>
      <c r="IPD2" s="353"/>
      <c r="IPE2" s="353"/>
      <c r="IPF2" s="353"/>
      <c r="IPG2" s="353"/>
      <c r="IPH2" s="353"/>
      <c r="IPI2" s="353"/>
      <c r="IPJ2" s="353"/>
      <c r="IPK2" s="353"/>
      <c r="IPL2" s="353"/>
      <c r="IPM2" s="353"/>
      <c r="IPN2" s="353"/>
      <c r="IPO2" s="353"/>
      <c r="IPP2" s="353"/>
      <c r="IPQ2" s="353"/>
      <c r="IPR2" s="353"/>
      <c r="IPS2" s="353"/>
      <c r="IPT2" s="353"/>
      <c r="IPU2" s="353"/>
      <c r="IPV2" s="353"/>
      <c r="IPW2" s="353"/>
      <c r="IPX2" s="353"/>
      <c r="IPY2" s="353"/>
      <c r="IPZ2" s="353"/>
      <c r="IQA2" s="353"/>
      <c r="IQB2" s="353"/>
      <c r="IQC2" s="353"/>
      <c r="IQD2" s="353"/>
      <c r="IQE2" s="353"/>
      <c r="IQF2" s="353"/>
      <c r="IQG2" s="353"/>
      <c r="IQH2" s="353"/>
      <c r="IQI2" s="353"/>
      <c r="IQJ2" s="353"/>
      <c r="IQK2" s="353"/>
      <c r="IQL2" s="353"/>
      <c r="IQM2" s="353"/>
      <c r="IQN2" s="353"/>
      <c r="IQO2" s="353"/>
      <c r="IQP2" s="353"/>
      <c r="IQQ2" s="353"/>
      <c r="IQR2" s="353"/>
      <c r="IQS2" s="353"/>
      <c r="IQT2" s="353"/>
      <c r="IQU2" s="353"/>
      <c r="IQV2" s="353"/>
      <c r="IQW2" s="353"/>
      <c r="IQX2" s="353"/>
      <c r="IQY2" s="353"/>
      <c r="IQZ2" s="353"/>
      <c r="IRA2" s="353"/>
      <c r="IRB2" s="353"/>
      <c r="IRC2" s="353"/>
      <c r="IRD2" s="353"/>
      <c r="IRE2" s="353"/>
      <c r="IRF2" s="353"/>
      <c r="IRG2" s="353"/>
      <c r="IRH2" s="353"/>
      <c r="IRI2" s="353"/>
      <c r="IRJ2" s="353"/>
      <c r="IRK2" s="353"/>
      <c r="IRL2" s="353"/>
      <c r="IRM2" s="353"/>
      <c r="IRN2" s="353"/>
      <c r="IRO2" s="353"/>
      <c r="IRP2" s="353"/>
      <c r="IRQ2" s="353"/>
      <c r="IRR2" s="353"/>
      <c r="IRS2" s="353"/>
      <c r="IRT2" s="353"/>
      <c r="IRU2" s="353"/>
      <c r="IRV2" s="353"/>
      <c r="IRW2" s="353"/>
      <c r="IRX2" s="353"/>
      <c r="IRY2" s="353"/>
      <c r="IRZ2" s="353"/>
      <c r="ISA2" s="353"/>
      <c r="ISB2" s="353"/>
      <c r="ISC2" s="353"/>
      <c r="ISD2" s="353"/>
      <c r="ISE2" s="353"/>
      <c r="ISF2" s="353"/>
      <c r="ISG2" s="353"/>
      <c r="ISH2" s="353"/>
      <c r="ISI2" s="353"/>
      <c r="ISJ2" s="353"/>
      <c r="ISK2" s="353"/>
      <c r="ISL2" s="353"/>
      <c r="ISM2" s="353"/>
      <c r="ISN2" s="353"/>
      <c r="ISO2" s="353"/>
      <c r="ISP2" s="353"/>
      <c r="ISQ2" s="353"/>
      <c r="ISR2" s="353"/>
      <c r="ISS2" s="353"/>
      <c r="IST2" s="353"/>
      <c r="ISU2" s="353"/>
      <c r="ISV2" s="353"/>
      <c r="ISW2" s="353"/>
      <c r="ISX2" s="353"/>
      <c r="ISY2" s="353"/>
      <c r="ISZ2" s="353"/>
      <c r="ITA2" s="353"/>
      <c r="ITB2" s="353"/>
      <c r="ITC2" s="353"/>
      <c r="ITD2" s="353"/>
      <c r="ITE2" s="353"/>
      <c r="ITF2" s="353"/>
      <c r="ITG2" s="353"/>
      <c r="ITH2" s="353"/>
      <c r="ITI2" s="353"/>
      <c r="ITJ2" s="353"/>
      <c r="ITK2" s="353"/>
      <c r="ITL2" s="353"/>
      <c r="ITM2" s="353"/>
      <c r="ITN2" s="353"/>
      <c r="ITO2" s="353"/>
      <c r="ITP2" s="353"/>
      <c r="ITQ2" s="353"/>
      <c r="ITR2" s="353"/>
      <c r="ITS2" s="353"/>
      <c r="ITT2" s="353"/>
      <c r="ITU2" s="353"/>
      <c r="ITV2" s="353"/>
      <c r="ITW2" s="353"/>
      <c r="ITX2" s="353"/>
      <c r="ITY2" s="353"/>
      <c r="ITZ2" s="353"/>
      <c r="IUA2" s="353"/>
      <c r="IUB2" s="353"/>
      <c r="IUC2" s="353"/>
      <c r="IUD2" s="353"/>
      <c r="IUE2" s="353"/>
      <c r="IUF2" s="353"/>
      <c r="IUG2" s="353"/>
      <c r="IUH2" s="353"/>
      <c r="IUI2" s="353"/>
      <c r="IUJ2" s="353"/>
      <c r="IUK2" s="353"/>
      <c r="IUL2" s="353"/>
      <c r="IUM2" s="353"/>
      <c r="IUN2" s="353"/>
      <c r="IUO2" s="353"/>
      <c r="IUP2" s="353"/>
      <c r="IUQ2" s="353"/>
      <c r="IUR2" s="353"/>
      <c r="IUS2" s="353"/>
      <c r="IUT2" s="353"/>
      <c r="IUU2" s="353"/>
      <c r="IUV2" s="353"/>
      <c r="IUW2" s="353"/>
      <c r="IUX2" s="353"/>
      <c r="IUY2" s="353"/>
      <c r="IUZ2" s="353"/>
      <c r="IVA2" s="353"/>
      <c r="IVB2" s="353"/>
      <c r="IVC2" s="353"/>
      <c r="IVD2" s="353"/>
      <c r="IVE2" s="353"/>
      <c r="IVF2" s="353"/>
      <c r="IVG2" s="353"/>
      <c r="IVH2" s="353"/>
      <c r="IVI2" s="353"/>
      <c r="IVJ2" s="353"/>
      <c r="IVK2" s="353"/>
      <c r="IVL2" s="353"/>
      <c r="IVM2" s="353"/>
      <c r="IVN2" s="353"/>
      <c r="IVO2" s="353"/>
      <c r="IVP2" s="353"/>
      <c r="IVQ2" s="353"/>
      <c r="IVR2" s="353"/>
      <c r="IVS2" s="353"/>
      <c r="IVT2" s="353"/>
      <c r="IVU2" s="353"/>
      <c r="IVV2" s="353"/>
      <c r="IVW2" s="353"/>
      <c r="IVX2" s="353"/>
      <c r="IVY2" s="353"/>
      <c r="IVZ2" s="353"/>
      <c r="IWA2" s="353"/>
      <c r="IWB2" s="353"/>
      <c r="IWC2" s="353"/>
      <c r="IWD2" s="353"/>
      <c r="IWE2" s="353"/>
      <c r="IWF2" s="353"/>
      <c r="IWG2" s="353"/>
      <c r="IWH2" s="353"/>
      <c r="IWI2" s="353"/>
      <c r="IWJ2" s="353"/>
      <c r="IWK2" s="353"/>
      <c r="IWL2" s="353"/>
      <c r="IWM2" s="353"/>
      <c r="IWN2" s="353"/>
      <c r="IWO2" s="353"/>
      <c r="IWP2" s="353"/>
      <c r="IWQ2" s="353"/>
      <c r="IWR2" s="353"/>
      <c r="IWS2" s="353"/>
      <c r="IWT2" s="353"/>
      <c r="IWU2" s="353"/>
      <c r="IWV2" s="353"/>
      <c r="IWW2" s="353"/>
      <c r="IWX2" s="353"/>
      <c r="IWY2" s="353"/>
      <c r="IWZ2" s="353"/>
      <c r="IXA2" s="353"/>
      <c r="IXB2" s="353"/>
      <c r="IXC2" s="353"/>
      <c r="IXD2" s="353"/>
      <c r="IXE2" s="353"/>
      <c r="IXF2" s="353"/>
      <c r="IXG2" s="353"/>
      <c r="IXH2" s="353"/>
      <c r="IXI2" s="353"/>
      <c r="IXJ2" s="353"/>
      <c r="IXK2" s="353"/>
      <c r="IXL2" s="353"/>
      <c r="IXM2" s="353"/>
      <c r="IXN2" s="353"/>
      <c r="IXO2" s="353"/>
      <c r="IXP2" s="353"/>
      <c r="IXQ2" s="353"/>
      <c r="IXR2" s="353"/>
      <c r="IXS2" s="353"/>
      <c r="IXT2" s="353"/>
      <c r="IXU2" s="353"/>
      <c r="IXV2" s="353"/>
      <c r="IXW2" s="353"/>
      <c r="IXX2" s="353"/>
      <c r="IXY2" s="353"/>
      <c r="IXZ2" s="353"/>
      <c r="IYA2" s="353"/>
      <c r="IYB2" s="353"/>
      <c r="IYC2" s="353"/>
      <c r="IYD2" s="353"/>
      <c r="IYE2" s="353"/>
      <c r="IYF2" s="353"/>
      <c r="IYG2" s="353"/>
      <c r="IYH2" s="353"/>
      <c r="IYI2" s="353"/>
      <c r="IYJ2" s="353"/>
      <c r="IYK2" s="353"/>
      <c r="IYL2" s="353"/>
      <c r="IYM2" s="353"/>
      <c r="IYN2" s="353"/>
      <c r="IYO2" s="353"/>
      <c r="IYP2" s="353"/>
      <c r="IYQ2" s="353"/>
      <c r="IYR2" s="353"/>
      <c r="IYS2" s="353"/>
      <c r="IYT2" s="353"/>
      <c r="IYU2" s="353"/>
      <c r="IYV2" s="353"/>
      <c r="IYW2" s="353"/>
      <c r="IYX2" s="353"/>
      <c r="IYY2" s="353"/>
      <c r="IYZ2" s="353"/>
      <c r="IZA2" s="353"/>
      <c r="IZB2" s="353"/>
      <c r="IZC2" s="353"/>
      <c r="IZD2" s="353"/>
      <c r="IZE2" s="353"/>
      <c r="IZF2" s="353"/>
      <c r="IZG2" s="353"/>
      <c r="IZH2" s="353"/>
      <c r="IZI2" s="353"/>
      <c r="IZJ2" s="353"/>
      <c r="IZK2" s="353"/>
      <c r="IZL2" s="353"/>
      <c r="IZM2" s="353"/>
      <c r="IZN2" s="353"/>
      <c r="IZO2" s="353"/>
      <c r="IZP2" s="353"/>
      <c r="IZQ2" s="353"/>
      <c r="IZR2" s="353"/>
      <c r="IZS2" s="353"/>
      <c r="IZT2" s="353"/>
      <c r="IZU2" s="353"/>
      <c r="IZV2" s="353"/>
      <c r="IZW2" s="353"/>
      <c r="IZX2" s="353"/>
      <c r="IZY2" s="353"/>
      <c r="IZZ2" s="353"/>
      <c r="JAA2" s="353"/>
      <c r="JAB2" s="353"/>
      <c r="JAC2" s="353"/>
      <c r="JAD2" s="353"/>
      <c r="JAE2" s="353"/>
      <c r="JAF2" s="353"/>
      <c r="JAG2" s="353"/>
      <c r="JAH2" s="353"/>
      <c r="JAI2" s="353"/>
      <c r="JAJ2" s="353"/>
      <c r="JAK2" s="353"/>
      <c r="JAL2" s="353"/>
      <c r="JAM2" s="353"/>
      <c r="JAN2" s="353"/>
      <c r="JAO2" s="353"/>
      <c r="JAP2" s="353"/>
      <c r="JAQ2" s="353"/>
      <c r="JAR2" s="353"/>
      <c r="JAS2" s="353"/>
      <c r="JAT2" s="353"/>
      <c r="JAU2" s="353"/>
      <c r="JAV2" s="353"/>
      <c r="JAW2" s="353"/>
      <c r="JAX2" s="353"/>
      <c r="JAY2" s="353"/>
      <c r="JAZ2" s="353"/>
      <c r="JBA2" s="353"/>
      <c r="JBB2" s="353"/>
      <c r="JBC2" s="353"/>
      <c r="JBD2" s="353"/>
      <c r="JBE2" s="353"/>
      <c r="JBF2" s="353"/>
      <c r="JBG2" s="353"/>
      <c r="JBH2" s="353"/>
      <c r="JBI2" s="353"/>
      <c r="JBJ2" s="353"/>
      <c r="JBK2" s="353"/>
      <c r="JBL2" s="353"/>
      <c r="JBM2" s="353"/>
      <c r="JBN2" s="353"/>
      <c r="JBO2" s="353"/>
      <c r="JBP2" s="353"/>
      <c r="JBQ2" s="353"/>
      <c r="JBR2" s="353"/>
      <c r="JBS2" s="353"/>
      <c r="JBT2" s="353"/>
      <c r="JBU2" s="353"/>
      <c r="JBV2" s="353"/>
      <c r="JBW2" s="353"/>
      <c r="JBX2" s="353"/>
      <c r="JBY2" s="353"/>
      <c r="JBZ2" s="353"/>
      <c r="JCA2" s="353"/>
      <c r="JCB2" s="353"/>
      <c r="JCC2" s="353"/>
      <c r="JCD2" s="353"/>
      <c r="JCE2" s="353"/>
      <c r="JCF2" s="353"/>
      <c r="JCG2" s="353"/>
      <c r="JCH2" s="353"/>
      <c r="JCI2" s="353"/>
      <c r="JCJ2" s="353"/>
      <c r="JCK2" s="353"/>
      <c r="JCL2" s="353"/>
      <c r="JCM2" s="353"/>
      <c r="JCN2" s="353"/>
      <c r="JCO2" s="353"/>
      <c r="JCP2" s="353"/>
      <c r="JCQ2" s="353"/>
      <c r="JCR2" s="353"/>
      <c r="JCS2" s="353"/>
      <c r="JCT2" s="353"/>
      <c r="JCU2" s="353"/>
      <c r="JCV2" s="353"/>
      <c r="JCW2" s="353"/>
      <c r="JCX2" s="353"/>
      <c r="JCY2" s="353"/>
      <c r="JCZ2" s="353"/>
      <c r="JDA2" s="353"/>
      <c r="JDB2" s="353"/>
      <c r="JDC2" s="353"/>
      <c r="JDD2" s="353"/>
      <c r="JDE2" s="353"/>
      <c r="JDF2" s="353"/>
      <c r="JDG2" s="353"/>
      <c r="JDH2" s="353"/>
      <c r="JDI2" s="353"/>
      <c r="JDJ2" s="353"/>
      <c r="JDK2" s="353"/>
      <c r="JDL2" s="353"/>
      <c r="JDM2" s="353"/>
      <c r="JDN2" s="353"/>
      <c r="JDO2" s="353"/>
      <c r="JDP2" s="353"/>
      <c r="JDQ2" s="353"/>
      <c r="JDR2" s="353"/>
      <c r="JDS2" s="353"/>
      <c r="JDT2" s="353"/>
      <c r="JDU2" s="353"/>
      <c r="JDV2" s="353"/>
      <c r="JDW2" s="353"/>
      <c r="JDX2" s="353"/>
      <c r="JDY2" s="353"/>
      <c r="JDZ2" s="353"/>
      <c r="JEA2" s="353"/>
      <c r="JEB2" s="353"/>
      <c r="JEC2" s="353"/>
      <c r="JED2" s="353"/>
      <c r="JEE2" s="353"/>
      <c r="JEF2" s="353"/>
      <c r="JEG2" s="353"/>
      <c r="JEH2" s="353"/>
      <c r="JEI2" s="353"/>
      <c r="JEJ2" s="353"/>
      <c r="JEK2" s="353"/>
      <c r="JEL2" s="353"/>
      <c r="JEM2" s="353"/>
      <c r="JEN2" s="353"/>
      <c r="JEO2" s="353"/>
      <c r="JEP2" s="353"/>
      <c r="JEQ2" s="353"/>
      <c r="JER2" s="353"/>
      <c r="JES2" s="353"/>
      <c r="JET2" s="353"/>
      <c r="JEU2" s="353"/>
      <c r="JEV2" s="353"/>
      <c r="JEW2" s="353"/>
      <c r="JEX2" s="353"/>
      <c r="JEY2" s="353"/>
      <c r="JEZ2" s="353"/>
      <c r="JFA2" s="353"/>
      <c r="JFB2" s="353"/>
      <c r="JFC2" s="353"/>
      <c r="JFD2" s="353"/>
      <c r="JFE2" s="353"/>
      <c r="JFF2" s="353"/>
      <c r="JFG2" s="353"/>
      <c r="JFH2" s="353"/>
      <c r="JFI2" s="353"/>
      <c r="JFJ2" s="353"/>
      <c r="JFK2" s="353"/>
      <c r="JFL2" s="353"/>
      <c r="JFM2" s="353"/>
      <c r="JFN2" s="353"/>
      <c r="JFO2" s="353"/>
      <c r="JFP2" s="353"/>
      <c r="JFQ2" s="353"/>
      <c r="JFR2" s="353"/>
      <c r="JFS2" s="353"/>
      <c r="JFT2" s="353"/>
      <c r="JFU2" s="353"/>
      <c r="JFV2" s="353"/>
      <c r="JFW2" s="353"/>
      <c r="JFX2" s="353"/>
      <c r="JFY2" s="353"/>
      <c r="JFZ2" s="353"/>
      <c r="JGA2" s="353"/>
      <c r="JGB2" s="353"/>
      <c r="JGC2" s="353"/>
      <c r="JGD2" s="353"/>
      <c r="JGE2" s="353"/>
      <c r="JGF2" s="353"/>
      <c r="JGG2" s="353"/>
      <c r="JGH2" s="353"/>
      <c r="JGI2" s="353"/>
      <c r="JGJ2" s="353"/>
      <c r="JGK2" s="353"/>
      <c r="JGL2" s="353"/>
      <c r="JGM2" s="353"/>
      <c r="JGN2" s="353"/>
      <c r="JGO2" s="353"/>
      <c r="JGP2" s="353"/>
      <c r="JGQ2" s="353"/>
      <c r="JGR2" s="353"/>
      <c r="JGS2" s="353"/>
      <c r="JGT2" s="353"/>
      <c r="JGU2" s="353"/>
      <c r="JGV2" s="353"/>
      <c r="JGW2" s="353"/>
      <c r="JGX2" s="353"/>
      <c r="JGY2" s="353"/>
      <c r="JGZ2" s="353"/>
      <c r="JHA2" s="353"/>
      <c r="JHB2" s="353"/>
      <c r="JHC2" s="353"/>
      <c r="JHD2" s="353"/>
      <c r="JHE2" s="353"/>
      <c r="JHF2" s="353"/>
      <c r="JHG2" s="353"/>
      <c r="JHH2" s="353"/>
      <c r="JHI2" s="353"/>
      <c r="JHJ2" s="353"/>
      <c r="JHK2" s="353"/>
      <c r="JHL2" s="353"/>
      <c r="JHM2" s="353"/>
      <c r="JHN2" s="353"/>
      <c r="JHO2" s="353"/>
      <c r="JHP2" s="353"/>
      <c r="JHQ2" s="353"/>
      <c r="JHR2" s="353"/>
      <c r="JHS2" s="353"/>
      <c r="JHT2" s="353"/>
      <c r="JHU2" s="353"/>
      <c r="JHV2" s="353"/>
      <c r="JHW2" s="353"/>
      <c r="JHX2" s="353"/>
      <c r="JHY2" s="353"/>
      <c r="JHZ2" s="353"/>
      <c r="JIA2" s="353"/>
      <c r="JIB2" s="353"/>
      <c r="JIC2" s="353"/>
      <c r="JID2" s="353"/>
      <c r="JIE2" s="353"/>
      <c r="JIF2" s="353"/>
      <c r="JIG2" s="353"/>
      <c r="JIH2" s="353"/>
      <c r="JII2" s="353"/>
      <c r="JIJ2" s="353"/>
      <c r="JIK2" s="353"/>
      <c r="JIL2" s="353"/>
      <c r="JIM2" s="353"/>
      <c r="JIN2" s="353"/>
      <c r="JIO2" s="353"/>
      <c r="JIP2" s="353"/>
      <c r="JIQ2" s="353"/>
      <c r="JIR2" s="353"/>
      <c r="JIS2" s="353"/>
      <c r="JIT2" s="353"/>
      <c r="JIU2" s="353"/>
      <c r="JIV2" s="353"/>
      <c r="JIW2" s="353"/>
      <c r="JIX2" s="353"/>
      <c r="JIY2" s="353"/>
      <c r="JIZ2" s="353"/>
      <c r="JJA2" s="353"/>
      <c r="JJB2" s="353"/>
      <c r="JJC2" s="353"/>
      <c r="JJD2" s="353"/>
      <c r="JJE2" s="353"/>
      <c r="JJF2" s="353"/>
      <c r="JJG2" s="353"/>
      <c r="JJH2" s="353"/>
      <c r="JJI2" s="353"/>
      <c r="JJJ2" s="353"/>
      <c r="JJK2" s="353"/>
      <c r="JJL2" s="353"/>
      <c r="JJM2" s="353"/>
      <c r="JJN2" s="353"/>
      <c r="JJO2" s="353"/>
      <c r="JJP2" s="353"/>
      <c r="JJQ2" s="353"/>
      <c r="JJR2" s="353"/>
      <c r="JJS2" s="353"/>
      <c r="JJT2" s="353"/>
      <c r="JJU2" s="353"/>
      <c r="JJV2" s="353"/>
      <c r="JJW2" s="353"/>
      <c r="JJX2" s="353"/>
      <c r="JJY2" s="353"/>
      <c r="JJZ2" s="353"/>
      <c r="JKA2" s="353"/>
      <c r="JKB2" s="353"/>
      <c r="JKC2" s="353"/>
      <c r="JKD2" s="353"/>
      <c r="JKE2" s="353"/>
      <c r="JKF2" s="353"/>
      <c r="JKG2" s="353"/>
      <c r="JKH2" s="353"/>
      <c r="JKI2" s="353"/>
      <c r="JKJ2" s="353"/>
      <c r="JKK2" s="353"/>
      <c r="JKL2" s="353"/>
      <c r="JKM2" s="353"/>
      <c r="JKN2" s="353"/>
      <c r="JKO2" s="353"/>
      <c r="JKP2" s="353"/>
      <c r="JKQ2" s="353"/>
      <c r="JKR2" s="353"/>
      <c r="JKS2" s="353"/>
      <c r="JKT2" s="353"/>
      <c r="JKU2" s="353"/>
      <c r="JKV2" s="353"/>
      <c r="JKW2" s="353"/>
      <c r="JKX2" s="353"/>
      <c r="JKY2" s="353"/>
      <c r="JKZ2" s="353"/>
      <c r="JLA2" s="353"/>
      <c r="JLB2" s="353"/>
      <c r="JLC2" s="353"/>
      <c r="JLD2" s="353"/>
      <c r="JLE2" s="353"/>
      <c r="JLF2" s="353"/>
      <c r="JLG2" s="353"/>
      <c r="JLH2" s="353"/>
      <c r="JLI2" s="353"/>
      <c r="JLJ2" s="353"/>
      <c r="JLK2" s="353"/>
      <c r="JLL2" s="353"/>
      <c r="JLM2" s="353"/>
      <c r="JLN2" s="353"/>
      <c r="JLO2" s="353"/>
      <c r="JLP2" s="353"/>
      <c r="JLQ2" s="353"/>
      <c r="JLR2" s="353"/>
      <c r="JLS2" s="353"/>
      <c r="JLT2" s="353"/>
      <c r="JLU2" s="353"/>
      <c r="JLV2" s="353"/>
      <c r="JLW2" s="353"/>
      <c r="JLX2" s="353"/>
      <c r="JLY2" s="353"/>
      <c r="JLZ2" s="353"/>
      <c r="JMA2" s="353"/>
      <c r="JMB2" s="353"/>
      <c r="JMC2" s="353"/>
      <c r="JMD2" s="353"/>
      <c r="JME2" s="353"/>
      <c r="JMF2" s="353"/>
      <c r="JMG2" s="353"/>
      <c r="JMH2" s="353"/>
      <c r="JMI2" s="353"/>
      <c r="JMJ2" s="353"/>
      <c r="JMK2" s="353"/>
      <c r="JML2" s="353"/>
      <c r="JMM2" s="353"/>
      <c r="JMN2" s="353"/>
      <c r="JMO2" s="353"/>
      <c r="JMP2" s="353"/>
      <c r="JMQ2" s="353"/>
      <c r="JMR2" s="353"/>
      <c r="JMS2" s="353"/>
      <c r="JMT2" s="353"/>
      <c r="JMU2" s="353"/>
      <c r="JMV2" s="353"/>
      <c r="JMW2" s="353"/>
      <c r="JMX2" s="353"/>
      <c r="JMY2" s="353"/>
      <c r="JMZ2" s="353"/>
      <c r="JNA2" s="353"/>
      <c r="JNB2" s="353"/>
      <c r="JNC2" s="353"/>
      <c r="JND2" s="353"/>
      <c r="JNE2" s="353"/>
      <c r="JNF2" s="353"/>
      <c r="JNG2" s="353"/>
      <c r="JNH2" s="353"/>
      <c r="JNI2" s="353"/>
      <c r="JNJ2" s="353"/>
      <c r="JNK2" s="353"/>
      <c r="JNL2" s="353"/>
      <c r="JNM2" s="353"/>
      <c r="JNN2" s="353"/>
      <c r="JNO2" s="353"/>
      <c r="JNP2" s="353"/>
      <c r="JNQ2" s="353"/>
      <c r="JNR2" s="353"/>
      <c r="JNS2" s="353"/>
      <c r="JNT2" s="353"/>
      <c r="JNU2" s="353"/>
      <c r="JNV2" s="353"/>
      <c r="JNW2" s="353"/>
      <c r="JNX2" s="353"/>
      <c r="JNY2" s="353"/>
      <c r="JNZ2" s="353"/>
      <c r="JOA2" s="353"/>
      <c r="JOB2" s="353"/>
      <c r="JOC2" s="353"/>
      <c r="JOD2" s="353"/>
      <c r="JOE2" s="353"/>
      <c r="JOF2" s="353"/>
      <c r="JOG2" s="353"/>
      <c r="JOH2" s="353"/>
      <c r="JOI2" s="353"/>
      <c r="JOJ2" s="353"/>
      <c r="JOK2" s="353"/>
      <c r="JOL2" s="353"/>
      <c r="JOM2" s="353"/>
      <c r="JON2" s="353"/>
      <c r="JOO2" s="353"/>
      <c r="JOP2" s="353"/>
      <c r="JOQ2" s="353"/>
      <c r="JOR2" s="353"/>
      <c r="JOS2" s="353"/>
      <c r="JOT2" s="353"/>
      <c r="JOU2" s="353"/>
      <c r="JOV2" s="353"/>
      <c r="JOW2" s="353"/>
      <c r="JOX2" s="353"/>
      <c r="JOY2" s="353"/>
      <c r="JOZ2" s="353"/>
      <c r="JPA2" s="353"/>
      <c r="JPB2" s="353"/>
      <c r="JPC2" s="353"/>
      <c r="JPD2" s="353"/>
      <c r="JPE2" s="353"/>
      <c r="JPF2" s="353"/>
      <c r="JPG2" s="353"/>
      <c r="JPH2" s="353"/>
      <c r="JPI2" s="353"/>
      <c r="JPJ2" s="353"/>
      <c r="JPK2" s="353"/>
      <c r="JPL2" s="353"/>
      <c r="JPM2" s="353"/>
      <c r="JPN2" s="353"/>
      <c r="JPO2" s="353"/>
      <c r="JPP2" s="353"/>
      <c r="JPQ2" s="353"/>
      <c r="JPR2" s="353"/>
      <c r="JPS2" s="353"/>
      <c r="JPT2" s="353"/>
      <c r="JPU2" s="353"/>
      <c r="JPV2" s="353"/>
      <c r="JPW2" s="353"/>
      <c r="JPX2" s="353"/>
      <c r="JPY2" s="353"/>
      <c r="JPZ2" s="353"/>
      <c r="JQA2" s="353"/>
      <c r="JQB2" s="353"/>
      <c r="JQC2" s="353"/>
      <c r="JQD2" s="353"/>
      <c r="JQE2" s="353"/>
      <c r="JQF2" s="353"/>
      <c r="JQG2" s="353"/>
      <c r="JQH2" s="353"/>
      <c r="JQI2" s="353"/>
      <c r="JQJ2" s="353"/>
      <c r="JQK2" s="353"/>
      <c r="JQL2" s="353"/>
      <c r="JQM2" s="353"/>
      <c r="JQN2" s="353"/>
      <c r="JQO2" s="353"/>
      <c r="JQP2" s="353"/>
      <c r="JQQ2" s="353"/>
      <c r="JQR2" s="353"/>
      <c r="JQS2" s="353"/>
      <c r="JQT2" s="353"/>
      <c r="JQU2" s="353"/>
      <c r="JQV2" s="353"/>
      <c r="JQW2" s="353"/>
      <c r="JQX2" s="353"/>
      <c r="JQY2" s="353"/>
      <c r="JQZ2" s="353"/>
      <c r="JRA2" s="353"/>
      <c r="JRB2" s="353"/>
      <c r="JRC2" s="353"/>
      <c r="JRD2" s="353"/>
      <c r="JRE2" s="353"/>
      <c r="JRF2" s="353"/>
      <c r="JRG2" s="353"/>
      <c r="JRH2" s="353"/>
      <c r="JRI2" s="353"/>
      <c r="JRJ2" s="353"/>
      <c r="JRK2" s="353"/>
      <c r="JRL2" s="353"/>
      <c r="JRM2" s="353"/>
      <c r="JRN2" s="353"/>
      <c r="JRO2" s="353"/>
      <c r="JRP2" s="353"/>
      <c r="JRQ2" s="353"/>
      <c r="JRR2" s="353"/>
      <c r="JRS2" s="353"/>
      <c r="JRT2" s="353"/>
      <c r="JRU2" s="353"/>
      <c r="JRV2" s="353"/>
      <c r="JRW2" s="353"/>
      <c r="JRX2" s="353"/>
      <c r="JRY2" s="353"/>
      <c r="JRZ2" s="353"/>
      <c r="JSA2" s="353"/>
      <c r="JSB2" s="353"/>
      <c r="JSC2" s="353"/>
      <c r="JSD2" s="353"/>
      <c r="JSE2" s="353"/>
      <c r="JSF2" s="353"/>
      <c r="JSG2" s="353"/>
      <c r="JSH2" s="353"/>
      <c r="JSI2" s="353"/>
      <c r="JSJ2" s="353"/>
      <c r="JSK2" s="353"/>
      <c r="JSL2" s="353"/>
      <c r="JSM2" s="353"/>
      <c r="JSN2" s="353"/>
      <c r="JSO2" s="353"/>
      <c r="JSP2" s="353"/>
      <c r="JSQ2" s="353"/>
      <c r="JSR2" s="353"/>
      <c r="JSS2" s="353"/>
      <c r="JST2" s="353"/>
      <c r="JSU2" s="353"/>
      <c r="JSV2" s="353"/>
      <c r="JSW2" s="353"/>
      <c r="JSX2" s="353"/>
      <c r="JSY2" s="353"/>
      <c r="JSZ2" s="353"/>
      <c r="JTA2" s="353"/>
      <c r="JTB2" s="353"/>
      <c r="JTC2" s="353"/>
      <c r="JTD2" s="353"/>
      <c r="JTE2" s="353"/>
      <c r="JTF2" s="353"/>
      <c r="JTG2" s="353"/>
      <c r="JTH2" s="353"/>
      <c r="JTI2" s="353"/>
      <c r="JTJ2" s="353"/>
      <c r="JTK2" s="353"/>
      <c r="JTL2" s="353"/>
      <c r="JTM2" s="353"/>
      <c r="JTN2" s="353"/>
      <c r="JTO2" s="353"/>
      <c r="JTP2" s="353"/>
      <c r="JTQ2" s="353"/>
      <c r="JTR2" s="353"/>
      <c r="JTS2" s="353"/>
      <c r="JTT2" s="353"/>
      <c r="JTU2" s="353"/>
      <c r="JTV2" s="353"/>
      <c r="JTW2" s="353"/>
      <c r="JTX2" s="353"/>
      <c r="JTY2" s="353"/>
      <c r="JTZ2" s="353"/>
      <c r="JUA2" s="353"/>
      <c r="JUB2" s="353"/>
      <c r="JUC2" s="353"/>
      <c r="JUD2" s="353"/>
      <c r="JUE2" s="353"/>
      <c r="JUF2" s="353"/>
      <c r="JUG2" s="353"/>
      <c r="JUH2" s="353"/>
      <c r="JUI2" s="353"/>
      <c r="JUJ2" s="353"/>
      <c r="JUK2" s="353"/>
      <c r="JUL2" s="353"/>
      <c r="JUM2" s="353"/>
      <c r="JUN2" s="353"/>
      <c r="JUO2" s="353"/>
      <c r="JUP2" s="353"/>
      <c r="JUQ2" s="353"/>
      <c r="JUR2" s="353"/>
      <c r="JUS2" s="353"/>
      <c r="JUT2" s="353"/>
      <c r="JUU2" s="353"/>
      <c r="JUV2" s="353"/>
      <c r="JUW2" s="353"/>
      <c r="JUX2" s="353"/>
      <c r="JUY2" s="353"/>
      <c r="JUZ2" s="353"/>
      <c r="JVA2" s="353"/>
      <c r="JVB2" s="353"/>
      <c r="JVC2" s="353"/>
      <c r="JVD2" s="353"/>
      <c r="JVE2" s="353"/>
      <c r="JVF2" s="353"/>
      <c r="JVG2" s="353"/>
      <c r="JVH2" s="353"/>
      <c r="JVI2" s="353"/>
      <c r="JVJ2" s="353"/>
      <c r="JVK2" s="353"/>
      <c r="JVL2" s="353"/>
      <c r="JVM2" s="353"/>
      <c r="JVN2" s="353"/>
      <c r="JVO2" s="353"/>
      <c r="JVP2" s="353"/>
      <c r="JVQ2" s="353"/>
      <c r="JVR2" s="353"/>
      <c r="JVS2" s="353"/>
      <c r="JVT2" s="353"/>
      <c r="JVU2" s="353"/>
      <c r="JVV2" s="353"/>
      <c r="JVW2" s="353"/>
      <c r="JVX2" s="353"/>
      <c r="JVY2" s="353"/>
      <c r="JVZ2" s="353"/>
      <c r="JWA2" s="353"/>
      <c r="JWB2" s="353"/>
      <c r="JWC2" s="353"/>
      <c r="JWD2" s="353"/>
      <c r="JWE2" s="353"/>
      <c r="JWF2" s="353"/>
      <c r="JWG2" s="353"/>
      <c r="JWH2" s="353"/>
      <c r="JWI2" s="353"/>
      <c r="JWJ2" s="353"/>
      <c r="JWK2" s="353"/>
      <c r="JWL2" s="353"/>
      <c r="JWM2" s="353"/>
      <c r="JWN2" s="353"/>
      <c r="JWO2" s="353"/>
      <c r="JWP2" s="353"/>
      <c r="JWQ2" s="353"/>
      <c r="JWR2" s="353"/>
      <c r="JWS2" s="353"/>
      <c r="JWT2" s="353"/>
      <c r="JWU2" s="353"/>
      <c r="JWV2" s="353"/>
      <c r="JWW2" s="353"/>
      <c r="JWX2" s="353"/>
      <c r="JWY2" s="353"/>
      <c r="JWZ2" s="353"/>
      <c r="JXA2" s="353"/>
      <c r="JXB2" s="353"/>
      <c r="JXC2" s="353"/>
      <c r="JXD2" s="353"/>
      <c r="JXE2" s="353"/>
      <c r="JXF2" s="353"/>
      <c r="JXG2" s="353"/>
      <c r="JXH2" s="353"/>
      <c r="JXI2" s="353"/>
      <c r="JXJ2" s="353"/>
      <c r="JXK2" s="353"/>
      <c r="JXL2" s="353"/>
      <c r="JXM2" s="353"/>
      <c r="JXN2" s="353"/>
      <c r="JXO2" s="353"/>
      <c r="JXP2" s="353"/>
      <c r="JXQ2" s="353"/>
      <c r="JXR2" s="353"/>
      <c r="JXS2" s="353"/>
      <c r="JXT2" s="353"/>
      <c r="JXU2" s="353"/>
      <c r="JXV2" s="353"/>
      <c r="JXW2" s="353"/>
      <c r="JXX2" s="353"/>
      <c r="JXY2" s="353"/>
      <c r="JXZ2" s="353"/>
      <c r="JYA2" s="353"/>
      <c r="JYB2" s="353"/>
      <c r="JYC2" s="353"/>
      <c r="JYD2" s="353"/>
      <c r="JYE2" s="353"/>
      <c r="JYF2" s="353"/>
      <c r="JYG2" s="353"/>
      <c r="JYH2" s="353"/>
      <c r="JYI2" s="353"/>
      <c r="JYJ2" s="353"/>
      <c r="JYK2" s="353"/>
      <c r="JYL2" s="353"/>
      <c r="JYM2" s="353"/>
      <c r="JYN2" s="353"/>
      <c r="JYO2" s="353"/>
      <c r="JYP2" s="353"/>
      <c r="JYQ2" s="353"/>
      <c r="JYR2" s="353"/>
      <c r="JYS2" s="353"/>
      <c r="JYT2" s="353"/>
      <c r="JYU2" s="353"/>
      <c r="JYV2" s="353"/>
      <c r="JYW2" s="353"/>
      <c r="JYX2" s="353"/>
      <c r="JYY2" s="353"/>
      <c r="JYZ2" s="353"/>
      <c r="JZA2" s="353"/>
      <c r="JZB2" s="353"/>
      <c r="JZC2" s="353"/>
      <c r="JZD2" s="353"/>
      <c r="JZE2" s="353"/>
      <c r="JZF2" s="353"/>
      <c r="JZG2" s="353"/>
      <c r="JZH2" s="353"/>
      <c r="JZI2" s="353"/>
      <c r="JZJ2" s="353"/>
      <c r="JZK2" s="353"/>
      <c r="JZL2" s="353"/>
      <c r="JZM2" s="353"/>
      <c r="JZN2" s="353"/>
      <c r="JZO2" s="353"/>
      <c r="JZP2" s="353"/>
      <c r="JZQ2" s="353"/>
      <c r="JZR2" s="353"/>
      <c r="JZS2" s="353"/>
      <c r="JZT2" s="353"/>
      <c r="JZU2" s="353"/>
      <c r="JZV2" s="353"/>
      <c r="JZW2" s="353"/>
      <c r="JZX2" s="353"/>
      <c r="JZY2" s="353"/>
      <c r="JZZ2" s="353"/>
      <c r="KAA2" s="353"/>
      <c r="KAB2" s="353"/>
      <c r="KAC2" s="353"/>
      <c r="KAD2" s="353"/>
      <c r="KAE2" s="353"/>
      <c r="KAF2" s="353"/>
      <c r="KAG2" s="353"/>
      <c r="KAH2" s="353"/>
      <c r="KAI2" s="353"/>
      <c r="KAJ2" s="353"/>
      <c r="KAK2" s="353"/>
      <c r="KAL2" s="353"/>
      <c r="KAM2" s="353"/>
      <c r="KAN2" s="353"/>
      <c r="KAO2" s="353"/>
      <c r="KAP2" s="353"/>
      <c r="KAQ2" s="353"/>
      <c r="KAR2" s="353"/>
      <c r="KAS2" s="353"/>
      <c r="KAT2" s="353"/>
      <c r="KAU2" s="353"/>
      <c r="KAV2" s="353"/>
      <c r="KAW2" s="353"/>
      <c r="KAX2" s="353"/>
      <c r="KAY2" s="353"/>
      <c r="KAZ2" s="353"/>
      <c r="KBA2" s="353"/>
      <c r="KBB2" s="353"/>
      <c r="KBC2" s="353"/>
      <c r="KBD2" s="353"/>
      <c r="KBE2" s="353"/>
      <c r="KBF2" s="353"/>
      <c r="KBG2" s="353"/>
      <c r="KBH2" s="353"/>
      <c r="KBI2" s="353"/>
      <c r="KBJ2" s="353"/>
      <c r="KBK2" s="353"/>
      <c r="KBL2" s="353"/>
      <c r="KBM2" s="353"/>
      <c r="KBN2" s="353"/>
      <c r="KBO2" s="353"/>
      <c r="KBP2" s="353"/>
      <c r="KBQ2" s="353"/>
      <c r="KBR2" s="353"/>
      <c r="KBS2" s="353"/>
      <c r="KBT2" s="353"/>
      <c r="KBU2" s="353"/>
      <c r="KBV2" s="353"/>
      <c r="KBW2" s="353"/>
      <c r="KBX2" s="353"/>
      <c r="KBY2" s="353"/>
      <c r="KBZ2" s="353"/>
      <c r="KCA2" s="353"/>
      <c r="KCB2" s="353"/>
      <c r="KCC2" s="353"/>
      <c r="KCD2" s="353"/>
      <c r="KCE2" s="353"/>
      <c r="KCF2" s="353"/>
      <c r="KCG2" s="353"/>
      <c r="KCH2" s="353"/>
      <c r="KCI2" s="353"/>
      <c r="KCJ2" s="353"/>
      <c r="KCK2" s="353"/>
      <c r="KCL2" s="353"/>
      <c r="KCM2" s="353"/>
      <c r="KCN2" s="353"/>
      <c r="KCO2" s="353"/>
      <c r="KCP2" s="353"/>
      <c r="KCQ2" s="353"/>
      <c r="KCR2" s="353"/>
      <c r="KCS2" s="353"/>
      <c r="KCT2" s="353"/>
      <c r="KCU2" s="353"/>
      <c r="KCV2" s="353"/>
      <c r="KCW2" s="353"/>
      <c r="KCX2" s="353"/>
      <c r="KCY2" s="353"/>
      <c r="KCZ2" s="353"/>
      <c r="KDA2" s="353"/>
      <c r="KDB2" s="353"/>
      <c r="KDC2" s="353"/>
      <c r="KDD2" s="353"/>
      <c r="KDE2" s="353"/>
      <c r="KDF2" s="353"/>
      <c r="KDG2" s="353"/>
      <c r="KDH2" s="353"/>
      <c r="KDI2" s="353"/>
      <c r="KDJ2" s="353"/>
      <c r="KDK2" s="353"/>
      <c r="KDL2" s="353"/>
      <c r="KDM2" s="353"/>
      <c r="KDN2" s="353"/>
      <c r="KDO2" s="353"/>
      <c r="KDP2" s="353"/>
      <c r="KDQ2" s="353"/>
      <c r="KDR2" s="353"/>
      <c r="KDS2" s="353"/>
      <c r="KDT2" s="353"/>
      <c r="KDU2" s="353"/>
      <c r="KDV2" s="353"/>
      <c r="KDW2" s="353"/>
      <c r="KDX2" s="353"/>
      <c r="KDY2" s="353"/>
      <c r="KDZ2" s="353"/>
      <c r="KEA2" s="353"/>
      <c r="KEB2" s="353"/>
      <c r="KEC2" s="353"/>
      <c r="KED2" s="353"/>
      <c r="KEE2" s="353"/>
      <c r="KEF2" s="353"/>
      <c r="KEG2" s="353"/>
      <c r="KEH2" s="353"/>
      <c r="KEI2" s="353"/>
      <c r="KEJ2" s="353"/>
      <c r="KEK2" s="353"/>
      <c r="KEL2" s="353"/>
      <c r="KEM2" s="353"/>
      <c r="KEN2" s="353"/>
      <c r="KEO2" s="353"/>
      <c r="KEP2" s="353"/>
      <c r="KEQ2" s="353"/>
      <c r="KER2" s="353"/>
      <c r="KES2" s="353"/>
      <c r="KET2" s="353"/>
      <c r="KEU2" s="353"/>
      <c r="KEV2" s="353"/>
      <c r="KEW2" s="353"/>
      <c r="KEX2" s="353"/>
      <c r="KEY2" s="353"/>
      <c r="KEZ2" s="353"/>
      <c r="KFA2" s="353"/>
      <c r="KFB2" s="353"/>
      <c r="KFC2" s="353"/>
      <c r="KFD2" s="353"/>
      <c r="KFE2" s="353"/>
      <c r="KFF2" s="353"/>
      <c r="KFG2" s="353"/>
      <c r="KFH2" s="353"/>
      <c r="KFI2" s="353"/>
      <c r="KFJ2" s="353"/>
      <c r="KFK2" s="353"/>
      <c r="KFL2" s="353"/>
      <c r="KFM2" s="353"/>
      <c r="KFN2" s="353"/>
      <c r="KFO2" s="353"/>
      <c r="KFP2" s="353"/>
      <c r="KFQ2" s="353"/>
      <c r="KFR2" s="353"/>
      <c r="KFS2" s="353"/>
      <c r="KFT2" s="353"/>
      <c r="KFU2" s="353"/>
      <c r="KFV2" s="353"/>
      <c r="KFW2" s="353"/>
      <c r="KFX2" s="353"/>
      <c r="KFY2" s="353"/>
      <c r="KFZ2" s="353"/>
      <c r="KGA2" s="353"/>
      <c r="KGB2" s="353"/>
      <c r="KGC2" s="353"/>
      <c r="KGD2" s="353"/>
      <c r="KGE2" s="353"/>
      <c r="KGF2" s="353"/>
      <c r="KGG2" s="353"/>
      <c r="KGH2" s="353"/>
      <c r="KGI2" s="353"/>
      <c r="KGJ2" s="353"/>
      <c r="KGK2" s="353"/>
      <c r="KGL2" s="353"/>
      <c r="KGM2" s="353"/>
      <c r="KGN2" s="353"/>
      <c r="KGO2" s="353"/>
      <c r="KGP2" s="353"/>
      <c r="KGQ2" s="353"/>
      <c r="KGR2" s="353"/>
      <c r="KGS2" s="353"/>
      <c r="KGT2" s="353"/>
      <c r="KGU2" s="353"/>
      <c r="KGV2" s="353"/>
      <c r="KGW2" s="353"/>
      <c r="KGX2" s="353"/>
      <c r="KGY2" s="353"/>
      <c r="KGZ2" s="353"/>
      <c r="KHA2" s="353"/>
      <c r="KHB2" s="353"/>
      <c r="KHC2" s="353"/>
      <c r="KHD2" s="353"/>
      <c r="KHE2" s="353"/>
      <c r="KHF2" s="353"/>
      <c r="KHG2" s="353"/>
      <c r="KHH2" s="353"/>
      <c r="KHI2" s="353"/>
      <c r="KHJ2" s="353"/>
      <c r="KHK2" s="353"/>
      <c r="KHL2" s="353"/>
      <c r="KHM2" s="353"/>
      <c r="KHN2" s="353"/>
      <c r="KHO2" s="353"/>
      <c r="KHP2" s="353"/>
      <c r="KHQ2" s="353"/>
      <c r="KHR2" s="353"/>
      <c r="KHS2" s="353"/>
      <c r="KHT2" s="353"/>
      <c r="KHU2" s="353"/>
      <c r="KHV2" s="353"/>
      <c r="KHW2" s="353"/>
      <c r="KHX2" s="353"/>
      <c r="KHY2" s="353"/>
      <c r="KHZ2" s="353"/>
      <c r="KIA2" s="353"/>
      <c r="KIB2" s="353"/>
      <c r="KIC2" s="353"/>
      <c r="KID2" s="353"/>
      <c r="KIE2" s="353"/>
      <c r="KIF2" s="353"/>
      <c r="KIG2" s="353"/>
      <c r="KIH2" s="353"/>
      <c r="KII2" s="353"/>
      <c r="KIJ2" s="353"/>
      <c r="KIK2" s="353"/>
      <c r="KIL2" s="353"/>
      <c r="KIM2" s="353"/>
      <c r="KIN2" s="353"/>
      <c r="KIO2" s="353"/>
      <c r="KIP2" s="353"/>
      <c r="KIQ2" s="353"/>
      <c r="KIR2" s="353"/>
      <c r="KIS2" s="353"/>
      <c r="KIT2" s="353"/>
      <c r="KIU2" s="353"/>
      <c r="KIV2" s="353"/>
      <c r="KIW2" s="353"/>
      <c r="KIX2" s="353"/>
      <c r="KIY2" s="353"/>
      <c r="KIZ2" s="353"/>
      <c r="KJA2" s="353"/>
      <c r="KJB2" s="353"/>
      <c r="KJC2" s="353"/>
      <c r="KJD2" s="353"/>
      <c r="KJE2" s="353"/>
      <c r="KJF2" s="353"/>
      <c r="KJG2" s="353"/>
      <c r="KJH2" s="353"/>
      <c r="KJI2" s="353"/>
      <c r="KJJ2" s="353"/>
      <c r="KJK2" s="353"/>
      <c r="KJL2" s="353"/>
      <c r="KJM2" s="353"/>
      <c r="KJN2" s="353"/>
      <c r="KJO2" s="353"/>
      <c r="KJP2" s="353"/>
      <c r="KJQ2" s="353"/>
      <c r="KJR2" s="353"/>
      <c r="KJS2" s="353"/>
      <c r="KJT2" s="353"/>
      <c r="KJU2" s="353"/>
      <c r="KJV2" s="353"/>
      <c r="KJW2" s="353"/>
      <c r="KJX2" s="353"/>
      <c r="KJY2" s="353"/>
      <c r="KJZ2" s="353"/>
      <c r="KKA2" s="353"/>
      <c r="KKB2" s="353"/>
      <c r="KKC2" s="353"/>
      <c r="KKD2" s="353"/>
      <c r="KKE2" s="353"/>
      <c r="KKF2" s="353"/>
      <c r="KKG2" s="353"/>
      <c r="KKH2" s="353"/>
      <c r="KKI2" s="353"/>
      <c r="KKJ2" s="353"/>
      <c r="KKK2" s="353"/>
      <c r="KKL2" s="353"/>
      <c r="KKM2" s="353"/>
      <c r="KKN2" s="353"/>
      <c r="KKO2" s="353"/>
      <c r="KKP2" s="353"/>
      <c r="KKQ2" s="353"/>
      <c r="KKR2" s="353"/>
      <c r="KKS2" s="353"/>
      <c r="KKT2" s="353"/>
      <c r="KKU2" s="353"/>
      <c r="KKV2" s="353"/>
      <c r="KKW2" s="353"/>
      <c r="KKX2" s="353"/>
      <c r="KKY2" s="353"/>
      <c r="KKZ2" s="353"/>
      <c r="KLA2" s="353"/>
      <c r="KLB2" s="353"/>
      <c r="KLC2" s="353"/>
      <c r="KLD2" s="353"/>
      <c r="KLE2" s="353"/>
      <c r="KLF2" s="353"/>
      <c r="KLG2" s="353"/>
      <c r="KLH2" s="353"/>
      <c r="KLI2" s="353"/>
      <c r="KLJ2" s="353"/>
      <c r="KLK2" s="353"/>
      <c r="KLL2" s="353"/>
      <c r="KLM2" s="353"/>
      <c r="KLN2" s="353"/>
      <c r="KLO2" s="353"/>
      <c r="KLP2" s="353"/>
      <c r="KLQ2" s="353"/>
      <c r="KLR2" s="353"/>
      <c r="KLS2" s="353"/>
      <c r="KLT2" s="353"/>
      <c r="KLU2" s="353"/>
      <c r="KLV2" s="353"/>
      <c r="KLW2" s="353"/>
      <c r="KLX2" s="353"/>
      <c r="KLY2" s="353"/>
      <c r="KLZ2" s="353"/>
      <c r="KMA2" s="353"/>
      <c r="KMB2" s="353"/>
      <c r="KMC2" s="353"/>
      <c r="KMD2" s="353"/>
      <c r="KME2" s="353"/>
      <c r="KMF2" s="353"/>
      <c r="KMG2" s="353"/>
      <c r="KMH2" s="353"/>
      <c r="KMI2" s="353"/>
      <c r="KMJ2" s="353"/>
      <c r="KMK2" s="353"/>
      <c r="KML2" s="353"/>
      <c r="KMM2" s="353"/>
      <c r="KMN2" s="353"/>
      <c r="KMO2" s="353"/>
      <c r="KMP2" s="353"/>
      <c r="KMQ2" s="353"/>
      <c r="KMR2" s="353"/>
      <c r="KMS2" s="353"/>
      <c r="KMT2" s="353"/>
      <c r="KMU2" s="353"/>
      <c r="KMV2" s="353"/>
      <c r="KMW2" s="353"/>
      <c r="KMX2" s="353"/>
      <c r="KMY2" s="353"/>
      <c r="KMZ2" s="353"/>
      <c r="KNA2" s="353"/>
      <c r="KNB2" s="353"/>
      <c r="KNC2" s="353"/>
      <c r="KND2" s="353"/>
      <c r="KNE2" s="353"/>
      <c r="KNF2" s="353"/>
      <c r="KNG2" s="353"/>
      <c r="KNH2" s="353"/>
      <c r="KNI2" s="353"/>
      <c r="KNJ2" s="353"/>
      <c r="KNK2" s="353"/>
      <c r="KNL2" s="353"/>
      <c r="KNM2" s="353"/>
      <c r="KNN2" s="353"/>
      <c r="KNO2" s="353"/>
      <c r="KNP2" s="353"/>
      <c r="KNQ2" s="353"/>
      <c r="KNR2" s="353"/>
      <c r="KNS2" s="353"/>
      <c r="KNT2" s="353"/>
      <c r="KNU2" s="353"/>
      <c r="KNV2" s="353"/>
      <c r="KNW2" s="353"/>
      <c r="KNX2" s="353"/>
      <c r="KNY2" s="353"/>
      <c r="KNZ2" s="353"/>
      <c r="KOA2" s="353"/>
      <c r="KOB2" s="353"/>
      <c r="KOC2" s="353"/>
      <c r="KOD2" s="353"/>
      <c r="KOE2" s="353"/>
      <c r="KOF2" s="353"/>
      <c r="KOG2" s="353"/>
      <c r="KOH2" s="353"/>
      <c r="KOI2" s="353"/>
      <c r="KOJ2" s="353"/>
      <c r="KOK2" s="353"/>
      <c r="KOL2" s="353"/>
      <c r="KOM2" s="353"/>
      <c r="KON2" s="353"/>
      <c r="KOO2" s="353"/>
      <c r="KOP2" s="353"/>
      <c r="KOQ2" s="353"/>
      <c r="KOR2" s="353"/>
      <c r="KOS2" s="353"/>
      <c r="KOT2" s="353"/>
      <c r="KOU2" s="353"/>
      <c r="KOV2" s="353"/>
      <c r="KOW2" s="353"/>
      <c r="KOX2" s="353"/>
      <c r="KOY2" s="353"/>
      <c r="KOZ2" s="353"/>
      <c r="KPA2" s="353"/>
      <c r="KPB2" s="353"/>
      <c r="KPC2" s="353"/>
      <c r="KPD2" s="353"/>
      <c r="KPE2" s="353"/>
      <c r="KPF2" s="353"/>
      <c r="KPG2" s="353"/>
      <c r="KPH2" s="353"/>
      <c r="KPI2" s="353"/>
      <c r="KPJ2" s="353"/>
      <c r="KPK2" s="353"/>
      <c r="KPL2" s="353"/>
      <c r="KPM2" s="353"/>
      <c r="KPN2" s="353"/>
      <c r="KPO2" s="353"/>
      <c r="KPP2" s="353"/>
      <c r="KPQ2" s="353"/>
      <c r="KPR2" s="353"/>
      <c r="KPS2" s="353"/>
      <c r="KPT2" s="353"/>
      <c r="KPU2" s="353"/>
      <c r="KPV2" s="353"/>
      <c r="KPW2" s="353"/>
      <c r="KPX2" s="353"/>
      <c r="KPY2" s="353"/>
      <c r="KPZ2" s="353"/>
      <c r="KQA2" s="353"/>
      <c r="KQB2" s="353"/>
      <c r="KQC2" s="353"/>
      <c r="KQD2" s="353"/>
      <c r="KQE2" s="353"/>
      <c r="KQF2" s="353"/>
      <c r="KQG2" s="353"/>
      <c r="KQH2" s="353"/>
      <c r="KQI2" s="353"/>
      <c r="KQJ2" s="353"/>
      <c r="KQK2" s="353"/>
      <c r="KQL2" s="353"/>
      <c r="KQM2" s="353"/>
      <c r="KQN2" s="353"/>
      <c r="KQO2" s="353"/>
      <c r="KQP2" s="353"/>
      <c r="KQQ2" s="353"/>
      <c r="KQR2" s="353"/>
      <c r="KQS2" s="353"/>
      <c r="KQT2" s="353"/>
      <c r="KQU2" s="353"/>
      <c r="KQV2" s="353"/>
      <c r="KQW2" s="353"/>
      <c r="KQX2" s="353"/>
      <c r="KQY2" s="353"/>
      <c r="KQZ2" s="353"/>
      <c r="KRA2" s="353"/>
      <c r="KRB2" s="353"/>
      <c r="KRC2" s="353"/>
      <c r="KRD2" s="353"/>
      <c r="KRE2" s="353"/>
      <c r="KRF2" s="353"/>
      <c r="KRG2" s="353"/>
      <c r="KRH2" s="353"/>
      <c r="KRI2" s="353"/>
      <c r="KRJ2" s="353"/>
      <c r="KRK2" s="353"/>
      <c r="KRL2" s="353"/>
      <c r="KRM2" s="353"/>
      <c r="KRN2" s="353"/>
      <c r="KRO2" s="353"/>
      <c r="KRP2" s="353"/>
      <c r="KRQ2" s="353"/>
      <c r="KRR2" s="353"/>
      <c r="KRS2" s="353"/>
      <c r="KRT2" s="353"/>
      <c r="KRU2" s="353"/>
      <c r="KRV2" s="353"/>
      <c r="KRW2" s="353"/>
      <c r="KRX2" s="353"/>
      <c r="KRY2" s="353"/>
      <c r="KRZ2" s="353"/>
      <c r="KSA2" s="353"/>
      <c r="KSB2" s="353"/>
      <c r="KSC2" s="353"/>
      <c r="KSD2" s="353"/>
      <c r="KSE2" s="353"/>
      <c r="KSF2" s="353"/>
      <c r="KSG2" s="353"/>
      <c r="KSH2" s="353"/>
      <c r="KSI2" s="353"/>
      <c r="KSJ2" s="353"/>
      <c r="KSK2" s="353"/>
      <c r="KSL2" s="353"/>
      <c r="KSM2" s="353"/>
      <c r="KSN2" s="353"/>
      <c r="KSO2" s="353"/>
      <c r="KSP2" s="353"/>
      <c r="KSQ2" s="353"/>
      <c r="KSR2" s="353"/>
      <c r="KSS2" s="353"/>
      <c r="KST2" s="353"/>
      <c r="KSU2" s="353"/>
      <c r="KSV2" s="353"/>
      <c r="KSW2" s="353"/>
      <c r="KSX2" s="353"/>
      <c r="KSY2" s="353"/>
      <c r="KSZ2" s="353"/>
      <c r="KTA2" s="353"/>
      <c r="KTB2" s="353"/>
      <c r="KTC2" s="353"/>
      <c r="KTD2" s="353"/>
      <c r="KTE2" s="353"/>
      <c r="KTF2" s="353"/>
      <c r="KTG2" s="353"/>
      <c r="KTH2" s="353"/>
      <c r="KTI2" s="353"/>
      <c r="KTJ2" s="353"/>
      <c r="KTK2" s="353"/>
      <c r="KTL2" s="353"/>
      <c r="KTM2" s="353"/>
      <c r="KTN2" s="353"/>
      <c r="KTO2" s="353"/>
      <c r="KTP2" s="353"/>
      <c r="KTQ2" s="353"/>
      <c r="KTR2" s="353"/>
      <c r="KTS2" s="353"/>
      <c r="KTT2" s="353"/>
      <c r="KTU2" s="353"/>
      <c r="KTV2" s="353"/>
      <c r="KTW2" s="353"/>
      <c r="KTX2" s="353"/>
      <c r="KTY2" s="353"/>
      <c r="KTZ2" s="353"/>
      <c r="KUA2" s="353"/>
      <c r="KUB2" s="353"/>
      <c r="KUC2" s="353"/>
      <c r="KUD2" s="353"/>
      <c r="KUE2" s="353"/>
      <c r="KUF2" s="353"/>
      <c r="KUG2" s="353"/>
      <c r="KUH2" s="353"/>
      <c r="KUI2" s="353"/>
      <c r="KUJ2" s="353"/>
      <c r="KUK2" s="353"/>
      <c r="KUL2" s="353"/>
      <c r="KUM2" s="353"/>
      <c r="KUN2" s="353"/>
      <c r="KUO2" s="353"/>
      <c r="KUP2" s="353"/>
      <c r="KUQ2" s="353"/>
      <c r="KUR2" s="353"/>
      <c r="KUS2" s="353"/>
      <c r="KUT2" s="353"/>
      <c r="KUU2" s="353"/>
      <c r="KUV2" s="353"/>
      <c r="KUW2" s="353"/>
      <c r="KUX2" s="353"/>
      <c r="KUY2" s="353"/>
      <c r="KUZ2" s="353"/>
      <c r="KVA2" s="353"/>
      <c r="KVB2" s="353"/>
      <c r="KVC2" s="353"/>
      <c r="KVD2" s="353"/>
      <c r="KVE2" s="353"/>
      <c r="KVF2" s="353"/>
      <c r="KVG2" s="353"/>
      <c r="KVH2" s="353"/>
      <c r="KVI2" s="353"/>
      <c r="KVJ2" s="353"/>
      <c r="KVK2" s="353"/>
      <c r="KVL2" s="353"/>
      <c r="KVM2" s="353"/>
      <c r="KVN2" s="353"/>
      <c r="KVO2" s="353"/>
      <c r="KVP2" s="353"/>
      <c r="KVQ2" s="353"/>
      <c r="KVR2" s="353"/>
      <c r="KVS2" s="353"/>
      <c r="KVT2" s="353"/>
      <c r="KVU2" s="353"/>
      <c r="KVV2" s="353"/>
      <c r="KVW2" s="353"/>
      <c r="KVX2" s="353"/>
      <c r="KVY2" s="353"/>
      <c r="KVZ2" s="353"/>
      <c r="KWA2" s="353"/>
      <c r="KWB2" s="353"/>
      <c r="KWC2" s="353"/>
      <c r="KWD2" s="353"/>
      <c r="KWE2" s="353"/>
      <c r="KWF2" s="353"/>
      <c r="KWG2" s="353"/>
      <c r="KWH2" s="353"/>
      <c r="KWI2" s="353"/>
      <c r="KWJ2" s="353"/>
      <c r="KWK2" s="353"/>
      <c r="KWL2" s="353"/>
      <c r="KWM2" s="353"/>
      <c r="KWN2" s="353"/>
      <c r="KWO2" s="353"/>
      <c r="KWP2" s="353"/>
      <c r="KWQ2" s="353"/>
      <c r="KWR2" s="353"/>
      <c r="KWS2" s="353"/>
      <c r="KWT2" s="353"/>
      <c r="KWU2" s="353"/>
      <c r="KWV2" s="353"/>
      <c r="KWW2" s="353"/>
      <c r="KWX2" s="353"/>
      <c r="KWY2" s="353"/>
      <c r="KWZ2" s="353"/>
      <c r="KXA2" s="353"/>
      <c r="KXB2" s="353"/>
      <c r="KXC2" s="353"/>
      <c r="KXD2" s="353"/>
      <c r="KXE2" s="353"/>
      <c r="KXF2" s="353"/>
      <c r="KXG2" s="353"/>
      <c r="KXH2" s="353"/>
      <c r="KXI2" s="353"/>
      <c r="KXJ2" s="353"/>
      <c r="KXK2" s="353"/>
      <c r="KXL2" s="353"/>
      <c r="KXM2" s="353"/>
      <c r="KXN2" s="353"/>
      <c r="KXO2" s="353"/>
      <c r="KXP2" s="353"/>
      <c r="KXQ2" s="353"/>
      <c r="KXR2" s="353"/>
      <c r="KXS2" s="353"/>
      <c r="KXT2" s="353"/>
      <c r="KXU2" s="353"/>
      <c r="KXV2" s="353"/>
      <c r="KXW2" s="353"/>
      <c r="KXX2" s="353"/>
      <c r="KXY2" s="353"/>
      <c r="KXZ2" s="353"/>
      <c r="KYA2" s="353"/>
      <c r="KYB2" s="353"/>
      <c r="KYC2" s="353"/>
      <c r="KYD2" s="353"/>
      <c r="KYE2" s="353"/>
      <c r="KYF2" s="353"/>
      <c r="KYG2" s="353"/>
      <c r="KYH2" s="353"/>
      <c r="KYI2" s="353"/>
      <c r="KYJ2" s="353"/>
      <c r="KYK2" s="353"/>
      <c r="KYL2" s="353"/>
      <c r="KYM2" s="353"/>
      <c r="KYN2" s="353"/>
      <c r="KYO2" s="353"/>
      <c r="KYP2" s="353"/>
      <c r="KYQ2" s="353"/>
      <c r="KYR2" s="353"/>
      <c r="KYS2" s="353"/>
      <c r="KYT2" s="353"/>
      <c r="KYU2" s="353"/>
      <c r="KYV2" s="353"/>
      <c r="KYW2" s="353"/>
      <c r="KYX2" s="353"/>
      <c r="KYY2" s="353"/>
      <c r="KYZ2" s="353"/>
      <c r="KZA2" s="353"/>
      <c r="KZB2" s="353"/>
      <c r="KZC2" s="353"/>
      <c r="KZD2" s="353"/>
      <c r="KZE2" s="353"/>
      <c r="KZF2" s="353"/>
      <c r="KZG2" s="353"/>
      <c r="KZH2" s="353"/>
      <c r="KZI2" s="353"/>
      <c r="KZJ2" s="353"/>
      <c r="KZK2" s="353"/>
      <c r="KZL2" s="353"/>
      <c r="KZM2" s="353"/>
      <c r="KZN2" s="353"/>
      <c r="KZO2" s="353"/>
      <c r="KZP2" s="353"/>
      <c r="KZQ2" s="353"/>
      <c r="KZR2" s="353"/>
      <c r="KZS2" s="353"/>
      <c r="KZT2" s="353"/>
      <c r="KZU2" s="353"/>
      <c r="KZV2" s="353"/>
      <c r="KZW2" s="353"/>
      <c r="KZX2" s="353"/>
      <c r="KZY2" s="353"/>
      <c r="KZZ2" s="353"/>
      <c r="LAA2" s="353"/>
      <c r="LAB2" s="353"/>
      <c r="LAC2" s="353"/>
      <c r="LAD2" s="353"/>
      <c r="LAE2" s="353"/>
      <c r="LAF2" s="353"/>
      <c r="LAG2" s="353"/>
      <c r="LAH2" s="353"/>
      <c r="LAI2" s="353"/>
      <c r="LAJ2" s="353"/>
      <c r="LAK2" s="353"/>
      <c r="LAL2" s="353"/>
      <c r="LAM2" s="353"/>
      <c r="LAN2" s="353"/>
      <c r="LAO2" s="353"/>
      <c r="LAP2" s="353"/>
      <c r="LAQ2" s="353"/>
      <c r="LAR2" s="353"/>
      <c r="LAS2" s="353"/>
      <c r="LAT2" s="353"/>
      <c r="LAU2" s="353"/>
      <c r="LAV2" s="353"/>
      <c r="LAW2" s="353"/>
      <c r="LAX2" s="353"/>
      <c r="LAY2" s="353"/>
      <c r="LAZ2" s="353"/>
      <c r="LBA2" s="353"/>
      <c r="LBB2" s="353"/>
      <c r="LBC2" s="353"/>
      <c r="LBD2" s="353"/>
      <c r="LBE2" s="353"/>
      <c r="LBF2" s="353"/>
      <c r="LBG2" s="353"/>
      <c r="LBH2" s="353"/>
      <c r="LBI2" s="353"/>
      <c r="LBJ2" s="353"/>
      <c r="LBK2" s="353"/>
      <c r="LBL2" s="353"/>
      <c r="LBM2" s="353"/>
      <c r="LBN2" s="353"/>
      <c r="LBO2" s="353"/>
      <c r="LBP2" s="353"/>
      <c r="LBQ2" s="353"/>
      <c r="LBR2" s="353"/>
      <c r="LBS2" s="353"/>
      <c r="LBT2" s="353"/>
      <c r="LBU2" s="353"/>
      <c r="LBV2" s="353"/>
      <c r="LBW2" s="353"/>
      <c r="LBX2" s="353"/>
      <c r="LBY2" s="353"/>
      <c r="LBZ2" s="353"/>
      <c r="LCA2" s="353"/>
      <c r="LCB2" s="353"/>
      <c r="LCC2" s="353"/>
      <c r="LCD2" s="353"/>
      <c r="LCE2" s="353"/>
      <c r="LCF2" s="353"/>
      <c r="LCG2" s="353"/>
      <c r="LCH2" s="353"/>
      <c r="LCI2" s="353"/>
      <c r="LCJ2" s="353"/>
      <c r="LCK2" s="353"/>
      <c r="LCL2" s="353"/>
      <c r="LCM2" s="353"/>
      <c r="LCN2" s="353"/>
      <c r="LCO2" s="353"/>
      <c r="LCP2" s="353"/>
      <c r="LCQ2" s="353"/>
      <c r="LCR2" s="353"/>
      <c r="LCS2" s="353"/>
      <c r="LCT2" s="353"/>
      <c r="LCU2" s="353"/>
      <c r="LCV2" s="353"/>
      <c r="LCW2" s="353"/>
      <c r="LCX2" s="353"/>
      <c r="LCY2" s="353"/>
      <c r="LCZ2" s="353"/>
      <c r="LDA2" s="353"/>
      <c r="LDB2" s="353"/>
      <c r="LDC2" s="353"/>
      <c r="LDD2" s="353"/>
      <c r="LDE2" s="353"/>
      <c r="LDF2" s="353"/>
      <c r="LDG2" s="353"/>
      <c r="LDH2" s="353"/>
      <c r="LDI2" s="353"/>
      <c r="LDJ2" s="353"/>
      <c r="LDK2" s="353"/>
      <c r="LDL2" s="353"/>
      <c r="LDM2" s="353"/>
      <c r="LDN2" s="353"/>
      <c r="LDO2" s="353"/>
      <c r="LDP2" s="353"/>
      <c r="LDQ2" s="353"/>
      <c r="LDR2" s="353"/>
      <c r="LDS2" s="353"/>
      <c r="LDT2" s="353"/>
      <c r="LDU2" s="353"/>
      <c r="LDV2" s="353"/>
      <c r="LDW2" s="353"/>
      <c r="LDX2" s="353"/>
      <c r="LDY2" s="353"/>
      <c r="LDZ2" s="353"/>
      <c r="LEA2" s="353"/>
      <c r="LEB2" s="353"/>
      <c r="LEC2" s="353"/>
      <c r="LED2" s="353"/>
      <c r="LEE2" s="353"/>
      <c r="LEF2" s="353"/>
      <c r="LEG2" s="353"/>
      <c r="LEH2" s="353"/>
      <c r="LEI2" s="353"/>
      <c r="LEJ2" s="353"/>
      <c r="LEK2" s="353"/>
      <c r="LEL2" s="353"/>
      <c r="LEM2" s="353"/>
      <c r="LEN2" s="353"/>
      <c r="LEO2" s="353"/>
      <c r="LEP2" s="353"/>
      <c r="LEQ2" s="353"/>
      <c r="LER2" s="353"/>
      <c r="LES2" s="353"/>
      <c r="LET2" s="353"/>
      <c r="LEU2" s="353"/>
      <c r="LEV2" s="353"/>
      <c r="LEW2" s="353"/>
      <c r="LEX2" s="353"/>
      <c r="LEY2" s="353"/>
      <c r="LEZ2" s="353"/>
      <c r="LFA2" s="353"/>
      <c r="LFB2" s="353"/>
      <c r="LFC2" s="353"/>
      <c r="LFD2" s="353"/>
      <c r="LFE2" s="353"/>
      <c r="LFF2" s="353"/>
      <c r="LFG2" s="353"/>
      <c r="LFH2" s="353"/>
      <c r="LFI2" s="353"/>
      <c r="LFJ2" s="353"/>
      <c r="LFK2" s="353"/>
      <c r="LFL2" s="353"/>
      <c r="LFM2" s="353"/>
      <c r="LFN2" s="353"/>
      <c r="LFO2" s="353"/>
      <c r="LFP2" s="353"/>
      <c r="LFQ2" s="353"/>
      <c r="LFR2" s="353"/>
      <c r="LFS2" s="353"/>
      <c r="LFT2" s="353"/>
      <c r="LFU2" s="353"/>
      <c r="LFV2" s="353"/>
      <c r="LFW2" s="353"/>
      <c r="LFX2" s="353"/>
      <c r="LFY2" s="353"/>
      <c r="LFZ2" s="353"/>
      <c r="LGA2" s="353"/>
      <c r="LGB2" s="353"/>
      <c r="LGC2" s="353"/>
      <c r="LGD2" s="353"/>
      <c r="LGE2" s="353"/>
      <c r="LGF2" s="353"/>
      <c r="LGG2" s="353"/>
      <c r="LGH2" s="353"/>
      <c r="LGI2" s="353"/>
      <c r="LGJ2" s="353"/>
      <c r="LGK2" s="353"/>
      <c r="LGL2" s="353"/>
      <c r="LGM2" s="353"/>
      <c r="LGN2" s="353"/>
      <c r="LGO2" s="353"/>
      <c r="LGP2" s="353"/>
      <c r="LGQ2" s="353"/>
      <c r="LGR2" s="353"/>
      <c r="LGS2" s="353"/>
      <c r="LGT2" s="353"/>
      <c r="LGU2" s="353"/>
      <c r="LGV2" s="353"/>
      <c r="LGW2" s="353"/>
      <c r="LGX2" s="353"/>
      <c r="LGY2" s="353"/>
      <c r="LGZ2" s="353"/>
      <c r="LHA2" s="353"/>
      <c r="LHB2" s="353"/>
      <c r="LHC2" s="353"/>
      <c r="LHD2" s="353"/>
      <c r="LHE2" s="353"/>
      <c r="LHF2" s="353"/>
      <c r="LHG2" s="353"/>
      <c r="LHH2" s="353"/>
      <c r="LHI2" s="353"/>
      <c r="LHJ2" s="353"/>
      <c r="LHK2" s="353"/>
      <c r="LHL2" s="353"/>
      <c r="LHM2" s="353"/>
      <c r="LHN2" s="353"/>
      <c r="LHO2" s="353"/>
      <c r="LHP2" s="353"/>
      <c r="LHQ2" s="353"/>
      <c r="LHR2" s="353"/>
      <c r="LHS2" s="353"/>
      <c r="LHT2" s="353"/>
      <c r="LHU2" s="353"/>
      <c r="LHV2" s="353"/>
      <c r="LHW2" s="353"/>
      <c r="LHX2" s="353"/>
      <c r="LHY2" s="353"/>
      <c r="LHZ2" s="353"/>
      <c r="LIA2" s="353"/>
      <c r="LIB2" s="353"/>
      <c r="LIC2" s="353"/>
      <c r="LID2" s="353"/>
      <c r="LIE2" s="353"/>
      <c r="LIF2" s="353"/>
      <c r="LIG2" s="353"/>
      <c r="LIH2" s="353"/>
      <c r="LII2" s="353"/>
      <c r="LIJ2" s="353"/>
      <c r="LIK2" s="353"/>
      <c r="LIL2" s="353"/>
      <c r="LIM2" s="353"/>
      <c r="LIN2" s="353"/>
      <c r="LIO2" s="353"/>
      <c r="LIP2" s="353"/>
      <c r="LIQ2" s="353"/>
      <c r="LIR2" s="353"/>
      <c r="LIS2" s="353"/>
      <c r="LIT2" s="353"/>
      <c r="LIU2" s="353"/>
      <c r="LIV2" s="353"/>
      <c r="LIW2" s="353"/>
      <c r="LIX2" s="353"/>
      <c r="LIY2" s="353"/>
      <c r="LIZ2" s="353"/>
      <c r="LJA2" s="353"/>
      <c r="LJB2" s="353"/>
      <c r="LJC2" s="353"/>
      <c r="LJD2" s="353"/>
      <c r="LJE2" s="353"/>
      <c r="LJF2" s="353"/>
      <c r="LJG2" s="353"/>
      <c r="LJH2" s="353"/>
      <c r="LJI2" s="353"/>
      <c r="LJJ2" s="353"/>
      <c r="LJK2" s="353"/>
      <c r="LJL2" s="353"/>
      <c r="LJM2" s="353"/>
      <c r="LJN2" s="353"/>
      <c r="LJO2" s="353"/>
      <c r="LJP2" s="353"/>
      <c r="LJQ2" s="353"/>
      <c r="LJR2" s="353"/>
      <c r="LJS2" s="353"/>
      <c r="LJT2" s="353"/>
      <c r="LJU2" s="353"/>
      <c r="LJV2" s="353"/>
      <c r="LJW2" s="353"/>
      <c r="LJX2" s="353"/>
      <c r="LJY2" s="353"/>
      <c r="LJZ2" s="353"/>
      <c r="LKA2" s="353"/>
      <c r="LKB2" s="353"/>
      <c r="LKC2" s="353"/>
      <c r="LKD2" s="353"/>
      <c r="LKE2" s="353"/>
      <c r="LKF2" s="353"/>
      <c r="LKG2" s="353"/>
      <c r="LKH2" s="353"/>
      <c r="LKI2" s="353"/>
      <c r="LKJ2" s="353"/>
      <c r="LKK2" s="353"/>
      <c r="LKL2" s="353"/>
      <c r="LKM2" s="353"/>
      <c r="LKN2" s="353"/>
      <c r="LKO2" s="353"/>
      <c r="LKP2" s="353"/>
      <c r="LKQ2" s="353"/>
      <c r="LKR2" s="353"/>
      <c r="LKS2" s="353"/>
      <c r="LKT2" s="353"/>
      <c r="LKU2" s="353"/>
      <c r="LKV2" s="353"/>
      <c r="LKW2" s="353"/>
      <c r="LKX2" s="353"/>
      <c r="LKY2" s="353"/>
      <c r="LKZ2" s="353"/>
      <c r="LLA2" s="353"/>
      <c r="LLB2" s="353"/>
      <c r="LLC2" s="353"/>
      <c r="LLD2" s="353"/>
      <c r="LLE2" s="353"/>
      <c r="LLF2" s="353"/>
      <c r="LLG2" s="353"/>
      <c r="LLH2" s="353"/>
      <c r="LLI2" s="353"/>
      <c r="LLJ2" s="353"/>
      <c r="LLK2" s="353"/>
      <c r="LLL2" s="353"/>
      <c r="LLM2" s="353"/>
      <c r="LLN2" s="353"/>
      <c r="LLO2" s="353"/>
      <c r="LLP2" s="353"/>
      <c r="LLQ2" s="353"/>
      <c r="LLR2" s="353"/>
      <c r="LLS2" s="353"/>
      <c r="LLT2" s="353"/>
      <c r="LLU2" s="353"/>
      <c r="LLV2" s="353"/>
      <c r="LLW2" s="353"/>
      <c r="LLX2" s="353"/>
      <c r="LLY2" s="353"/>
      <c r="LLZ2" s="353"/>
      <c r="LMA2" s="353"/>
      <c r="LMB2" s="353"/>
      <c r="LMC2" s="353"/>
      <c r="LMD2" s="353"/>
      <c r="LME2" s="353"/>
      <c r="LMF2" s="353"/>
      <c r="LMG2" s="353"/>
      <c r="LMH2" s="353"/>
      <c r="LMI2" s="353"/>
      <c r="LMJ2" s="353"/>
      <c r="LMK2" s="353"/>
      <c r="LML2" s="353"/>
      <c r="LMM2" s="353"/>
      <c r="LMN2" s="353"/>
      <c r="LMO2" s="353"/>
      <c r="LMP2" s="353"/>
      <c r="LMQ2" s="353"/>
      <c r="LMR2" s="353"/>
      <c r="LMS2" s="353"/>
      <c r="LMT2" s="353"/>
      <c r="LMU2" s="353"/>
      <c r="LMV2" s="353"/>
      <c r="LMW2" s="353"/>
      <c r="LMX2" s="353"/>
      <c r="LMY2" s="353"/>
      <c r="LMZ2" s="353"/>
      <c r="LNA2" s="353"/>
      <c r="LNB2" s="353"/>
      <c r="LNC2" s="353"/>
      <c r="LND2" s="353"/>
      <c r="LNE2" s="353"/>
      <c r="LNF2" s="353"/>
      <c r="LNG2" s="353"/>
      <c r="LNH2" s="353"/>
      <c r="LNI2" s="353"/>
      <c r="LNJ2" s="353"/>
      <c r="LNK2" s="353"/>
      <c r="LNL2" s="353"/>
      <c r="LNM2" s="353"/>
      <c r="LNN2" s="353"/>
      <c r="LNO2" s="353"/>
      <c r="LNP2" s="353"/>
      <c r="LNQ2" s="353"/>
      <c r="LNR2" s="353"/>
      <c r="LNS2" s="353"/>
      <c r="LNT2" s="353"/>
      <c r="LNU2" s="353"/>
      <c r="LNV2" s="353"/>
      <c r="LNW2" s="353"/>
      <c r="LNX2" s="353"/>
      <c r="LNY2" s="353"/>
      <c r="LNZ2" s="353"/>
      <c r="LOA2" s="353"/>
      <c r="LOB2" s="353"/>
      <c r="LOC2" s="353"/>
      <c r="LOD2" s="353"/>
      <c r="LOE2" s="353"/>
      <c r="LOF2" s="353"/>
      <c r="LOG2" s="353"/>
      <c r="LOH2" s="353"/>
      <c r="LOI2" s="353"/>
      <c r="LOJ2" s="353"/>
      <c r="LOK2" s="353"/>
      <c r="LOL2" s="353"/>
      <c r="LOM2" s="353"/>
      <c r="LON2" s="353"/>
      <c r="LOO2" s="353"/>
      <c r="LOP2" s="353"/>
      <c r="LOQ2" s="353"/>
      <c r="LOR2" s="353"/>
      <c r="LOS2" s="353"/>
      <c r="LOT2" s="353"/>
      <c r="LOU2" s="353"/>
      <c r="LOV2" s="353"/>
      <c r="LOW2" s="353"/>
      <c r="LOX2" s="353"/>
      <c r="LOY2" s="353"/>
      <c r="LOZ2" s="353"/>
      <c r="LPA2" s="353"/>
      <c r="LPB2" s="353"/>
      <c r="LPC2" s="353"/>
      <c r="LPD2" s="353"/>
      <c r="LPE2" s="353"/>
      <c r="LPF2" s="353"/>
      <c r="LPG2" s="353"/>
      <c r="LPH2" s="353"/>
      <c r="LPI2" s="353"/>
      <c r="LPJ2" s="353"/>
      <c r="LPK2" s="353"/>
      <c r="LPL2" s="353"/>
      <c r="LPM2" s="353"/>
      <c r="LPN2" s="353"/>
      <c r="LPO2" s="353"/>
      <c r="LPP2" s="353"/>
      <c r="LPQ2" s="353"/>
      <c r="LPR2" s="353"/>
      <c r="LPS2" s="353"/>
      <c r="LPT2" s="353"/>
      <c r="LPU2" s="353"/>
      <c r="LPV2" s="353"/>
      <c r="LPW2" s="353"/>
      <c r="LPX2" s="353"/>
      <c r="LPY2" s="353"/>
      <c r="LPZ2" s="353"/>
      <c r="LQA2" s="353"/>
      <c r="LQB2" s="353"/>
      <c r="LQC2" s="353"/>
      <c r="LQD2" s="353"/>
      <c r="LQE2" s="353"/>
      <c r="LQF2" s="353"/>
      <c r="LQG2" s="353"/>
      <c r="LQH2" s="353"/>
      <c r="LQI2" s="353"/>
      <c r="LQJ2" s="353"/>
      <c r="LQK2" s="353"/>
      <c r="LQL2" s="353"/>
      <c r="LQM2" s="353"/>
      <c r="LQN2" s="353"/>
      <c r="LQO2" s="353"/>
      <c r="LQP2" s="353"/>
      <c r="LQQ2" s="353"/>
      <c r="LQR2" s="353"/>
      <c r="LQS2" s="353"/>
      <c r="LQT2" s="353"/>
      <c r="LQU2" s="353"/>
      <c r="LQV2" s="353"/>
      <c r="LQW2" s="353"/>
      <c r="LQX2" s="353"/>
      <c r="LQY2" s="353"/>
      <c r="LQZ2" s="353"/>
      <c r="LRA2" s="353"/>
      <c r="LRB2" s="353"/>
      <c r="LRC2" s="353"/>
      <c r="LRD2" s="353"/>
      <c r="LRE2" s="353"/>
      <c r="LRF2" s="353"/>
      <c r="LRG2" s="353"/>
      <c r="LRH2" s="353"/>
      <c r="LRI2" s="353"/>
      <c r="LRJ2" s="353"/>
      <c r="LRK2" s="353"/>
      <c r="LRL2" s="353"/>
      <c r="LRM2" s="353"/>
      <c r="LRN2" s="353"/>
      <c r="LRO2" s="353"/>
      <c r="LRP2" s="353"/>
      <c r="LRQ2" s="353"/>
      <c r="LRR2" s="353"/>
      <c r="LRS2" s="353"/>
      <c r="LRT2" s="353"/>
      <c r="LRU2" s="353"/>
      <c r="LRV2" s="353"/>
      <c r="LRW2" s="353"/>
      <c r="LRX2" s="353"/>
      <c r="LRY2" s="353"/>
      <c r="LRZ2" s="353"/>
      <c r="LSA2" s="353"/>
      <c r="LSB2" s="353"/>
      <c r="LSC2" s="353"/>
      <c r="LSD2" s="353"/>
      <c r="LSE2" s="353"/>
      <c r="LSF2" s="353"/>
      <c r="LSG2" s="353"/>
      <c r="LSH2" s="353"/>
      <c r="LSI2" s="353"/>
      <c r="LSJ2" s="353"/>
      <c r="LSK2" s="353"/>
      <c r="LSL2" s="353"/>
      <c r="LSM2" s="353"/>
      <c r="LSN2" s="353"/>
      <c r="LSO2" s="353"/>
      <c r="LSP2" s="353"/>
      <c r="LSQ2" s="353"/>
      <c r="LSR2" s="353"/>
      <c r="LSS2" s="353"/>
      <c r="LST2" s="353"/>
      <c r="LSU2" s="353"/>
      <c r="LSV2" s="353"/>
      <c r="LSW2" s="353"/>
      <c r="LSX2" s="353"/>
      <c r="LSY2" s="353"/>
      <c r="LSZ2" s="353"/>
      <c r="LTA2" s="353"/>
      <c r="LTB2" s="353"/>
      <c r="LTC2" s="353"/>
      <c r="LTD2" s="353"/>
      <c r="LTE2" s="353"/>
      <c r="LTF2" s="353"/>
      <c r="LTG2" s="353"/>
      <c r="LTH2" s="353"/>
      <c r="LTI2" s="353"/>
      <c r="LTJ2" s="353"/>
      <c r="LTK2" s="353"/>
      <c r="LTL2" s="353"/>
      <c r="LTM2" s="353"/>
      <c r="LTN2" s="353"/>
      <c r="LTO2" s="353"/>
      <c r="LTP2" s="353"/>
      <c r="LTQ2" s="353"/>
      <c r="LTR2" s="353"/>
      <c r="LTS2" s="353"/>
      <c r="LTT2" s="353"/>
      <c r="LTU2" s="353"/>
      <c r="LTV2" s="353"/>
      <c r="LTW2" s="353"/>
      <c r="LTX2" s="353"/>
      <c r="LTY2" s="353"/>
      <c r="LTZ2" s="353"/>
      <c r="LUA2" s="353"/>
      <c r="LUB2" s="353"/>
      <c r="LUC2" s="353"/>
      <c r="LUD2" s="353"/>
      <c r="LUE2" s="353"/>
      <c r="LUF2" s="353"/>
      <c r="LUG2" s="353"/>
      <c r="LUH2" s="353"/>
      <c r="LUI2" s="353"/>
      <c r="LUJ2" s="353"/>
      <c r="LUK2" s="353"/>
      <c r="LUL2" s="353"/>
      <c r="LUM2" s="353"/>
      <c r="LUN2" s="353"/>
      <c r="LUO2" s="353"/>
      <c r="LUP2" s="353"/>
      <c r="LUQ2" s="353"/>
      <c r="LUR2" s="353"/>
      <c r="LUS2" s="353"/>
      <c r="LUT2" s="353"/>
      <c r="LUU2" s="353"/>
      <c r="LUV2" s="353"/>
      <c r="LUW2" s="353"/>
      <c r="LUX2" s="353"/>
      <c r="LUY2" s="353"/>
      <c r="LUZ2" s="353"/>
      <c r="LVA2" s="353"/>
      <c r="LVB2" s="353"/>
      <c r="LVC2" s="353"/>
      <c r="LVD2" s="353"/>
      <c r="LVE2" s="353"/>
      <c r="LVF2" s="353"/>
      <c r="LVG2" s="353"/>
      <c r="LVH2" s="353"/>
      <c r="LVI2" s="353"/>
      <c r="LVJ2" s="353"/>
      <c r="LVK2" s="353"/>
      <c r="LVL2" s="353"/>
      <c r="LVM2" s="353"/>
      <c r="LVN2" s="353"/>
      <c r="LVO2" s="353"/>
      <c r="LVP2" s="353"/>
      <c r="LVQ2" s="353"/>
      <c r="LVR2" s="353"/>
      <c r="LVS2" s="353"/>
      <c r="LVT2" s="353"/>
      <c r="LVU2" s="353"/>
      <c r="LVV2" s="353"/>
      <c r="LVW2" s="353"/>
      <c r="LVX2" s="353"/>
      <c r="LVY2" s="353"/>
      <c r="LVZ2" s="353"/>
      <c r="LWA2" s="353"/>
      <c r="LWB2" s="353"/>
      <c r="LWC2" s="353"/>
      <c r="LWD2" s="353"/>
      <c r="LWE2" s="353"/>
      <c r="LWF2" s="353"/>
      <c r="LWG2" s="353"/>
      <c r="LWH2" s="353"/>
      <c r="LWI2" s="353"/>
      <c r="LWJ2" s="353"/>
      <c r="LWK2" s="353"/>
      <c r="LWL2" s="353"/>
      <c r="LWM2" s="353"/>
      <c r="LWN2" s="353"/>
      <c r="LWO2" s="353"/>
      <c r="LWP2" s="353"/>
      <c r="LWQ2" s="353"/>
      <c r="LWR2" s="353"/>
      <c r="LWS2" s="353"/>
      <c r="LWT2" s="353"/>
      <c r="LWU2" s="353"/>
      <c r="LWV2" s="353"/>
      <c r="LWW2" s="353"/>
      <c r="LWX2" s="353"/>
      <c r="LWY2" s="353"/>
      <c r="LWZ2" s="353"/>
      <c r="LXA2" s="353"/>
      <c r="LXB2" s="353"/>
      <c r="LXC2" s="353"/>
      <c r="LXD2" s="353"/>
      <c r="LXE2" s="353"/>
      <c r="LXF2" s="353"/>
      <c r="LXG2" s="353"/>
      <c r="LXH2" s="353"/>
      <c r="LXI2" s="353"/>
      <c r="LXJ2" s="353"/>
      <c r="LXK2" s="353"/>
      <c r="LXL2" s="353"/>
      <c r="LXM2" s="353"/>
      <c r="LXN2" s="353"/>
      <c r="LXO2" s="353"/>
      <c r="LXP2" s="353"/>
      <c r="LXQ2" s="353"/>
      <c r="LXR2" s="353"/>
      <c r="LXS2" s="353"/>
      <c r="LXT2" s="353"/>
      <c r="LXU2" s="353"/>
      <c r="LXV2" s="353"/>
      <c r="LXW2" s="353"/>
      <c r="LXX2" s="353"/>
      <c r="LXY2" s="353"/>
      <c r="LXZ2" s="353"/>
      <c r="LYA2" s="353"/>
      <c r="LYB2" s="353"/>
      <c r="LYC2" s="353"/>
      <c r="LYD2" s="353"/>
      <c r="LYE2" s="353"/>
      <c r="LYF2" s="353"/>
      <c r="LYG2" s="353"/>
      <c r="LYH2" s="353"/>
      <c r="LYI2" s="353"/>
      <c r="LYJ2" s="353"/>
      <c r="LYK2" s="353"/>
      <c r="LYL2" s="353"/>
      <c r="LYM2" s="353"/>
      <c r="LYN2" s="353"/>
      <c r="LYO2" s="353"/>
      <c r="LYP2" s="353"/>
      <c r="LYQ2" s="353"/>
      <c r="LYR2" s="353"/>
      <c r="LYS2" s="353"/>
      <c r="LYT2" s="353"/>
      <c r="LYU2" s="353"/>
      <c r="LYV2" s="353"/>
      <c r="LYW2" s="353"/>
      <c r="LYX2" s="353"/>
      <c r="LYY2" s="353"/>
      <c r="LYZ2" s="353"/>
      <c r="LZA2" s="353"/>
      <c r="LZB2" s="353"/>
      <c r="LZC2" s="353"/>
      <c r="LZD2" s="353"/>
      <c r="LZE2" s="353"/>
      <c r="LZF2" s="353"/>
      <c r="LZG2" s="353"/>
      <c r="LZH2" s="353"/>
      <c r="LZI2" s="353"/>
      <c r="LZJ2" s="353"/>
      <c r="LZK2" s="353"/>
      <c r="LZL2" s="353"/>
      <c r="LZM2" s="353"/>
      <c r="LZN2" s="353"/>
      <c r="LZO2" s="353"/>
      <c r="LZP2" s="353"/>
      <c r="LZQ2" s="353"/>
      <c r="LZR2" s="353"/>
      <c r="LZS2" s="353"/>
      <c r="LZT2" s="353"/>
      <c r="LZU2" s="353"/>
      <c r="LZV2" s="353"/>
      <c r="LZW2" s="353"/>
      <c r="LZX2" s="353"/>
      <c r="LZY2" s="353"/>
      <c r="LZZ2" s="353"/>
      <c r="MAA2" s="353"/>
      <c r="MAB2" s="353"/>
      <c r="MAC2" s="353"/>
      <c r="MAD2" s="353"/>
      <c r="MAE2" s="353"/>
      <c r="MAF2" s="353"/>
      <c r="MAG2" s="353"/>
      <c r="MAH2" s="353"/>
      <c r="MAI2" s="353"/>
      <c r="MAJ2" s="353"/>
      <c r="MAK2" s="353"/>
      <c r="MAL2" s="353"/>
      <c r="MAM2" s="353"/>
      <c r="MAN2" s="353"/>
      <c r="MAO2" s="353"/>
      <c r="MAP2" s="353"/>
      <c r="MAQ2" s="353"/>
      <c r="MAR2" s="353"/>
      <c r="MAS2" s="353"/>
      <c r="MAT2" s="353"/>
      <c r="MAU2" s="353"/>
      <c r="MAV2" s="353"/>
      <c r="MAW2" s="353"/>
      <c r="MAX2" s="353"/>
      <c r="MAY2" s="353"/>
      <c r="MAZ2" s="353"/>
      <c r="MBA2" s="353"/>
      <c r="MBB2" s="353"/>
      <c r="MBC2" s="353"/>
      <c r="MBD2" s="353"/>
      <c r="MBE2" s="353"/>
      <c r="MBF2" s="353"/>
      <c r="MBG2" s="353"/>
      <c r="MBH2" s="353"/>
      <c r="MBI2" s="353"/>
      <c r="MBJ2" s="353"/>
      <c r="MBK2" s="353"/>
      <c r="MBL2" s="353"/>
      <c r="MBM2" s="353"/>
      <c r="MBN2" s="353"/>
      <c r="MBO2" s="353"/>
      <c r="MBP2" s="353"/>
      <c r="MBQ2" s="353"/>
      <c r="MBR2" s="353"/>
      <c r="MBS2" s="353"/>
      <c r="MBT2" s="353"/>
      <c r="MBU2" s="353"/>
      <c r="MBV2" s="353"/>
      <c r="MBW2" s="353"/>
      <c r="MBX2" s="353"/>
      <c r="MBY2" s="353"/>
      <c r="MBZ2" s="353"/>
      <c r="MCA2" s="353"/>
      <c r="MCB2" s="353"/>
      <c r="MCC2" s="353"/>
      <c r="MCD2" s="353"/>
      <c r="MCE2" s="353"/>
      <c r="MCF2" s="353"/>
      <c r="MCG2" s="353"/>
      <c r="MCH2" s="353"/>
      <c r="MCI2" s="353"/>
      <c r="MCJ2" s="353"/>
      <c r="MCK2" s="353"/>
      <c r="MCL2" s="353"/>
      <c r="MCM2" s="353"/>
      <c r="MCN2" s="353"/>
      <c r="MCO2" s="353"/>
      <c r="MCP2" s="353"/>
      <c r="MCQ2" s="353"/>
      <c r="MCR2" s="353"/>
      <c r="MCS2" s="353"/>
      <c r="MCT2" s="353"/>
      <c r="MCU2" s="353"/>
      <c r="MCV2" s="353"/>
      <c r="MCW2" s="353"/>
      <c r="MCX2" s="353"/>
      <c r="MCY2" s="353"/>
      <c r="MCZ2" s="353"/>
      <c r="MDA2" s="353"/>
      <c r="MDB2" s="353"/>
      <c r="MDC2" s="353"/>
      <c r="MDD2" s="353"/>
      <c r="MDE2" s="353"/>
      <c r="MDF2" s="353"/>
      <c r="MDG2" s="353"/>
      <c r="MDH2" s="353"/>
      <c r="MDI2" s="353"/>
      <c r="MDJ2" s="353"/>
      <c r="MDK2" s="353"/>
      <c r="MDL2" s="353"/>
      <c r="MDM2" s="353"/>
      <c r="MDN2" s="353"/>
      <c r="MDO2" s="353"/>
      <c r="MDP2" s="353"/>
      <c r="MDQ2" s="353"/>
      <c r="MDR2" s="353"/>
      <c r="MDS2" s="353"/>
      <c r="MDT2" s="353"/>
      <c r="MDU2" s="353"/>
      <c r="MDV2" s="353"/>
      <c r="MDW2" s="353"/>
      <c r="MDX2" s="353"/>
      <c r="MDY2" s="353"/>
      <c r="MDZ2" s="353"/>
      <c r="MEA2" s="353"/>
      <c r="MEB2" s="353"/>
      <c r="MEC2" s="353"/>
      <c r="MED2" s="353"/>
      <c r="MEE2" s="353"/>
      <c r="MEF2" s="353"/>
      <c r="MEG2" s="353"/>
      <c r="MEH2" s="353"/>
      <c r="MEI2" s="353"/>
      <c r="MEJ2" s="353"/>
      <c r="MEK2" s="353"/>
      <c r="MEL2" s="353"/>
      <c r="MEM2" s="353"/>
      <c r="MEN2" s="353"/>
      <c r="MEO2" s="353"/>
      <c r="MEP2" s="353"/>
      <c r="MEQ2" s="353"/>
      <c r="MER2" s="353"/>
      <c r="MES2" s="353"/>
      <c r="MET2" s="353"/>
      <c r="MEU2" s="353"/>
      <c r="MEV2" s="353"/>
      <c r="MEW2" s="353"/>
      <c r="MEX2" s="353"/>
      <c r="MEY2" s="353"/>
      <c r="MEZ2" s="353"/>
      <c r="MFA2" s="353"/>
      <c r="MFB2" s="353"/>
      <c r="MFC2" s="353"/>
      <c r="MFD2" s="353"/>
      <c r="MFE2" s="353"/>
      <c r="MFF2" s="353"/>
      <c r="MFG2" s="353"/>
      <c r="MFH2" s="353"/>
      <c r="MFI2" s="353"/>
      <c r="MFJ2" s="353"/>
      <c r="MFK2" s="353"/>
      <c r="MFL2" s="353"/>
      <c r="MFM2" s="353"/>
      <c r="MFN2" s="353"/>
      <c r="MFO2" s="353"/>
      <c r="MFP2" s="353"/>
      <c r="MFQ2" s="353"/>
      <c r="MFR2" s="353"/>
      <c r="MFS2" s="353"/>
      <c r="MFT2" s="353"/>
      <c r="MFU2" s="353"/>
      <c r="MFV2" s="353"/>
      <c r="MFW2" s="353"/>
      <c r="MFX2" s="353"/>
      <c r="MFY2" s="353"/>
      <c r="MFZ2" s="353"/>
      <c r="MGA2" s="353"/>
      <c r="MGB2" s="353"/>
      <c r="MGC2" s="353"/>
      <c r="MGD2" s="353"/>
      <c r="MGE2" s="353"/>
      <c r="MGF2" s="353"/>
      <c r="MGG2" s="353"/>
      <c r="MGH2" s="353"/>
      <c r="MGI2" s="353"/>
      <c r="MGJ2" s="353"/>
      <c r="MGK2" s="353"/>
      <c r="MGL2" s="353"/>
      <c r="MGM2" s="353"/>
      <c r="MGN2" s="353"/>
      <c r="MGO2" s="353"/>
      <c r="MGP2" s="353"/>
      <c r="MGQ2" s="353"/>
      <c r="MGR2" s="353"/>
      <c r="MGS2" s="353"/>
      <c r="MGT2" s="353"/>
      <c r="MGU2" s="353"/>
      <c r="MGV2" s="353"/>
      <c r="MGW2" s="353"/>
      <c r="MGX2" s="353"/>
      <c r="MGY2" s="353"/>
      <c r="MGZ2" s="353"/>
      <c r="MHA2" s="353"/>
      <c r="MHB2" s="353"/>
      <c r="MHC2" s="353"/>
      <c r="MHD2" s="353"/>
      <c r="MHE2" s="353"/>
      <c r="MHF2" s="353"/>
      <c r="MHG2" s="353"/>
      <c r="MHH2" s="353"/>
      <c r="MHI2" s="353"/>
      <c r="MHJ2" s="353"/>
      <c r="MHK2" s="353"/>
      <c r="MHL2" s="353"/>
      <c r="MHM2" s="353"/>
      <c r="MHN2" s="353"/>
      <c r="MHO2" s="353"/>
      <c r="MHP2" s="353"/>
      <c r="MHQ2" s="353"/>
      <c r="MHR2" s="353"/>
      <c r="MHS2" s="353"/>
      <c r="MHT2" s="353"/>
      <c r="MHU2" s="353"/>
      <c r="MHV2" s="353"/>
      <c r="MHW2" s="353"/>
      <c r="MHX2" s="353"/>
      <c r="MHY2" s="353"/>
      <c r="MHZ2" s="353"/>
      <c r="MIA2" s="353"/>
      <c r="MIB2" s="353"/>
      <c r="MIC2" s="353"/>
      <c r="MID2" s="353"/>
      <c r="MIE2" s="353"/>
      <c r="MIF2" s="353"/>
      <c r="MIG2" s="353"/>
      <c r="MIH2" s="353"/>
      <c r="MII2" s="353"/>
      <c r="MIJ2" s="353"/>
      <c r="MIK2" s="353"/>
      <c r="MIL2" s="353"/>
      <c r="MIM2" s="353"/>
      <c r="MIN2" s="353"/>
      <c r="MIO2" s="353"/>
      <c r="MIP2" s="353"/>
      <c r="MIQ2" s="353"/>
      <c r="MIR2" s="353"/>
      <c r="MIS2" s="353"/>
      <c r="MIT2" s="353"/>
      <c r="MIU2" s="353"/>
      <c r="MIV2" s="353"/>
      <c r="MIW2" s="353"/>
      <c r="MIX2" s="353"/>
      <c r="MIY2" s="353"/>
      <c r="MIZ2" s="353"/>
      <c r="MJA2" s="353"/>
      <c r="MJB2" s="353"/>
      <c r="MJC2" s="353"/>
      <c r="MJD2" s="353"/>
      <c r="MJE2" s="353"/>
      <c r="MJF2" s="353"/>
      <c r="MJG2" s="353"/>
      <c r="MJH2" s="353"/>
      <c r="MJI2" s="353"/>
      <c r="MJJ2" s="353"/>
      <c r="MJK2" s="353"/>
      <c r="MJL2" s="353"/>
      <c r="MJM2" s="353"/>
      <c r="MJN2" s="353"/>
      <c r="MJO2" s="353"/>
      <c r="MJP2" s="353"/>
      <c r="MJQ2" s="353"/>
      <c r="MJR2" s="353"/>
      <c r="MJS2" s="353"/>
      <c r="MJT2" s="353"/>
      <c r="MJU2" s="353"/>
      <c r="MJV2" s="353"/>
      <c r="MJW2" s="353"/>
      <c r="MJX2" s="353"/>
      <c r="MJY2" s="353"/>
      <c r="MJZ2" s="353"/>
      <c r="MKA2" s="353"/>
      <c r="MKB2" s="353"/>
      <c r="MKC2" s="353"/>
      <c r="MKD2" s="353"/>
      <c r="MKE2" s="353"/>
      <c r="MKF2" s="353"/>
      <c r="MKG2" s="353"/>
      <c r="MKH2" s="353"/>
      <c r="MKI2" s="353"/>
      <c r="MKJ2" s="353"/>
      <c r="MKK2" s="353"/>
      <c r="MKL2" s="353"/>
      <c r="MKM2" s="353"/>
      <c r="MKN2" s="353"/>
      <c r="MKO2" s="353"/>
      <c r="MKP2" s="353"/>
      <c r="MKQ2" s="353"/>
      <c r="MKR2" s="353"/>
      <c r="MKS2" s="353"/>
      <c r="MKT2" s="353"/>
      <c r="MKU2" s="353"/>
      <c r="MKV2" s="353"/>
      <c r="MKW2" s="353"/>
      <c r="MKX2" s="353"/>
      <c r="MKY2" s="353"/>
      <c r="MKZ2" s="353"/>
      <c r="MLA2" s="353"/>
      <c r="MLB2" s="353"/>
      <c r="MLC2" s="353"/>
      <c r="MLD2" s="353"/>
      <c r="MLE2" s="353"/>
      <c r="MLF2" s="353"/>
      <c r="MLG2" s="353"/>
      <c r="MLH2" s="353"/>
      <c r="MLI2" s="353"/>
      <c r="MLJ2" s="353"/>
      <c r="MLK2" s="353"/>
      <c r="MLL2" s="353"/>
      <c r="MLM2" s="353"/>
      <c r="MLN2" s="353"/>
      <c r="MLO2" s="353"/>
      <c r="MLP2" s="353"/>
      <c r="MLQ2" s="353"/>
      <c r="MLR2" s="353"/>
      <c r="MLS2" s="353"/>
      <c r="MLT2" s="353"/>
      <c r="MLU2" s="353"/>
      <c r="MLV2" s="353"/>
      <c r="MLW2" s="353"/>
      <c r="MLX2" s="353"/>
      <c r="MLY2" s="353"/>
      <c r="MLZ2" s="353"/>
      <c r="MMA2" s="353"/>
      <c r="MMB2" s="353"/>
      <c r="MMC2" s="353"/>
      <c r="MMD2" s="353"/>
      <c r="MME2" s="353"/>
      <c r="MMF2" s="353"/>
      <c r="MMG2" s="353"/>
      <c r="MMH2" s="353"/>
      <c r="MMI2" s="353"/>
      <c r="MMJ2" s="353"/>
      <c r="MMK2" s="353"/>
      <c r="MML2" s="353"/>
      <c r="MMM2" s="353"/>
      <c r="MMN2" s="353"/>
      <c r="MMO2" s="353"/>
      <c r="MMP2" s="353"/>
      <c r="MMQ2" s="353"/>
      <c r="MMR2" s="353"/>
      <c r="MMS2" s="353"/>
      <c r="MMT2" s="353"/>
      <c r="MMU2" s="353"/>
      <c r="MMV2" s="353"/>
      <c r="MMW2" s="353"/>
      <c r="MMX2" s="353"/>
      <c r="MMY2" s="353"/>
      <c r="MMZ2" s="353"/>
      <c r="MNA2" s="353"/>
      <c r="MNB2" s="353"/>
      <c r="MNC2" s="353"/>
      <c r="MND2" s="353"/>
      <c r="MNE2" s="353"/>
      <c r="MNF2" s="353"/>
      <c r="MNG2" s="353"/>
      <c r="MNH2" s="353"/>
      <c r="MNI2" s="353"/>
      <c r="MNJ2" s="353"/>
      <c r="MNK2" s="353"/>
      <c r="MNL2" s="353"/>
      <c r="MNM2" s="353"/>
      <c r="MNN2" s="353"/>
      <c r="MNO2" s="353"/>
      <c r="MNP2" s="353"/>
      <c r="MNQ2" s="353"/>
      <c r="MNR2" s="353"/>
      <c r="MNS2" s="353"/>
      <c r="MNT2" s="353"/>
      <c r="MNU2" s="353"/>
      <c r="MNV2" s="353"/>
      <c r="MNW2" s="353"/>
      <c r="MNX2" s="353"/>
      <c r="MNY2" s="353"/>
      <c r="MNZ2" s="353"/>
      <c r="MOA2" s="353"/>
      <c r="MOB2" s="353"/>
      <c r="MOC2" s="353"/>
      <c r="MOD2" s="353"/>
      <c r="MOE2" s="353"/>
      <c r="MOF2" s="353"/>
      <c r="MOG2" s="353"/>
      <c r="MOH2" s="353"/>
      <c r="MOI2" s="353"/>
      <c r="MOJ2" s="353"/>
      <c r="MOK2" s="353"/>
      <c r="MOL2" s="353"/>
      <c r="MOM2" s="353"/>
      <c r="MON2" s="353"/>
      <c r="MOO2" s="353"/>
      <c r="MOP2" s="353"/>
      <c r="MOQ2" s="353"/>
      <c r="MOR2" s="353"/>
      <c r="MOS2" s="353"/>
      <c r="MOT2" s="353"/>
      <c r="MOU2" s="353"/>
      <c r="MOV2" s="353"/>
      <c r="MOW2" s="353"/>
      <c r="MOX2" s="353"/>
      <c r="MOY2" s="353"/>
      <c r="MOZ2" s="353"/>
      <c r="MPA2" s="353"/>
      <c r="MPB2" s="353"/>
      <c r="MPC2" s="353"/>
      <c r="MPD2" s="353"/>
      <c r="MPE2" s="353"/>
      <c r="MPF2" s="353"/>
      <c r="MPG2" s="353"/>
      <c r="MPH2" s="353"/>
      <c r="MPI2" s="353"/>
      <c r="MPJ2" s="353"/>
      <c r="MPK2" s="353"/>
      <c r="MPL2" s="353"/>
      <c r="MPM2" s="353"/>
      <c r="MPN2" s="353"/>
      <c r="MPO2" s="353"/>
      <c r="MPP2" s="353"/>
      <c r="MPQ2" s="353"/>
      <c r="MPR2" s="353"/>
      <c r="MPS2" s="353"/>
      <c r="MPT2" s="353"/>
      <c r="MPU2" s="353"/>
      <c r="MPV2" s="353"/>
      <c r="MPW2" s="353"/>
      <c r="MPX2" s="353"/>
      <c r="MPY2" s="353"/>
      <c r="MPZ2" s="353"/>
      <c r="MQA2" s="353"/>
      <c r="MQB2" s="353"/>
      <c r="MQC2" s="353"/>
      <c r="MQD2" s="353"/>
      <c r="MQE2" s="353"/>
      <c r="MQF2" s="353"/>
      <c r="MQG2" s="353"/>
      <c r="MQH2" s="353"/>
      <c r="MQI2" s="353"/>
      <c r="MQJ2" s="353"/>
      <c r="MQK2" s="353"/>
      <c r="MQL2" s="353"/>
      <c r="MQM2" s="353"/>
      <c r="MQN2" s="353"/>
      <c r="MQO2" s="353"/>
      <c r="MQP2" s="353"/>
      <c r="MQQ2" s="353"/>
      <c r="MQR2" s="353"/>
      <c r="MQS2" s="353"/>
      <c r="MQT2" s="353"/>
      <c r="MQU2" s="353"/>
      <c r="MQV2" s="353"/>
      <c r="MQW2" s="353"/>
      <c r="MQX2" s="353"/>
      <c r="MQY2" s="353"/>
      <c r="MQZ2" s="353"/>
      <c r="MRA2" s="353"/>
      <c r="MRB2" s="353"/>
      <c r="MRC2" s="353"/>
      <c r="MRD2" s="353"/>
      <c r="MRE2" s="353"/>
      <c r="MRF2" s="353"/>
      <c r="MRG2" s="353"/>
      <c r="MRH2" s="353"/>
      <c r="MRI2" s="353"/>
      <c r="MRJ2" s="353"/>
      <c r="MRK2" s="353"/>
      <c r="MRL2" s="353"/>
      <c r="MRM2" s="353"/>
      <c r="MRN2" s="353"/>
      <c r="MRO2" s="353"/>
      <c r="MRP2" s="353"/>
      <c r="MRQ2" s="353"/>
      <c r="MRR2" s="353"/>
      <c r="MRS2" s="353"/>
      <c r="MRT2" s="353"/>
      <c r="MRU2" s="353"/>
      <c r="MRV2" s="353"/>
      <c r="MRW2" s="353"/>
      <c r="MRX2" s="353"/>
      <c r="MRY2" s="353"/>
      <c r="MRZ2" s="353"/>
      <c r="MSA2" s="353"/>
      <c r="MSB2" s="353"/>
      <c r="MSC2" s="353"/>
      <c r="MSD2" s="353"/>
      <c r="MSE2" s="353"/>
      <c r="MSF2" s="353"/>
      <c r="MSG2" s="353"/>
      <c r="MSH2" s="353"/>
      <c r="MSI2" s="353"/>
      <c r="MSJ2" s="353"/>
      <c r="MSK2" s="353"/>
      <c r="MSL2" s="353"/>
      <c r="MSM2" s="353"/>
      <c r="MSN2" s="353"/>
      <c r="MSO2" s="353"/>
      <c r="MSP2" s="353"/>
      <c r="MSQ2" s="353"/>
      <c r="MSR2" s="353"/>
      <c r="MSS2" s="353"/>
      <c r="MST2" s="353"/>
      <c r="MSU2" s="353"/>
      <c r="MSV2" s="353"/>
      <c r="MSW2" s="353"/>
      <c r="MSX2" s="353"/>
      <c r="MSY2" s="353"/>
      <c r="MSZ2" s="353"/>
      <c r="MTA2" s="353"/>
      <c r="MTB2" s="353"/>
      <c r="MTC2" s="353"/>
      <c r="MTD2" s="353"/>
      <c r="MTE2" s="353"/>
      <c r="MTF2" s="353"/>
      <c r="MTG2" s="353"/>
      <c r="MTH2" s="353"/>
      <c r="MTI2" s="353"/>
      <c r="MTJ2" s="353"/>
      <c r="MTK2" s="353"/>
      <c r="MTL2" s="353"/>
      <c r="MTM2" s="353"/>
      <c r="MTN2" s="353"/>
      <c r="MTO2" s="353"/>
      <c r="MTP2" s="353"/>
      <c r="MTQ2" s="353"/>
      <c r="MTR2" s="353"/>
      <c r="MTS2" s="353"/>
      <c r="MTT2" s="353"/>
      <c r="MTU2" s="353"/>
      <c r="MTV2" s="353"/>
      <c r="MTW2" s="353"/>
      <c r="MTX2" s="353"/>
      <c r="MTY2" s="353"/>
      <c r="MTZ2" s="353"/>
      <c r="MUA2" s="353"/>
      <c r="MUB2" s="353"/>
      <c r="MUC2" s="353"/>
      <c r="MUD2" s="353"/>
      <c r="MUE2" s="353"/>
      <c r="MUF2" s="353"/>
      <c r="MUG2" s="353"/>
      <c r="MUH2" s="353"/>
      <c r="MUI2" s="353"/>
      <c r="MUJ2" s="353"/>
      <c r="MUK2" s="353"/>
      <c r="MUL2" s="353"/>
      <c r="MUM2" s="353"/>
      <c r="MUN2" s="353"/>
      <c r="MUO2" s="353"/>
      <c r="MUP2" s="353"/>
      <c r="MUQ2" s="353"/>
      <c r="MUR2" s="353"/>
      <c r="MUS2" s="353"/>
      <c r="MUT2" s="353"/>
      <c r="MUU2" s="353"/>
      <c r="MUV2" s="353"/>
      <c r="MUW2" s="353"/>
      <c r="MUX2" s="353"/>
      <c r="MUY2" s="353"/>
      <c r="MUZ2" s="353"/>
      <c r="MVA2" s="353"/>
      <c r="MVB2" s="353"/>
      <c r="MVC2" s="353"/>
      <c r="MVD2" s="353"/>
      <c r="MVE2" s="353"/>
      <c r="MVF2" s="353"/>
      <c r="MVG2" s="353"/>
      <c r="MVH2" s="353"/>
      <c r="MVI2" s="353"/>
      <c r="MVJ2" s="353"/>
      <c r="MVK2" s="353"/>
      <c r="MVL2" s="353"/>
      <c r="MVM2" s="353"/>
      <c r="MVN2" s="353"/>
      <c r="MVO2" s="353"/>
      <c r="MVP2" s="353"/>
      <c r="MVQ2" s="353"/>
      <c r="MVR2" s="353"/>
      <c r="MVS2" s="353"/>
      <c r="MVT2" s="353"/>
      <c r="MVU2" s="353"/>
      <c r="MVV2" s="353"/>
      <c r="MVW2" s="353"/>
      <c r="MVX2" s="353"/>
      <c r="MVY2" s="353"/>
      <c r="MVZ2" s="353"/>
      <c r="MWA2" s="353"/>
      <c r="MWB2" s="353"/>
      <c r="MWC2" s="353"/>
      <c r="MWD2" s="353"/>
      <c r="MWE2" s="353"/>
      <c r="MWF2" s="353"/>
      <c r="MWG2" s="353"/>
      <c r="MWH2" s="353"/>
      <c r="MWI2" s="353"/>
      <c r="MWJ2" s="353"/>
      <c r="MWK2" s="353"/>
      <c r="MWL2" s="353"/>
      <c r="MWM2" s="353"/>
      <c r="MWN2" s="353"/>
      <c r="MWO2" s="353"/>
      <c r="MWP2" s="353"/>
      <c r="MWQ2" s="353"/>
      <c r="MWR2" s="353"/>
      <c r="MWS2" s="353"/>
      <c r="MWT2" s="353"/>
      <c r="MWU2" s="353"/>
      <c r="MWV2" s="353"/>
      <c r="MWW2" s="353"/>
      <c r="MWX2" s="353"/>
      <c r="MWY2" s="353"/>
      <c r="MWZ2" s="353"/>
      <c r="MXA2" s="353"/>
      <c r="MXB2" s="353"/>
      <c r="MXC2" s="353"/>
      <c r="MXD2" s="353"/>
      <c r="MXE2" s="353"/>
      <c r="MXF2" s="353"/>
      <c r="MXG2" s="353"/>
      <c r="MXH2" s="353"/>
      <c r="MXI2" s="353"/>
      <c r="MXJ2" s="353"/>
      <c r="MXK2" s="353"/>
      <c r="MXL2" s="353"/>
      <c r="MXM2" s="353"/>
      <c r="MXN2" s="353"/>
      <c r="MXO2" s="353"/>
      <c r="MXP2" s="353"/>
      <c r="MXQ2" s="353"/>
      <c r="MXR2" s="353"/>
      <c r="MXS2" s="353"/>
      <c r="MXT2" s="353"/>
      <c r="MXU2" s="353"/>
      <c r="MXV2" s="353"/>
      <c r="MXW2" s="353"/>
      <c r="MXX2" s="353"/>
      <c r="MXY2" s="353"/>
      <c r="MXZ2" s="353"/>
      <c r="MYA2" s="353"/>
      <c r="MYB2" s="353"/>
      <c r="MYC2" s="353"/>
      <c r="MYD2" s="353"/>
      <c r="MYE2" s="353"/>
      <c r="MYF2" s="353"/>
      <c r="MYG2" s="353"/>
      <c r="MYH2" s="353"/>
      <c r="MYI2" s="353"/>
      <c r="MYJ2" s="353"/>
      <c r="MYK2" s="353"/>
      <c r="MYL2" s="353"/>
      <c r="MYM2" s="353"/>
      <c r="MYN2" s="353"/>
      <c r="MYO2" s="353"/>
      <c r="MYP2" s="353"/>
      <c r="MYQ2" s="353"/>
      <c r="MYR2" s="353"/>
      <c r="MYS2" s="353"/>
      <c r="MYT2" s="353"/>
      <c r="MYU2" s="353"/>
      <c r="MYV2" s="353"/>
      <c r="MYW2" s="353"/>
      <c r="MYX2" s="353"/>
      <c r="MYY2" s="353"/>
      <c r="MYZ2" s="353"/>
      <c r="MZA2" s="353"/>
      <c r="MZB2" s="353"/>
      <c r="MZC2" s="353"/>
      <c r="MZD2" s="353"/>
      <c r="MZE2" s="353"/>
      <c r="MZF2" s="353"/>
      <c r="MZG2" s="353"/>
      <c r="MZH2" s="353"/>
      <c r="MZI2" s="353"/>
      <c r="MZJ2" s="353"/>
      <c r="MZK2" s="353"/>
      <c r="MZL2" s="353"/>
      <c r="MZM2" s="353"/>
      <c r="MZN2" s="353"/>
      <c r="MZO2" s="353"/>
      <c r="MZP2" s="353"/>
      <c r="MZQ2" s="353"/>
      <c r="MZR2" s="353"/>
      <c r="MZS2" s="353"/>
      <c r="MZT2" s="353"/>
      <c r="MZU2" s="353"/>
      <c r="MZV2" s="353"/>
      <c r="MZW2" s="353"/>
      <c r="MZX2" s="353"/>
      <c r="MZY2" s="353"/>
      <c r="MZZ2" s="353"/>
      <c r="NAA2" s="353"/>
      <c r="NAB2" s="353"/>
      <c r="NAC2" s="353"/>
      <c r="NAD2" s="353"/>
      <c r="NAE2" s="353"/>
      <c r="NAF2" s="353"/>
      <c r="NAG2" s="353"/>
      <c r="NAH2" s="353"/>
      <c r="NAI2" s="353"/>
      <c r="NAJ2" s="353"/>
      <c r="NAK2" s="353"/>
      <c r="NAL2" s="353"/>
      <c r="NAM2" s="353"/>
      <c r="NAN2" s="353"/>
      <c r="NAO2" s="353"/>
      <c r="NAP2" s="353"/>
      <c r="NAQ2" s="353"/>
      <c r="NAR2" s="353"/>
      <c r="NAS2" s="353"/>
      <c r="NAT2" s="353"/>
      <c r="NAU2" s="353"/>
      <c r="NAV2" s="353"/>
      <c r="NAW2" s="353"/>
      <c r="NAX2" s="353"/>
      <c r="NAY2" s="353"/>
      <c r="NAZ2" s="353"/>
      <c r="NBA2" s="353"/>
      <c r="NBB2" s="353"/>
      <c r="NBC2" s="353"/>
      <c r="NBD2" s="353"/>
      <c r="NBE2" s="353"/>
      <c r="NBF2" s="353"/>
      <c r="NBG2" s="353"/>
      <c r="NBH2" s="353"/>
      <c r="NBI2" s="353"/>
      <c r="NBJ2" s="353"/>
      <c r="NBK2" s="353"/>
      <c r="NBL2" s="353"/>
      <c r="NBM2" s="353"/>
      <c r="NBN2" s="353"/>
      <c r="NBO2" s="353"/>
      <c r="NBP2" s="353"/>
      <c r="NBQ2" s="353"/>
      <c r="NBR2" s="353"/>
      <c r="NBS2" s="353"/>
      <c r="NBT2" s="353"/>
      <c r="NBU2" s="353"/>
      <c r="NBV2" s="353"/>
      <c r="NBW2" s="353"/>
      <c r="NBX2" s="353"/>
      <c r="NBY2" s="353"/>
      <c r="NBZ2" s="353"/>
      <c r="NCA2" s="353"/>
      <c r="NCB2" s="353"/>
      <c r="NCC2" s="353"/>
      <c r="NCD2" s="353"/>
      <c r="NCE2" s="353"/>
      <c r="NCF2" s="353"/>
      <c r="NCG2" s="353"/>
      <c r="NCH2" s="353"/>
      <c r="NCI2" s="353"/>
      <c r="NCJ2" s="353"/>
      <c r="NCK2" s="353"/>
      <c r="NCL2" s="353"/>
      <c r="NCM2" s="353"/>
      <c r="NCN2" s="353"/>
      <c r="NCO2" s="353"/>
      <c r="NCP2" s="353"/>
      <c r="NCQ2" s="353"/>
      <c r="NCR2" s="353"/>
      <c r="NCS2" s="353"/>
      <c r="NCT2" s="353"/>
      <c r="NCU2" s="353"/>
      <c r="NCV2" s="353"/>
      <c r="NCW2" s="353"/>
      <c r="NCX2" s="353"/>
      <c r="NCY2" s="353"/>
      <c r="NCZ2" s="353"/>
      <c r="NDA2" s="353"/>
      <c r="NDB2" s="353"/>
      <c r="NDC2" s="353"/>
      <c r="NDD2" s="353"/>
      <c r="NDE2" s="353"/>
      <c r="NDF2" s="353"/>
      <c r="NDG2" s="353"/>
      <c r="NDH2" s="353"/>
      <c r="NDI2" s="353"/>
      <c r="NDJ2" s="353"/>
      <c r="NDK2" s="353"/>
      <c r="NDL2" s="353"/>
      <c r="NDM2" s="353"/>
      <c r="NDN2" s="353"/>
      <c r="NDO2" s="353"/>
      <c r="NDP2" s="353"/>
      <c r="NDQ2" s="353"/>
      <c r="NDR2" s="353"/>
      <c r="NDS2" s="353"/>
      <c r="NDT2" s="353"/>
      <c r="NDU2" s="353"/>
      <c r="NDV2" s="353"/>
      <c r="NDW2" s="353"/>
      <c r="NDX2" s="353"/>
      <c r="NDY2" s="353"/>
      <c r="NDZ2" s="353"/>
      <c r="NEA2" s="353"/>
      <c r="NEB2" s="353"/>
      <c r="NEC2" s="353"/>
      <c r="NED2" s="353"/>
      <c r="NEE2" s="353"/>
      <c r="NEF2" s="353"/>
      <c r="NEG2" s="353"/>
      <c r="NEH2" s="353"/>
      <c r="NEI2" s="353"/>
      <c r="NEJ2" s="353"/>
      <c r="NEK2" s="353"/>
      <c r="NEL2" s="353"/>
      <c r="NEM2" s="353"/>
      <c r="NEN2" s="353"/>
      <c r="NEO2" s="353"/>
      <c r="NEP2" s="353"/>
      <c r="NEQ2" s="353"/>
      <c r="NER2" s="353"/>
      <c r="NES2" s="353"/>
      <c r="NET2" s="353"/>
      <c r="NEU2" s="353"/>
      <c r="NEV2" s="353"/>
      <c r="NEW2" s="353"/>
      <c r="NEX2" s="353"/>
      <c r="NEY2" s="353"/>
      <c r="NEZ2" s="353"/>
      <c r="NFA2" s="353"/>
      <c r="NFB2" s="353"/>
      <c r="NFC2" s="353"/>
      <c r="NFD2" s="353"/>
      <c r="NFE2" s="353"/>
      <c r="NFF2" s="353"/>
      <c r="NFG2" s="353"/>
      <c r="NFH2" s="353"/>
      <c r="NFI2" s="353"/>
      <c r="NFJ2" s="353"/>
      <c r="NFK2" s="353"/>
      <c r="NFL2" s="353"/>
      <c r="NFM2" s="353"/>
      <c r="NFN2" s="353"/>
      <c r="NFO2" s="353"/>
      <c r="NFP2" s="353"/>
      <c r="NFQ2" s="353"/>
      <c r="NFR2" s="353"/>
      <c r="NFS2" s="353"/>
      <c r="NFT2" s="353"/>
      <c r="NFU2" s="353"/>
      <c r="NFV2" s="353"/>
      <c r="NFW2" s="353"/>
      <c r="NFX2" s="353"/>
      <c r="NFY2" s="353"/>
      <c r="NFZ2" s="353"/>
      <c r="NGA2" s="353"/>
      <c r="NGB2" s="353"/>
      <c r="NGC2" s="353"/>
      <c r="NGD2" s="353"/>
      <c r="NGE2" s="353"/>
      <c r="NGF2" s="353"/>
      <c r="NGG2" s="353"/>
      <c r="NGH2" s="353"/>
      <c r="NGI2" s="353"/>
      <c r="NGJ2" s="353"/>
      <c r="NGK2" s="353"/>
      <c r="NGL2" s="353"/>
      <c r="NGM2" s="353"/>
      <c r="NGN2" s="353"/>
      <c r="NGO2" s="353"/>
      <c r="NGP2" s="353"/>
      <c r="NGQ2" s="353"/>
      <c r="NGR2" s="353"/>
      <c r="NGS2" s="353"/>
      <c r="NGT2" s="353"/>
      <c r="NGU2" s="353"/>
      <c r="NGV2" s="353"/>
      <c r="NGW2" s="353"/>
      <c r="NGX2" s="353"/>
      <c r="NGY2" s="353"/>
      <c r="NGZ2" s="353"/>
      <c r="NHA2" s="353"/>
      <c r="NHB2" s="353"/>
      <c r="NHC2" s="353"/>
      <c r="NHD2" s="353"/>
      <c r="NHE2" s="353"/>
      <c r="NHF2" s="353"/>
      <c r="NHG2" s="353"/>
      <c r="NHH2" s="353"/>
      <c r="NHI2" s="353"/>
      <c r="NHJ2" s="353"/>
      <c r="NHK2" s="353"/>
      <c r="NHL2" s="353"/>
      <c r="NHM2" s="353"/>
      <c r="NHN2" s="353"/>
      <c r="NHO2" s="353"/>
      <c r="NHP2" s="353"/>
      <c r="NHQ2" s="353"/>
      <c r="NHR2" s="353"/>
      <c r="NHS2" s="353"/>
      <c r="NHT2" s="353"/>
      <c r="NHU2" s="353"/>
      <c r="NHV2" s="353"/>
      <c r="NHW2" s="353"/>
      <c r="NHX2" s="353"/>
      <c r="NHY2" s="353"/>
      <c r="NHZ2" s="353"/>
      <c r="NIA2" s="353"/>
      <c r="NIB2" s="353"/>
      <c r="NIC2" s="353"/>
      <c r="NID2" s="353"/>
      <c r="NIE2" s="353"/>
      <c r="NIF2" s="353"/>
      <c r="NIG2" s="353"/>
      <c r="NIH2" s="353"/>
      <c r="NII2" s="353"/>
      <c r="NIJ2" s="353"/>
      <c r="NIK2" s="353"/>
      <c r="NIL2" s="353"/>
      <c r="NIM2" s="353"/>
      <c r="NIN2" s="353"/>
      <c r="NIO2" s="353"/>
      <c r="NIP2" s="353"/>
      <c r="NIQ2" s="353"/>
      <c r="NIR2" s="353"/>
      <c r="NIS2" s="353"/>
      <c r="NIT2" s="353"/>
      <c r="NIU2" s="353"/>
      <c r="NIV2" s="353"/>
      <c r="NIW2" s="353"/>
      <c r="NIX2" s="353"/>
      <c r="NIY2" s="353"/>
      <c r="NIZ2" s="353"/>
      <c r="NJA2" s="353"/>
      <c r="NJB2" s="353"/>
      <c r="NJC2" s="353"/>
      <c r="NJD2" s="353"/>
      <c r="NJE2" s="353"/>
      <c r="NJF2" s="353"/>
      <c r="NJG2" s="353"/>
      <c r="NJH2" s="353"/>
      <c r="NJI2" s="353"/>
      <c r="NJJ2" s="353"/>
      <c r="NJK2" s="353"/>
      <c r="NJL2" s="353"/>
      <c r="NJM2" s="353"/>
      <c r="NJN2" s="353"/>
      <c r="NJO2" s="353"/>
      <c r="NJP2" s="353"/>
      <c r="NJQ2" s="353"/>
      <c r="NJR2" s="353"/>
      <c r="NJS2" s="353"/>
      <c r="NJT2" s="353"/>
      <c r="NJU2" s="353"/>
      <c r="NJV2" s="353"/>
      <c r="NJW2" s="353"/>
      <c r="NJX2" s="353"/>
      <c r="NJY2" s="353"/>
      <c r="NJZ2" s="353"/>
      <c r="NKA2" s="353"/>
      <c r="NKB2" s="353"/>
      <c r="NKC2" s="353"/>
      <c r="NKD2" s="353"/>
      <c r="NKE2" s="353"/>
      <c r="NKF2" s="353"/>
      <c r="NKG2" s="353"/>
      <c r="NKH2" s="353"/>
      <c r="NKI2" s="353"/>
      <c r="NKJ2" s="353"/>
      <c r="NKK2" s="353"/>
      <c r="NKL2" s="353"/>
      <c r="NKM2" s="353"/>
      <c r="NKN2" s="353"/>
      <c r="NKO2" s="353"/>
      <c r="NKP2" s="353"/>
      <c r="NKQ2" s="353"/>
      <c r="NKR2" s="353"/>
      <c r="NKS2" s="353"/>
      <c r="NKT2" s="353"/>
      <c r="NKU2" s="353"/>
      <c r="NKV2" s="353"/>
      <c r="NKW2" s="353"/>
      <c r="NKX2" s="353"/>
      <c r="NKY2" s="353"/>
      <c r="NKZ2" s="353"/>
      <c r="NLA2" s="353"/>
      <c r="NLB2" s="353"/>
      <c r="NLC2" s="353"/>
      <c r="NLD2" s="353"/>
      <c r="NLE2" s="353"/>
      <c r="NLF2" s="353"/>
      <c r="NLG2" s="353"/>
      <c r="NLH2" s="353"/>
      <c r="NLI2" s="353"/>
      <c r="NLJ2" s="353"/>
      <c r="NLK2" s="353"/>
      <c r="NLL2" s="353"/>
      <c r="NLM2" s="353"/>
      <c r="NLN2" s="353"/>
      <c r="NLO2" s="353"/>
      <c r="NLP2" s="353"/>
      <c r="NLQ2" s="353"/>
      <c r="NLR2" s="353"/>
      <c r="NLS2" s="353"/>
      <c r="NLT2" s="353"/>
      <c r="NLU2" s="353"/>
      <c r="NLV2" s="353"/>
      <c r="NLW2" s="353"/>
      <c r="NLX2" s="353"/>
      <c r="NLY2" s="353"/>
      <c r="NLZ2" s="353"/>
      <c r="NMA2" s="353"/>
      <c r="NMB2" s="353"/>
      <c r="NMC2" s="353"/>
      <c r="NMD2" s="353"/>
      <c r="NME2" s="353"/>
      <c r="NMF2" s="353"/>
      <c r="NMG2" s="353"/>
      <c r="NMH2" s="353"/>
      <c r="NMI2" s="353"/>
      <c r="NMJ2" s="353"/>
      <c r="NMK2" s="353"/>
      <c r="NML2" s="353"/>
      <c r="NMM2" s="353"/>
      <c r="NMN2" s="353"/>
      <c r="NMO2" s="353"/>
      <c r="NMP2" s="353"/>
      <c r="NMQ2" s="353"/>
      <c r="NMR2" s="353"/>
      <c r="NMS2" s="353"/>
      <c r="NMT2" s="353"/>
      <c r="NMU2" s="353"/>
      <c r="NMV2" s="353"/>
      <c r="NMW2" s="353"/>
      <c r="NMX2" s="353"/>
      <c r="NMY2" s="353"/>
      <c r="NMZ2" s="353"/>
      <c r="NNA2" s="353"/>
      <c r="NNB2" s="353"/>
      <c r="NNC2" s="353"/>
      <c r="NND2" s="353"/>
      <c r="NNE2" s="353"/>
      <c r="NNF2" s="353"/>
      <c r="NNG2" s="353"/>
      <c r="NNH2" s="353"/>
      <c r="NNI2" s="353"/>
      <c r="NNJ2" s="353"/>
      <c r="NNK2" s="353"/>
      <c r="NNL2" s="353"/>
      <c r="NNM2" s="353"/>
      <c r="NNN2" s="353"/>
      <c r="NNO2" s="353"/>
      <c r="NNP2" s="353"/>
      <c r="NNQ2" s="353"/>
      <c r="NNR2" s="353"/>
      <c r="NNS2" s="353"/>
      <c r="NNT2" s="353"/>
      <c r="NNU2" s="353"/>
      <c r="NNV2" s="353"/>
      <c r="NNW2" s="353"/>
      <c r="NNX2" s="353"/>
      <c r="NNY2" s="353"/>
      <c r="NNZ2" s="353"/>
      <c r="NOA2" s="353"/>
      <c r="NOB2" s="353"/>
      <c r="NOC2" s="353"/>
      <c r="NOD2" s="353"/>
      <c r="NOE2" s="353"/>
      <c r="NOF2" s="353"/>
      <c r="NOG2" s="353"/>
      <c r="NOH2" s="353"/>
      <c r="NOI2" s="353"/>
      <c r="NOJ2" s="353"/>
      <c r="NOK2" s="353"/>
      <c r="NOL2" s="353"/>
      <c r="NOM2" s="353"/>
      <c r="NON2" s="353"/>
      <c r="NOO2" s="353"/>
      <c r="NOP2" s="353"/>
      <c r="NOQ2" s="353"/>
      <c r="NOR2" s="353"/>
      <c r="NOS2" s="353"/>
      <c r="NOT2" s="353"/>
      <c r="NOU2" s="353"/>
      <c r="NOV2" s="353"/>
      <c r="NOW2" s="353"/>
      <c r="NOX2" s="353"/>
      <c r="NOY2" s="353"/>
      <c r="NOZ2" s="353"/>
      <c r="NPA2" s="353"/>
      <c r="NPB2" s="353"/>
      <c r="NPC2" s="353"/>
      <c r="NPD2" s="353"/>
      <c r="NPE2" s="353"/>
      <c r="NPF2" s="353"/>
      <c r="NPG2" s="353"/>
      <c r="NPH2" s="353"/>
      <c r="NPI2" s="353"/>
      <c r="NPJ2" s="353"/>
      <c r="NPK2" s="353"/>
      <c r="NPL2" s="353"/>
      <c r="NPM2" s="353"/>
      <c r="NPN2" s="353"/>
      <c r="NPO2" s="353"/>
      <c r="NPP2" s="353"/>
      <c r="NPQ2" s="353"/>
      <c r="NPR2" s="353"/>
      <c r="NPS2" s="353"/>
      <c r="NPT2" s="353"/>
      <c r="NPU2" s="353"/>
      <c r="NPV2" s="353"/>
      <c r="NPW2" s="353"/>
      <c r="NPX2" s="353"/>
      <c r="NPY2" s="353"/>
      <c r="NPZ2" s="353"/>
      <c r="NQA2" s="353"/>
      <c r="NQB2" s="353"/>
      <c r="NQC2" s="353"/>
      <c r="NQD2" s="353"/>
      <c r="NQE2" s="353"/>
      <c r="NQF2" s="353"/>
      <c r="NQG2" s="353"/>
      <c r="NQH2" s="353"/>
      <c r="NQI2" s="353"/>
      <c r="NQJ2" s="353"/>
      <c r="NQK2" s="353"/>
      <c r="NQL2" s="353"/>
      <c r="NQM2" s="353"/>
      <c r="NQN2" s="353"/>
      <c r="NQO2" s="353"/>
      <c r="NQP2" s="353"/>
      <c r="NQQ2" s="353"/>
      <c r="NQR2" s="353"/>
      <c r="NQS2" s="353"/>
      <c r="NQT2" s="353"/>
      <c r="NQU2" s="353"/>
      <c r="NQV2" s="353"/>
      <c r="NQW2" s="353"/>
      <c r="NQX2" s="353"/>
      <c r="NQY2" s="353"/>
      <c r="NQZ2" s="353"/>
      <c r="NRA2" s="353"/>
      <c r="NRB2" s="353"/>
      <c r="NRC2" s="353"/>
      <c r="NRD2" s="353"/>
      <c r="NRE2" s="353"/>
      <c r="NRF2" s="353"/>
      <c r="NRG2" s="353"/>
      <c r="NRH2" s="353"/>
      <c r="NRI2" s="353"/>
      <c r="NRJ2" s="353"/>
      <c r="NRK2" s="353"/>
      <c r="NRL2" s="353"/>
      <c r="NRM2" s="353"/>
      <c r="NRN2" s="353"/>
      <c r="NRO2" s="353"/>
      <c r="NRP2" s="353"/>
      <c r="NRQ2" s="353"/>
      <c r="NRR2" s="353"/>
      <c r="NRS2" s="353"/>
      <c r="NRT2" s="353"/>
      <c r="NRU2" s="353"/>
      <c r="NRV2" s="353"/>
      <c r="NRW2" s="353"/>
      <c r="NRX2" s="353"/>
      <c r="NRY2" s="353"/>
      <c r="NRZ2" s="353"/>
      <c r="NSA2" s="353"/>
      <c r="NSB2" s="353"/>
      <c r="NSC2" s="353"/>
      <c r="NSD2" s="353"/>
      <c r="NSE2" s="353"/>
      <c r="NSF2" s="353"/>
      <c r="NSG2" s="353"/>
      <c r="NSH2" s="353"/>
      <c r="NSI2" s="353"/>
      <c r="NSJ2" s="353"/>
      <c r="NSK2" s="353"/>
      <c r="NSL2" s="353"/>
      <c r="NSM2" s="353"/>
      <c r="NSN2" s="353"/>
      <c r="NSO2" s="353"/>
      <c r="NSP2" s="353"/>
      <c r="NSQ2" s="353"/>
      <c r="NSR2" s="353"/>
      <c r="NSS2" s="353"/>
      <c r="NST2" s="353"/>
      <c r="NSU2" s="353"/>
      <c r="NSV2" s="353"/>
      <c r="NSW2" s="353"/>
      <c r="NSX2" s="353"/>
      <c r="NSY2" s="353"/>
      <c r="NSZ2" s="353"/>
      <c r="NTA2" s="353"/>
      <c r="NTB2" s="353"/>
      <c r="NTC2" s="353"/>
      <c r="NTD2" s="353"/>
      <c r="NTE2" s="353"/>
      <c r="NTF2" s="353"/>
      <c r="NTG2" s="353"/>
      <c r="NTH2" s="353"/>
      <c r="NTI2" s="353"/>
      <c r="NTJ2" s="353"/>
      <c r="NTK2" s="353"/>
      <c r="NTL2" s="353"/>
      <c r="NTM2" s="353"/>
      <c r="NTN2" s="353"/>
      <c r="NTO2" s="353"/>
      <c r="NTP2" s="353"/>
      <c r="NTQ2" s="353"/>
      <c r="NTR2" s="353"/>
      <c r="NTS2" s="353"/>
      <c r="NTT2" s="353"/>
      <c r="NTU2" s="353"/>
      <c r="NTV2" s="353"/>
      <c r="NTW2" s="353"/>
      <c r="NTX2" s="353"/>
      <c r="NTY2" s="353"/>
      <c r="NTZ2" s="353"/>
      <c r="NUA2" s="353"/>
      <c r="NUB2" s="353"/>
      <c r="NUC2" s="353"/>
      <c r="NUD2" s="353"/>
      <c r="NUE2" s="353"/>
      <c r="NUF2" s="353"/>
      <c r="NUG2" s="353"/>
      <c r="NUH2" s="353"/>
      <c r="NUI2" s="353"/>
      <c r="NUJ2" s="353"/>
      <c r="NUK2" s="353"/>
      <c r="NUL2" s="353"/>
      <c r="NUM2" s="353"/>
      <c r="NUN2" s="353"/>
      <c r="NUO2" s="353"/>
      <c r="NUP2" s="353"/>
      <c r="NUQ2" s="353"/>
      <c r="NUR2" s="353"/>
      <c r="NUS2" s="353"/>
      <c r="NUT2" s="353"/>
      <c r="NUU2" s="353"/>
      <c r="NUV2" s="353"/>
      <c r="NUW2" s="353"/>
      <c r="NUX2" s="353"/>
      <c r="NUY2" s="353"/>
      <c r="NUZ2" s="353"/>
      <c r="NVA2" s="353"/>
      <c r="NVB2" s="353"/>
      <c r="NVC2" s="353"/>
      <c r="NVD2" s="353"/>
      <c r="NVE2" s="353"/>
      <c r="NVF2" s="353"/>
      <c r="NVG2" s="353"/>
      <c r="NVH2" s="353"/>
      <c r="NVI2" s="353"/>
      <c r="NVJ2" s="353"/>
      <c r="NVK2" s="353"/>
      <c r="NVL2" s="353"/>
      <c r="NVM2" s="353"/>
      <c r="NVN2" s="353"/>
      <c r="NVO2" s="353"/>
      <c r="NVP2" s="353"/>
      <c r="NVQ2" s="353"/>
      <c r="NVR2" s="353"/>
      <c r="NVS2" s="353"/>
      <c r="NVT2" s="353"/>
      <c r="NVU2" s="353"/>
      <c r="NVV2" s="353"/>
      <c r="NVW2" s="353"/>
      <c r="NVX2" s="353"/>
      <c r="NVY2" s="353"/>
      <c r="NVZ2" s="353"/>
      <c r="NWA2" s="353"/>
      <c r="NWB2" s="353"/>
      <c r="NWC2" s="353"/>
      <c r="NWD2" s="353"/>
      <c r="NWE2" s="353"/>
      <c r="NWF2" s="353"/>
      <c r="NWG2" s="353"/>
      <c r="NWH2" s="353"/>
      <c r="NWI2" s="353"/>
      <c r="NWJ2" s="353"/>
      <c r="NWK2" s="353"/>
      <c r="NWL2" s="353"/>
      <c r="NWM2" s="353"/>
      <c r="NWN2" s="353"/>
      <c r="NWO2" s="353"/>
      <c r="NWP2" s="353"/>
      <c r="NWQ2" s="353"/>
      <c r="NWR2" s="353"/>
      <c r="NWS2" s="353"/>
      <c r="NWT2" s="353"/>
      <c r="NWU2" s="353"/>
      <c r="NWV2" s="353"/>
      <c r="NWW2" s="353"/>
      <c r="NWX2" s="353"/>
      <c r="NWY2" s="353"/>
      <c r="NWZ2" s="353"/>
      <c r="NXA2" s="353"/>
      <c r="NXB2" s="353"/>
      <c r="NXC2" s="353"/>
      <c r="NXD2" s="353"/>
      <c r="NXE2" s="353"/>
      <c r="NXF2" s="353"/>
      <c r="NXG2" s="353"/>
      <c r="NXH2" s="353"/>
      <c r="NXI2" s="353"/>
      <c r="NXJ2" s="353"/>
      <c r="NXK2" s="353"/>
      <c r="NXL2" s="353"/>
      <c r="NXM2" s="353"/>
      <c r="NXN2" s="353"/>
      <c r="NXO2" s="353"/>
      <c r="NXP2" s="353"/>
      <c r="NXQ2" s="353"/>
      <c r="NXR2" s="353"/>
      <c r="NXS2" s="353"/>
      <c r="NXT2" s="353"/>
      <c r="NXU2" s="353"/>
      <c r="NXV2" s="353"/>
      <c r="NXW2" s="353"/>
      <c r="NXX2" s="353"/>
      <c r="NXY2" s="353"/>
      <c r="NXZ2" s="353"/>
      <c r="NYA2" s="353"/>
      <c r="NYB2" s="353"/>
      <c r="NYC2" s="353"/>
      <c r="NYD2" s="353"/>
      <c r="NYE2" s="353"/>
      <c r="NYF2" s="353"/>
      <c r="NYG2" s="353"/>
      <c r="NYH2" s="353"/>
      <c r="NYI2" s="353"/>
      <c r="NYJ2" s="353"/>
      <c r="NYK2" s="353"/>
      <c r="NYL2" s="353"/>
      <c r="NYM2" s="353"/>
      <c r="NYN2" s="353"/>
      <c r="NYO2" s="353"/>
      <c r="NYP2" s="353"/>
      <c r="NYQ2" s="353"/>
      <c r="NYR2" s="353"/>
      <c r="NYS2" s="353"/>
      <c r="NYT2" s="353"/>
      <c r="NYU2" s="353"/>
      <c r="NYV2" s="353"/>
      <c r="NYW2" s="353"/>
      <c r="NYX2" s="353"/>
      <c r="NYY2" s="353"/>
      <c r="NYZ2" s="353"/>
      <c r="NZA2" s="353"/>
      <c r="NZB2" s="353"/>
      <c r="NZC2" s="353"/>
      <c r="NZD2" s="353"/>
      <c r="NZE2" s="353"/>
      <c r="NZF2" s="353"/>
      <c r="NZG2" s="353"/>
      <c r="NZH2" s="353"/>
      <c r="NZI2" s="353"/>
      <c r="NZJ2" s="353"/>
      <c r="NZK2" s="353"/>
      <c r="NZL2" s="353"/>
      <c r="NZM2" s="353"/>
      <c r="NZN2" s="353"/>
      <c r="NZO2" s="353"/>
      <c r="NZP2" s="353"/>
      <c r="NZQ2" s="353"/>
      <c r="NZR2" s="353"/>
      <c r="NZS2" s="353"/>
      <c r="NZT2" s="353"/>
      <c r="NZU2" s="353"/>
      <c r="NZV2" s="353"/>
      <c r="NZW2" s="353"/>
      <c r="NZX2" s="353"/>
      <c r="NZY2" s="353"/>
      <c r="NZZ2" s="353"/>
      <c r="OAA2" s="353"/>
      <c r="OAB2" s="353"/>
      <c r="OAC2" s="353"/>
      <c r="OAD2" s="353"/>
      <c r="OAE2" s="353"/>
      <c r="OAF2" s="353"/>
      <c r="OAG2" s="353"/>
      <c r="OAH2" s="353"/>
      <c r="OAI2" s="353"/>
      <c r="OAJ2" s="353"/>
      <c r="OAK2" s="353"/>
      <c r="OAL2" s="353"/>
      <c r="OAM2" s="353"/>
      <c r="OAN2" s="353"/>
      <c r="OAO2" s="353"/>
      <c r="OAP2" s="353"/>
      <c r="OAQ2" s="353"/>
      <c r="OAR2" s="353"/>
      <c r="OAS2" s="353"/>
      <c r="OAT2" s="353"/>
      <c r="OAU2" s="353"/>
      <c r="OAV2" s="353"/>
      <c r="OAW2" s="353"/>
      <c r="OAX2" s="353"/>
      <c r="OAY2" s="353"/>
      <c r="OAZ2" s="353"/>
      <c r="OBA2" s="353"/>
      <c r="OBB2" s="353"/>
      <c r="OBC2" s="353"/>
      <c r="OBD2" s="353"/>
      <c r="OBE2" s="353"/>
      <c r="OBF2" s="353"/>
      <c r="OBG2" s="353"/>
      <c r="OBH2" s="353"/>
      <c r="OBI2" s="353"/>
      <c r="OBJ2" s="353"/>
      <c r="OBK2" s="353"/>
      <c r="OBL2" s="353"/>
      <c r="OBM2" s="353"/>
      <c r="OBN2" s="353"/>
      <c r="OBO2" s="353"/>
      <c r="OBP2" s="353"/>
      <c r="OBQ2" s="353"/>
      <c r="OBR2" s="353"/>
      <c r="OBS2" s="353"/>
      <c r="OBT2" s="353"/>
      <c r="OBU2" s="353"/>
      <c r="OBV2" s="353"/>
      <c r="OBW2" s="353"/>
      <c r="OBX2" s="353"/>
      <c r="OBY2" s="353"/>
      <c r="OBZ2" s="353"/>
      <c r="OCA2" s="353"/>
      <c r="OCB2" s="353"/>
      <c r="OCC2" s="353"/>
      <c r="OCD2" s="353"/>
      <c r="OCE2" s="353"/>
      <c r="OCF2" s="353"/>
      <c r="OCG2" s="353"/>
      <c r="OCH2" s="353"/>
      <c r="OCI2" s="353"/>
      <c r="OCJ2" s="353"/>
      <c r="OCK2" s="353"/>
      <c r="OCL2" s="353"/>
      <c r="OCM2" s="353"/>
      <c r="OCN2" s="353"/>
      <c r="OCO2" s="353"/>
      <c r="OCP2" s="353"/>
      <c r="OCQ2" s="353"/>
      <c r="OCR2" s="353"/>
      <c r="OCS2" s="353"/>
      <c r="OCT2" s="353"/>
      <c r="OCU2" s="353"/>
      <c r="OCV2" s="353"/>
      <c r="OCW2" s="353"/>
      <c r="OCX2" s="353"/>
      <c r="OCY2" s="353"/>
      <c r="OCZ2" s="353"/>
      <c r="ODA2" s="353"/>
      <c r="ODB2" s="353"/>
      <c r="ODC2" s="353"/>
      <c r="ODD2" s="353"/>
      <c r="ODE2" s="353"/>
      <c r="ODF2" s="353"/>
      <c r="ODG2" s="353"/>
      <c r="ODH2" s="353"/>
      <c r="ODI2" s="353"/>
      <c r="ODJ2" s="353"/>
      <c r="ODK2" s="353"/>
      <c r="ODL2" s="353"/>
      <c r="ODM2" s="353"/>
      <c r="ODN2" s="353"/>
      <c r="ODO2" s="353"/>
      <c r="ODP2" s="353"/>
      <c r="ODQ2" s="353"/>
      <c r="ODR2" s="353"/>
      <c r="ODS2" s="353"/>
      <c r="ODT2" s="353"/>
      <c r="ODU2" s="353"/>
      <c r="ODV2" s="353"/>
      <c r="ODW2" s="353"/>
      <c r="ODX2" s="353"/>
      <c r="ODY2" s="353"/>
      <c r="ODZ2" s="353"/>
      <c r="OEA2" s="353"/>
      <c r="OEB2" s="353"/>
      <c r="OEC2" s="353"/>
      <c r="OED2" s="353"/>
      <c r="OEE2" s="353"/>
      <c r="OEF2" s="353"/>
      <c r="OEG2" s="353"/>
      <c r="OEH2" s="353"/>
      <c r="OEI2" s="353"/>
      <c r="OEJ2" s="353"/>
      <c r="OEK2" s="353"/>
      <c r="OEL2" s="353"/>
      <c r="OEM2" s="353"/>
      <c r="OEN2" s="353"/>
      <c r="OEO2" s="353"/>
      <c r="OEP2" s="353"/>
      <c r="OEQ2" s="353"/>
      <c r="OER2" s="353"/>
      <c r="OES2" s="353"/>
      <c r="OET2" s="353"/>
      <c r="OEU2" s="353"/>
      <c r="OEV2" s="353"/>
      <c r="OEW2" s="353"/>
      <c r="OEX2" s="353"/>
      <c r="OEY2" s="353"/>
      <c r="OEZ2" s="353"/>
      <c r="OFA2" s="353"/>
      <c r="OFB2" s="353"/>
      <c r="OFC2" s="353"/>
      <c r="OFD2" s="353"/>
      <c r="OFE2" s="353"/>
      <c r="OFF2" s="353"/>
      <c r="OFG2" s="353"/>
      <c r="OFH2" s="353"/>
      <c r="OFI2" s="353"/>
      <c r="OFJ2" s="353"/>
      <c r="OFK2" s="353"/>
      <c r="OFL2" s="353"/>
      <c r="OFM2" s="353"/>
      <c r="OFN2" s="353"/>
      <c r="OFO2" s="353"/>
      <c r="OFP2" s="353"/>
      <c r="OFQ2" s="353"/>
      <c r="OFR2" s="353"/>
      <c r="OFS2" s="353"/>
      <c r="OFT2" s="353"/>
      <c r="OFU2" s="353"/>
      <c r="OFV2" s="353"/>
      <c r="OFW2" s="353"/>
      <c r="OFX2" s="353"/>
      <c r="OFY2" s="353"/>
      <c r="OFZ2" s="353"/>
      <c r="OGA2" s="353"/>
      <c r="OGB2" s="353"/>
      <c r="OGC2" s="353"/>
      <c r="OGD2" s="353"/>
      <c r="OGE2" s="353"/>
      <c r="OGF2" s="353"/>
      <c r="OGG2" s="353"/>
      <c r="OGH2" s="353"/>
      <c r="OGI2" s="353"/>
      <c r="OGJ2" s="353"/>
      <c r="OGK2" s="353"/>
      <c r="OGL2" s="353"/>
      <c r="OGM2" s="353"/>
      <c r="OGN2" s="353"/>
      <c r="OGO2" s="353"/>
      <c r="OGP2" s="353"/>
      <c r="OGQ2" s="353"/>
      <c r="OGR2" s="353"/>
      <c r="OGS2" s="353"/>
      <c r="OGT2" s="353"/>
      <c r="OGU2" s="353"/>
      <c r="OGV2" s="353"/>
      <c r="OGW2" s="353"/>
      <c r="OGX2" s="353"/>
      <c r="OGY2" s="353"/>
      <c r="OGZ2" s="353"/>
      <c r="OHA2" s="353"/>
      <c r="OHB2" s="353"/>
      <c r="OHC2" s="353"/>
      <c r="OHD2" s="353"/>
      <c r="OHE2" s="353"/>
      <c r="OHF2" s="353"/>
      <c r="OHG2" s="353"/>
      <c r="OHH2" s="353"/>
      <c r="OHI2" s="353"/>
      <c r="OHJ2" s="353"/>
      <c r="OHK2" s="353"/>
      <c r="OHL2" s="353"/>
      <c r="OHM2" s="353"/>
      <c r="OHN2" s="353"/>
      <c r="OHO2" s="353"/>
      <c r="OHP2" s="353"/>
      <c r="OHQ2" s="353"/>
      <c r="OHR2" s="353"/>
      <c r="OHS2" s="353"/>
      <c r="OHT2" s="353"/>
      <c r="OHU2" s="353"/>
      <c r="OHV2" s="353"/>
      <c r="OHW2" s="353"/>
      <c r="OHX2" s="353"/>
      <c r="OHY2" s="353"/>
      <c r="OHZ2" s="353"/>
      <c r="OIA2" s="353"/>
      <c r="OIB2" s="353"/>
      <c r="OIC2" s="353"/>
      <c r="OID2" s="353"/>
      <c r="OIE2" s="353"/>
      <c r="OIF2" s="353"/>
      <c r="OIG2" s="353"/>
      <c r="OIH2" s="353"/>
      <c r="OII2" s="353"/>
      <c r="OIJ2" s="353"/>
      <c r="OIK2" s="353"/>
      <c r="OIL2" s="353"/>
      <c r="OIM2" s="353"/>
      <c r="OIN2" s="353"/>
      <c r="OIO2" s="353"/>
      <c r="OIP2" s="353"/>
      <c r="OIQ2" s="353"/>
      <c r="OIR2" s="353"/>
      <c r="OIS2" s="353"/>
      <c r="OIT2" s="353"/>
      <c r="OIU2" s="353"/>
      <c r="OIV2" s="353"/>
      <c r="OIW2" s="353"/>
      <c r="OIX2" s="353"/>
      <c r="OIY2" s="353"/>
      <c r="OIZ2" s="353"/>
      <c r="OJA2" s="353"/>
      <c r="OJB2" s="353"/>
      <c r="OJC2" s="353"/>
      <c r="OJD2" s="353"/>
      <c r="OJE2" s="353"/>
      <c r="OJF2" s="353"/>
      <c r="OJG2" s="353"/>
      <c r="OJH2" s="353"/>
      <c r="OJI2" s="353"/>
      <c r="OJJ2" s="353"/>
      <c r="OJK2" s="353"/>
      <c r="OJL2" s="353"/>
      <c r="OJM2" s="353"/>
      <c r="OJN2" s="353"/>
      <c r="OJO2" s="353"/>
      <c r="OJP2" s="353"/>
      <c r="OJQ2" s="353"/>
      <c r="OJR2" s="353"/>
      <c r="OJS2" s="353"/>
      <c r="OJT2" s="353"/>
      <c r="OJU2" s="353"/>
      <c r="OJV2" s="353"/>
      <c r="OJW2" s="353"/>
      <c r="OJX2" s="353"/>
      <c r="OJY2" s="353"/>
      <c r="OJZ2" s="353"/>
      <c r="OKA2" s="353"/>
      <c r="OKB2" s="353"/>
      <c r="OKC2" s="353"/>
      <c r="OKD2" s="353"/>
      <c r="OKE2" s="353"/>
      <c r="OKF2" s="353"/>
      <c r="OKG2" s="353"/>
      <c r="OKH2" s="353"/>
      <c r="OKI2" s="353"/>
      <c r="OKJ2" s="353"/>
      <c r="OKK2" s="353"/>
      <c r="OKL2" s="353"/>
      <c r="OKM2" s="353"/>
      <c r="OKN2" s="353"/>
      <c r="OKO2" s="353"/>
      <c r="OKP2" s="353"/>
      <c r="OKQ2" s="353"/>
      <c r="OKR2" s="353"/>
      <c r="OKS2" s="353"/>
      <c r="OKT2" s="353"/>
      <c r="OKU2" s="353"/>
      <c r="OKV2" s="353"/>
      <c r="OKW2" s="353"/>
      <c r="OKX2" s="353"/>
      <c r="OKY2" s="353"/>
      <c r="OKZ2" s="353"/>
      <c r="OLA2" s="353"/>
      <c r="OLB2" s="353"/>
      <c r="OLC2" s="353"/>
      <c r="OLD2" s="353"/>
      <c r="OLE2" s="353"/>
      <c r="OLF2" s="353"/>
      <c r="OLG2" s="353"/>
      <c r="OLH2" s="353"/>
      <c r="OLI2" s="353"/>
      <c r="OLJ2" s="353"/>
      <c r="OLK2" s="353"/>
      <c r="OLL2" s="353"/>
      <c r="OLM2" s="353"/>
      <c r="OLN2" s="353"/>
      <c r="OLO2" s="353"/>
      <c r="OLP2" s="353"/>
      <c r="OLQ2" s="353"/>
      <c r="OLR2" s="353"/>
      <c r="OLS2" s="353"/>
      <c r="OLT2" s="353"/>
      <c r="OLU2" s="353"/>
      <c r="OLV2" s="353"/>
      <c r="OLW2" s="353"/>
      <c r="OLX2" s="353"/>
      <c r="OLY2" s="353"/>
      <c r="OLZ2" s="353"/>
      <c r="OMA2" s="353"/>
      <c r="OMB2" s="353"/>
      <c r="OMC2" s="353"/>
      <c r="OMD2" s="353"/>
      <c r="OME2" s="353"/>
      <c r="OMF2" s="353"/>
      <c r="OMG2" s="353"/>
      <c r="OMH2" s="353"/>
      <c r="OMI2" s="353"/>
      <c r="OMJ2" s="353"/>
      <c r="OMK2" s="353"/>
      <c r="OML2" s="353"/>
      <c r="OMM2" s="353"/>
      <c r="OMN2" s="353"/>
      <c r="OMO2" s="353"/>
      <c r="OMP2" s="353"/>
      <c r="OMQ2" s="353"/>
      <c r="OMR2" s="353"/>
      <c r="OMS2" s="353"/>
      <c r="OMT2" s="353"/>
      <c r="OMU2" s="353"/>
      <c r="OMV2" s="353"/>
      <c r="OMW2" s="353"/>
      <c r="OMX2" s="353"/>
      <c r="OMY2" s="353"/>
      <c r="OMZ2" s="353"/>
      <c r="ONA2" s="353"/>
      <c r="ONB2" s="353"/>
      <c r="ONC2" s="353"/>
      <c r="OND2" s="353"/>
      <c r="ONE2" s="353"/>
      <c r="ONF2" s="353"/>
      <c r="ONG2" s="353"/>
      <c r="ONH2" s="353"/>
      <c r="ONI2" s="353"/>
      <c r="ONJ2" s="353"/>
      <c r="ONK2" s="353"/>
      <c r="ONL2" s="353"/>
      <c r="ONM2" s="353"/>
      <c r="ONN2" s="353"/>
      <c r="ONO2" s="353"/>
      <c r="ONP2" s="353"/>
      <c r="ONQ2" s="353"/>
      <c r="ONR2" s="353"/>
      <c r="ONS2" s="353"/>
      <c r="ONT2" s="353"/>
      <c r="ONU2" s="353"/>
      <c r="ONV2" s="353"/>
      <c r="ONW2" s="353"/>
      <c r="ONX2" s="353"/>
      <c r="ONY2" s="353"/>
      <c r="ONZ2" s="353"/>
      <c r="OOA2" s="353"/>
      <c r="OOB2" s="353"/>
      <c r="OOC2" s="353"/>
      <c r="OOD2" s="353"/>
      <c r="OOE2" s="353"/>
      <c r="OOF2" s="353"/>
      <c r="OOG2" s="353"/>
      <c r="OOH2" s="353"/>
      <c r="OOI2" s="353"/>
      <c r="OOJ2" s="353"/>
      <c r="OOK2" s="353"/>
      <c r="OOL2" s="353"/>
      <c r="OOM2" s="353"/>
      <c r="OON2" s="353"/>
      <c r="OOO2" s="353"/>
      <c r="OOP2" s="353"/>
      <c r="OOQ2" s="353"/>
      <c r="OOR2" s="353"/>
      <c r="OOS2" s="353"/>
      <c r="OOT2" s="353"/>
      <c r="OOU2" s="353"/>
      <c r="OOV2" s="353"/>
      <c r="OOW2" s="353"/>
      <c r="OOX2" s="353"/>
      <c r="OOY2" s="353"/>
      <c r="OOZ2" s="353"/>
      <c r="OPA2" s="353"/>
      <c r="OPB2" s="353"/>
      <c r="OPC2" s="353"/>
      <c r="OPD2" s="353"/>
      <c r="OPE2" s="353"/>
      <c r="OPF2" s="353"/>
      <c r="OPG2" s="353"/>
      <c r="OPH2" s="353"/>
      <c r="OPI2" s="353"/>
      <c r="OPJ2" s="353"/>
      <c r="OPK2" s="353"/>
      <c r="OPL2" s="353"/>
      <c r="OPM2" s="353"/>
      <c r="OPN2" s="353"/>
      <c r="OPO2" s="353"/>
      <c r="OPP2" s="353"/>
      <c r="OPQ2" s="353"/>
      <c r="OPR2" s="353"/>
      <c r="OPS2" s="353"/>
      <c r="OPT2" s="353"/>
      <c r="OPU2" s="353"/>
      <c r="OPV2" s="353"/>
      <c r="OPW2" s="353"/>
      <c r="OPX2" s="353"/>
      <c r="OPY2" s="353"/>
      <c r="OPZ2" s="353"/>
      <c r="OQA2" s="353"/>
      <c r="OQB2" s="353"/>
      <c r="OQC2" s="353"/>
      <c r="OQD2" s="353"/>
      <c r="OQE2" s="353"/>
      <c r="OQF2" s="353"/>
      <c r="OQG2" s="353"/>
      <c r="OQH2" s="353"/>
      <c r="OQI2" s="353"/>
      <c r="OQJ2" s="353"/>
      <c r="OQK2" s="353"/>
      <c r="OQL2" s="353"/>
      <c r="OQM2" s="353"/>
      <c r="OQN2" s="353"/>
      <c r="OQO2" s="353"/>
      <c r="OQP2" s="353"/>
      <c r="OQQ2" s="353"/>
      <c r="OQR2" s="353"/>
      <c r="OQS2" s="353"/>
      <c r="OQT2" s="353"/>
      <c r="OQU2" s="353"/>
      <c r="OQV2" s="353"/>
      <c r="OQW2" s="353"/>
      <c r="OQX2" s="353"/>
      <c r="OQY2" s="353"/>
      <c r="OQZ2" s="353"/>
      <c r="ORA2" s="353"/>
      <c r="ORB2" s="353"/>
      <c r="ORC2" s="353"/>
      <c r="ORD2" s="353"/>
      <c r="ORE2" s="353"/>
      <c r="ORF2" s="353"/>
      <c r="ORG2" s="353"/>
      <c r="ORH2" s="353"/>
      <c r="ORI2" s="353"/>
      <c r="ORJ2" s="353"/>
      <c r="ORK2" s="353"/>
      <c r="ORL2" s="353"/>
      <c r="ORM2" s="353"/>
      <c r="ORN2" s="353"/>
      <c r="ORO2" s="353"/>
      <c r="ORP2" s="353"/>
      <c r="ORQ2" s="353"/>
      <c r="ORR2" s="353"/>
      <c r="ORS2" s="353"/>
      <c r="ORT2" s="353"/>
      <c r="ORU2" s="353"/>
      <c r="ORV2" s="353"/>
      <c r="ORW2" s="353"/>
      <c r="ORX2" s="353"/>
      <c r="ORY2" s="353"/>
      <c r="ORZ2" s="353"/>
      <c r="OSA2" s="353"/>
      <c r="OSB2" s="353"/>
      <c r="OSC2" s="353"/>
      <c r="OSD2" s="353"/>
      <c r="OSE2" s="353"/>
      <c r="OSF2" s="353"/>
      <c r="OSG2" s="353"/>
      <c r="OSH2" s="353"/>
      <c r="OSI2" s="353"/>
      <c r="OSJ2" s="353"/>
      <c r="OSK2" s="353"/>
      <c r="OSL2" s="353"/>
      <c r="OSM2" s="353"/>
      <c r="OSN2" s="353"/>
      <c r="OSO2" s="353"/>
      <c r="OSP2" s="353"/>
      <c r="OSQ2" s="353"/>
      <c r="OSR2" s="353"/>
      <c r="OSS2" s="353"/>
      <c r="OST2" s="353"/>
      <c r="OSU2" s="353"/>
      <c r="OSV2" s="353"/>
      <c r="OSW2" s="353"/>
      <c r="OSX2" s="353"/>
      <c r="OSY2" s="353"/>
      <c r="OSZ2" s="353"/>
      <c r="OTA2" s="353"/>
      <c r="OTB2" s="353"/>
      <c r="OTC2" s="353"/>
      <c r="OTD2" s="353"/>
      <c r="OTE2" s="353"/>
      <c r="OTF2" s="353"/>
      <c r="OTG2" s="353"/>
      <c r="OTH2" s="353"/>
      <c r="OTI2" s="353"/>
      <c r="OTJ2" s="353"/>
      <c r="OTK2" s="353"/>
      <c r="OTL2" s="353"/>
      <c r="OTM2" s="353"/>
      <c r="OTN2" s="353"/>
      <c r="OTO2" s="353"/>
      <c r="OTP2" s="353"/>
      <c r="OTQ2" s="353"/>
      <c r="OTR2" s="353"/>
      <c r="OTS2" s="353"/>
      <c r="OTT2" s="353"/>
      <c r="OTU2" s="353"/>
      <c r="OTV2" s="353"/>
      <c r="OTW2" s="353"/>
      <c r="OTX2" s="353"/>
      <c r="OTY2" s="353"/>
      <c r="OTZ2" s="353"/>
      <c r="OUA2" s="353"/>
      <c r="OUB2" s="353"/>
      <c r="OUC2" s="353"/>
      <c r="OUD2" s="353"/>
      <c r="OUE2" s="353"/>
      <c r="OUF2" s="353"/>
      <c r="OUG2" s="353"/>
      <c r="OUH2" s="353"/>
      <c r="OUI2" s="353"/>
      <c r="OUJ2" s="353"/>
      <c r="OUK2" s="353"/>
      <c r="OUL2" s="353"/>
      <c r="OUM2" s="353"/>
      <c r="OUN2" s="353"/>
      <c r="OUO2" s="353"/>
      <c r="OUP2" s="353"/>
      <c r="OUQ2" s="353"/>
      <c r="OUR2" s="353"/>
      <c r="OUS2" s="353"/>
      <c r="OUT2" s="353"/>
      <c r="OUU2" s="353"/>
      <c r="OUV2" s="353"/>
      <c r="OUW2" s="353"/>
      <c r="OUX2" s="353"/>
      <c r="OUY2" s="353"/>
      <c r="OUZ2" s="353"/>
      <c r="OVA2" s="353"/>
      <c r="OVB2" s="353"/>
      <c r="OVC2" s="353"/>
      <c r="OVD2" s="353"/>
      <c r="OVE2" s="353"/>
      <c r="OVF2" s="353"/>
      <c r="OVG2" s="353"/>
      <c r="OVH2" s="353"/>
      <c r="OVI2" s="353"/>
      <c r="OVJ2" s="353"/>
      <c r="OVK2" s="353"/>
      <c r="OVL2" s="353"/>
      <c r="OVM2" s="353"/>
      <c r="OVN2" s="353"/>
      <c r="OVO2" s="353"/>
      <c r="OVP2" s="353"/>
      <c r="OVQ2" s="353"/>
      <c r="OVR2" s="353"/>
      <c r="OVS2" s="353"/>
      <c r="OVT2" s="353"/>
      <c r="OVU2" s="353"/>
      <c r="OVV2" s="353"/>
      <c r="OVW2" s="353"/>
      <c r="OVX2" s="353"/>
      <c r="OVY2" s="353"/>
      <c r="OVZ2" s="353"/>
      <c r="OWA2" s="353"/>
      <c r="OWB2" s="353"/>
      <c r="OWC2" s="353"/>
      <c r="OWD2" s="353"/>
      <c r="OWE2" s="353"/>
      <c r="OWF2" s="353"/>
      <c r="OWG2" s="353"/>
      <c r="OWH2" s="353"/>
      <c r="OWI2" s="353"/>
      <c r="OWJ2" s="353"/>
      <c r="OWK2" s="353"/>
      <c r="OWL2" s="353"/>
      <c r="OWM2" s="353"/>
      <c r="OWN2" s="353"/>
      <c r="OWO2" s="353"/>
      <c r="OWP2" s="353"/>
      <c r="OWQ2" s="353"/>
      <c r="OWR2" s="353"/>
      <c r="OWS2" s="353"/>
      <c r="OWT2" s="353"/>
      <c r="OWU2" s="353"/>
      <c r="OWV2" s="353"/>
      <c r="OWW2" s="353"/>
      <c r="OWX2" s="353"/>
      <c r="OWY2" s="353"/>
      <c r="OWZ2" s="353"/>
      <c r="OXA2" s="353"/>
      <c r="OXB2" s="353"/>
      <c r="OXC2" s="353"/>
      <c r="OXD2" s="353"/>
      <c r="OXE2" s="353"/>
      <c r="OXF2" s="353"/>
      <c r="OXG2" s="353"/>
      <c r="OXH2" s="353"/>
      <c r="OXI2" s="353"/>
      <c r="OXJ2" s="353"/>
      <c r="OXK2" s="353"/>
      <c r="OXL2" s="353"/>
      <c r="OXM2" s="353"/>
      <c r="OXN2" s="353"/>
      <c r="OXO2" s="353"/>
      <c r="OXP2" s="353"/>
      <c r="OXQ2" s="353"/>
      <c r="OXR2" s="353"/>
      <c r="OXS2" s="353"/>
      <c r="OXT2" s="353"/>
      <c r="OXU2" s="353"/>
      <c r="OXV2" s="353"/>
      <c r="OXW2" s="353"/>
      <c r="OXX2" s="353"/>
      <c r="OXY2" s="353"/>
      <c r="OXZ2" s="353"/>
      <c r="OYA2" s="353"/>
      <c r="OYB2" s="353"/>
      <c r="OYC2" s="353"/>
      <c r="OYD2" s="353"/>
      <c r="OYE2" s="353"/>
      <c r="OYF2" s="353"/>
      <c r="OYG2" s="353"/>
      <c r="OYH2" s="353"/>
      <c r="OYI2" s="353"/>
      <c r="OYJ2" s="353"/>
      <c r="OYK2" s="353"/>
      <c r="OYL2" s="353"/>
      <c r="OYM2" s="353"/>
      <c r="OYN2" s="353"/>
      <c r="OYO2" s="353"/>
      <c r="OYP2" s="353"/>
      <c r="OYQ2" s="353"/>
      <c r="OYR2" s="353"/>
      <c r="OYS2" s="353"/>
      <c r="OYT2" s="353"/>
      <c r="OYU2" s="353"/>
      <c r="OYV2" s="353"/>
      <c r="OYW2" s="353"/>
      <c r="OYX2" s="353"/>
      <c r="OYY2" s="353"/>
      <c r="OYZ2" s="353"/>
      <c r="OZA2" s="353"/>
      <c r="OZB2" s="353"/>
      <c r="OZC2" s="353"/>
      <c r="OZD2" s="353"/>
      <c r="OZE2" s="353"/>
      <c r="OZF2" s="353"/>
      <c r="OZG2" s="353"/>
      <c r="OZH2" s="353"/>
      <c r="OZI2" s="353"/>
      <c r="OZJ2" s="353"/>
      <c r="OZK2" s="353"/>
      <c r="OZL2" s="353"/>
      <c r="OZM2" s="353"/>
      <c r="OZN2" s="353"/>
      <c r="OZO2" s="353"/>
      <c r="OZP2" s="353"/>
      <c r="OZQ2" s="353"/>
      <c r="OZR2" s="353"/>
      <c r="OZS2" s="353"/>
      <c r="OZT2" s="353"/>
      <c r="OZU2" s="353"/>
      <c r="OZV2" s="353"/>
      <c r="OZW2" s="353"/>
      <c r="OZX2" s="353"/>
      <c r="OZY2" s="353"/>
      <c r="OZZ2" s="353"/>
      <c r="PAA2" s="353"/>
      <c r="PAB2" s="353"/>
      <c r="PAC2" s="353"/>
      <c r="PAD2" s="353"/>
      <c r="PAE2" s="353"/>
      <c r="PAF2" s="353"/>
      <c r="PAG2" s="353"/>
      <c r="PAH2" s="353"/>
      <c r="PAI2" s="353"/>
      <c r="PAJ2" s="353"/>
      <c r="PAK2" s="353"/>
      <c r="PAL2" s="353"/>
      <c r="PAM2" s="353"/>
      <c r="PAN2" s="353"/>
      <c r="PAO2" s="353"/>
      <c r="PAP2" s="353"/>
      <c r="PAQ2" s="353"/>
      <c r="PAR2" s="353"/>
      <c r="PAS2" s="353"/>
      <c r="PAT2" s="353"/>
      <c r="PAU2" s="353"/>
      <c r="PAV2" s="353"/>
      <c r="PAW2" s="353"/>
      <c r="PAX2" s="353"/>
      <c r="PAY2" s="353"/>
      <c r="PAZ2" s="353"/>
      <c r="PBA2" s="353"/>
      <c r="PBB2" s="353"/>
      <c r="PBC2" s="353"/>
      <c r="PBD2" s="353"/>
      <c r="PBE2" s="353"/>
      <c r="PBF2" s="353"/>
      <c r="PBG2" s="353"/>
      <c r="PBH2" s="353"/>
      <c r="PBI2" s="353"/>
      <c r="PBJ2" s="353"/>
      <c r="PBK2" s="353"/>
      <c r="PBL2" s="353"/>
      <c r="PBM2" s="353"/>
      <c r="PBN2" s="353"/>
      <c r="PBO2" s="353"/>
      <c r="PBP2" s="353"/>
      <c r="PBQ2" s="353"/>
      <c r="PBR2" s="353"/>
      <c r="PBS2" s="353"/>
      <c r="PBT2" s="353"/>
      <c r="PBU2" s="353"/>
      <c r="PBV2" s="353"/>
      <c r="PBW2" s="353"/>
      <c r="PBX2" s="353"/>
      <c r="PBY2" s="353"/>
      <c r="PBZ2" s="353"/>
      <c r="PCA2" s="353"/>
      <c r="PCB2" s="353"/>
      <c r="PCC2" s="353"/>
      <c r="PCD2" s="353"/>
      <c r="PCE2" s="353"/>
      <c r="PCF2" s="353"/>
      <c r="PCG2" s="353"/>
      <c r="PCH2" s="353"/>
      <c r="PCI2" s="353"/>
      <c r="PCJ2" s="353"/>
      <c r="PCK2" s="353"/>
      <c r="PCL2" s="353"/>
      <c r="PCM2" s="353"/>
      <c r="PCN2" s="353"/>
      <c r="PCO2" s="353"/>
      <c r="PCP2" s="353"/>
      <c r="PCQ2" s="353"/>
      <c r="PCR2" s="353"/>
      <c r="PCS2" s="353"/>
      <c r="PCT2" s="353"/>
      <c r="PCU2" s="353"/>
      <c r="PCV2" s="353"/>
      <c r="PCW2" s="353"/>
      <c r="PCX2" s="353"/>
      <c r="PCY2" s="353"/>
      <c r="PCZ2" s="353"/>
      <c r="PDA2" s="353"/>
      <c r="PDB2" s="353"/>
      <c r="PDC2" s="353"/>
      <c r="PDD2" s="353"/>
      <c r="PDE2" s="353"/>
      <c r="PDF2" s="353"/>
      <c r="PDG2" s="353"/>
      <c r="PDH2" s="353"/>
      <c r="PDI2" s="353"/>
      <c r="PDJ2" s="353"/>
      <c r="PDK2" s="353"/>
      <c r="PDL2" s="353"/>
      <c r="PDM2" s="353"/>
      <c r="PDN2" s="353"/>
      <c r="PDO2" s="353"/>
      <c r="PDP2" s="353"/>
      <c r="PDQ2" s="353"/>
      <c r="PDR2" s="353"/>
      <c r="PDS2" s="353"/>
      <c r="PDT2" s="353"/>
      <c r="PDU2" s="353"/>
      <c r="PDV2" s="353"/>
      <c r="PDW2" s="353"/>
      <c r="PDX2" s="353"/>
      <c r="PDY2" s="353"/>
      <c r="PDZ2" s="353"/>
      <c r="PEA2" s="353"/>
      <c r="PEB2" s="353"/>
      <c r="PEC2" s="353"/>
      <c r="PED2" s="353"/>
      <c r="PEE2" s="353"/>
      <c r="PEF2" s="353"/>
      <c r="PEG2" s="353"/>
      <c r="PEH2" s="353"/>
      <c r="PEI2" s="353"/>
      <c r="PEJ2" s="353"/>
      <c r="PEK2" s="353"/>
      <c r="PEL2" s="353"/>
      <c r="PEM2" s="353"/>
      <c r="PEN2" s="353"/>
      <c r="PEO2" s="353"/>
      <c r="PEP2" s="353"/>
      <c r="PEQ2" s="353"/>
      <c r="PER2" s="353"/>
      <c r="PES2" s="353"/>
      <c r="PET2" s="353"/>
      <c r="PEU2" s="353"/>
      <c r="PEV2" s="353"/>
      <c r="PEW2" s="353"/>
      <c r="PEX2" s="353"/>
      <c r="PEY2" s="353"/>
      <c r="PEZ2" s="353"/>
      <c r="PFA2" s="353"/>
      <c r="PFB2" s="353"/>
      <c r="PFC2" s="353"/>
      <c r="PFD2" s="353"/>
      <c r="PFE2" s="353"/>
      <c r="PFF2" s="353"/>
      <c r="PFG2" s="353"/>
      <c r="PFH2" s="353"/>
      <c r="PFI2" s="353"/>
      <c r="PFJ2" s="353"/>
      <c r="PFK2" s="353"/>
      <c r="PFL2" s="353"/>
      <c r="PFM2" s="353"/>
      <c r="PFN2" s="353"/>
      <c r="PFO2" s="353"/>
      <c r="PFP2" s="353"/>
      <c r="PFQ2" s="353"/>
      <c r="PFR2" s="353"/>
      <c r="PFS2" s="353"/>
      <c r="PFT2" s="353"/>
      <c r="PFU2" s="353"/>
      <c r="PFV2" s="353"/>
      <c r="PFW2" s="353"/>
      <c r="PFX2" s="353"/>
      <c r="PFY2" s="353"/>
      <c r="PFZ2" s="353"/>
      <c r="PGA2" s="353"/>
      <c r="PGB2" s="353"/>
      <c r="PGC2" s="353"/>
      <c r="PGD2" s="353"/>
      <c r="PGE2" s="353"/>
      <c r="PGF2" s="353"/>
      <c r="PGG2" s="353"/>
      <c r="PGH2" s="353"/>
      <c r="PGI2" s="353"/>
      <c r="PGJ2" s="353"/>
      <c r="PGK2" s="353"/>
      <c r="PGL2" s="353"/>
      <c r="PGM2" s="353"/>
      <c r="PGN2" s="353"/>
      <c r="PGO2" s="353"/>
      <c r="PGP2" s="353"/>
      <c r="PGQ2" s="353"/>
      <c r="PGR2" s="353"/>
      <c r="PGS2" s="353"/>
      <c r="PGT2" s="353"/>
      <c r="PGU2" s="353"/>
      <c r="PGV2" s="353"/>
      <c r="PGW2" s="353"/>
      <c r="PGX2" s="353"/>
      <c r="PGY2" s="353"/>
      <c r="PGZ2" s="353"/>
      <c r="PHA2" s="353"/>
      <c r="PHB2" s="353"/>
      <c r="PHC2" s="353"/>
      <c r="PHD2" s="353"/>
      <c r="PHE2" s="353"/>
      <c r="PHF2" s="353"/>
      <c r="PHG2" s="353"/>
      <c r="PHH2" s="353"/>
      <c r="PHI2" s="353"/>
      <c r="PHJ2" s="353"/>
      <c r="PHK2" s="353"/>
      <c r="PHL2" s="353"/>
      <c r="PHM2" s="353"/>
      <c r="PHN2" s="353"/>
      <c r="PHO2" s="353"/>
      <c r="PHP2" s="353"/>
      <c r="PHQ2" s="353"/>
      <c r="PHR2" s="353"/>
      <c r="PHS2" s="353"/>
      <c r="PHT2" s="353"/>
      <c r="PHU2" s="353"/>
      <c r="PHV2" s="353"/>
      <c r="PHW2" s="353"/>
      <c r="PHX2" s="353"/>
      <c r="PHY2" s="353"/>
      <c r="PHZ2" s="353"/>
      <c r="PIA2" s="353"/>
      <c r="PIB2" s="353"/>
      <c r="PIC2" s="353"/>
      <c r="PID2" s="353"/>
      <c r="PIE2" s="353"/>
      <c r="PIF2" s="353"/>
      <c r="PIG2" s="353"/>
      <c r="PIH2" s="353"/>
      <c r="PII2" s="353"/>
      <c r="PIJ2" s="353"/>
      <c r="PIK2" s="353"/>
      <c r="PIL2" s="353"/>
      <c r="PIM2" s="353"/>
      <c r="PIN2" s="353"/>
      <c r="PIO2" s="353"/>
      <c r="PIP2" s="353"/>
      <c r="PIQ2" s="353"/>
      <c r="PIR2" s="353"/>
      <c r="PIS2" s="353"/>
      <c r="PIT2" s="353"/>
      <c r="PIU2" s="353"/>
      <c r="PIV2" s="353"/>
      <c r="PIW2" s="353"/>
      <c r="PIX2" s="353"/>
      <c r="PIY2" s="353"/>
      <c r="PIZ2" s="353"/>
      <c r="PJA2" s="353"/>
      <c r="PJB2" s="353"/>
      <c r="PJC2" s="353"/>
      <c r="PJD2" s="353"/>
      <c r="PJE2" s="353"/>
      <c r="PJF2" s="353"/>
      <c r="PJG2" s="353"/>
      <c r="PJH2" s="353"/>
      <c r="PJI2" s="353"/>
      <c r="PJJ2" s="353"/>
      <c r="PJK2" s="353"/>
      <c r="PJL2" s="353"/>
      <c r="PJM2" s="353"/>
      <c r="PJN2" s="353"/>
      <c r="PJO2" s="353"/>
      <c r="PJP2" s="353"/>
      <c r="PJQ2" s="353"/>
      <c r="PJR2" s="353"/>
      <c r="PJS2" s="353"/>
      <c r="PJT2" s="353"/>
      <c r="PJU2" s="353"/>
      <c r="PJV2" s="353"/>
      <c r="PJW2" s="353"/>
      <c r="PJX2" s="353"/>
      <c r="PJY2" s="353"/>
      <c r="PJZ2" s="353"/>
      <c r="PKA2" s="353"/>
      <c r="PKB2" s="353"/>
      <c r="PKC2" s="353"/>
      <c r="PKD2" s="353"/>
      <c r="PKE2" s="353"/>
      <c r="PKF2" s="353"/>
      <c r="PKG2" s="353"/>
      <c r="PKH2" s="353"/>
      <c r="PKI2" s="353"/>
      <c r="PKJ2" s="353"/>
      <c r="PKK2" s="353"/>
      <c r="PKL2" s="353"/>
      <c r="PKM2" s="353"/>
      <c r="PKN2" s="353"/>
      <c r="PKO2" s="353"/>
      <c r="PKP2" s="353"/>
      <c r="PKQ2" s="353"/>
      <c r="PKR2" s="353"/>
      <c r="PKS2" s="353"/>
      <c r="PKT2" s="353"/>
      <c r="PKU2" s="353"/>
      <c r="PKV2" s="353"/>
      <c r="PKW2" s="353"/>
      <c r="PKX2" s="353"/>
      <c r="PKY2" s="353"/>
      <c r="PKZ2" s="353"/>
      <c r="PLA2" s="353"/>
      <c r="PLB2" s="353"/>
      <c r="PLC2" s="353"/>
      <c r="PLD2" s="353"/>
      <c r="PLE2" s="353"/>
      <c r="PLF2" s="353"/>
      <c r="PLG2" s="353"/>
      <c r="PLH2" s="353"/>
      <c r="PLI2" s="353"/>
      <c r="PLJ2" s="353"/>
      <c r="PLK2" s="353"/>
      <c r="PLL2" s="353"/>
      <c r="PLM2" s="353"/>
      <c r="PLN2" s="353"/>
      <c r="PLO2" s="353"/>
      <c r="PLP2" s="353"/>
      <c r="PLQ2" s="353"/>
      <c r="PLR2" s="353"/>
      <c r="PLS2" s="353"/>
      <c r="PLT2" s="353"/>
      <c r="PLU2" s="353"/>
      <c r="PLV2" s="353"/>
      <c r="PLW2" s="353"/>
      <c r="PLX2" s="353"/>
      <c r="PLY2" s="353"/>
      <c r="PLZ2" s="353"/>
      <c r="PMA2" s="353"/>
      <c r="PMB2" s="353"/>
      <c r="PMC2" s="353"/>
      <c r="PMD2" s="353"/>
      <c r="PME2" s="353"/>
      <c r="PMF2" s="353"/>
      <c r="PMG2" s="353"/>
      <c r="PMH2" s="353"/>
      <c r="PMI2" s="353"/>
      <c r="PMJ2" s="353"/>
      <c r="PMK2" s="353"/>
      <c r="PML2" s="353"/>
      <c r="PMM2" s="353"/>
      <c r="PMN2" s="353"/>
      <c r="PMO2" s="353"/>
      <c r="PMP2" s="353"/>
      <c r="PMQ2" s="353"/>
      <c r="PMR2" s="353"/>
      <c r="PMS2" s="353"/>
      <c r="PMT2" s="353"/>
      <c r="PMU2" s="353"/>
      <c r="PMV2" s="353"/>
      <c r="PMW2" s="353"/>
      <c r="PMX2" s="353"/>
      <c r="PMY2" s="353"/>
      <c r="PMZ2" s="353"/>
      <c r="PNA2" s="353"/>
      <c r="PNB2" s="353"/>
      <c r="PNC2" s="353"/>
      <c r="PND2" s="353"/>
      <c r="PNE2" s="353"/>
      <c r="PNF2" s="353"/>
      <c r="PNG2" s="353"/>
      <c r="PNH2" s="353"/>
      <c r="PNI2" s="353"/>
      <c r="PNJ2" s="353"/>
      <c r="PNK2" s="353"/>
      <c r="PNL2" s="353"/>
      <c r="PNM2" s="353"/>
      <c r="PNN2" s="353"/>
      <c r="PNO2" s="353"/>
      <c r="PNP2" s="353"/>
      <c r="PNQ2" s="353"/>
      <c r="PNR2" s="353"/>
      <c r="PNS2" s="353"/>
      <c r="PNT2" s="353"/>
      <c r="PNU2" s="353"/>
      <c r="PNV2" s="353"/>
      <c r="PNW2" s="353"/>
      <c r="PNX2" s="353"/>
      <c r="PNY2" s="353"/>
      <c r="PNZ2" s="353"/>
      <c r="POA2" s="353"/>
      <c r="POB2" s="353"/>
      <c r="POC2" s="353"/>
      <c r="POD2" s="353"/>
      <c r="POE2" s="353"/>
      <c r="POF2" s="353"/>
      <c r="POG2" s="353"/>
      <c r="POH2" s="353"/>
      <c r="POI2" s="353"/>
      <c r="POJ2" s="353"/>
      <c r="POK2" s="353"/>
      <c r="POL2" s="353"/>
      <c r="POM2" s="353"/>
      <c r="PON2" s="353"/>
      <c r="POO2" s="353"/>
      <c r="POP2" s="353"/>
      <c r="POQ2" s="353"/>
      <c r="POR2" s="353"/>
      <c r="POS2" s="353"/>
      <c r="POT2" s="353"/>
      <c r="POU2" s="353"/>
      <c r="POV2" s="353"/>
      <c r="POW2" s="353"/>
      <c r="POX2" s="353"/>
      <c r="POY2" s="353"/>
      <c r="POZ2" s="353"/>
      <c r="PPA2" s="353"/>
      <c r="PPB2" s="353"/>
      <c r="PPC2" s="353"/>
      <c r="PPD2" s="353"/>
      <c r="PPE2" s="353"/>
      <c r="PPF2" s="353"/>
      <c r="PPG2" s="353"/>
      <c r="PPH2" s="353"/>
      <c r="PPI2" s="353"/>
      <c r="PPJ2" s="353"/>
      <c r="PPK2" s="353"/>
      <c r="PPL2" s="353"/>
      <c r="PPM2" s="353"/>
      <c r="PPN2" s="353"/>
      <c r="PPO2" s="353"/>
      <c r="PPP2" s="353"/>
      <c r="PPQ2" s="353"/>
      <c r="PPR2" s="353"/>
      <c r="PPS2" s="353"/>
      <c r="PPT2" s="353"/>
      <c r="PPU2" s="353"/>
      <c r="PPV2" s="353"/>
      <c r="PPW2" s="353"/>
      <c r="PPX2" s="353"/>
      <c r="PPY2" s="353"/>
      <c r="PPZ2" s="353"/>
      <c r="PQA2" s="353"/>
      <c r="PQB2" s="353"/>
      <c r="PQC2" s="353"/>
      <c r="PQD2" s="353"/>
      <c r="PQE2" s="353"/>
      <c r="PQF2" s="353"/>
      <c r="PQG2" s="353"/>
      <c r="PQH2" s="353"/>
      <c r="PQI2" s="353"/>
      <c r="PQJ2" s="353"/>
      <c r="PQK2" s="353"/>
      <c r="PQL2" s="353"/>
      <c r="PQM2" s="353"/>
      <c r="PQN2" s="353"/>
      <c r="PQO2" s="353"/>
      <c r="PQP2" s="353"/>
      <c r="PQQ2" s="353"/>
      <c r="PQR2" s="353"/>
      <c r="PQS2" s="353"/>
      <c r="PQT2" s="353"/>
      <c r="PQU2" s="353"/>
      <c r="PQV2" s="353"/>
      <c r="PQW2" s="353"/>
      <c r="PQX2" s="353"/>
      <c r="PQY2" s="353"/>
      <c r="PQZ2" s="353"/>
      <c r="PRA2" s="353"/>
      <c r="PRB2" s="353"/>
      <c r="PRC2" s="353"/>
      <c r="PRD2" s="353"/>
      <c r="PRE2" s="353"/>
      <c r="PRF2" s="353"/>
      <c r="PRG2" s="353"/>
      <c r="PRH2" s="353"/>
      <c r="PRI2" s="353"/>
      <c r="PRJ2" s="353"/>
      <c r="PRK2" s="353"/>
      <c r="PRL2" s="353"/>
      <c r="PRM2" s="353"/>
      <c r="PRN2" s="353"/>
      <c r="PRO2" s="353"/>
      <c r="PRP2" s="353"/>
      <c r="PRQ2" s="353"/>
      <c r="PRR2" s="353"/>
      <c r="PRS2" s="353"/>
      <c r="PRT2" s="353"/>
      <c r="PRU2" s="353"/>
      <c r="PRV2" s="353"/>
      <c r="PRW2" s="353"/>
      <c r="PRX2" s="353"/>
      <c r="PRY2" s="353"/>
      <c r="PRZ2" s="353"/>
      <c r="PSA2" s="353"/>
      <c r="PSB2" s="353"/>
      <c r="PSC2" s="353"/>
      <c r="PSD2" s="353"/>
      <c r="PSE2" s="353"/>
      <c r="PSF2" s="353"/>
      <c r="PSG2" s="353"/>
      <c r="PSH2" s="353"/>
      <c r="PSI2" s="353"/>
      <c r="PSJ2" s="353"/>
      <c r="PSK2" s="353"/>
      <c r="PSL2" s="353"/>
      <c r="PSM2" s="353"/>
      <c r="PSN2" s="353"/>
      <c r="PSO2" s="353"/>
      <c r="PSP2" s="353"/>
      <c r="PSQ2" s="353"/>
      <c r="PSR2" s="353"/>
      <c r="PSS2" s="353"/>
      <c r="PST2" s="353"/>
      <c r="PSU2" s="353"/>
      <c r="PSV2" s="353"/>
      <c r="PSW2" s="353"/>
      <c r="PSX2" s="353"/>
      <c r="PSY2" s="353"/>
      <c r="PSZ2" s="353"/>
      <c r="PTA2" s="353"/>
      <c r="PTB2" s="353"/>
      <c r="PTC2" s="353"/>
      <c r="PTD2" s="353"/>
      <c r="PTE2" s="353"/>
      <c r="PTF2" s="353"/>
      <c r="PTG2" s="353"/>
      <c r="PTH2" s="353"/>
      <c r="PTI2" s="353"/>
      <c r="PTJ2" s="353"/>
      <c r="PTK2" s="353"/>
      <c r="PTL2" s="353"/>
      <c r="PTM2" s="353"/>
      <c r="PTN2" s="353"/>
      <c r="PTO2" s="353"/>
      <c r="PTP2" s="353"/>
      <c r="PTQ2" s="353"/>
      <c r="PTR2" s="353"/>
      <c r="PTS2" s="353"/>
      <c r="PTT2" s="353"/>
      <c r="PTU2" s="353"/>
      <c r="PTV2" s="353"/>
      <c r="PTW2" s="353"/>
      <c r="PTX2" s="353"/>
      <c r="PTY2" s="353"/>
      <c r="PTZ2" s="353"/>
      <c r="PUA2" s="353"/>
      <c r="PUB2" s="353"/>
      <c r="PUC2" s="353"/>
      <c r="PUD2" s="353"/>
      <c r="PUE2" s="353"/>
      <c r="PUF2" s="353"/>
      <c r="PUG2" s="353"/>
      <c r="PUH2" s="353"/>
      <c r="PUI2" s="353"/>
      <c r="PUJ2" s="353"/>
      <c r="PUK2" s="353"/>
      <c r="PUL2" s="353"/>
      <c r="PUM2" s="353"/>
      <c r="PUN2" s="353"/>
      <c r="PUO2" s="353"/>
      <c r="PUP2" s="353"/>
      <c r="PUQ2" s="353"/>
      <c r="PUR2" s="353"/>
      <c r="PUS2" s="353"/>
      <c r="PUT2" s="353"/>
      <c r="PUU2" s="353"/>
      <c r="PUV2" s="353"/>
      <c r="PUW2" s="353"/>
      <c r="PUX2" s="353"/>
      <c r="PUY2" s="353"/>
      <c r="PUZ2" s="353"/>
      <c r="PVA2" s="353"/>
      <c r="PVB2" s="353"/>
      <c r="PVC2" s="353"/>
      <c r="PVD2" s="353"/>
      <c r="PVE2" s="353"/>
      <c r="PVF2" s="353"/>
      <c r="PVG2" s="353"/>
      <c r="PVH2" s="353"/>
      <c r="PVI2" s="353"/>
      <c r="PVJ2" s="353"/>
      <c r="PVK2" s="353"/>
      <c r="PVL2" s="353"/>
      <c r="PVM2" s="353"/>
      <c r="PVN2" s="353"/>
      <c r="PVO2" s="353"/>
      <c r="PVP2" s="353"/>
      <c r="PVQ2" s="353"/>
      <c r="PVR2" s="353"/>
      <c r="PVS2" s="353"/>
      <c r="PVT2" s="353"/>
      <c r="PVU2" s="353"/>
      <c r="PVV2" s="353"/>
      <c r="PVW2" s="353"/>
      <c r="PVX2" s="353"/>
      <c r="PVY2" s="353"/>
      <c r="PVZ2" s="353"/>
      <c r="PWA2" s="353"/>
      <c r="PWB2" s="353"/>
      <c r="PWC2" s="353"/>
      <c r="PWD2" s="353"/>
      <c r="PWE2" s="353"/>
      <c r="PWF2" s="353"/>
      <c r="PWG2" s="353"/>
      <c r="PWH2" s="353"/>
      <c r="PWI2" s="353"/>
      <c r="PWJ2" s="353"/>
      <c r="PWK2" s="353"/>
      <c r="PWL2" s="353"/>
      <c r="PWM2" s="353"/>
      <c r="PWN2" s="353"/>
      <c r="PWO2" s="353"/>
      <c r="PWP2" s="353"/>
      <c r="PWQ2" s="353"/>
      <c r="PWR2" s="353"/>
      <c r="PWS2" s="353"/>
      <c r="PWT2" s="353"/>
      <c r="PWU2" s="353"/>
      <c r="PWV2" s="353"/>
      <c r="PWW2" s="353"/>
      <c r="PWX2" s="353"/>
      <c r="PWY2" s="353"/>
      <c r="PWZ2" s="353"/>
      <c r="PXA2" s="353"/>
      <c r="PXB2" s="353"/>
      <c r="PXC2" s="353"/>
      <c r="PXD2" s="353"/>
      <c r="PXE2" s="353"/>
      <c r="PXF2" s="353"/>
      <c r="PXG2" s="353"/>
      <c r="PXH2" s="353"/>
      <c r="PXI2" s="353"/>
      <c r="PXJ2" s="353"/>
      <c r="PXK2" s="353"/>
      <c r="PXL2" s="353"/>
      <c r="PXM2" s="353"/>
      <c r="PXN2" s="353"/>
      <c r="PXO2" s="353"/>
      <c r="PXP2" s="353"/>
      <c r="PXQ2" s="353"/>
      <c r="PXR2" s="353"/>
      <c r="PXS2" s="353"/>
      <c r="PXT2" s="353"/>
      <c r="PXU2" s="353"/>
      <c r="PXV2" s="353"/>
      <c r="PXW2" s="353"/>
      <c r="PXX2" s="353"/>
      <c r="PXY2" s="353"/>
      <c r="PXZ2" s="353"/>
      <c r="PYA2" s="353"/>
      <c r="PYB2" s="353"/>
      <c r="PYC2" s="353"/>
      <c r="PYD2" s="353"/>
      <c r="PYE2" s="353"/>
      <c r="PYF2" s="353"/>
      <c r="PYG2" s="353"/>
      <c r="PYH2" s="353"/>
      <c r="PYI2" s="353"/>
      <c r="PYJ2" s="353"/>
      <c r="PYK2" s="353"/>
      <c r="PYL2" s="353"/>
      <c r="PYM2" s="353"/>
      <c r="PYN2" s="353"/>
      <c r="PYO2" s="353"/>
      <c r="PYP2" s="353"/>
      <c r="PYQ2" s="353"/>
      <c r="PYR2" s="353"/>
      <c r="PYS2" s="353"/>
      <c r="PYT2" s="353"/>
      <c r="PYU2" s="353"/>
      <c r="PYV2" s="353"/>
      <c r="PYW2" s="353"/>
      <c r="PYX2" s="353"/>
      <c r="PYY2" s="353"/>
      <c r="PYZ2" s="353"/>
      <c r="PZA2" s="353"/>
      <c r="PZB2" s="353"/>
      <c r="PZC2" s="353"/>
      <c r="PZD2" s="353"/>
      <c r="PZE2" s="353"/>
      <c r="PZF2" s="353"/>
      <c r="PZG2" s="353"/>
      <c r="PZH2" s="353"/>
      <c r="PZI2" s="353"/>
      <c r="PZJ2" s="353"/>
      <c r="PZK2" s="353"/>
      <c r="PZL2" s="353"/>
      <c r="PZM2" s="353"/>
      <c r="PZN2" s="353"/>
      <c r="PZO2" s="353"/>
      <c r="PZP2" s="353"/>
      <c r="PZQ2" s="353"/>
      <c r="PZR2" s="353"/>
      <c r="PZS2" s="353"/>
      <c r="PZT2" s="353"/>
      <c r="PZU2" s="353"/>
      <c r="PZV2" s="353"/>
      <c r="PZW2" s="353"/>
      <c r="PZX2" s="353"/>
      <c r="PZY2" s="353"/>
      <c r="PZZ2" s="353"/>
      <c r="QAA2" s="353"/>
      <c r="QAB2" s="353"/>
      <c r="QAC2" s="353"/>
      <c r="QAD2" s="353"/>
      <c r="QAE2" s="353"/>
      <c r="QAF2" s="353"/>
      <c r="QAG2" s="353"/>
      <c r="QAH2" s="353"/>
      <c r="QAI2" s="353"/>
      <c r="QAJ2" s="353"/>
      <c r="QAK2" s="353"/>
      <c r="QAL2" s="353"/>
      <c r="QAM2" s="353"/>
      <c r="QAN2" s="353"/>
      <c r="QAO2" s="353"/>
      <c r="QAP2" s="353"/>
      <c r="QAQ2" s="353"/>
      <c r="QAR2" s="353"/>
      <c r="QAS2" s="353"/>
      <c r="QAT2" s="353"/>
      <c r="QAU2" s="353"/>
      <c r="QAV2" s="353"/>
      <c r="QAW2" s="353"/>
      <c r="QAX2" s="353"/>
      <c r="QAY2" s="353"/>
      <c r="QAZ2" s="353"/>
      <c r="QBA2" s="353"/>
      <c r="QBB2" s="353"/>
      <c r="QBC2" s="353"/>
      <c r="QBD2" s="353"/>
      <c r="QBE2" s="353"/>
      <c r="QBF2" s="353"/>
      <c r="QBG2" s="353"/>
      <c r="QBH2" s="353"/>
      <c r="QBI2" s="353"/>
      <c r="QBJ2" s="353"/>
      <c r="QBK2" s="353"/>
      <c r="QBL2" s="353"/>
      <c r="QBM2" s="353"/>
      <c r="QBN2" s="353"/>
      <c r="QBO2" s="353"/>
      <c r="QBP2" s="353"/>
      <c r="QBQ2" s="353"/>
      <c r="QBR2" s="353"/>
      <c r="QBS2" s="353"/>
      <c r="QBT2" s="353"/>
      <c r="QBU2" s="353"/>
      <c r="QBV2" s="353"/>
      <c r="QBW2" s="353"/>
      <c r="QBX2" s="353"/>
      <c r="QBY2" s="353"/>
      <c r="QBZ2" s="353"/>
      <c r="QCA2" s="353"/>
      <c r="QCB2" s="353"/>
      <c r="QCC2" s="353"/>
      <c r="QCD2" s="353"/>
      <c r="QCE2" s="353"/>
      <c r="QCF2" s="353"/>
      <c r="QCG2" s="353"/>
      <c r="QCH2" s="353"/>
      <c r="QCI2" s="353"/>
      <c r="QCJ2" s="353"/>
      <c r="QCK2" s="353"/>
      <c r="QCL2" s="353"/>
      <c r="QCM2" s="353"/>
      <c r="QCN2" s="353"/>
      <c r="QCO2" s="353"/>
      <c r="QCP2" s="353"/>
      <c r="QCQ2" s="353"/>
      <c r="QCR2" s="353"/>
      <c r="QCS2" s="353"/>
      <c r="QCT2" s="353"/>
      <c r="QCU2" s="353"/>
      <c r="QCV2" s="353"/>
      <c r="QCW2" s="353"/>
      <c r="QCX2" s="353"/>
      <c r="QCY2" s="353"/>
      <c r="QCZ2" s="353"/>
      <c r="QDA2" s="353"/>
      <c r="QDB2" s="353"/>
      <c r="QDC2" s="353"/>
      <c r="QDD2" s="353"/>
      <c r="QDE2" s="353"/>
      <c r="QDF2" s="353"/>
      <c r="QDG2" s="353"/>
      <c r="QDH2" s="353"/>
      <c r="QDI2" s="353"/>
      <c r="QDJ2" s="353"/>
      <c r="QDK2" s="353"/>
      <c r="QDL2" s="353"/>
      <c r="QDM2" s="353"/>
      <c r="QDN2" s="353"/>
      <c r="QDO2" s="353"/>
      <c r="QDP2" s="353"/>
      <c r="QDQ2" s="353"/>
      <c r="QDR2" s="353"/>
      <c r="QDS2" s="353"/>
      <c r="QDT2" s="353"/>
      <c r="QDU2" s="353"/>
      <c r="QDV2" s="353"/>
      <c r="QDW2" s="353"/>
      <c r="QDX2" s="353"/>
      <c r="QDY2" s="353"/>
      <c r="QDZ2" s="353"/>
      <c r="QEA2" s="353"/>
      <c r="QEB2" s="353"/>
      <c r="QEC2" s="353"/>
      <c r="QED2" s="353"/>
      <c r="QEE2" s="353"/>
      <c r="QEF2" s="353"/>
      <c r="QEG2" s="353"/>
      <c r="QEH2" s="353"/>
      <c r="QEI2" s="353"/>
      <c r="QEJ2" s="353"/>
      <c r="QEK2" s="353"/>
      <c r="QEL2" s="353"/>
      <c r="QEM2" s="353"/>
      <c r="QEN2" s="353"/>
      <c r="QEO2" s="353"/>
      <c r="QEP2" s="353"/>
      <c r="QEQ2" s="353"/>
      <c r="QER2" s="353"/>
      <c r="QES2" s="353"/>
      <c r="QET2" s="353"/>
      <c r="QEU2" s="353"/>
      <c r="QEV2" s="353"/>
      <c r="QEW2" s="353"/>
      <c r="QEX2" s="353"/>
      <c r="QEY2" s="353"/>
      <c r="QEZ2" s="353"/>
      <c r="QFA2" s="353"/>
      <c r="QFB2" s="353"/>
      <c r="QFC2" s="353"/>
      <c r="QFD2" s="353"/>
      <c r="QFE2" s="353"/>
      <c r="QFF2" s="353"/>
      <c r="QFG2" s="353"/>
      <c r="QFH2" s="353"/>
      <c r="QFI2" s="353"/>
      <c r="QFJ2" s="353"/>
      <c r="QFK2" s="353"/>
      <c r="QFL2" s="353"/>
      <c r="QFM2" s="353"/>
      <c r="QFN2" s="353"/>
      <c r="QFO2" s="353"/>
      <c r="QFP2" s="353"/>
      <c r="QFQ2" s="353"/>
      <c r="QFR2" s="353"/>
      <c r="QFS2" s="353"/>
      <c r="QFT2" s="353"/>
      <c r="QFU2" s="353"/>
      <c r="QFV2" s="353"/>
      <c r="QFW2" s="353"/>
      <c r="QFX2" s="353"/>
      <c r="QFY2" s="353"/>
      <c r="QFZ2" s="353"/>
      <c r="QGA2" s="353"/>
      <c r="QGB2" s="353"/>
      <c r="QGC2" s="353"/>
      <c r="QGD2" s="353"/>
      <c r="QGE2" s="353"/>
      <c r="QGF2" s="353"/>
      <c r="QGG2" s="353"/>
      <c r="QGH2" s="353"/>
      <c r="QGI2" s="353"/>
      <c r="QGJ2" s="353"/>
      <c r="QGK2" s="353"/>
      <c r="QGL2" s="353"/>
      <c r="QGM2" s="353"/>
      <c r="QGN2" s="353"/>
      <c r="QGO2" s="353"/>
      <c r="QGP2" s="353"/>
      <c r="QGQ2" s="353"/>
      <c r="QGR2" s="353"/>
      <c r="QGS2" s="353"/>
      <c r="QGT2" s="353"/>
      <c r="QGU2" s="353"/>
      <c r="QGV2" s="353"/>
      <c r="QGW2" s="353"/>
      <c r="QGX2" s="353"/>
      <c r="QGY2" s="353"/>
      <c r="QGZ2" s="353"/>
      <c r="QHA2" s="353"/>
      <c r="QHB2" s="353"/>
      <c r="QHC2" s="353"/>
      <c r="QHD2" s="353"/>
      <c r="QHE2" s="353"/>
      <c r="QHF2" s="353"/>
      <c r="QHG2" s="353"/>
      <c r="QHH2" s="353"/>
      <c r="QHI2" s="353"/>
      <c r="QHJ2" s="353"/>
      <c r="QHK2" s="353"/>
      <c r="QHL2" s="353"/>
      <c r="QHM2" s="353"/>
      <c r="QHN2" s="353"/>
      <c r="QHO2" s="353"/>
      <c r="QHP2" s="353"/>
      <c r="QHQ2" s="353"/>
      <c r="QHR2" s="353"/>
      <c r="QHS2" s="353"/>
      <c r="QHT2" s="353"/>
      <c r="QHU2" s="353"/>
      <c r="QHV2" s="353"/>
      <c r="QHW2" s="353"/>
      <c r="QHX2" s="353"/>
      <c r="QHY2" s="353"/>
      <c r="QHZ2" s="353"/>
      <c r="QIA2" s="353"/>
      <c r="QIB2" s="353"/>
      <c r="QIC2" s="353"/>
      <c r="QID2" s="353"/>
      <c r="QIE2" s="353"/>
      <c r="QIF2" s="353"/>
      <c r="QIG2" s="353"/>
      <c r="QIH2" s="353"/>
      <c r="QII2" s="353"/>
      <c r="QIJ2" s="353"/>
      <c r="QIK2" s="353"/>
      <c r="QIL2" s="353"/>
      <c r="QIM2" s="353"/>
      <c r="QIN2" s="353"/>
      <c r="QIO2" s="353"/>
      <c r="QIP2" s="353"/>
      <c r="QIQ2" s="353"/>
      <c r="QIR2" s="353"/>
      <c r="QIS2" s="353"/>
      <c r="QIT2" s="353"/>
      <c r="QIU2" s="353"/>
      <c r="QIV2" s="353"/>
      <c r="QIW2" s="353"/>
      <c r="QIX2" s="353"/>
      <c r="QIY2" s="353"/>
      <c r="QIZ2" s="353"/>
      <c r="QJA2" s="353"/>
      <c r="QJB2" s="353"/>
      <c r="QJC2" s="353"/>
      <c r="QJD2" s="353"/>
      <c r="QJE2" s="353"/>
      <c r="QJF2" s="353"/>
      <c r="QJG2" s="353"/>
      <c r="QJH2" s="353"/>
      <c r="QJI2" s="353"/>
      <c r="QJJ2" s="353"/>
      <c r="QJK2" s="353"/>
      <c r="QJL2" s="353"/>
      <c r="QJM2" s="353"/>
      <c r="QJN2" s="353"/>
      <c r="QJO2" s="353"/>
      <c r="QJP2" s="353"/>
      <c r="QJQ2" s="353"/>
      <c r="QJR2" s="353"/>
      <c r="QJS2" s="353"/>
      <c r="QJT2" s="353"/>
      <c r="QJU2" s="353"/>
      <c r="QJV2" s="353"/>
      <c r="QJW2" s="353"/>
      <c r="QJX2" s="353"/>
      <c r="QJY2" s="353"/>
      <c r="QJZ2" s="353"/>
      <c r="QKA2" s="353"/>
      <c r="QKB2" s="353"/>
      <c r="QKC2" s="353"/>
      <c r="QKD2" s="353"/>
      <c r="QKE2" s="353"/>
      <c r="QKF2" s="353"/>
      <c r="QKG2" s="353"/>
      <c r="QKH2" s="353"/>
      <c r="QKI2" s="353"/>
      <c r="QKJ2" s="353"/>
      <c r="QKK2" s="353"/>
      <c r="QKL2" s="353"/>
      <c r="QKM2" s="353"/>
      <c r="QKN2" s="353"/>
      <c r="QKO2" s="353"/>
      <c r="QKP2" s="353"/>
      <c r="QKQ2" s="353"/>
      <c r="QKR2" s="353"/>
      <c r="QKS2" s="353"/>
      <c r="QKT2" s="353"/>
      <c r="QKU2" s="353"/>
      <c r="QKV2" s="353"/>
      <c r="QKW2" s="353"/>
      <c r="QKX2" s="353"/>
      <c r="QKY2" s="353"/>
      <c r="QKZ2" s="353"/>
      <c r="QLA2" s="353"/>
      <c r="QLB2" s="353"/>
      <c r="QLC2" s="353"/>
      <c r="QLD2" s="353"/>
      <c r="QLE2" s="353"/>
      <c r="QLF2" s="353"/>
      <c r="QLG2" s="353"/>
      <c r="QLH2" s="353"/>
      <c r="QLI2" s="353"/>
      <c r="QLJ2" s="353"/>
      <c r="QLK2" s="353"/>
      <c r="QLL2" s="353"/>
      <c r="QLM2" s="353"/>
      <c r="QLN2" s="353"/>
      <c r="QLO2" s="353"/>
      <c r="QLP2" s="353"/>
      <c r="QLQ2" s="353"/>
      <c r="QLR2" s="353"/>
      <c r="QLS2" s="353"/>
      <c r="QLT2" s="353"/>
      <c r="QLU2" s="353"/>
      <c r="QLV2" s="353"/>
      <c r="QLW2" s="353"/>
      <c r="QLX2" s="353"/>
      <c r="QLY2" s="353"/>
      <c r="QLZ2" s="353"/>
      <c r="QMA2" s="353"/>
      <c r="QMB2" s="353"/>
      <c r="QMC2" s="353"/>
      <c r="QMD2" s="353"/>
      <c r="QME2" s="353"/>
      <c r="QMF2" s="353"/>
      <c r="QMG2" s="353"/>
      <c r="QMH2" s="353"/>
      <c r="QMI2" s="353"/>
      <c r="QMJ2" s="353"/>
      <c r="QMK2" s="353"/>
      <c r="QML2" s="353"/>
      <c r="QMM2" s="353"/>
      <c r="QMN2" s="353"/>
      <c r="QMO2" s="353"/>
      <c r="QMP2" s="353"/>
      <c r="QMQ2" s="353"/>
      <c r="QMR2" s="353"/>
      <c r="QMS2" s="353"/>
      <c r="QMT2" s="353"/>
      <c r="QMU2" s="353"/>
      <c r="QMV2" s="353"/>
      <c r="QMW2" s="353"/>
      <c r="QMX2" s="353"/>
      <c r="QMY2" s="353"/>
      <c r="QMZ2" s="353"/>
      <c r="QNA2" s="353"/>
      <c r="QNB2" s="353"/>
      <c r="QNC2" s="353"/>
      <c r="QND2" s="353"/>
      <c r="QNE2" s="353"/>
      <c r="QNF2" s="353"/>
      <c r="QNG2" s="353"/>
      <c r="QNH2" s="353"/>
      <c r="QNI2" s="353"/>
      <c r="QNJ2" s="353"/>
      <c r="QNK2" s="353"/>
      <c r="QNL2" s="353"/>
      <c r="QNM2" s="353"/>
      <c r="QNN2" s="353"/>
      <c r="QNO2" s="353"/>
      <c r="QNP2" s="353"/>
      <c r="QNQ2" s="353"/>
      <c r="QNR2" s="353"/>
      <c r="QNS2" s="353"/>
      <c r="QNT2" s="353"/>
      <c r="QNU2" s="353"/>
      <c r="QNV2" s="353"/>
      <c r="QNW2" s="353"/>
      <c r="QNX2" s="353"/>
      <c r="QNY2" s="353"/>
      <c r="QNZ2" s="353"/>
      <c r="QOA2" s="353"/>
      <c r="QOB2" s="353"/>
      <c r="QOC2" s="353"/>
      <c r="QOD2" s="353"/>
      <c r="QOE2" s="353"/>
      <c r="QOF2" s="353"/>
      <c r="QOG2" s="353"/>
      <c r="QOH2" s="353"/>
      <c r="QOI2" s="353"/>
      <c r="QOJ2" s="353"/>
      <c r="QOK2" s="353"/>
      <c r="QOL2" s="353"/>
      <c r="QOM2" s="353"/>
      <c r="QON2" s="353"/>
      <c r="QOO2" s="353"/>
      <c r="QOP2" s="353"/>
      <c r="QOQ2" s="353"/>
      <c r="QOR2" s="353"/>
      <c r="QOS2" s="353"/>
      <c r="QOT2" s="353"/>
      <c r="QOU2" s="353"/>
      <c r="QOV2" s="353"/>
      <c r="QOW2" s="353"/>
      <c r="QOX2" s="353"/>
      <c r="QOY2" s="353"/>
      <c r="QOZ2" s="353"/>
      <c r="QPA2" s="353"/>
      <c r="QPB2" s="353"/>
      <c r="QPC2" s="353"/>
      <c r="QPD2" s="353"/>
      <c r="QPE2" s="353"/>
      <c r="QPF2" s="353"/>
      <c r="QPG2" s="353"/>
      <c r="QPH2" s="353"/>
      <c r="QPI2" s="353"/>
      <c r="QPJ2" s="353"/>
      <c r="QPK2" s="353"/>
      <c r="QPL2" s="353"/>
      <c r="QPM2" s="353"/>
      <c r="QPN2" s="353"/>
      <c r="QPO2" s="353"/>
      <c r="QPP2" s="353"/>
      <c r="QPQ2" s="353"/>
      <c r="QPR2" s="353"/>
      <c r="QPS2" s="353"/>
      <c r="QPT2" s="353"/>
      <c r="QPU2" s="353"/>
      <c r="QPV2" s="353"/>
      <c r="QPW2" s="353"/>
      <c r="QPX2" s="353"/>
      <c r="QPY2" s="353"/>
      <c r="QPZ2" s="353"/>
      <c r="QQA2" s="353"/>
      <c r="QQB2" s="353"/>
      <c r="QQC2" s="353"/>
      <c r="QQD2" s="353"/>
      <c r="QQE2" s="353"/>
      <c r="QQF2" s="353"/>
      <c r="QQG2" s="353"/>
      <c r="QQH2" s="353"/>
      <c r="QQI2" s="353"/>
      <c r="QQJ2" s="353"/>
      <c r="QQK2" s="353"/>
      <c r="QQL2" s="353"/>
      <c r="QQM2" s="353"/>
      <c r="QQN2" s="353"/>
      <c r="QQO2" s="353"/>
      <c r="QQP2" s="353"/>
      <c r="QQQ2" s="353"/>
      <c r="QQR2" s="353"/>
      <c r="QQS2" s="353"/>
      <c r="QQT2" s="353"/>
      <c r="QQU2" s="353"/>
      <c r="QQV2" s="353"/>
      <c r="QQW2" s="353"/>
      <c r="QQX2" s="353"/>
      <c r="QQY2" s="353"/>
      <c r="QQZ2" s="353"/>
      <c r="QRA2" s="353"/>
      <c r="QRB2" s="353"/>
      <c r="QRC2" s="353"/>
      <c r="QRD2" s="353"/>
      <c r="QRE2" s="353"/>
      <c r="QRF2" s="353"/>
      <c r="QRG2" s="353"/>
      <c r="QRH2" s="353"/>
      <c r="QRI2" s="353"/>
      <c r="QRJ2" s="353"/>
      <c r="QRK2" s="353"/>
      <c r="QRL2" s="353"/>
      <c r="QRM2" s="353"/>
      <c r="QRN2" s="353"/>
      <c r="QRO2" s="353"/>
      <c r="QRP2" s="353"/>
      <c r="QRQ2" s="353"/>
      <c r="QRR2" s="353"/>
      <c r="QRS2" s="353"/>
      <c r="QRT2" s="353"/>
      <c r="QRU2" s="353"/>
      <c r="QRV2" s="353"/>
      <c r="QRW2" s="353"/>
      <c r="QRX2" s="353"/>
      <c r="QRY2" s="353"/>
      <c r="QRZ2" s="353"/>
      <c r="QSA2" s="353"/>
      <c r="QSB2" s="353"/>
      <c r="QSC2" s="353"/>
      <c r="QSD2" s="353"/>
      <c r="QSE2" s="353"/>
      <c r="QSF2" s="353"/>
      <c r="QSG2" s="353"/>
      <c r="QSH2" s="353"/>
      <c r="QSI2" s="353"/>
      <c r="QSJ2" s="353"/>
      <c r="QSK2" s="353"/>
      <c r="QSL2" s="353"/>
      <c r="QSM2" s="353"/>
      <c r="QSN2" s="353"/>
      <c r="QSO2" s="353"/>
      <c r="QSP2" s="353"/>
      <c r="QSQ2" s="353"/>
      <c r="QSR2" s="353"/>
      <c r="QSS2" s="353"/>
      <c r="QST2" s="353"/>
      <c r="QSU2" s="353"/>
      <c r="QSV2" s="353"/>
      <c r="QSW2" s="353"/>
      <c r="QSX2" s="353"/>
      <c r="QSY2" s="353"/>
      <c r="QSZ2" s="353"/>
      <c r="QTA2" s="353"/>
      <c r="QTB2" s="353"/>
      <c r="QTC2" s="353"/>
      <c r="QTD2" s="353"/>
      <c r="QTE2" s="353"/>
      <c r="QTF2" s="353"/>
      <c r="QTG2" s="353"/>
      <c r="QTH2" s="353"/>
      <c r="QTI2" s="353"/>
      <c r="QTJ2" s="353"/>
      <c r="QTK2" s="353"/>
      <c r="QTL2" s="353"/>
      <c r="QTM2" s="353"/>
      <c r="QTN2" s="353"/>
      <c r="QTO2" s="353"/>
      <c r="QTP2" s="353"/>
      <c r="QTQ2" s="353"/>
      <c r="QTR2" s="353"/>
      <c r="QTS2" s="353"/>
      <c r="QTT2" s="353"/>
      <c r="QTU2" s="353"/>
      <c r="QTV2" s="353"/>
      <c r="QTW2" s="353"/>
      <c r="QTX2" s="353"/>
      <c r="QTY2" s="353"/>
      <c r="QTZ2" s="353"/>
      <c r="QUA2" s="353"/>
      <c r="QUB2" s="353"/>
      <c r="QUC2" s="353"/>
      <c r="QUD2" s="353"/>
      <c r="QUE2" s="353"/>
      <c r="QUF2" s="353"/>
      <c r="QUG2" s="353"/>
      <c r="QUH2" s="353"/>
      <c r="QUI2" s="353"/>
      <c r="QUJ2" s="353"/>
      <c r="QUK2" s="353"/>
      <c r="QUL2" s="353"/>
      <c r="QUM2" s="353"/>
      <c r="QUN2" s="353"/>
      <c r="QUO2" s="353"/>
      <c r="QUP2" s="353"/>
      <c r="QUQ2" s="353"/>
      <c r="QUR2" s="353"/>
      <c r="QUS2" s="353"/>
      <c r="QUT2" s="353"/>
      <c r="QUU2" s="353"/>
      <c r="QUV2" s="353"/>
      <c r="QUW2" s="353"/>
      <c r="QUX2" s="353"/>
      <c r="QUY2" s="353"/>
      <c r="QUZ2" s="353"/>
      <c r="QVA2" s="353"/>
      <c r="QVB2" s="353"/>
      <c r="QVC2" s="353"/>
      <c r="QVD2" s="353"/>
      <c r="QVE2" s="353"/>
      <c r="QVF2" s="353"/>
      <c r="QVG2" s="353"/>
      <c r="QVH2" s="353"/>
      <c r="QVI2" s="353"/>
      <c r="QVJ2" s="353"/>
      <c r="QVK2" s="353"/>
      <c r="QVL2" s="353"/>
      <c r="QVM2" s="353"/>
      <c r="QVN2" s="353"/>
      <c r="QVO2" s="353"/>
      <c r="QVP2" s="353"/>
      <c r="QVQ2" s="353"/>
      <c r="QVR2" s="353"/>
      <c r="QVS2" s="353"/>
      <c r="QVT2" s="353"/>
      <c r="QVU2" s="353"/>
      <c r="QVV2" s="353"/>
      <c r="QVW2" s="353"/>
      <c r="QVX2" s="353"/>
      <c r="QVY2" s="353"/>
      <c r="QVZ2" s="353"/>
      <c r="QWA2" s="353"/>
      <c r="QWB2" s="353"/>
      <c r="QWC2" s="353"/>
      <c r="QWD2" s="353"/>
      <c r="QWE2" s="353"/>
      <c r="QWF2" s="353"/>
      <c r="QWG2" s="353"/>
      <c r="QWH2" s="353"/>
      <c r="QWI2" s="353"/>
      <c r="QWJ2" s="353"/>
      <c r="QWK2" s="353"/>
      <c r="QWL2" s="353"/>
      <c r="QWM2" s="353"/>
      <c r="QWN2" s="353"/>
      <c r="QWO2" s="353"/>
      <c r="QWP2" s="353"/>
      <c r="QWQ2" s="353"/>
      <c r="QWR2" s="353"/>
      <c r="QWS2" s="353"/>
      <c r="QWT2" s="353"/>
      <c r="QWU2" s="353"/>
      <c r="QWV2" s="353"/>
      <c r="QWW2" s="353"/>
      <c r="QWX2" s="353"/>
      <c r="QWY2" s="353"/>
      <c r="QWZ2" s="353"/>
      <c r="QXA2" s="353"/>
      <c r="QXB2" s="353"/>
      <c r="QXC2" s="353"/>
      <c r="QXD2" s="353"/>
      <c r="QXE2" s="353"/>
      <c r="QXF2" s="353"/>
      <c r="QXG2" s="353"/>
      <c r="QXH2" s="353"/>
      <c r="QXI2" s="353"/>
      <c r="QXJ2" s="353"/>
      <c r="QXK2" s="353"/>
      <c r="QXL2" s="353"/>
      <c r="QXM2" s="353"/>
      <c r="QXN2" s="353"/>
      <c r="QXO2" s="353"/>
      <c r="QXP2" s="353"/>
      <c r="QXQ2" s="353"/>
      <c r="QXR2" s="353"/>
      <c r="QXS2" s="353"/>
      <c r="QXT2" s="353"/>
      <c r="QXU2" s="353"/>
      <c r="QXV2" s="353"/>
      <c r="QXW2" s="353"/>
      <c r="QXX2" s="353"/>
      <c r="QXY2" s="353"/>
      <c r="QXZ2" s="353"/>
      <c r="QYA2" s="353"/>
      <c r="QYB2" s="353"/>
      <c r="QYC2" s="353"/>
      <c r="QYD2" s="353"/>
      <c r="QYE2" s="353"/>
      <c r="QYF2" s="353"/>
      <c r="QYG2" s="353"/>
      <c r="QYH2" s="353"/>
      <c r="QYI2" s="353"/>
      <c r="QYJ2" s="353"/>
      <c r="QYK2" s="353"/>
      <c r="QYL2" s="353"/>
      <c r="QYM2" s="353"/>
      <c r="QYN2" s="353"/>
      <c r="QYO2" s="353"/>
      <c r="QYP2" s="353"/>
      <c r="QYQ2" s="353"/>
      <c r="QYR2" s="353"/>
      <c r="QYS2" s="353"/>
      <c r="QYT2" s="353"/>
      <c r="QYU2" s="353"/>
      <c r="QYV2" s="353"/>
      <c r="QYW2" s="353"/>
      <c r="QYX2" s="353"/>
      <c r="QYY2" s="353"/>
      <c r="QYZ2" s="353"/>
      <c r="QZA2" s="353"/>
      <c r="QZB2" s="353"/>
      <c r="QZC2" s="353"/>
      <c r="QZD2" s="353"/>
      <c r="QZE2" s="353"/>
      <c r="QZF2" s="353"/>
      <c r="QZG2" s="353"/>
      <c r="QZH2" s="353"/>
      <c r="QZI2" s="353"/>
      <c r="QZJ2" s="353"/>
      <c r="QZK2" s="353"/>
      <c r="QZL2" s="353"/>
      <c r="QZM2" s="353"/>
      <c r="QZN2" s="353"/>
      <c r="QZO2" s="353"/>
      <c r="QZP2" s="353"/>
      <c r="QZQ2" s="353"/>
      <c r="QZR2" s="353"/>
      <c r="QZS2" s="353"/>
      <c r="QZT2" s="353"/>
      <c r="QZU2" s="353"/>
      <c r="QZV2" s="353"/>
      <c r="QZW2" s="353"/>
      <c r="QZX2" s="353"/>
      <c r="QZY2" s="353"/>
      <c r="QZZ2" s="353"/>
      <c r="RAA2" s="353"/>
      <c r="RAB2" s="353"/>
      <c r="RAC2" s="353"/>
      <c r="RAD2" s="353"/>
      <c r="RAE2" s="353"/>
      <c r="RAF2" s="353"/>
      <c r="RAG2" s="353"/>
      <c r="RAH2" s="353"/>
      <c r="RAI2" s="353"/>
      <c r="RAJ2" s="353"/>
      <c r="RAK2" s="353"/>
      <c r="RAL2" s="353"/>
      <c r="RAM2" s="353"/>
      <c r="RAN2" s="353"/>
      <c r="RAO2" s="353"/>
      <c r="RAP2" s="353"/>
      <c r="RAQ2" s="353"/>
      <c r="RAR2" s="353"/>
      <c r="RAS2" s="353"/>
      <c r="RAT2" s="353"/>
      <c r="RAU2" s="353"/>
      <c r="RAV2" s="353"/>
      <c r="RAW2" s="353"/>
      <c r="RAX2" s="353"/>
      <c r="RAY2" s="353"/>
      <c r="RAZ2" s="353"/>
      <c r="RBA2" s="353"/>
      <c r="RBB2" s="353"/>
      <c r="RBC2" s="353"/>
      <c r="RBD2" s="353"/>
      <c r="RBE2" s="353"/>
      <c r="RBF2" s="353"/>
      <c r="RBG2" s="353"/>
      <c r="RBH2" s="353"/>
      <c r="RBI2" s="353"/>
      <c r="RBJ2" s="353"/>
      <c r="RBK2" s="353"/>
      <c r="RBL2" s="353"/>
      <c r="RBM2" s="353"/>
      <c r="RBN2" s="353"/>
      <c r="RBO2" s="353"/>
      <c r="RBP2" s="353"/>
      <c r="RBQ2" s="353"/>
      <c r="RBR2" s="353"/>
      <c r="RBS2" s="353"/>
      <c r="RBT2" s="353"/>
      <c r="RBU2" s="353"/>
      <c r="RBV2" s="353"/>
      <c r="RBW2" s="353"/>
      <c r="RBX2" s="353"/>
      <c r="RBY2" s="353"/>
      <c r="RBZ2" s="353"/>
      <c r="RCA2" s="353"/>
      <c r="RCB2" s="353"/>
      <c r="RCC2" s="353"/>
      <c r="RCD2" s="353"/>
      <c r="RCE2" s="353"/>
      <c r="RCF2" s="353"/>
      <c r="RCG2" s="353"/>
      <c r="RCH2" s="353"/>
      <c r="RCI2" s="353"/>
      <c r="RCJ2" s="353"/>
      <c r="RCK2" s="353"/>
      <c r="RCL2" s="353"/>
      <c r="RCM2" s="353"/>
      <c r="RCN2" s="353"/>
      <c r="RCO2" s="353"/>
      <c r="RCP2" s="353"/>
      <c r="RCQ2" s="353"/>
      <c r="RCR2" s="353"/>
      <c r="RCS2" s="353"/>
      <c r="RCT2" s="353"/>
      <c r="RCU2" s="353"/>
      <c r="RCV2" s="353"/>
      <c r="RCW2" s="353"/>
      <c r="RCX2" s="353"/>
      <c r="RCY2" s="353"/>
      <c r="RCZ2" s="353"/>
      <c r="RDA2" s="353"/>
      <c r="RDB2" s="353"/>
      <c r="RDC2" s="353"/>
      <c r="RDD2" s="353"/>
      <c r="RDE2" s="353"/>
      <c r="RDF2" s="353"/>
      <c r="RDG2" s="353"/>
      <c r="RDH2" s="353"/>
      <c r="RDI2" s="353"/>
      <c r="RDJ2" s="353"/>
      <c r="RDK2" s="353"/>
      <c r="RDL2" s="353"/>
      <c r="RDM2" s="353"/>
      <c r="RDN2" s="353"/>
      <c r="RDO2" s="353"/>
      <c r="RDP2" s="353"/>
      <c r="RDQ2" s="353"/>
      <c r="RDR2" s="353"/>
      <c r="RDS2" s="353"/>
      <c r="RDT2" s="353"/>
      <c r="RDU2" s="353"/>
      <c r="RDV2" s="353"/>
      <c r="RDW2" s="353"/>
      <c r="RDX2" s="353"/>
      <c r="RDY2" s="353"/>
      <c r="RDZ2" s="353"/>
      <c r="REA2" s="353"/>
      <c r="REB2" s="353"/>
      <c r="REC2" s="353"/>
      <c r="RED2" s="353"/>
      <c r="REE2" s="353"/>
      <c r="REF2" s="353"/>
      <c r="REG2" s="353"/>
      <c r="REH2" s="353"/>
      <c r="REI2" s="353"/>
      <c r="REJ2" s="353"/>
      <c r="REK2" s="353"/>
      <c r="REL2" s="353"/>
      <c r="REM2" s="353"/>
      <c r="REN2" s="353"/>
      <c r="REO2" s="353"/>
      <c r="REP2" s="353"/>
      <c r="REQ2" s="353"/>
      <c r="RER2" s="353"/>
      <c r="RES2" s="353"/>
      <c r="RET2" s="353"/>
      <c r="REU2" s="353"/>
      <c r="REV2" s="353"/>
      <c r="REW2" s="353"/>
      <c r="REX2" s="353"/>
      <c r="REY2" s="353"/>
      <c r="REZ2" s="353"/>
      <c r="RFA2" s="353"/>
      <c r="RFB2" s="353"/>
      <c r="RFC2" s="353"/>
      <c r="RFD2" s="353"/>
      <c r="RFE2" s="353"/>
      <c r="RFF2" s="353"/>
      <c r="RFG2" s="353"/>
      <c r="RFH2" s="353"/>
      <c r="RFI2" s="353"/>
      <c r="RFJ2" s="353"/>
      <c r="RFK2" s="353"/>
      <c r="RFL2" s="353"/>
      <c r="RFM2" s="353"/>
      <c r="RFN2" s="353"/>
      <c r="RFO2" s="353"/>
      <c r="RFP2" s="353"/>
      <c r="RFQ2" s="353"/>
      <c r="RFR2" s="353"/>
      <c r="RFS2" s="353"/>
      <c r="RFT2" s="353"/>
      <c r="RFU2" s="353"/>
      <c r="RFV2" s="353"/>
      <c r="RFW2" s="353"/>
      <c r="RFX2" s="353"/>
      <c r="RFY2" s="353"/>
      <c r="RFZ2" s="353"/>
      <c r="RGA2" s="353"/>
      <c r="RGB2" s="353"/>
      <c r="RGC2" s="353"/>
      <c r="RGD2" s="353"/>
      <c r="RGE2" s="353"/>
      <c r="RGF2" s="353"/>
      <c r="RGG2" s="353"/>
      <c r="RGH2" s="353"/>
      <c r="RGI2" s="353"/>
      <c r="RGJ2" s="353"/>
      <c r="RGK2" s="353"/>
      <c r="RGL2" s="353"/>
      <c r="RGM2" s="353"/>
      <c r="RGN2" s="353"/>
      <c r="RGO2" s="353"/>
      <c r="RGP2" s="353"/>
      <c r="RGQ2" s="353"/>
      <c r="RGR2" s="353"/>
      <c r="RGS2" s="353"/>
      <c r="RGT2" s="353"/>
      <c r="RGU2" s="353"/>
      <c r="RGV2" s="353"/>
      <c r="RGW2" s="353"/>
      <c r="RGX2" s="353"/>
      <c r="RGY2" s="353"/>
      <c r="RGZ2" s="353"/>
      <c r="RHA2" s="353"/>
      <c r="RHB2" s="353"/>
      <c r="RHC2" s="353"/>
      <c r="RHD2" s="353"/>
      <c r="RHE2" s="353"/>
      <c r="RHF2" s="353"/>
      <c r="RHG2" s="353"/>
      <c r="RHH2" s="353"/>
      <c r="RHI2" s="353"/>
      <c r="RHJ2" s="353"/>
      <c r="RHK2" s="353"/>
      <c r="RHL2" s="353"/>
      <c r="RHM2" s="353"/>
      <c r="RHN2" s="353"/>
      <c r="RHO2" s="353"/>
      <c r="RHP2" s="353"/>
      <c r="RHQ2" s="353"/>
      <c r="RHR2" s="353"/>
      <c r="RHS2" s="353"/>
      <c r="RHT2" s="353"/>
      <c r="RHU2" s="353"/>
      <c r="RHV2" s="353"/>
      <c r="RHW2" s="353"/>
      <c r="RHX2" s="353"/>
      <c r="RHY2" s="353"/>
      <c r="RHZ2" s="353"/>
      <c r="RIA2" s="353"/>
      <c r="RIB2" s="353"/>
      <c r="RIC2" s="353"/>
      <c r="RID2" s="353"/>
      <c r="RIE2" s="353"/>
      <c r="RIF2" s="353"/>
      <c r="RIG2" s="353"/>
      <c r="RIH2" s="353"/>
      <c r="RII2" s="353"/>
      <c r="RIJ2" s="353"/>
      <c r="RIK2" s="353"/>
      <c r="RIL2" s="353"/>
      <c r="RIM2" s="353"/>
      <c r="RIN2" s="353"/>
      <c r="RIO2" s="353"/>
      <c r="RIP2" s="353"/>
      <c r="RIQ2" s="353"/>
      <c r="RIR2" s="353"/>
      <c r="RIS2" s="353"/>
      <c r="RIT2" s="353"/>
      <c r="RIU2" s="353"/>
      <c r="RIV2" s="353"/>
      <c r="RIW2" s="353"/>
      <c r="RIX2" s="353"/>
      <c r="RIY2" s="353"/>
      <c r="RIZ2" s="353"/>
      <c r="RJA2" s="353"/>
      <c r="RJB2" s="353"/>
      <c r="RJC2" s="353"/>
      <c r="RJD2" s="353"/>
      <c r="RJE2" s="353"/>
      <c r="RJF2" s="353"/>
      <c r="RJG2" s="353"/>
      <c r="RJH2" s="353"/>
      <c r="RJI2" s="353"/>
      <c r="RJJ2" s="353"/>
      <c r="RJK2" s="353"/>
      <c r="RJL2" s="353"/>
      <c r="RJM2" s="353"/>
      <c r="RJN2" s="353"/>
      <c r="RJO2" s="353"/>
      <c r="RJP2" s="353"/>
      <c r="RJQ2" s="353"/>
      <c r="RJR2" s="353"/>
      <c r="RJS2" s="353"/>
      <c r="RJT2" s="353"/>
      <c r="RJU2" s="353"/>
      <c r="RJV2" s="353"/>
      <c r="RJW2" s="353"/>
      <c r="RJX2" s="353"/>
      <c r="RJY2" s="353"/>
      <c r="RJZ2" s="353"/>
      <c r="RKA2" s="353"/>
      <c r="RKB2" s="353"/>
      <c r="RKC2" s="353"/>
      <c r="RKD2" s="353"/>
      <c r="RKE2" s="353"/>
      <c r="RKF2" s="353"/>
      <c r="RKG2" s="353"/>
      <c r="RKH2" s="353"/>
      <c r="RKI2" s="353"/>
      <c r="RKJ2" s="353"/>
      <c r="RKK2" s="353"/>
      <c r="RKL2" s="353"/>
      <c r="RKM2" s="353"/>
      <c r="RKN2" s="353"/>
      <c r="RKO2" s="353"/>
      <c r="RKP2" s="353"/>
      <c r="RKQ2" s="353"/>
      <c r="RKR2" s="353"/>
      <c r="RKS2" s="353"/>
      <c r="RKT2" s="353"/>
      <c r="RKU2" s="353"/>
      <c r="RKV2" s="353"/>
      <c r="RKW2" s="353"/>
      <c r="RKX2" s="353"/>
      <c r="RKY2" s="353"/>
      <c r="RKZ2" s="353"/>
      <c r="RLA2" s="353"/>
      <c r="RLB2" s="353"/>
      <c r="RLC2" s="353"/>
      <c r="RLD2" s="353"/>
      <c r="RLE2" s="353"/>
      <c r="RLF2" s="353"/>
      <c r="RLG2" s="353"/>
      <c r="RLH2" s="353"/>
      <c r="RLI2" s="353"/>
      <c r="RLJ2" s="353"/>
      <c r="RLK2" s="353"/>
      <c r="RLL2" s="353"/>
      <c r="RLM2" s="353"/>
      <c r="RLN2" s="353"/>
      <c r="RLO2" s="353"/>
      <c r="RLP2" s="353"/>
      <c r="RLQ2" s="353"/>
      <c r="RLR2" s="353"/>
      <c r="RLS2" s="353"/>
      <c r="RLT2" s="353"/>
      <c r="RLU2" s="353"/>
      <c r="RLV2" s="353"/>
      <c r="RLW2" s="353"/>
      <c r="RLX2" s="353"/>
      <c r="RLY2" s="353"/>
      <c r="RLZ2" s="353"/>
      <c r="RMA2" s="353"/>
      <c r="RMB2" s="353"/>
      <c r="RMC2" s="353"/>
      <c r="RMD2" s="353"/>
      <c r="RME2" s="353"/>
      <c r="RMF2" s="353"/>
      <c r="RMG2" s="353"/>
      <c r="RMH2" s="353"/>
      <c r="RMI2" s="353"/>
      <c r="RMJ2" s="353"/>
      <c r="RMK2" s="353"/>
      <c r="RML2" s="353"/>
      <c r="RMM2" s="353"/>
      <c r="RMN2" s="353"/>
      <c r="RMO2" s="353"/>
      <c r="RMP2" s="353"/>
      <c r="RMQ2" s="353"/>
      <c r="RMR2" s="353"/>
      <c r="RMS2" s="353"/>
      <c r="RMT2" s="353"/>
      <c r="RMU2" s="353"/>
      <c r="RMV2" s="353"/>
      <c r="RMW2" s="353"/>
      <c r="RMX2" s="353"/>
      <c r="RMY2" s="353"/>
      <c r="RMZ2" s="353"/>
      <c r="RNA2" s="353"/>
      <c r="RNB2" s="353"/>
      <c r="RNC2" s="353"/>
      <c r="RND2" s="353"/>
      <c r="RNE2" s="353"/>
      <c r="RNF2" s="353"/>
      <c r="RNG2" s="353"/>
      <c r="RNH2" s="353"/>
      <c r="RNI2" s="353"/>
      <c r="RNJ2" s="353"/>
      <c r="RNK2" s="353"/>
      <c r="RNL2" s="353"/>
      <c r="RNM2" s="353"/>
      <c r="RNN2" s="353"/>
      <c r="RNO2" s="353"/>
      <c r="RNP2" s="353"/>
      <c r="RNQ2" s="353"/>
      <c r="RNR2" s="353"/>
      <c r="RNS2" s="353"/>
      <c r="RNT2" s="353"/>
      <c r="RNU2" s="353"/>
      <c r="RNV2" s="353"/>
      <c r="RNW2" s="353"/>
      <c r="RNX2" s="353"/>
      <c r="RNY2" s="353"/>
      <c r="RNZ2" s="353"/>
      <c r="ROA2" s="353"/>
      <c r="ROB2" s="353"/>
      <c r="ROC2" s="353"/>
      <c r="ROD2" s="353"/>
      <c r="ROE2" s="353"/>
      <c r="ROF2" s="353"/>
      <c r="ROG2" s="353"/>
      <c r="ROH2" s="353"/>
      <c r="ROI2" s="353"/>
      <c r="ROJ2" s="353"/>
      <c r="ROK2" s="353"/>
      <c r="ROL2" s="353"/>
      <c r="ROM2" s="353"/>
      <c r="RON2" s="353"/>
      <c r="ROO2" s="353"/>
      <c r="ROP2" s="353"/>
      <c r="ROQ2" s="353"/>
      <c r="ROR2" s="353"/>
      <c r="ROS2" s="353"/>
      <c r="ROT2" s="353"/>
      <c r="ROU2" s="353"/>
      <c r="ROV2" s="353"/>
      <c r="ROW2" s="353"/>
      <c r="ROX2" s="353"/>
      <c r="ROY2" s="353"/>
      <c r="ROZ2" s="353"/>
      <c r="RPA2" s="353"/>
      <c r="RPB2" s="353"/>
      <c r="RPC2" s="353"/>
      <c r="RPD2" s="353"/>
      <c r="RPE2" s="353"/>
      <c r="RPF2" s="353"/>
      <c r="RPG2" s="353"/>
      <c r="RPH2" s="353"/>
      <c r="RPI2" s="353"/>
      <c r="RPJ2" s="353"/>
      <c r="RPK2" s="353"/>
      <c r="RPL2" s="353"/>
      <c r="RPM2" s="353"/>
      <c r="RPN2" s="353"/>
      <c r="RPO2" s="353"/>
      <c r="RPP2" s="353"/>
      <c r="RPQ2" s="353"/>
      <c r="RPR2" s="353"/>
      <c r="RPS2" s="353"/>
      <c r="RPT2" s="353"/>
      <c r="RPU2" s="353"/>
      <c r="RPV2" s="353"/>
      <c r="RPW2" s="353"/>
      <c r="RPX2" s="353"/>
      <c r="RPY2" s="353"/>
      <c r="RPZ2" s="353"/>
      <c r="RQA2" s="353"/>
      <c r="RQB2" s="353"/>
      <c r="RQC2" s="353"/>
      <c r="RQD2" s="353"/>
      <c r="RQE2" s="353"/>
      <c r="RQF2" s="353"/>
      <c r="RQG2" s="353"/>
      <c r="RQH2" s="353"/>
      <c r="RQI2" s="353"/>
      <c r="RQJ2" s="353"/>
      <c r="RQK2" s="353"/>
      <c r="RQL2" s="353"/>
      <c r="RQM2" s="353"/>
      <c r="RQN2" s="353"/>
      <c r="RQO2" s="353"/>
      <c r="RQP2" s="353"/>
      <c r="RQQ2" s="353"/>
      <c r="RQR2" s="353"/>
      <c r="RQS2" s="353"/>
      <c r="RQT2" s="353"/>
      <c r="RQU2" s="353"/>
      <c r="RQV2" s="353"/>
      <c r="RQW2" s="353"/>
      <c r="RQX2" s="353"/>
      <c r="RQY2" s="353"/>
      <c r="RQZ2" s="353"/>
      <c r="RRA2" s="353"/>
      <c r="RRB2" s="353"/>
      <c r="RRC2" s="353"/>
      <c r="RRD2" s="353"/>
      <c r="RRE2" s="353"/>
      <c r="RRF2" s="353"/>
      <c r="RRG2" s="353"/>
      <c r="RRH2" s="353"/>
      <c r="RRI2" s="353"/>
      <c r="RRJ2" s="353"/>
      <c r="RRK2" s="353"/>
      <c r="RRL2" s="353"/>
      <c r="RRM2" s="353"/>
      <c r="RRN2" s="353"/>
      <c r="RRO2" s="353"/>
      <c r="RRP2" s="353"/>
      <c r="RRQ2" s="353"/>
      <c r="RRR2" s="353"/>
      <c r="RRS2" s="353"/>
      <c r="RRT2" s="353"/>
      <c r="RRU2" s="353"/>
      <c r="RRV2" s="353"/>
      <c r="RRW2" s="353"/>
      <c r="RRX2" s="353"/>
      <c r="RRY2" s="353"/>
      <c r="RRZ2" s="353"/>
      <c r="RSA2" s="353"/>
      <c r="RSB2" s="353"/>
      <c r="RSC2" s="353"/>
      <c r="RSD2" s="353"/>
      <c r="RSE2" s="353"/>
      <c r="RSF2" s="353"/>
      <c r="RSG2" s="353"/>
      <c r="RSH2" s="353"/>
      <c r="RSI2" s="353"/>
      <c r="RSJ2" s="353"/>
      <c r="RSK2" s="353"/>
      <c r="RSL2" s="353"/>
      <c r="RSM2" s="353"/>
      <c r="RSN2" s="353"/>
      <c r="RSO2" s="353"/>
      <c r="RSP2" s="353"/>
      <c r="RSQ2" s="353"/>
      <c r="RSR2" s="353"/>
      <c r="RSS2" s="353"/>
      <c r="RST2" s="353"/>
      <c r="RSU2" s="353"/>
      <c r="RSV2" s="353"/>
      <c r="RSW2" s="353"/>
      <c r="RSX2" s="353"/>
      <c r="RSY2" s="353"/>
      <c r="RSZ2" s="353"/>
      <c r="RTA2" s="353"/>
      <c r="RTB2" s="353"/>
      <c r="RTC2" s="353"/>
      <c r="RTD2" s="353"/>
      <c r="RTE2" s="353"/>
      <c r="RTF2" s="353"/>
      <c r="RTG2" s="353"/>
      <c r="RTH2" s="353"/>
      <c r="RTI2" s="353"/>
      <c r="RTJ2" s="353"/>
      <c r="RTK2" s="353"/>
      <c r="RTL2" s="353"/>
      <c r="RTM2" s="353"/>
      <c r="RTN2" s="353"/>
      <c r="RTO2" s="353"/>
      <c r="RTP2" s="353"/>
      <c r="RTQ2" s="353"/>
      <c r="RTR2" s="353"/>
      <c r="RTS2" s="353"/>
      <c r="RTT2" s="353"/>
      <c r="RTU2" s="353"/>
      <c r="RTV2" s="353"/>
      <c r="RTW2" s="353"/>
      <c r="RTX2" s="353"/>
      <c r="RTY2" s="353"/>
      <c r="RTZ2" s="353"/>
      <c r="RUA2" s="353"/>
      <c r="RUB2" s="353"/>
      <c r="RUC2" s="353"/>
      <c r="RUD2" s="353"/>
      <c r="RUE2" s="353"/>
      <c r="RUF2" s="353"/>
      <c r="RUG2" s="353"/>
      <c r="RUH2" s="353"/>
      <c r="RUI2" s="353"/>
      <c r="RUJ2" s="353"/>
      <c r="RUK2" s="353"/>
      <c r="RUL2" s="353"/>
      <c r="RUM2" s="353"/>
      <c r="RUN2" s="353"/>
      <c r="RUO2" s="353"/>
      <c r="RUP2" s="353"/>
      <c r="RUQ2" s="353"/>
      <c r="RUR2" s="353"/>
      <c r="RUS2" s="353"/>
      <c r="RUT2" s="353"/>
      <c r="RUU2" s="353"/>
      <c r="RUV2" s="353"/>
      <c r="RUW2" s="353"/>
      <c r="RUX2" s="353"/>
      <c r="RUY2" s="353"/>
      <c r="RUZ2" s="353"/>
      <c r="RVA2" s="353"/>
      <c r="RVB2" s="353"/>
      <c r="RVC2" s="353"/>
      <c r="RVD2" s="353"/>
      <c r="RVE2" s="353"/>
      <c r="RVF2" s="353"/>
      <c r="RVG2" s="353"/>
      <c r="RVH2" s="353"/>
      <c r="RVI2" s="353"/>
      <c r="RVJ2" s="353"/>
      <c r="RVK2" s="353"/>
      <c r="RVL2" s="353"/>
      <c r="RVM2" s="353"/>
      <c r="RVN2" s="353"/>
      <c r="RVO2" s="353"/>
      <c r="RVP2" s="353"/>
      <c r="RVQ2" s="353"/>
      <c r="RVR2" s="353"/>
      <c r="RVS2" s="353"/>
      <c r="RVT2" s="353"/>
      <c r="RVU2" s="353"/>
      <c r="RVV2" s="353"/>
      <c r="RVW2" s="353"/>
      <c r="RVX2" s="353"/>
      <c r="RVY2" s="353"/>
      <c r="RVZ2" s="353"/>
      <c r="RWA2" s="353"/>
      <c r="RWB2" s="353"/>
      <c r="RWC2" s="353"/>
      <c r="RWD2" s="353"/>
      <c r="RWE2" s="353"/>
      <c r="RWF2" s="353"/>
      <c r="RWG2" s="353"/>
      <c r="RWH2" s="353"/>
      <c r="RWI2" s="353"/>
      <c r="RWJ2" s="353"/>
      <c r="RWK2" s="353"/>
      <c r="RWL2" s="353"/>
      <c r="RWM2" s="353"/>
      <c r="RWN2" s="353"/>
      <c r="RWO2" s="353"/>
      <c r="RWP2" s="353"/>
      <c r="RWQ2" s="353"/>
      <c r="RWR2" s="353"/>
      <c r="RWS2" s="353"/>
      <c r="RWT2" s="353"/>
      <c r="RWU2" s="353"/>
      <c r="RWV2" s="353"/>
      <c r="RWW2" s="353"/>
      <c r="RWX2" s="353"/>
      <c r="RWY2" s="353"/>
      <c r="RWZ2" s="353"/>
      <c r="RXA2" s="353"/>
      <c r="RXB2" s="353"/>
      <c r="RXC2" s="353"/>
      <c r="RXD2" s="353"/>
      <c r="RXE2" s="353"/>
      <c r="RXF2" s="353"/>
      <c r="RXG2" s="353"/>
      <c r="RXH2" s="353"/>
      <c r="RXI2" s="353"/>
      <c r="RXJ2" s="353"/>
      <c r="RXK2" s="353"/>
      <c r="RXL2" s="353"/>
      <c r="RXM2" s="353"/>
      <c r="RXN2" s="353"/>
      <c r="RXO2" s="353"/>
      <c r="RXP2" s="353"/>
      <c r="RXQ2" s="353"/>
      <c r="RXR2" s="353"/>
      <c r="RXS2" s="353"/>
      <c r="RXT2" s="353"/>
      <c r="RXU2" s="353"/>
      <c r="RXV2" s="353"/>
      <c r="RXW2" s="353"/>
      <c r="RXX2" s="353"/>
      <c r="RXY2" s="353"/>
      <c r="RXZ2" s="353"/>
      <c r="RYA2" s="353"/>
      <c r="RYB2" s="353"/>
      <c r="RYC2" s="353"/>
      <c r="RYD2" s="353"/>
      <c r="RYE2" s="353"/>
      <c r="RYF2" s="353"/>
      <c r="RYG2" s="353"/>
      <c r="RYH2" s="353"/>
      <c r="RYI2" s="353"/>
      <c r="RYJ2" s="353"/>
      <c r="RYK2" s="353"/>
      <c r="RYL2" s="353"/>
      <c r="RYM2" s="353"/>
      <c r="RYN2" s="353"/>
      <c r="RYO2" s="353"/>
      <c r="RYP2" s="353"/>
      <c r="RYQ2" s="353"/>
      <c r="RYR2" s="353"/>
      <c r="RYS2" s="353"/>
      <c r="RYT2" s="353"/>
      <c r="RYU2" s="353"/>
      <c r="RYV2" s="353"/>
      <c r="RYW2" s="353"/>
      <c r="RYX2" s="353"/>
      <c r="RYY2" s="353"/>
      <c r="RYZ2" s="353"/>
      <c r="RZA2" s="353"/>
      <c r="RZB2" s="353"/>
      <c r="RZC2" s="353"/>
      <c r="RZD2" s="353"/>
      <c r="RZE2" s="353"/>
      <c r="RZF2" s="353"/>
      <c r="RZG2" s="353"/>
      <c r="RZH2" s="353"/>
      <c r="RZI2" s="353"/>
      <c r="RZJ2" s="353"/>
      <c r="RZK2" s="353"/>
      <c r="RZL2" s="353"/>
      <c r="RZM2" s="353"/>
      <c r="RZN2" s="353"/>
      <c r="RZO2" s="353"/>
      <c r="RZP2" s="353"/>
      <c r="RZQ2" s="353"/>
      <c r="RZR2" s="353"/>
      <c r="RZS2" s="353"/>
      <c r="RZT2" s="353"/>
      <c r="RZU2" s="353"/>
      <c r="RZV2" s="353"/>
      <c r="RZW2" s="353"/>
      <c r="RZX2" s="353"/>
      <c r="RZY2" s="353"/>
      <c r="RZZ2" s="353"/>
      <c r="SAA2" s="353"/>
      <c r="SAB2" s="353"/>
      <c r="SAC2" s="353"/>
      <c r="SAD2" s="353"/>
      <c r="SAE2" s="353"/>
      <c r="SAF2" s="353"/>
      <c r="SAG2" s="353"/>
      <c r="SAH2" s="353"/>
      <c r="SAI2" s="353"/>
      <c r="SAJ2" s="353"/>
      <c r="SAK2" s="353"/>
      <c r="SAL2" s="353"/>
      <c r="SAM2" s="353"/>
      <c r="SAN2" s="353"/>
      <c r="SAO2" s="353"/>
      <c r="SAP2" s="353"/>
      <c r="SAQ2" s="353"/>
      <c r="SAR2" s="353"/>
      <c r="SAS2" s="353"/>
      <c r="SAT2" s="353"/>
      <c r="SAU2" s="353"/>
      <c r="SAV2" s="353"/>
      <c r="SAW2" s="353"/>
      <c r="SAX2" s="353"/>
      <c r="SAY2" s="353"/>
      <c r="SAZ2" s="353"/>
      <c r="SBA2" s="353"/>
      <c r="SBB2" s="353"/>
      <c r="SBC2" s="353"/>
      <c r="SBD2" s="353"/>
      <c r="SBE2" s="353"/>
      <c r="SBF2" s="353"/>
      <c r="SBG2" s="353"/>
      <c r="SBH2" s="353"/>
      <c r="SBI2" s="353"/>
      <c r="SBJ2" s="353"/>
      <c r="SBK2" s="353"/>
      <c r="SBL2" s="353"/>
      <c r="SBM2" s="353"/>
      <c r="SBN2" s="353"/>
      <c r="SBO2" s="353"/>
      <c r="SBP2" s="353"/>
      <c r="SBQ2" s="353"/>
      <c r="SBR2" s="353"/>
      <c r="SBS2" s="353"/>
      <c r="SBT2" s="353"/>
      <c r="SBU2" s="353"/>
      <c r="SBV2" s="353"/>
      <c r="SBW2" s="353"/>
      <c r="SBX2" s="353"/>
      <c r="SBY2" s="353"/>
      <c r="SBZ2" s="353"/>
      <c r="SCA2" s="353"/>
      <c r="SCB2" s="353"/>
      <c r="SCC2" s="353"/>
      <c r="SCD2" s="353"/>
      <c r="SCE2" s="353"/>
      <c r="SCF2" s="353"/>
      <c r="SCG2" s="353"/>
      <c r="SCH2" s="353"/>
      <c r="SCI2" s="353"/>
      <c r="SCJ2" s="353"/>
      <c r="SCK2" s="353"/>
      <c r="SCL2" s="353"/>
      <c r="SCM2" s="353"/>
      <c r="SCN2" s="353"/>
      <c r="SCO2" s="353"/>
      <c r="SCP2" s="353"/>
      <c r="SCQ2" s="353"/>
      <c r="SCR2" s="353"/>
      <c r="SCS2" s="353"/>
      <c r="SCT2" s="353"/>
      <c r="SCU2" s="353"/>
      <c r="SCV2" s="353"/>
      <c r="SCW2" s="353"/>
      <c r="SCX2" s="353"/>
      <c r="SCY2" s="353"/>
      <c r="SCZ2" s="353"/>
      <c r="SDA2" s="353"/>
      <c r="SDB2" s="353"/>
      <c r="SDC2" s="353"/>
      <c r="SDD2" s="353"/>
      <c r="SDE2" s="353"/>
      <c r="SDF2" s="353"/>
      <c r="SDG2" s="353"/>
      <c r="SDH2" s="353"/>
      <c r="SDI2" s="353"/>
      <c r="SDJ2" s="353"/>
      <c r="SDK2" s="353"/>
      <c r="SDL2" s="353"/>
      <c r="SDM2" s="353"/>
      <c r="SDN2" s="353"/>
      <c r="SDO2" s="353"/>
      <c r="SDP2" s="353"/>
      <c r="SDQ2" s="353"/>
      <c r="SDR2" s="353"/>
      <c r="SDS2" s="353"/>
      <c r="SDT2" s="353"/>
      <c r="SDU2" s="353"/>
      <c r="SDV2" s="353"/>
      <c r="SDW2" s="353"/>
      <c r="SDX2" s="353"/>
      <c r="SDY2" s="353"/>
      <c r="SDZ2" s="353"/>
      <c r="SEA2" s="353"/>
      <c r="SEB2" s="353"/>
      <c r="SEC2" s="353"/>
      <c r="SED2" s="353"/>
      <c r="SEE2" s="353"/>
      <c r="SEF2" s="353"/>
      <c r="SEG2" s="353"/>
      <c r="SEH2" s="353"/>
      <c r="SEI2" s="353"/>
      <c r="SEJ2" s="353"/>
      <c r="SEK2" s="353"/>
      <c r="SEL2" s="353"/>
      <c r="SEM2" s="353"/>
      <c r="SEN2" s="353"/>
      <c r="SEO2" s="353"/>
      <c r="SEP2" s="353"/>
      <c r="SEQ2" s="353"/>
      <c r="SER2" s="353"/>
      <c r="SES2" s="353"/>
      <c r="SET2" s="353"/>
      <c r="SEU2" s="353"/>
      <c r="SEV2" s="353"/>
      <c r="SEW2" s="353"/>
      <c r="SEX2" s="353"/>
      <c r="SEY2" s="353"/>
      <c r="SEZ2" s="353"/>
      <c r="SFA2" s="353"/>
      <c r="SFB2" s="353"/>
      <c r="SFC2" s="353"/>
      <c r="SFD2" s="353"/>
      <c r="SFE2" s="353"/>
      <c r="SFF2" s="353"/>
      <c r="SFG2" s="353"/>
      <c r="SFH2" s="353"/>
      <c r="SFI2" s="353"/>
      <c r="SFJ2" s="353"/>
      <c r="SFK2" s="353"/>
      <c r="SFL2" s="353"/>
      <c r="SFM2" s="353"/>
      <c r="SFN2" s="353"/>
      <c r="SFO2" s="353"/>
      <c r="SFP2" s="353"/>
      <c r="SFQ2" s="353"/>
      <c r="SFR2" s="353"/>
      <c r="SFS2" s="353"/>
      <c r="SFT2" s="353"/>
      <c r="SFU2" s="353"/>
      <c r="SFV2" s="353"/>
      <c r="SFW2" s="353"/>
      <c r="SFX2" s="353"/>
      <c r="SFY2" s="353"/>
      <c r="SFZ2" s="353"/>
      <c r="SGA2" s="353"/>
      <c r="SGB2" s="353"/>
      <c r="SGC2" s="353"/>
      <c r="SGD2" s="353"/>
      <c r="SGE2" s="353"/>
      <c r="SGF2" s="353"/>
      <c r="SGG2" s="353"/>
      <c r="SGH2" s="353"/>
      <c r="SGI2" s="353"/>
      <c r="SGJ2" s="353"/>
      <c r="SGK2" s="353"/>
      <c r="SGL2" s="353"/>
      <c r="SGM2" s="353"/>
      <c r="SGN2" s="353"/>
      <c r="SGO2" s="353"/>
      <c r="SGP2" s="353"/>
      <c r="SGQ2" s="353"/>
      <c r="SGR2" s="353"/>
      <c r="SGS2" s="353"/>
      <c r="SGT2" s="353"/>
      <c r="SGU2" s="353"/>
      <c r="SGV2" s="353"/>
      <c r="SGW2" s="353"/>
      <c r="SGX2" s="353"/>
      <c r="SGY2" s="353"/>
      <c r="SGZ2" s="353"/>
      <c r="SHA2" s="353"/>
      <c r="SHB2" s="353"/>
      <c r="SHC2" s="353"/>
      <c r="SHD2" s="353"/>
      <c r="SHE2" s="353"/>
      <c r="SHF2" s="353"/>
      <c r="SHG2" s="353"/>
      <c r="SHH2" s="353"/>
      <c r="SHI2" s="353"/>
      <c r="SHJ2" s="353"/>
      <c r="SHK2" s="353"/>
      <c r="SHL2" s="353"/>
      <c r="SHM2" s="353"/>
      <c r="SHN2" s="353"/>
      <c r="SHO2" s="353"/>
      <c r="SHP2" s="353"/>
      <c r="SHQ2" s="353"/>
      <c r="SHR2" s="353"/>
      <c r="SHS2" s="353"/>
      <c r="SHT2" s="353"/>
      <c r="SHU2" s="353"/>
      <c r="SHV2" s="353"/>
      <c r="SHW2" s="353"/>
      <c r="SHX2" s="353"/>
      <c r="SHY2" s="353"/>
      <c r="SHZ2" s="353"/>
      <c r="SIA2" s="353"/>
      <c r="SIB2" s="353"/>
      <c r="SIC2" s="353"/>
      <c r="SID2" s="353"/>
      <c r="SIE2" s="353"/>
      <c r="SIF2" s="353"/>
      <c r="SIG2" s="353"/>
      <c r="SIH2" s="353"/>
      <c r="SII2" s="353"/>
      <c r="SIJ2" s="353"/>
      <c r="SIK2" s="353"/>
      <c r="SIL2" s="353"/>
      <c r="SIM2" s="353"/>
      <c r="SIN2" s="353"/>
      <c r="SIO2" s="353"/>
      <c r="SIP2" s="353"/>
      <c r="SIQ2" s="353"/>
      <c r="SIR2" s="353"/>
      <c r="SIS2" s="353"/>
      <c r="SIT2" s="353"/>
      <c r="SIU2" s="353"/>
      <c r="SIV2" s="353"/>
      <c r="SIW2" s="353"/>
      <c r="SIX2" s="353"/>
      <c r="SIY2" s="353"/>
      <c r="SIZ2" s="353"/>
      <c r="SJA2" s="353"/>
      <c r="SJB2" s="353"/>
      <c r="SJC2" s="353"/>
      <c r="SJD2" s="353"/>
      <c r="SJE2" s="353"/>
      <c r="SJF2" s="353"/>
      <c r="SJG2" s="353"/>
      <c r="SJH2" s="353"/>
      <c r="SJI2" s="353"/>
      <c r="SJJ2" s="353"/>
      <c r="SJK2" s="353"/>
      <c r="SJL2" s="353"/>
      <c r="SJM2" s="353"/>
      <c r="SJN2" s="353"/>
      <c r="SJO2" s="353"/>
      <c r="SJP2" s="353"/>
      <c r="SJQ2" s="353"/>
      <c r="SJR2" s="353"/>
      <c r="SJS2" s="353"/>
      <c r="SJT2" s="353"/>
      <c r="SJU2" s="353"/>
      <c r="SJV2" s="353"/>
      <c r="SJW2" s="353"/>
      <c r="SJX2" s="353"/>
      <c r="SJY2" s="353"/>
      <c r="SJZ2" s="353"/>
      <c r="SKA2" s="353"/>
      <c r="SKB2" s="353"/>
      <c r="SKC2" s="353"/>
      <c r="SKD2" s="353"/>
      <c r="SKE2" s="353"/>
      <c r="SKF2" s="353"/>
      <c r="SKG2" s="353"/>
      <c r="SKH2" s="353"/>
      <c r="SKI2" s="353"/>
      <c r="SKJ2" s="353"/>
      <c r="SKK2" s="353"/>
      <c r="SKL2" s="353"/>
      <c r="SKM2" s="353"/>
      <c r="SKN2" s="353"/>
      <c r="SKO2" s="353"/>
      <c r="SKP2" s="353"/>
      <c r="SKQ2" s="353"/>
      <c r="SKR2" s="353"/>
      <c r="SKS2" s="353"/>
      <c r="SKT2" s="353"/>
      <c r="SKU2" s="353"/>
      <c r="SKV2" s="353"/>
      <c r="SKW2" s="353"/>
      <c r="SKX2" s="353"/>
      <c r="SKY2" s="353"/>
      <c r="SKZ2" s="353"/>
      <c r="SLA2" s="353"/>
      <c r="SLB2" s="353"/>
      <c r="SLC2" s="353"/>
      <c r="SLD2" s="353"/>
      <c r="SLE2" s="353"/>
      <c r="SLF2" s="353"/>
      <c r="SLG2" s="353"/>
      <c r="SLH2" s="353"/>
      <c r="SLI2" s="353"/>
      <c r="SLJ2" s="353"/>
      <c r="SLK2" s="353"/>
      <c r="SLL2" s="353"/>
      <c r="SLM2" s="353"/>
      <c r="SLN2" s="353"/>
      <c r="SLO2" s="353"/>
      <c r="SLP2" s="353"/>
      <c r="SLQ2" s="353"/>
      <c r="SLR2" s="353"/>
      <c r="SLS2" s="353"/>
      <c r="SLT2" s="353"/>
      <c r="SLU2" s="353"/>
      <c r="SLV2" s="353"/>
      <c r="SLW2" s="353"/>
      <c r="SLX2" s="353"/>
      <c r="SLY2" s="353"/>
      <c r="SLZ2" s="353"/>
      <c r="SMA2" s="353"/>
      <c r="SMB2" s="353"/>
      <c r="SMC2" s="353"/>
      <c r="SMD2" s="353"/>
      <c r="SME2" s="353"/>
      <c r="SMF2" s="353"/>
      <c r="SMG2" s="353"/>
      <c r="SMH2" s="353"/>
      <c r="SMI2" s="353"/>
      <c r="SMJ2" s="353"/>
      <c r="SMK2" s="353"/>
      <c r="SML2" s="353"/>
      <c r="SMM2" s="353"/>
      <c r="SMN2" s="353"/>
      <c r="SMO2" s="353"/>
      <c r="SMP2" s="353"/>
      <c r="SMQ2" s="353"/>
      <c r="SMR2" s="353"/>
      <c r="SMS2" s="353"/>
      <c r="SMT2" s="353"/>
      <c r="SMU2" s="353"/>
      <c r="SMV2" s="353"/>
      <c r="SMW2" s="353"/>
      <c r="SMX2" s="353"/>
      <c r="SMY2" s="353"/>
      <c r="SMZ2" s="353"/>
      <c r="SNA2" s="353"/>
      <c r="SNB2" s="353"/>
      <c r="SNC2" s="353"/>
      <c r="SND2" s="353"/>
      <c r="SNE2" s="353"/>
      <c r="SNF2" s="353"/>
      <c r="SNG2" s="353"/>
      <c r="SNH2" s="353"/>
      <c r="SNI2" s="353"/>
      <c r="SNJ2" s="353"/>
      <c r="SNK2" s="353"/>
      <c r="SNL2" s="353"/>
      <c r="SNM2" s="353"/>
      <c r="SNN2" s="353"/>
      <c r="SNO2" s="353"/>
      <c r="SNP2" s="353"/>
      <c r="SNQ2" s="353"/>
      <c r="SNR2" s="353"/>
      <c r="SNS2" s="353"/>
      <c r="SNT2" s="353"/>
      <c r="SNU2" s="353"/>
      <c r="SNV2" s="353"/>
      <c r="SNW2" s="353"/>
      <c r="SNX2" s="353"/>
      <c r="SNY2" s="353"/>
      <c r="SNZ2" s="353"/>
      <c r="SOA2" s="353"/>
      <c r="SOB2" s="353"/>
      <c r="SOC2" s="353"/>
      <c r="SOD2" s="353"/>
      <c r="SOE2" s="353"/>
      <c r="SOF2" s="353"/>
      <c r="SOG2" s="353"/>
      <c r="SOH2" s="353"/>
      <c r="SOI2" s="353"/>
      <c r="SOJ2" s="353"/>
      <c r="SOK2" s="353"/>
      <c r="SOL2" s="353"/>
      <c r="SOM2" s="353"/>
      <c r="SON2" s="353"/>
      <c r="SOO2" s="353"/>
      <c r="SOP2" s="353"/>
      <c r="SOQ2" s="353"/>
      <c r="SOR2" s="353"/>
      <c r="SOS2" s="353"/>
      <c r="SOT2" s="353"/>
      <c r="SOU2" s="353"/>
      <c r="SOV2" s="353"/>
      <c r="SOW2" s="353"/>
      <c r="SOX2" s="353"/>
      <c r="SOY2" s="353"/>
      <c r="SOZ2" s="353"/>
      <c r="SPA2" s="353"/>
      <c r="SPB2" s="353"/>
      <c r="SPC2" s="353"/>
      <c r="SPD2" s="353"/>
      <c r="SPE2" s="353"/>
      <c r="SPF2" s="353"/>
      <c r="SPG2" s="353"/>
      <c r="SPH2" s="353"/>
      <c r="SPI2" s="353"/>
      <c r="SPJ2" s="353"/>
      <c r="SPK2" s="353"/>
      <c r="SPL2" s="353"/>
      <c r="SPM2" s="353"/>
      <c r="SPN2" s="353"/>
      <c r="SPO2" s="353"/>
      <c r="SPP2" s="353"/>
      <c r="SPQ2" s="353"/>
      <c r="SPR2" s="353"/>
      <c r="SPS2" s="353"/>
      <c r="SPT2" s="353"/>
      <c r="SPU2" s="353"/>
      <c r="SPV2" s="353"/>
      <c r="SPW2" s="353"/>
      <c r="SPX2" s="353"/>
      <c r="SPY2" s="353"/>
      <c r="SPZ2" s="353"/>
      <c r="SQA2" s="353"/>
      <c r="SQB2" s="353"/>
      <c r="SQC2" s="353"/>
      <c r="SQD2" s="353"/>
      <c r="SQE2" s="353"/>
      <c r="SQF2" s="353"/>
      <c r="SQG2" s="353"/>
      <c r="SQH2" s="353"/>
      <c r="SQI2" s="353"/>
      <c r="SQJ2" s="353"/>
      <c r="SQK2" s="353"/>
      <c r="SQL2" s="353"/>
      <c r="SQM2" s="353"/>
      <c r="SQN2" s="353"/>
      <c r="SQO2" s="353"/>
      <c r="SQP2" s="353"/>
      <c r="SQQ2" s="353"/>
      <c r="SQR2" s="353"/>
      <c r="SQS2" s="353"/>
      <c r="SQT2" s="353"/>
      <c r="SQU2" s="353"/>
      <c r="SQV2" s="353"/>
      <c r="SQW2" s="353"/>
      <c r="SQX2" s="353"/>
      <c r="SQY2" s="353"/>
      <c r="SQZ2" s="353"/>
      <c r="SRA2" s="353"/>
      <c r="SRB2" s="353"/>
      <c r="SRC2" s="353"/>
      <c r="SRD2" s="353"/>
      <c r="SRE2" s="353"/>
      <c r="SRF2" s="353"/>
      <c r="SRG2" s="353"/>
      <c r="SRH2" s="353"/>
      <c r="SRI2" s="353"/>
      <c r="SRJ2" s="353"/>
      <c r="SRK2" s="353"/>
      <c r="SRL2" s="353"/>
      <c r="SRM2" s="353"/>
      <c r="SRN2" s="353"/>
      <c r="SRO2" s="353"/>
      <c r="SRP2" s="353"/>
      <c r="SRQ2" s="353"/>
      <c r="SRR2" s="353"/>
      <c r="SRS2" s="353"/>
      <c r="SRT2" s="353"/>
      <c r="SRU2" s="353"/>
      <c r="SRV2" s="353"/>
      <c r="SRW2" s="353"/>
      <c r="SRX2" s="353"/>
      <c r="SRY2" s="353"/>
      <c r="SRZ2" s="353"/>
      <c r="SSA2" s="353"/>
      <c r="SSB2" s="353"/>
      <c r="SSC2" s="353"/>
      <c r="SSD2" s="353"/>
      <c r="SSE2" s="353"/>
      <c r="SSF2" s="353"/>
      <c r="SSG2" s="353"/>
      <c r="SSH2" s="353"/>
      <c r="SSI2" s="353"/>
      <c r="SSJ2" s="353"/>
      <c r="SSK2" s="353"/>
      <c r="SSL2" s="353"/>
      <c r="SSM2" s="353"/>
      <c r="SSN2" s="353"/>
      <c r="SSO2" s="353"/>
      <c r="SSP2" s="353"/>
      <c r="SSQ2" s="353"/>
      <c r="SSR2" s="353"/>
      <c r="SSS2" s="353"/>
      <c r="SST2" s="353"/>
      <c r="SSU2" s="353"/>
      <c r="SSV2" s="353"/>
      <c r="SSW2" s="353"/>
      <c r="SSX2" s="353"/>
      <c r="SSY2" s="353"/>
      <c r="SSZ2" s="353"/>
      <c r="STA2" s="353"/>
      <c r="STB2" s="353"/>
      <c r="STC2" s="353"/>
      <c r="STD2" s="353"/>
      <c r="STE2" s="353"/>
      <c r="STF2" s="353"/>
      <c r="STG2" s="353"/>
      <c r="STH2" s="353"/>
      <c r="STI2" s="353"/>
      <c r="STJ2" s="353"/>
      <c r="STK2" s="353"/>
      <c r="STL2" s="353"/>
      <c r="STM2" s="353"/>
      <c r="STN2" s="353"/>
      <c r="STO2" s="353"/>
      <c r="STP2" s="353"/>
      <c r="STQ2" s="353"/>
      <c r="STR2" s="353"/>
      <c r="STS2" s="353"/>
      <c r="STT2" s="353"/>
      <c r="STU2" s="353"/>
      <c r="STV2" s="353"/>
      <c r="STW2" s="353"/>
      <c r="STX2" s="353"/>
      <c r="STY2" s="353"/>
      <c r="STZ2" s="353"/>
      <c r="SUA2" s="353"/>
      <c r="SUB2" s="353"/>
      <c r="SUC2" s="353"/>
      <c r="SUD2" s="353"/>
      <c r="SUE2" s="353"/>
      <c r="SUF2" s="353"/>
      <c r="SUG2" s="353"/>
      <c r="SUH2" s="353"/>
      <c r="SUI2" s="353"/>
      <c r="SUJ2" s="353"/>
      <c r="SUK2" s="353"/>
      <c r="SUL2" s="353"/>
      <c r="SUM2" s="353"/>
      <c r="SUN2" s="353"/>
      <c r="SUO2" s="353"/>
      <c r="SUP2" s="353"/>
      <c r="SUQ2" s="353"/>
      <c r="SUR2" s="353"/>
      <c r="SUS2" s="353"/>
      <c r="SUT2" s="353"/>
      <c r="SUU2" s="353"/>
      <c r="SUV2" s="353"/>
      <c r="SUW2" s="353"/>
      <c r="SUX2" s="353"/>
      <c r="SUY2" s="353"/>
      <c r="SUZ2" s="353"/>
      <c r="SVA2" s="353"/>
      <c r="SVB2" s="353"/>
      <c r="SVC2" s="353"/>
      <c r="SVD2" s="353"/>
      <c r="SVE2" s="353"/>
      <c r="SVF2" s="353"/>
      <c r="SVG2" s="353"/>
      <c r="SVH2" s="353"/>
      <c r="SVI2" s="353"/>
      <c r="SVJ2" s="353"/>
      <c r="SVK2" s="353"/>
      <c r="SVL2" s="353"/>
      <c r="SVM2" s="353"/>
      <c r="SVN2" s="353"/>
      <c r="SVO2" s="353"/>
      <c r="SVP2" s="353"/>
      <c r="SVQ2" s="353"/>
      <c r="SVR2" s="353"/>
      <c r="SVS2" s="353"/>
      <c r="SVT2" s="353"/>
      <c r="SVU2" s="353"/>
      <c r="SVV2" s="353"/>
      <c r="SVW2" s="353"/>
      <c r="SVX2" s="353"/>
      <c r="SVY2" s="353"/>
      <c r="SVZ2" s="353"/>
      <c r="SWA2" s="353"/>
      <c r="SWB2" s="353"/>
      <c r="SWC2" s="353"/>
      <c r="SWD2" s="353"/>
      <c r="SWE2" s="353"/>
      <c r="SWF2" s="353"/>
      <c r="SWG2" s="353"/>
      <c r="SWH2" s="353"/>
      <c r="SWI2" s="353"/>
      <c r="SWJ2" s="353"/>
      <c r="SWK2" s="353"/>
      <c r="SWL2" s="353"/>
      <c r="SWM2" s="353"/>
      <c r="SWN2" s="353"/>
      <c r="SWO2" s="353"/>
      <c r="SWP2" s="353"/>
      <c r="SWQ2" s="353"/>
      <c r="SWR2" s="353"/>
      <c r="SWS2" s="353"/>
      <c r="SWT2" s="353"/>
      <c r="SWU2" s="353"/>
      <c r="SWV2" s="353"/>
      <c r="SWW2" s="353"/>
      <c r="SWX2" s="353"/>
      <c r="SWY2" s="353"/>
      <c r="SWZ2" s="353"/>
      <c r="SXA2" s="353"/>
      <c r="SXB2" s="353"/>
      <c r="SXC2" s="353"/>
      <c r="SXD2" s="353"/>
      <c r="SXE2" s="353"/>
      <c r="SXF2" s="353"/>
      <c r="SXG2" s="353"/>
      <c r="SXH2" s="353"/>
      <c r="SXI2" s="353"/>
      <c r="SXJ2" s="353"/>
      <c r="SXK2" s="353"/>
      <c r="SXL2" s="353"/>
      <c r="SXM2" s="353"/>
      <c r="SXN2" s="353"/>
      <c r="SXO2" s="353"/>
      <c r="SXP2" s="353"/>
      <c r="SXQ2" s="353"/>
      <c r="SXR2" s="353"/>
      <c r="SXS2" s="353"/>
      <c r="SXT2" s="353"/>
      <c r="SXU2" s="353"/>
      <c r="SXV2" s="353"/>
      <c r="SXW2" s="353"/>
      <c r="SXX2" s="353"/>
      <c r="SXY2" s="353"/>
      <c r="SXZ2" s="353"/>
      <c r="SYA2" s="353"/>
      <c r="SYB2" s="353"/>
      <c r="SYC2" s="353"/>
      <c r="SYD2" s="353"/>
      <c r="SYE2" s="353"/>
      <c r="SYF2" s="353"/>
      <c r="SYG2" s="353"/>
      <c r="SYH2" s="353"/>
      <c r="SYI2" s="353"/>
      <c r="SYJ2" s="353"/>
      <c r="SYK2" s="353"/>
      <c r="SYL2" s="353"/>
      <c r="SYM2" s="353"/>
      <c r="SYN2" s="353"/>
      <c r="SYO2" s="353"/>
      <c r="SYP2" s="353"/>
      <c r="SYQ2" s="353"/>
      <c r="SYR2" s="353"/>
      <c r="SYS2" s="353"/>
      <c r="SYT2" s="353"/>
      <c r="SYU2" s="353"/>
      <c r="SYV2" s="353"/>
      <c r="SYW2" s="353"/>
      <c r="SYX2" s="353"/>
      <c r="SYY2" s="353"/>
      <c r="SYZ2" s="353"/>
      <c r="SZA2" s="353"/>
      <c r="SZB2" s="353"/>
      <c r="SZC2" s="353"/>
      <c r="SZD2" s="353"/>
      <c r="SZE2" s="353"/>
      <c r="SZF2" s="353"/>
      <c r="SZG2" s="353"/>
      <c r="SZH2" s="353"/>
      <c r="SZI2" s="353"/>
      <c r="SZJ2" s="353"/>
      <c r="SZK2" s="353"/>
      <c r="SZL2" s="353"/>
      <c r="SZM2" s="353"/>
      <c r="SZN2" s="353"/>
      <c r="SZO2" s="353"/>
      <c r="SZP2" s="353"/>
      <c r="SZQ2" s="353"/>
      <c r="SZR2" s="353"/>
      <c r="SZS2" s="353"/>
      <c r="SZT2" s="353"/>
      <c r="SZU2" s="353"/>
      <c r="SZV2" s="353"/>
      <c r="SZW2" s="353"/>
      <c r="SZX2" s="353"/>
      <c r="SZY2" s="353"/>
      <c r="SZZ2" s="353"/>
      <c r="TAA2" s="353"/>
      <c r="TAB2" s="353"/>
      <c r="TAC2" s="353"/>
      <c r="TAD2" s="353"/>
      <c r="TAE2" s="353"/>
      <c r="TAF2" s="353"/>
      <c r="TAG2" s="353"/>
      <c r="TAH2" s="353"/>
      <c r="TAI2" s="353"/>
      <c r="TAJ2" s="353"/>
      <c r="TAK2" s="353"/>
      <c r="TAL2" s="353"/>
      <c r="TAM2" s="353"/>
      <c r="TAN2" s="353"/>
      <c r="TAO2" s="353"/>
      <c r="TAP2" s="353"/>
      <c r="TAQ2" s="353"/>
      <c r="TAR2" s="353"/>
      <c r="TAS2" s="353"/>
      <c r="TAT2" s="353"/>
      <c r="TAU2" s="353"/>
      <c r="TAV2" s="353"/>
      <c r="TAW2" s="353"/>
      <c r="TAX2" s="353"/>
      <c r="TAY2" s="353"/>
      <c r="TAZ2" s="353"/>
      <c r="TBA2" s="353"/>
      <c r="TBB2" s="353"/>
      <c r="TBC2" s="353"/>
      <c r="TBD2" s="353"/>
      <c r="TBE2" s="353"/>
      <c r="TBF2" s="353"/>
      <c r="TBG2" s="353"/>
      <c r="TBH2" s="353"/>
      <c r="TBI2" s="353"/>
      <c r="TBJ2" s="353"/>
      <c r="TBK2" s="353"/>
      <c r="TBL2" s="353"/>
      <c r="TBM2" s="353"/>
      <c r="TBN2" s="353"/>
      <c r="TBO2" s="353"/>
      <c r="TBP2" s="353"/>
      <c r="TBQ2" s="353"/>
      <c r="TBR2" s="353"/>
      <c r="TBS2" s="353"/>
      <c r="TBT2" s="353"/>
      <c r="TBU2" s="353"/>
      <c r="TBV2" s="353"/>
      <c r="TBW2" s="353"/>
      <c r="TBX2" s="353"/>
      <c r="TBY2" s="353"/>
      <c r="TBZ2" s="353"/>
      <c r="TCA2" s="353"/>
      <c r="TCB2" s="353"/>
      <c r="TCC2" s="353"/>
      <c r="TCD2" s="353"/>
      <c r="TCE2" s="353"/>
      <c r="TCF2" s="353"/>
      <c r="TCG2" s="353"/>
      <c r="TCH2" s="353"/>
      <c r="TCI2" s="353"/>
      <c r="TCJ2" s="353"/>
      <c r="TCK2" s="353"/>
      <c r="TCL2" s="353"/>
      <c r="TCM2" s="353"/>
      <c r="TCN2" s="353"/>
      <c r="TCO2" s="353"/>
      <c r="TCP2" s="353"/>
      <c r="TCQ2" s="353"/>
      <c r="TCR2" s="353"/>
      <c r="TCS2" s="353"/>
      <c r="TCT2" s="353"/>
      <c r="TCU2" s="353"/>
      <c r="TCV2" s="353"/>
      <c r="TCW2" s="353"/>
      <c r="TCX2" s="353"/>
      <c r="TCY2" s="353"/>
      <c r="TCZ2" s="353"/>
      <c r="TDA2" s="353"/>
      <c r="TDB2" s="353"/>
      <c r="TDC2" s="353"/>
      <c r="TDD2" s="353"/>
      <c r="TDE2" s="353"/>
      <c r="TDF2" s="353"/>
      <c r="TDG2" s="353"/>
      <c r="TDH2" s="353"/>
      <c r="TDI2" s="353"/>
      <c r="TDJ2" s="353"/>
      <c r="TDK2" s="353"/>
      <c r="TDL2" s="353"/>
      <c r="TDM2" s="353"/>
      <c r="TDN2" s="353"/>
      <c r="TDO2" s="353"/>
      <c r="TDP2" s="353"/>
      <c r="TDQ2" s="353"/>
      <c r="TDR2" s="353"/>
      <c r="TDS2" s="353"/>
      <c r="TDT2" s="353"/>
      <c r="TDU2" s="353"/>
      <c r="TDV2" s="353"/>
      <c r="TDW2" s="353"/>
      <c r="TDX2" s="353"/>
      <c r="TDY2" s="353"/>
      <c r="TDZ2" s="353"/>
      <c r="TEA2" s="353"/>
      <c r="TEB2" s="353"/>
      <c r="TEC2" s="353"/>
      <c r="TED2" s="353"/>
      <c r="TEE2" s="353"/>
      <c r="TEF2" s="353"/>
      <c r="TEG2" s="353"/>
      <c r="TEH2" s="353"/>
      <c r="TEI2" s="353"/>
      <c r="TEJ2" s="353"/>
      <c r="TEK2" s="353"/>
      <c r="TEL2" s="353"/>
      <c r="TEM2" s="353"/>
      <c r="TEN2" s="353"/>
      <c r="TEO2" s="353"/>
      <c r="TEP2" s="353"/>
      <c r="TEQ2" s="353"/>
      <c r="TER2" s="353"/>
      <c r="TES2" s="353"/>
      <c r="TET2" s="353"/>
      <c r="TEU2" s="353"/>
      <c r="TEV2" s="353"/>
      <c r="TEW2" s="353"/>
      <c r="TEX2" s="353"/>
      <c r="TEY2" s="353"/>
      <c r="TEZ2" s="353"/>
      <c r="TFA2" s="353"/>
      <c r="TFB2" s="353"/>
      <c r="TFC2" s="353"/>
      <c r="TFD2" s="353"/>
      <c r="TFE2" s="353"/>
      <c r="TFF2" s="353"/>
      <c r="TFG2" s="353"/>
      <c r="TFH2" s="353"/>
      <c r="TFI2" s="353"/>
      <c r="TFJ2" s="353"/>
      <c r="TFK2" s="353"/>
      <c r="TFL2" s="353"/>
      <c r="TFM2" s="353"/>
      <c r="TFN2" s="353"/>
      <c r="TFO2" s="353"/>
      <c r="TFP2" s="353"/>
      <c r="TFQ2" s="353"/>
      <c r="TFR2" s="353"/>
      <c r="TFS2" s="353"/>
      <c r="TFT2" s="353"/>
      <c r="TFU2" s="353"/>
      <c r="TFV2" s="353"/>
      <c r="TFW2" s="353"/>
      <c r="TFX2" s="353"/>
      <c r="TFY2" s="353"/>
      <c r="TFZ2" s="353"/>
      <c r="TGA2" s="353"/>
      <c r="TGB2" s="353"/>
      <c r="TGC2" s="353"/>
      <c r="TGD2" s="353"/>
      <c r="TGE2" s="353"/>
      <c r="TGF2" s="353"/>
      <c r="TGG2" s="353"/>
      <c r="TGH2" s="353"/>
      <c r="TGI2" s="353"/>
      <c r="TGJ2" s="353"/>
      <c r="TGK2" s="353"/>
      <c r="TGL2" s="353"/>
      <c r="TGM2" s="353"/>
      <c r="TGN2" s="353"/>
      <c r="TGO2" s="353"/>
      <c r="TGP2" s="353"/>
      <c r="TGQ2" s="353"/>
      <c r="TGR2" s="353"/>
      <c r="TGS2" s="353"/>
      <c r="TGT2" s="353"/>
      <c r="TGU2" s="353"/>
      <c r="TGV2" s="353"/>
      <c r="TGW2" s="353"/>
      <c r="TGX2" s="353"/>
      <c r="TGY2" s="353"/>
      <c r="TGZ2" s="353"/>
      <c r="THA2" s="353"/>
      <c r="THB2" s="353"/>
      <c r="THC2" s="353"/>
      <c r="THD2" s="353"/>
      <c r="THE2" s="353"/>
      <c r="THF2" s="353"/>
      <c r="THG2" s="353"/>
      <c r="THH2" s="353"/>
      <c r="THI2" s="353"/>
      <c r="THJ2" s="353"/>
      <c r="THK2" s="353"/>
      <c r="THL2" s="353"/>
      <c r="THM2" s="353"/>
      <c r="THN2" s="353"/>
      <c r="THO2" s="353"/>
      <c r="THP2" s="353"/>
      <c r="THQ2" s="353"/>
      <c r="THR2" s="353"/>
      <c r="THS2" s="353"/>
      <c r="THT2" s="353"/>
      <c r="THU2" s="353"/>
      <c r="THV2" s="353"/>
      <c r="THW2" s="353"/>
      <c r="THX2" s="353"/>
      <c r="THY2" s="353"/>
      <c r="THZ2" s="353"/>
      <c r="TIA2" s="353"/>
      <c r="TIB2" s="353"/>
      <c r="TIC2" s="353"/>
      <c r="TID2" s="353"/>
      <c r="TIE2" s="353"/>
      <c r="TIF2" s="353"/>
      <c r="TIG2" s="353"/>
      <c r="TIH2" s="353"/>
      <c r="TII2" s="353"/>
      <c r="TIJ2" s="353"/>
      <c r="TIK2" s="353"/>
      <c r="TIL2" s="353"/>
      <c r="TIM2" s="353"/>
      <c r="TIN2" s="353"/>
      <c r="TIO2" s="353"/>
      <c r="TIP2" s="353"/>
      <c r="TIQ2" s="353"/>
      <c r="TIR2" s="353"/>
      <c r="TIS2" s="353"/>
      <c r="TIT2" s="353"/>
      <c r="TIU2" s="353"/>
      <c r="TIV2" s="353"/>
      <c r="TIW2" s="353"/>
      <c r="TIX2" s="353"/>
      <c r="TIY2" s="353"/>
      <c r="TIZ2" s="353"/>
      <c r="TJA2" s="353"/>
      <c r="TJB2" s="353"/>
      <c r="TJC2" s="353"/>
      <c r="TJD2" s="353"/>
      <c r="TJE2" s="353"/>
      <c r="TJF2" s="353"/>
      <c r="TJG2" s="353"/>
      <c r="TJH2" s="353"/>
      <c r="TJI2" s="353"/>
      <c r="TJJ2" s="353"/>
      <c r="TJK2" s="353"/>
      <c r="TJL2" s="353"/>
      <c r="TJM2" s="353"/>
      <c r="TJN2" s="353"/>
      <c r="TJO2" s="353"/>
      <c r="TJP2" s="353"/>
      <c r="TJQ2" s="353"/>
      <c r="TJR2" s="353"/>
      <c r="TJS2" s="353"/>
      <c r="TJT2" s="353"/>
      <c r="TJU2" s="353"/>
      <c r="TJV2" s="353"/>
      <c r="TJW2" s="353"/>
      <c r="TJX2" s="353"/>
      <c r="TJY2" s="353"/>
      <c r="TJZ2" s="353"/>
      <c r="TKA2" s="353"/>
      <c r="TKB2" s="353"/>
      <c r="TKC2" s="353"/>
      <c r="TKD2" s="353"/>
      <c r="TKE2" s="353"/>
      <c r="TKF2" s="353"/>
      <c r="TKG2" s="353"/>
      <c r="TKH2" s="353"/>
      <c r="TKI2" s="353"/>
      <c r="TKJ2" s="353"/>
      <c r="TKK2" s="353"/>
      <c r="TKL2" s="353"/>
      <c r="TKM2" s="353"/>
      <c r="TKN2" s="353"/>
      <c r="TKO2" s="353"/>
      <c r="TKP2" s="353"/>
      <c r="TKQ2" s="353"/>
      <c r="TKR2" s="353"/>
      <c r="TKS2" s="353"/>
      <c r="TKT2" s="353"/>
      <c r="TKU2" s="353"/>
      <c r="TKV2" s="353"/>
      <c r="TKW2" s="353"/>
      <c r="TKX2" s="353"/>
      <c r="TKY2" s="353"/>
      <c r="TKZ2" s="353"/>
      <c r="TLA2" s="353"/>
      <c r="TLB2" s="353"/>
      <c r="TLC2" s="353"/>
      <c r="TLD2" s="353"/>
      <c r="TLE2" s="353"/>
      <c r="TLF2" s="353"/>
      <c r="TLG2" s="353"/>
      <c r="TLH2" s="353"/>
      <c r="TLI2" s="353"/>
      <c r="TLJ2" s="353"/>
      <c r="TLK2" s="353"/>
      <c r="TLL2" s="353"/>
      <c r="TLM2" s="353"/>
      <c r="TLN2" s="353"/>
      <c r="TLO2" s="353"/>
      <c r="TLP2" s="353"/>
      <c r="TLQ2" s="353"/>
      <c r="TLR2" s="353"/>
      <c r="TLS2" s="353"/>
      <c r="TLT2" s="353"/>
      <c r="TLU2" s="353"/>
      <c r="TLV2" s="353"/>
      <c r="TLW2" s="353"/>
      <c r="TLX2" s="353"/>
      <c r="TLY2" s="353"/>
      <c r="TLZ2" s="353"/>
      <c r="TMA2" s="353"/>
      <c r="TMB2" s="353"/>
      <c r="TMC2" s="353"/>
      <c r="TMD2" s="353"/>
      <c r="TME2" s="353"/>
      <c r="TMF2" s="353"/>
      <c r="TMG2" s="353"/>
      <c r="TMH2" s="353"/>
      <c r="TMI2" s="353"/>
      <c r="TMJ2" s="353"/>
      <c r="TMK2" s="353"/>
      <c r="TML2" s="353"/>
      <c r="TMM2" s="353"/>
      <c r="TMN2" s="353"/>
      <c r="TMO2" s="353"/>
      <c r="TMP2" s="353"/>
      <c r="TMQ2" s="353"/>
      <c r="TMR2" s="353"/>
      <c r="TMS2" s="353"/>
      <c r="TMT2" s="353"/>
      <c r="TMU2" s="353"/>
      <c r="TMV2" s="353"/>
      <c r="TMW2" s="353"/>
      <c r="TMX2" s="353"/>
      <c r="TMY2" s="353"/>
      <c r="TMZ2" s="353"/>
      <c r="TNA2" s="353"/>
      <c r="TNB2" s="353"/>
      <c r="TNC2" s="353"/>
      <c r="TND2" s="353"/>
      <c r="TNE2" s="353"/>
      <c r="TNF2" s="353"/>
      <c r="TNG2" s="353"/>
      <c r="TNH2" s="353"/>
      <c r="TNI2" s="353"/>
      <c r="TNJ2" s="353"/>
      <c r="TNK2" s="353"/>
      <c r="TNL2" s="353"/>
      <c r="TNM2" s="353"/>
      <c r="TNN2" s="353"/>
      <c r="TNO2" s="353"/>
      <c r="TNP2" s="353"/>
      <c r="TNQ2" s="353"/>
      <c r="TNR2" s="353"/>
      <c r="TNS2" s="353"/>
      <c r="TNT2" s="353"/>
      <c r="TNU2" s="353"/>
      <c r="TNV2" s="353"/>
      <c r="TNW2" s="353"/>
      <c r="TNX2" s="353"/>
      <c r="TNY2" s="353"/>
      <c r="TNZ2" s="353"/>
      <c r="TOA2" s="353"/>
      <c r="TOB2" s="353"/>
      <c r="TOC2" s="353"/>
      <c r="TOD2" s="353"/>
      <c r="TOE2" s="353"/>
      <c r="TOF2" s="353"/>
      <c r="TOG2" s="353"/>
      <c r="TOH2" s="353"/>
      <c r="TOI2" s="353"/>
      <c r="TOJ2" s="353"/>
      <c r="TOK2" s="353"/>
      <c r="TOL2" s="353"/>
      <c r="TOM2" s="353"/>
      <c r="TON2" s="353"/>
      <c r="TOO2" s="353"/>
      <c r="TOP2" s="353"/>
      <c r="TOQ2" s="353"/>
      <c r="TOR2" s="353"/>
      <c r="TOS2" s="353"/>
      <c r="TOT2" s="353"/>
      <c r="TOU2" s="353"/>
      <c r="TOV2" s="353"/>
      <c r="TOW2" s="353"/>
      <c r="TOX2" s="353"/>
      <c r="TOY2" s="353"/>
      <c r="TOZ2" s="353"/>
      <c r="TPA2" s="353"/>
      <c r="TPB2" s="353"/>
      <c r="TPC2" s="353"/>
      <c r="TPD2" s="353"/>
      <c r="TPE2" s="353"/>
      <c r="TPF2" s="353"/>
      <c r="TPG2" s="353"/>
      <c r="TPH2" s="353"/>
      <c r="TPI2" s="353"/>
      <c r="TPJ2" s="353"/>
      <c r="TPK2" s="353"/>
      <c r="TPL2" s="353"/>
      <c r="TPM2" s="353"/>
      <c r="TPN2" s="353"/>
      <c r="TPO2" s="353"/>
      <c r="TPP2" s="353"/>
      <c r="TPQ2" s="353"/>
      <c r="TPR2" s="353"/>
      <c r="TPS2" s="353"/>
      <c r="TPT2" s="353"/>
      <c r="TPU2" s="353"/>
      <c r="TPV2" s="353"/>
      <c r="TPW2" s="353"/>
      <c r="TPX2" s="353"/>
      <c r="TPY2" s="353"/>
      <c r="TPZ2" s="353"/>
      <c r="TQA2" s="353"/>
      <c r="TQB2" s="353"/>
      <c r="TQC2" s="353"/>
      <c r="TQD2" s="353"/>
      <c r="TQE2" s="353"/>
      <c r="TQF2" s="353"/>
      <c r="TQG2" s="353"/>
      <c r="TQH2" s="353"/>
      <c r="TQI2" s="353"/>
      <c r="TQJ2" s="353"/>
      <c r="TQK2" s="353"/>
      <c r="TQL2" s="353"/>
      <c r="TQM2" s="353"/>
      <c r="TQN2" s="353"/>
      <c r="TQO2" s="353"/>
      <c r="TQP2" s="353"/>
      <c r="TQQ2" s="353"/>
      <c r="TQR2" s="353"/>
      <c r="TQS2" s="353"/>
      <c r="TQT2" s="353"/>
      <c r="TQU2" s="353"/>
      <c r="TQV2" s="353"/>
      <c r="TQW2" s="353"/>
      <c r="TQX2" s="353"/>
      <c r="TQY2" s="353"/>
      <c r="TQZ2" s="353"/>
      <c r="TRA2" s="353"/>
      <c r="TRB2" s="353"/>
      <c r="TRC2" s="353"/>
      <c r="TRD2" s="353"/>
      <c r="TRE2" s="353"/>
      <c r="TRF2" s="353"/>
      <c r="TRG2" s="353"/>
      <c r="TRH2" s="353"/>
      <c r="TRI2" s="353"/>
      <c r="TRJ2" s="353"/>
      <c r="TRK2" s="353"/>
      <c r="TRL2" s="353"/>
      <c r="TRM2" s="353"/>
      <c r="TRN2" s="353"/>
      <c r="TRO2" s="353"/>
      <c r="TRP2" s="353"/>
      <c r="TRQ2" s="353"/>
      <c r="TRR2" s="353"/>
      <c r="TRS2" s="353"/>
      <c r="TRT2" s="353"/>
      <c r="TRU2" s="353"/>
      <c r="TRV2" s="353"/>
      <c r="TRW2" s="353"/>
      <c r="TRX2" s="353"/>
      <c r="TRY2" s="353"/>
      <c r="TRZ2" s="353"/>
      <c r="TSA2" s="353"/>
      <c r="TSB2" s="353"/>
      <c r="TSC2" s="353"/>
      <c r="TSD2" s="353"/>
      <c r="TSE2" s="353"/>
      <c r="TSF2" s="353"/>
      <c r="TSG2" s="353"/>
      <c r="TSH2" s="353"/>
      <c r="TSI2" s="353"/>
      <c r="TSJ2" s="353"/>
      <c r="TSK2" s="353"/>
      <c r="TSL2" s="353"/>
      <c r="TSM2" s="353"/>
      <c r="TSN2" s="353"/>
      <c r="TSO2" s="353"/>
      <c r="TSP2" s="353"/>
      <c r="TSQ2" s="353"/>
      <c r="TSR2" s="353"/>
      <c r="TSS2" s="353"/>
      <c r="TST2" s="353"/>
      <c r="TSU2" s="353"/>
      <c r="TSV2" s="353"/>
      <c r="TSW2" s="353"/>
      <c r="TSX2" s="353"/>
      <c r="TSY2" s="353"/>
      <c r="TSZ2" s="353"/>
      <c r="TTA2" s="353"/>
      <c r="TTB2" s="353"/>
      <c r="TTC2" s="353"/>
      <c r="TTD2" s="353"/>
      <c r="TTE2" s="353"/>
      <c r="TTF2" s="353"/>
      <c r="TTG2" s="353"/>
      <c r="TTH2" s="353"/>
      <c r="TTI2" s="353"/>
      <c r="TTJ2" s="353"/>
      <c r="TTK2" s="353"/>
      <c r="TTL2" s="353"/>
      <c r="TTM2" s="353"/>
      <c r="TTN2" s="353"/>
      <c r="TTO2" s="353"/>
      <c r="TTP2" s="353"/>
      <c r="TTQ2" s="353"/>
      <c r="TTR2" s="353"/>
      <c r="TTS2" s="353"/>
      <c r="TTT2" s="353"/>
      <c r="TTU2" s="353"/>
      <c r="TTV2" s="353"/>
      <c r="TTW2" s="353"/>
      <c r="TTX2" s="353"/>
      <c r="TTY2" s="353"/>
      <c r="TTZ2" s="353"/>
      <c r="TUA2" s="353"/>
      <c r="TUB2" s="353"/>
      <c r="TUC2" s="353"/>
      <c r="TUD2" s="353"/>
      <c r="TUE2" s="353"/>
      <c r="TUF2" s="353"/>
      <c r="TUG2" s="353"/>
      <c r="TUH2" s="353"/>
      <c r="TUI2" s="353"/>
      <c r="TUJ2" s="353"/>
      <c r="TUK2" s="353"/>
      <c r="TUL2" s="353"/>
      <c r="TUM2" s="353"/>
      <c r="TUN2" s="353"/>
      <c r="TUO2" s="353"/>
      <c r="TUP2" s="353"/>
      <c r="TUQ2" s="353"/>
      <c r="TUR2" s="353"/>
      <c r="TUS2" s="353"/>
      <c r="TUT2" s="353"/>
      <c r="TUU2" s="353"/>
      <c r="TUV2" s="353"/>
      <c r="TUW2" s="353"/>
      <c r="TUX2" s="353"/>
      <c r="TUY2" s="353"/>
      <c r="TUZ2" s="353"/>
      <c r="TVA2" s="353"/>
      <c r="TVB2" s="353"/>
      <c r="TVC2" s="353"/>
      <c r="TVD2" s="353"/>
      <c r="TVE2" s="353"/>
      <c r="TVF2" s="353"/>
      <c r="TVG2" s="353"/>
      <c r="TVH2" s="353"/>
      <c r="TVI2" s="353"/>
      <c r="TVJ2" s="353"/>
      <c r="TVK2" s="353"/>
      <c r="TVL2" s="353"/>
      <c r="TVM2" s="353"/>
      <c r="TVN2" s="353"/>
      <c r="TVO2" s="353"/>
      <c r="TVP2" s="353"/>
      <c r="TVQ2" s="353"/>
      <c r="TVR2" s="353"/>
      <c r="TVS2" s="353"/>
      <c r="TVT2" s="353"/>
      <c r="TVU2" s="353"/>
      <c r="TVV2" s="353"/>
      <c r="TVW2" s="353"/>
      <c r="TVX2" s="353"/>
      <c r="TVY2" s="353"/>
      <c r="TVZ2" s="353"/>
      <c r="TWA2" s="353"/>
      <c r="TWB2" s="353"/>
      <c r="TWC2" s="353"/>
      <c r="TWD2" s="353"/>
      <c r="TWE2" s="353"/>
      <c r="TWF2" s="353"/>
      <c r="TWG2" s="353"/>
      <c r="TWH2" s="353"/>
      <c r="TWI2" s="353"/>
      <c r="TWJ2" s="353"/>
      <c r="TWK2" s="353"/>
      <c r="TWL2" s="353"/>
      <c r="TWM2" s="353"/>
      <c r="TWN2" s="353"/>
      <c r="TWO2" s="353"/>
      <c r="TWP2" s="353"/>
      <c r="TWQ2" s="353"/>
      <c r="TWR2" s="353"/>
      <c r="TWS2" s="353"/>
      <c r="TWT2" s="353"/>
      <c r="TWU2" s="353"/>
      <c r="TWV2" s="353"/>
      <c r="TWW2" s="353"/>
      <c r="TWX2" s="353"/>
      <c r="TWY2" s="353"/>
      <c r="TWZ2" s="353"/>
      <c r="TXA2" s="353"/>
      <c r="TXB2" s="353"/>
      <c r="TXC2" s="353"/>
      <c r="TXD2" s="353"/>
      <c r="TXE2" s="353"/>
      <c r="TXF2" s="353"/>
      <c r="TXG2" s="353"/>
      <c r="TXH2" s="353"/>
      <c r="TXI2" s="353"/>
      <c r="TXJ2" s="353"/>
      <c r="TXK2" s="353"/>
      <c r="TXL2" s="353"/>
      <c r="TXM2" s="353"/>
      <c r="TXN2" s="353"/>
      <c r="TXO2" s="353"/>
      <c r="TXP2" s="353"/>
      <c r="TXQ2" s="353"/>
      <c r="TXR2" s="353"/>
      <c r="TXS2" s="353"/>
      <c r="TXT2" s="353"/>
      <c r="TXU2" s="353"/>
      <c r="TXV2" s="353"/>
      <c r="TXW2" s="353"/>
      <c r="TXX2" s="353"/>
      <c r="TXY2" s="353"/>
      <c r="TXZ2" s="353"/>
      <c r="TYA2" s="353"/>
      <c r="TYB2" s="353"/>
      <c r="TYC2" s="353"/>
      <c r="TYD2" s="353"/>
      <c r="TYE2" s="353"/>
      <c r="TYF2" s="353"/>
      <c r="TYG2" s="353"/>
      <c r="TYH2" s="353"/>
      <c r="TYI2" s="353"/>
      <c r="TYJ2" s="353"/>
      <c r="TYK2" s="353"/>
      <c r="TYL2" s="353"/>
      <c r="TYM2" s="353"/>
      <c r="TYN2" s="353"/>
      <c r="TYO2" s="353"/>
      <c r="TYP2" s="353"/>
      <c r="TYQ2" s="353"/>
      <c r="TYR2" s="353"/>
      <c r="TYS2" s="353"/>
      <c r="TYT2" s="353"/>
      <c r="TYU2" s="353"/>
      <c r="TYV2" s="353"/>
      <c r="TYW2" s="353"/>
      <c r="TYX2" s="353"/>
      <c r="TYY2" s="353"/>
      <c r="TYZ2" s="353"/>
      <c r="TZA2" s="353"/>
      <c r="TZB2" s="353"/>
      <c r="TZC2" s="353"/>
      <c r="TZD2" s="353"/>
      <c r="TZE2" s="353"/>
      <c r="TZF2" s="353"/>
      <c r="TZG2" s="353"/>
      <c r="TZH2" s="353"/>
      <c r="TZI2" s="353"/>
      <c r="TZJ2" s="353"/>
      <c r="TZK2" s="353"/>
      <c r="TZL2" s="353"/>
      <c r="TZM2" s="353"/>
      <c r="TZN2" s="353"/>
      <c r="TZO2" s="353"/>
      <c r="TZP2" s="353"/>
      <c r="TZQ2" s="353"/>
      <c r="TZR2" s="353"/>
      <c r="TZS2" s="353"/>
      <c r="TZT2" s="353"/>
      <c r="TZU2" s="353"/>
      <c r="TZV2" s="353"/>
      <c r="TZW2" s="353"/>
      <c r="TZX2" s="353"/>
      <c r="TZY2" s="353"/>
      <c r="TZZ2" s="353"/>
      <c r="UAA2" s="353"/>
      <c r="UAB2" s="353"/>
      <c r="UAC2" s="353"/>
      <c r="UAD2" s="353"/>
      <c r="UAE2" s="353"/>
      <c r="UAF2" s="353"/>
      <c r="UAG2" s="353"/>
      <c r="UAH2" s="353"/>
      <c r="UAI2" s="353"/>
      <c r="UAJ2" s="353"/>
      <c r="UAK2" s="353"/>
      <c r="UAL2" s="353"/>
      <c r="UAM2" s="353"/>
      <c r="UAN2" s="353"/>
      <c r="UAO2" s="353"/>
      <c r="UAP2" s="353"/>
      <c r="UAQ2" s="353"/>
      <c r="UAR2" s="353"/>
      <c r="UAS2" s="353"/>
      <c r="UAT2" s="353"/>
      <c r="UAU2" s="353"/>
      <c r="UAV2" s="353"/>
      <c r="UAW2" s="353"/>
      <c r="UAX2" s="353"/>
      <c r="UAY2" s="353"/>
      <c r="UAZ2" s="353"/>
      <c r="UBA2" s="353"/>
      <c r="UBB2" s="353"/>
      <c r="UBC2" s="353"/>
      <c r="UBD2" s="353"/>
      <c r="UBE2" s="353"/>
      <c r="UBF2" s="353"/>
      <c r="UBG2" s="353"/>
      <c r="UBH2" s="353"/>
      <c r="UBI2" s="353"/>
      <c r="UBJ2" s="353"/>
      <c r="UBK2" s="353"/>
      <c r="UBL2" s="353"/>
      <c r="UBM2" s="353"/>
      <c r="UBN2" s="353"/>
      <c r="UBO2" s="353"/>
      <c r="UBP2" s="353"/>
      <c r="UBQ2" s="353"/>
      <c r="UBR2" s="353"/>
      <c r="UBS2" s="353"/>
      <c r="UBT2" s="353"/>
      <c r="UBU2" s="353"/>
      <c r="UBV2" s="353"/>
      <c r="UBW2" s="353"/>
      <c r="UBX2" s="353"/>
      <c r="UBY2" s="353"/>
      <c r="UBZ2" s="353"/>
      <c r="UCA2" s="353"/>
      <c r="UCB2" s="353"/>
      <c r="UCC2" s="353"/>
      <c r="UCD2" s="353"/>
      <c r="UCE2" s="353"/>
      <c r="UCF2" s="353"/>
      <c r="UCG2" s="353"/>
      <c r="UCH2" s="353"/>
      <c r="UCI2" s="353"/>
      <c r="UCJ2" s="353"/>
      <c r="UCK2" s="353"/>
      <c r="UCL2" s="353"/>
      <c r="UCM2" s="353"/>
      <c r="UCN2" s="353"/>
      <c r="UCO2" s="353"/>
      <c r="UCP2" s="353"/>
      <c r="UCQ2" s="353"/>
      <c r="UCR2" s="353"/>
      <c r="UCS2" s="353"/>
      <c r="UCT2" s="353"/>
      <c r="UCU2" s="353"/>
      <c r="UCV2" s="353"/>
      <c r="UCW2" s="353"/>
      <c r="UCX2" s="353"/>
      <c r="UCY2" s="353"/>
      <c r="UCZ2" s="353"/>
      <c r="UDA2" s="353"/>
      <c r="UDB2" s="353"/>
      <c r="UDC2" s="353"/>
      <c r="UDD2" s="353"/>
      <c r="UDE2" s="353"/>
      <c r="UDF2" s="353"/>
      <c r="UDG2" s="353"/>
      <c r="UDH2" s="353"/>
      <c r="UDI2" s="353"/>
      <c r="UDJ2" s="353"/>
      <c r="UDK2" s="353"/>
      <c r="UDL2" s="353"/>
      <c r="UDM2" s="353"/>
      <c r="UDN2" s="353"/>
      <c r="UDO2" s="353"/>
      <c r="UDP2" s="353"/>
      <c r="UDQ2" s="353"/>
      <c r="UDR2" s="353"/>
      <c r="UDS2" s="353"/>
      <c r="UDT2" s="353"/>
      <c r="UDU2" s="353"/>
      <c r="UDV2" s="353"/>
      <c r="UDW2" s="353"/>
      <c r="UDX2" s="353"/>
      <c r="UDY2" s="353"/>
      <c r="UDZ2" s="353"/>
      <c r="UEA2" s="353"/>
      <c r="UEB2" s="353"/>
      <c r="UEC2" s="353"/>
      <c r="UED2" s="353"/>
      <c r="UEE2" s="353"/>
      <c r="UEF2" s="353"/>
      <c r="UEG2" s="353"/>
      <c r="UEH2" s="353"/>
      <c r="UEI2" s="353"/>
      <c r="UEJ2" s="353"/>
      <c r="UEK2" s="353"/>
      <c r="UEL2" s="353"/>
      <c r="UEM2" s="353"/>
      <c r="UEN2" s="353"/>
      <c r="UEO2" s="353"/>
      <c r="UEP2" s="353"/>
      <c r="UEQ2" s="353"/>
      <c r="UER2" s="353"/>
      <c r="UES2" s="353"/>
      <c r="UET2" s="353"/>
      <c r="UEU2" s="353"/>
      <c r="UEV2" s="353"/>
      <c r="UEW2" s="353"/>
      <c r="UEX2" s="353"/>
      <c r="UEY2" s="353"/>
      <c r="UEZ2" s="353"/>
      <c r="UFA2" s="353"/>
      <c r="UFB2" s="353"/>
      <c r="UFC2" s="353"/>
      <c r="UFD2" s="353"/>
      <c r="UFE2" s="353"/>
      <c r="UFF2" s="353"/>
      <c r="UFG2" s="353"/>
      <c r="UFH2" s="353"/>
      <c r="UFI2" s="353"/>
      <c r="UFJ2" s="353"/>
      <c r="UFK2" s="353"/>
      <c r="UFL2" s="353"/>
      <c r="UFM2" s="353"/>
      <c r="UFN2" s="353"/>
      <c r="UFO2" s="353"/>
      <c r="UFP2" s="353"/>
      <c r="UFQ2" s="353"/>
      <c r="UFR2" s="353"/>
      <c r="UFS2" s="353"/>
      <c r="UFT2" s="353"/>
      <c r="UFU2" s="353"/>
      <c r="UFV2" s="353"/>
      <c r="UFW2" s="353"/>
      <c r="UFX2" s="353"/>
      <c r="UFY2" s="353"/>
      <c r="UFZ2" s="353"/>
      <c r="UGA2" s="353"/>
      <c r="UGB2" s="353"/>
      <c r="UGC2" s="353"/>
      <c r="UGD2" s="353"/>
      <c r="UGE2" s="353"/>
      <c r="UGF2" s="353"/>
      <c r="UGG2" s="353"/>
      <c r="UGH2" s="353"/>
      <c r="UGI2" s="353"/>
      <c r="UGJ2" s="353"/>
      <c r="UGK2" s="353"/>
      <c r="UGL2" s="353"/>
      <c r="UGM2" s="353"/>
      <c r="UGN2" s="353"/>
      <c r="UGO2" s="353"/>
      <c r="UGP2" s="353"/>
      <c r="UGQ2" s="353"/>
      <c r="UGR2" s="353"/>
      <c r="UGS2" s="353"/>
      <c r="UGT2" s="353"/>
      <c r="UGU2" s="353"/>
      <c r="UGV2" s="353"/>
      <c r="UGW2" s="353"/>
      <c r="UGX2" s="353"/>
      <c r="UGY2" s="353"/>
      <c r="UGZ2" s="353"/>
      <c r="UHA2" s="353"/>
      <c r="UHB2" s="353"/>
      <c r="UHC2" s="353"/>
      <c r="UHD2" s="353"/>
      <c r="UHE2" s="353"/>
      <c r="UHF2" s="353"/>
      <c r="UHG2" s="353"/>
      <c r="UHH2" s="353"/>
      <c r="UHI2" s="353"/>
      <c r="UHJ2" s="353"/>
      <c r="UHK2" s="353"/>
      <c r="UHL2" s="353"/>
      <c r="UHM2" s="353"/>
      <c r="UHN2" s="353"/>
      <c r="UHO2" s="353"/>
      <c r="UHP2" s="353"/>
      <c r="UHQ2" s="353"/>
      <c r="UHR2" s="353"/>
      <c r="UHS2" s="353"/>
      <c r="UHT2" s="353"/>
      <c r="UHU2" s="353"/>
      <c r="UHV2" s="353"/>
      <c r="UHW2" s="353"/>
      <c r="UHX2" s="353"/>
      <c r="UHY2" s="353"/>
      <c r="UHZ2" s="353"/>
      <c r="UIA2" s="353"/>
      <c r="UIB2" s="353"/>
      <c r="UIC2" s="353"/>
      <c r="UID2" s="353"/>
      <c r="UIE2" s="353"/>
      <c r="UIF2" s="353"/>
      <c r="UIG2" s="353"/>
      <c r="UIH2" s="353"/>
      <c r="UII2" s="353"/>
      <c r="UIJ2" s="353"/>
      <c r="UIK2" s="353"/>
      <c r="UIL2" s="353"/>
      <c r="UIM2" s="353"/>
      <c r="UIN2" s="353"/>
      <c r="UIO2" s="353"/>
      <c r="UIP2" s="353"/>
      <c r="UIQ2" s="353"/>
      <c r="UIR2" s="353"/>
      <c r="UIS2" s="353"/>
      <c r="UIT2" s="353"/>
      <c r="UIU2" s="353"/>
      <c r="UIV2" s="353"/>
      <c r="UIW2" s="353"/>
      <c r="UIX2" s="353"/>
      <c r="UIY2" s="353"/>
      <c r="UIZ2" s="353"/>
      <c r="UJA2" s="353"/>
      <c r="UJB2" s="353"/>
      <c r="UJC2" s="353"/>
      <c r="UJD2" s="353"/>
      <c r="UJE2" s="353"/>
      <c r="UJF2" s="353"/>
      <c r="UJG2" s="353"/>
      <c r="UJH2" s="353"/>
      <c r="UJI2" s="353"/>
      <c r="UJJ2" s="353"/>
      <c r="UJK2" s="353"/>
      <c r="UJL2" s="353"/>
      <c r="UJM2" s="353"/>
      <c r="UJN2" s="353"/>
      <c r="UJO2" s="353"/>
      <c r="UJP2" s="353"/>
      <c r="UJQ2" s="353"/>
      <c r="UJR2" s="353"/>
      <c r="UJS2" s="353"/>
      <c r="UJT2" s="353"/>
      <c r="UJU2" s="353"/>
      <c r="UJV2" s="353"/>
      <c r="UJW2" s="353"/>
      <c r="UJX2" s="353"/>
      <c r="UJY2" s="353"/>
      <c r="UJZ2" s="353"/>
      <c r="UKA2" s="353"/>
      <c r="UKB2" s="353"/>
      <c r="UKC2" s="353"/>
      <c r="UKD2" s="353"/>
      <c r="UKE2" s="353"/>
      <c r="UKF2" s="353"/>
      <c r="UKG2" s="353"/>
      <c r="UKH2" s="353"/>
      <c r="UKI2" s="353"/>
      <c r="UKJ2" s="353"/>
      <c r="UKK2" s="353"/>
      <c r="UKL2" s="353"/>
      <c r="UKM2" s="353"/>
      <c r="UKN2" s="353"/>
      <c r="UKO2" s="353"/>
      <c r="UKP2" s="353"/>
      <c r="UKQ2" s="353"/>
      <c r="UKR2" s="353"/>
      <c r="UKS2" s="353"/>
      <c r="UKT2" s="353"/>
      <c r="UKU2" s="353"/>
      <c r="UKV2" s="353"/>
      <c r="UKW2" s="353"/>
      <c r="UKX2" s="353"/>
      <c r="UKY2" s="353"/>
      <c r="UKZ2" s="353"/>
      <c r="ULA2" s="353"/>
      <c r="ULB2" s="353"/>
      <c r="ULC2" s="353"/>
      <c r="ULD2" s="353"/>
      <c r="ULE2" s="353"/>
      <c r="ULF2" s="353"/>
      <c r="ULG2" s="353"/>
      <c r="ULH2" s="353"/>
      <c r="ULI2" s="353"/>
      <c r="ULJ2" s="353"/>
      <c r="ULK2" s="353"/>
      <c r="ULL2" s="353"/>
      <c r="ULM2" s="353"/>
      <c r="ULN2" s="353"/>
      <c r="ULO2" s="353"/>
      <c r="ULP2" s="353"/>
      <c r="ULQ2" s="353"/>
      <c r="ULR2" s="353"/>
      <c r="ULS2" s="353"/>
      <c r="ULT2" s="353"/>
      <c r="ULU2" s="353"/>
      <c r="ULV2" s="353"/>
      <c r="ULW2" s="353"/>
      <c r="ULX2" s="353"/>
      <c r="ULY2" s="353"/>
      <c r="ULZ2" s="353"/>
      <c r="UMA2" s="353"/>
      <c r="UMB2" s="353"/>
      <c r="UMC2" s="353"/>
      <c r="UMD2" s="353"/>
      <c r="UME2" s="353"/>
      <c r="UMF2" s="353"/>
      <c r="UMG2" s="353"/>
      <c r="UMH2" s="353"/>
      <c r="UMI2" s="353"/>
      <c r="UMJ2" s="353"/>
      <c r="UMK2" s="353"/>
      <c r="UML2" s="353"/>
      <c r="UMM2" s="353"/>
      <c r="UMN2" s="353"/>
      <c r="UMO2" s="353"/>
      <c r="UMP2" s="353"/>
      <c r="UMQ2" s="353"/>
      <c r="UMR2" s="353"/>
      <c r="UMS2" s="353"/>
      <c r="UMT2" s="353"/>
      <c r="UMU2" s="353"/>
      <c r="UMV2" s="353"/>
      <c r="UMW2" s="353"/>
      <c r="UMX2" s="353"/>
      <c r="UMY2" s="353"/>
      <c r="UMZ2" s="353"/>
      <c r="UNA2" s="353"/>
      <c r="UNB2" s="353"/>
      <c r="UNC2" s="353"/>
      <c r="UND2" s="353"/>
      <c r="UNE2" s="353"/>
      <c r="UNF2" s="353"/>
      <c r="UNG2" s="353"/>
      <c r="UNH2" s="353"/>
      <c r="UNI2" s="353"/>
      <c r="UNJ2" s="353"/>
      <c r="UNK2" s="353"/>
      <c r="UNL2" s="353"/>
      <c r="UNM2" s="353"/>
      <c r="UNN2" s="353"/>
      <c r="UNO2" s="353"/>
      <c r="UNP2" s="353"/>
      <c r="UNQ2" s="353"/>
      <c r="UNR2" s="353"/>
      <c r="UNS2" s="353"/>
      <c r="UNT2" s="353"/>
      <c r="UNU2" s="353"/>
      <c r="UNV2" s="353"/>
      <c r="UNW2" s="353"/>
      <c r="UNX2" s="353"/>
      <c r="UNY2" s="353"/>
      <c r="UNZ2" s="353"/>
      <c r="UOA2" s="353"/>
      <c r="UOB2" s="353"/>
      <c r="UOC2" s="353"/>
      <c r="UOD2" s="353"/>
      <c r="UOE2" s="353"/>
      <c r="UOF2" s="353"/>
      <c r="UOG2" s="353"/>
      <c r="UOH2" s="353"/>
      <c r="UOI2" s="353"/>
      <c r="UOJ2" s="353"/>
      <c r="UOK2" s="353"/>
      <c r="UOL2" s="353"/>
      <c r="UOM2" s="353"/>
      <c r="UON2" s="353"/>
      <c r="UOO2" s="353"/>
      <c r="UOP2" s="353"/>
      <c r="UOQ2" s="353"/>
      <c r="UOR2" s="353"/>
      <c r="UOS2" s="353"/>
      <c r="UOT2" s="353"/>
      <c r="UOU2" s="353"/>
      <c r="UOV2" s="353"/>
      <c r="UOW2" s="353"/>
      <c r="UOX2" s="353"/>
      <c r="UOY2" s="353"/>
      <c r="UOZ2" s="353"/>
      <c r="UPA2" s="353"/>
      <c r="UPB2" s="353"/>
      <c r="UPC2" s="353"/>
      <c r="UPD2" s="353"/>
      <c r="UPE2" s="353"/>
      <c r="UPF2" s="353"/>
      <c r="UPG2" s="353"/>
      <c r="UPH2" s="353"/>
      <c r="UPI2" s="353"/>
      <c r="UPJ2" s="353"/>
      <c r="UPK2" s="353"/>
      <c r="UPL2" s="353"/>
      <c r="UPM2" s="353"/>
      <c r="UPN2" s="353"/>
      <c r="UPO2" s="353"/>
      <c r="UPP2" s="353"/>
      <c r="UPQ2" s="353"/>
      <c r="UPR2" s="353"/>
      <c r="UPS2" s="353"/>
      <c r="UPT2" s="353"/>
      <c r="UPU2" s="353"/>
      <c r="UPV2" s="353"/>
      <c r="UPW2" s="353"/>
      <c r="UPX2" s="353"/>
      <c r="UPY2" s="353"/>
      <c r="UPZ2" s="353"/>
      <c r="UQA2" s="353"/>
      <c r="UQB2" s="353"/>
      <c r="UQC2" s="353"/>
      <c r="UQD2" s="353"/>
      <c r="UQE2" s="353"/>
      <c r="UQF2" s="353"/>
      <c r="UQG2" s="353"/>
      <c r="UQH2" s="353"/>
      <c r="UQI2" s="353"/>
      <c r="UQJ2" s="353"/>
      <c r="UQK2" s="353"/>
      <c r="UQL2" s="353"/>
      <c r="UQM2" s="353"/>
      <c r="UQN2" s="353"/>
      <c r="UQO2" s="353"/>
      <c r="UQP2" s="353"/>
      <c r="UQQ2" s="353"/>
      <c r="UQR2" s="353"/>
      <c r="UQS2" s="353"/>
      <c r="UQT2" s="353"/>
      <c r="UQU2" s="353"/>
      <c r="UQV2" s="353"/>
      <c r="UQW2" s="353"/>
      <c r="UQX2" s="353"/>
      <c r="UQY2" s="353"/>
      <c r="UQZ2" s="353"/>
      <c r="URA2" s="353"/>
      <c r="URB2" s="353"/>
      <c r="URC2" s="353"/>
      <c r="URD2" s="353"/>
      <c r="URE2" s="353"/>
      <c r="URF2" s="353"/>
      <c r="URG2" s="353"/>
      <c r="URH2" s="353"/>
      <c r="URI2" s="353"/>
      <c r="URJ2" s="353"/>
      <c r="URK2" s="353"/>
      <c r="URL2" s="353"/>
      <c r="URM2" s="353"/>
      <c r="URN2" s="353"/>
      <c r="URO2" s="353"/>
      <c r="URP2" s="353"/>
      <c r="URQ2" s="353"/>
      <c r="URR2" s="353"/>
      <c r="URS2" s="353"/>
      <c r="URT2" s="353"/>
      <c r="URU2" s="353"/>
      <c r="URV2" s="353"/>
      <c r="URW2" s="353"/>
      <c r="URX2" s="353"/>
      <c r="URY2" s="353"/>
      <c r="URZ2" s="353"/>
      <c r="USA2" s="353"/>
      <c r="USB2" s="353"/>
      <c r="USC2" s="353"/>
      <c r="USD2" s="353"/>
      <c r="USE2" s="353"/>
      <c r="USF2" s="353"/>
      <c r="USG2" s="353"/>
      <c r="USH2" s="353"/>
      <c r="USI2" s="353"/>
      <c r="USJ2" s="353"/>
      <c r="USK2" s="353"/>
      <c r="USL2" s="353"/>
      <c r="USM2" s="353"/>
      <c r="USN2" s="353"/>
      <c r="USO2" s="353"/>
      <c r="USP2" s="353"/>
      <c r="USQ2" s="353"/>
      <c r="USR2" s="353"/>
      <c r="USS2" s="353"/>
      <c r="UST2" s="353"/>
      <c r="USU2" s="353"/>
      <c r="USV2" s="353"/>
      <c r="USW2" s="353"/>
      <c r="USX2" s="353"/>
      <c r="USY2" s="353"/>
      <c r="USZ2" s="353"/>
      <c r="UTA2" s="353"/>
      <c r="UTB2" s="353"/>
      <c r="UTC2" s="353"/>
      <c r="UTD2" s="353"/>
      <c r="UTE2" s="353"/>
      <c r="UTF2" s="353"/>
      <c r="UTG2" s="353"/>
      <c r="UTH2" s="353"/>
      <c r="UTI2" s="353"/>
      <c r="UTJ2" s="353"/>
      <c r="UTK2" s="353"/>
      <c r="UTL2" s="353"/>
      <c r="UTM2" s="353"/>
      <c r="UTN2" s="353"/>
      <c r="UTO2" s="353"/>
      <c r="UTP2" s="353"/>
      <c r="UTQ2" s="353"/>
      <c r="UTR2" s="353"/>
      <c r="UTS2" s="353"/>
      <c r="UTT2" s="353"/>
      <c r="UTU2" s="353"/>
      <c r="UTV2" s="353"/>
      <c r="UTW2" s="353"/>
      <c r="UTX2" s="353"/>
      <c r="UTY2" s="353"/>
      <c r="UTZ2" s="353"/>
      <c r="UUA2" s="353"/>
      <c r="UUB2" s="353"/>
      <c r="UUC2" s="353"/>
      <c r="UUD2" s="353"/>
      <c r="UUE2" s="353"/>
      <c r="UUF2" s="353"/>
      <c r="UUG2" s="353"/>
      <c r="UUH2" s="353"/>
      <c r="UUI2" s="353"/>
      <c r="UUJ2" s="353"/>
      <c r="UUK2" s="353"/>
      <c r="UUL2" s="353"/>
      <c r="UUM2" s="353"/>
      <c r="UUN2" s="353"/>
      <c r="UUO2" s="353"/>
      <c r="UUP2" s="353"/>
      <c r="UUQ2" s="353"/>
      <c r="UUR2" s="353"/>
      <c r="UUS2" s="353"/>
      <c r="UUT2" s="353"/>
      <c r="UUU2" s="353"/>
      <c r="UUV2" s="353"/>
      <c r="UUW2" s="353"/>
      <c r="UUX2" s="353"/>
      <c r="UUY2" s="353"/>
      <c r="UUZ2" s="353"/>
      <c r="UVA2" s="353"/>
      <c r="UVB2" s="353"/>
      <c r="UVC2" s="353"/>
      <c r="UVD2" s="353"/>
      <c r="UVE2" s="353"/>
      <c r="UVF2" s="353"/>
      <c r="UVG2" s="353"/>
      <c r="UVH2" s="353"/>
      <c r="UVI2" s="353"/>
      <c r="UVJ2" s="353"/>
      <c r="UVK2" s="353"/>
      <c r="UVL2" s="353"/>
      <c r="UVM2" s="353"/>
      <c r="UVN2" s="353"/>
      <c r="UVO2" s="353"/>
      <c r="UVP2" s="353"/>
      <c r="UVQ2" s="353"/>
      <c r="UVR2" s="353"/>
      <c r="UVS2" s="353"/>
      <c r="UVT2" s="353"/>
      <c r="UVU2" s="353"/>
      <c r="UVV2" s="353"/>
      <c r="UVW2" s="353"/>
      <c r="UVX2" s="353"/>
      <c r="UVY2" s="353"/>
      <c r="UVZ2" s="353"/>
      <c r="UWA2" s="353"/>
      <c r="UWB2" s="353"/>
      <c r="UWC2" s="353"/>
      <c r="UWD2" s="353"/>
      <c r="UWE2" s="353"/>
      <c r="UWF2" s="353"/>
      <c r="UWG2" s="353"/>
      <c r="UWH2" s="353"/>
      <c r="UWI2" s="353"/>
      <c r="UWJ2" s="353"/>
      <c r="UWK2" s="353"/>
      <c r="UWL2" s="353"/>
      <c r="UWM2" s="353"/>
      <c r="UWN2" s="353"/>
      <c r="UWO2" s="353"/>
      <c r="UWP2" s="353"/>
      <c r="UWQ2" s="353"/>
      <c r="UWR2" s="353"/>
      <c r="UWS2" s="353"/>
      <c r="UWT2" s="353"/>
      <c r="UWU2" s="353"/>
      <c r="UWV2" s="353"/>
      <c r="UWW2" s="353"/>
      <c r="UWX2" s="353"/>
      <c r="UWY2" s="353"/>
      <c r="UWZ2" s="353"/>
      <c r="UXA2" s="353"/>
      <c r="UXB2" s="353"/>
      <c r="UXC2" s="353"/>
      <c r="UXD2" s="353"/>
      <c r="UXE2" s="353"/>
      <c r="UXF2" s="353"/>
      <c r="UXG2" s="353"/>
      <c r="UXH2" s="353"/>
      <c r="UXI2" s="353"/>
      <c r="UXJ2" s="353"/>
      <c r="UXK2" s="353"/>
      <c r="UXL2" s="353"/>
      <c r="UXM2" s="353"/>
      <c r="UXN2" s="353"/>
      <c r="UXO2" s="353"/>
      <c r="UXP2" s="353"/>
      <c r="UXQ2" s="353"/>
      <c r="UXR2" s="353"/>
      <c r="UXS2" s="353"/>
      <c r="UXT2" s="353"/>
      <c r="UXU2" s="353"/>
      <c r="UXV2" s="353"/>
      <c r="UXW2" s="353"/>
      <c r="UXX2" s="353"/>
      <c r="UXY2" s="353"/>
      <c r="UXZ2" s="353"/>
      <c r="UYA2" s="353"/>
      <c r="UYB2" s="353"/>
      <c r="UYC2" s="353"/>
      <c r="UYD2" s="353"/>
      <c r="UYE2" s="353"/>
      <c r="UYF2" s="353"/>
      <c r="UYG2" s="353"/>
      <c r="UYH2" s="353"/>
      <c r="UYI2" s="353"/>
      <c r="UYJ2" s="353"/>
      <c r="UYK2" s="353"/>
      <c r="UYL2" s="353"/>
      <c r="UYM2" s="353"/>
      <c r="UYN2" s="353"/>
      <c r="UYO2" s="353"/>
      <c r="UYP2" s="353"/>
      <c r="UYQ2" s="353"/>
      <c r="UYR2" s="353"/>
      <c r="UYS2" s="353"/>
      <c r="UYT2" s="353"/>
      <c r="UYU2" s="353"/>
      <c r="UYV2" s="353"/>
      <c r="UYW2" s="353"/>
      <c r="UYX2" s="353"/>
      <c r="UYY2" s="353"/>
      <c r="UYZ2" s="353"/>
      <c r="UZA2" s="353"/>
      <c r="UZB2" s="353"/>
      <c r="UZC2" s="353"/>
      <c r="UZD2" s="353"/>
      <c r="UZE2" s="353"/>
      <c r="UZF2" s="353"/>
      <c r="UZG2" s="353"/>
      <c r="UZH2" s="353"/>
      <c r="UZI2" s="353"/>
      <c r="UZJ2" s="353"/>
      <c r="UZK2" s="353"/>
      <c r="UZL2" s="353"/>
      <c r="UZM2" s="353"/>
      <c r="UZN2" s="353"/>
      <c r="UZO2" s="353"/>
      <c r="UZP2" s="353"/>
      <c r="UZQ2" s="353"/>
      <c r="UZR2" s="353"/>
      <c r="UZS2" s="353"/>
      <c r="UZT2" s="353"/>
      <c r="UZU2" s="353"/>
      <c r="UZV2" s="353"/>
      <c r="UZW2" s="353"/>
      <c r="UZX2" s="353"/>
      <c r="UZY2" s="353"/>
      <c r="UZZ2" s="353"/>
      <c r="VAA2" s="353"/>
      <c r="VAB2" s="353"/>
      <c r="VAC2" s="353"/>
      <c r="VAD2" s="353"/>
      <c r="VAE2" s="353"/>
      <c r="VAF2" s="353"/>
      <c r="VAG2" s="353"/>
      <c r="VAH2" s="353"/>
      <c r="VAI2" s="353"/>
      <c r="VAJ2" s="353"/>
      <c r="VAK2" s="353"/>
      <c r="VAL2" s="353"/>
      <c r="VAM2" s="353"/>
      <c r="VAN2" s="353"/>
      <c r="VAO2" s="353"/>
      <c r="VAP2" s="353"/>
      <c r="VAQ2" s="353"/>
      <c r="VAR2" s="353"/>
      <c r="VAS2" s="353"/>
      <c r="VAT2" s="353"/>
      <c r="VAU2" s="353"/>
      <c r="VAV2" s="353"/>
      <c r="VAW2" s="353"/>
      <c r="VAX2" s="353"/>
      <c r="VAY2" s="353"/>
      <c r="VAZ2" s="353"/>
      <c r="VBA2" s="353"/>
      <c r="VBB2" s="353"/>
      <c r="VBC2" s="353"/>
      <c r="VBD2" s="353"/>
      <c r="VBE2" s="353"/>
      <c r="VBF2" s="353"/>
      <c r="VBG2" s="353"/>
      <c r="VBH2" s="353"/>
      <c r="VBI2" s="353"/>
      <c r="VBJ2" s="353"/>
      <c r="VBK2" s="353"/>
      <c r="VBL2" s="353"/>
      <c r="VBM2" s="353"/>
      <c r="VBN2" s="353"/>
      <c r="VBO2" s="353"/>
      <c r="VBP2" s="353"/>
      <c r="VBQ2" s="353"/>
      <c r="VBR2" s="353"/>
      <c r="VBS2" s="353"/>
      <c r="VBT2" s="353"/>
      <c r="VBU2" s="353"/>
      <c r="VBV2" s="353"/>
      <c r="VBW2" s="353"/>
      <c r="VBX2" s="353"/>
      <c r="VBY2" s="353"/>
      <c r="VBZ2" s="353"/>
      <c r="VCA2" s="353"/>
      <c r="VCB2" s="353"/>
      <c r="VCC2" s="353"/>
      <c r="VCD2" s="353"/>
      <c r="VCE2" s="353"/>
      <c r="VCF2" s="353"/>
      <c r="VCG2" s="353"/>
      <c r="VCH2" s="353"/>
      <c r="VCI2" s="353"/>
      <c r="VCJ2" s="353"/>
      <c r="VCK2" s="353"/>
      <c r="VCL2" s="353"/>
      <c r="VCM2" s="353"/>
      <c r="VCN2" s="353"/>
      <c r="VCO2" s="353"/>
      <c r="VCP2" s="353"/>
      <c r="VCQ2" s="353"/>
      <c r="VCR2" s="353"/>
      <c r="VCS2" s="353"/>
      <c r="VCT2" s="353"/>
      <c r="VCU2" s="353"/>
      <c r="VCV2" s="353"/>
      <c r="VCW2" s="353"/>
      <c r="VCX2" s="353"/>
      <c r="VCY2" s="353"/>
      <c r="VCZ2" s="353"/>
      <c r="VDA2" s="353"/>
      <c r="VDB2" s="353"/>
      <c r="VDC2" s="353"/>
      <c r="VDD2" s="353"/>
      <c r="VDE2" s="353"/>
      <c r="VDF2" s="353"/>
      <c r="VDG2" s="353"/>
      <c r="VDH2" s="353"/>
      <c r="VDI2" s="353"/>
      <c r="VDJ2" s="353"/>
      <c r="VDK2" s="353"/>
      <c r="VDL2" s="353"/>
      <c r="VDM2" s="353"/>
      <c r="VDN2" s="353"/>
      <c r="VDO2" s="353"/>
      <c r="VDP2" s="353"/>
      <c r="VDQ2" s="353"/>
      <c r="VDR2" s="353"/>
      <c r="VDS2" s="353"/>
      <c r="VDT2" s="353"/>
      <c r="VDU2" s="353"/>
      <c r="VDV2" s="353"/>
      <c r="VDW2" s="353"/>
      <c r="VDX2" s="353"/>
      <c r="VDY2" s="353"/>
      <c r="VDZ2" s="353"/>
      <c r="VEA2" s="353"/>
      <c r="VEB2" s="353"/>
      <c r="VEC2" s="353"/>
      <c r="VED2" s="353"/>
      <c r="VEE2" s="353"/>
      <c r="VEF2" s="353"/>
      <c r="VEG2" s="353"/>
      <c r="VEH2" s="353"/>
      <c r="VEI2" s="353"/>
      <c r="VEJ2" s="353"/>
      <c r="VEK2" s="353"/>
      <c r="VEL2" s="353"/>
      <c r="VEM2" s="353"/>
      <c r="VEN2" s="353"/>
      <c r="VEO2" s="353"/>
      <c r="VEP2" s="353"/>
      <c r="VEQ2" s="353"/>
      <c r="VER2" s="353"/>
      <c r="VES2" s="353"/>
      <c r="VET2" s="353"/>
      <c r="VEU2" s="353"/>
      <c r="VEV2" s="353"/>
      <c r="VEW2" s="353"/>
      <c r="VEX2" s="353"/>
      <c r="VEY2" s="353"/>
      <c r="VEZ2" s="353"/>
      <c r="VFA2" s="353"/>
      <c r="VFB2" s="353"/>
      <c r="VFC2" s="353"/>
      <c r="VFD2" s="353"/>
      <c r="VFE2" s="353"/>
      <c r="VFF2" s="353"/>
      <c r="VFG2" s="353"/>
      <c r="VFH2" s="353"/>
      <c r="VFI2" s="353"/>
      <c r="VFJ2" s="353"/>
      <c r="VFK2" s="353"/>
      <c r="VFL2" s="353"/>
      <c r="VFM2" s="353"/>
      <c r="VFN2" s="353"/>
      <c r="VFO2" s="353"/>
      <c r="VFP2" s="353"/>
      <c r="VFQ2" s="353"/>
      <c r="VFR2" s="353"/>
      <c r="VFS2" s="353"/>
      <c r="VFT2" s="353"/>
      <c r="VFU2" s="353"/>
      <c r="VFV2" s="353"/>
      <c r="VFW2" s="353"/>
      <c r="VFX2" s="353"/>
      <c r="VFY2" s="353"/>
      <c r="VFZ2" s="353"/>
      <c r="VGA2" s="353"/>
      <c r="VGB2" s="353"/>
      <c r="VGC2" s="353"/>
      <c r="VGD2" s="353"/>
      <c r="VGE2" s="353"/>
      <c r="VGF2" s="353"/>
      <c r="VGG2" s="353"/>
      <c r="VGH2" s="353"/>
      <c r="VGI2" s="353"/>
      <c r="VGJ2" s="353"/>
      <c r="VGK2" s="353"/>
      <c r="VGL2" s="353"/>
      <c r="VGM2" s="353"/>
      <c r="VGN2" s="353"/>
      <c r="VGO2" s="353"/>
      <c r="VGP2" s="353"/>
      <c r="VGQ2" s="353"/>
      <c r="VGR2" s="353"/>
      <c r="VGS2" s="353"/>
      <c r="VGT2" s="353"/>
      <c r="VGU2" s="353"/>
      <c r="VGV2" s="353"/>
      <c r="VGW2" s="353"/>
      <c r="VGX2" s="353"/>
      <c r="VGY2" s="353"/>
      <c r="VGZ2" s="353"/>
      <c r="VHA2" s="353"/>
      <c r="VHB2" s="353"/>
      <c r="VHC2" s="353"/>
      <c r="VHD2" s="353"/>
      <c r="VHE2" s="353"/>
      <c r="VHF2" s="353"/>
      <c r="VHG2" s="353"/>
      <c r="VHH2" s="353"/>
      <c r="VHI2" s="353"/>
      <c r="VHJ2" s="353"/>
      <c r="VHK2" s="353"/>
      <c r="VHL2" s="353"/>
      <c r="VHM2" s="353"/>
      <c r="VHN2" s="353"/>
      <c r="VHO2" s="353"/>
      <c r="VHP2" s="353"/>
      <c r="VHQ2" s="353"/>
      <c r="VHR2" s="353"/>
      <c r="VHS2" s="353"/>
      <c r="VHT2" s="353"/>
      <c r="VHU2" s="353"/>
      <c r="VHV2" s="353"/>
      <c r="VHW2" s="353"/>
      <c r="VHX2" s="353"/>
      <c r="VHY2" s="353"/>
      <c r="VHZ2" s="353"/>
      <c r="VIA2" s="353"/>
      <c r="VIB2" s="353"/>
      <c r="VIC2" s="353"/>
      <c r="VID2" s="353"/>
      <c r="VIE2" s="353"/>
      <c r="VIF2" s="353"/>
      <c r="VIG2" s="353"/>
      <c r="VIH2" s="353"/>
      <c r="VII2" s="353"/>
      <c r="VIJ2" s="353"/>
      <c r="VIK2" s="353"/>
      <c r="VIL2" s="353"/>
      <c r="VIM2" s="353"/>
      <c r="VIN2" s="353"/>
      <c r="VIO2" s="353"/>
      <c r="VIP2" s="353"/>
      <c r="VIQ2" s="353"/>
      <c r="VIR2" s="353"/>
      <c r="VIS2" s="353"/>
      <c r="VIT2" s="353"/>
      <c r="VIU2" s="353"/>
      <c r="VIV2" s="353"/>
      <c r="VIW2" s="353"/>
      <c r="VIX2" s="353"/>
      <c r="VIY2" s="353"/>
      <c r="VIZ2" s="353"/>
      <c r="VJA2" s="353"/>
      <c r="VJB2" s="353"/>
      <c r="VJC2" s="353"/>
      <c r="VJD2" s="353"/>
      <c r="VJE2" s="353"/>
      <c r="VJF2" s="353"/>
      <c r="VJG2" s="353"/>
      <c r="VJH2" s="353"/>
      <c r="VJI2" s="353"/>
      <c r="VJJ2" s="353"/>
      <c r="VJK2" s="353"/>
      <c r="VJL2" s="353"/>
      <c r="VJM2" s="353"/>
      <c r="VJN2" s="353"/>
      <c r="VJO2" s="353"/>
      <c r="VJP2" s="353"/>
      <c r="VJQ2" s="353"/>
      <c r="VJR2" s="353"/>
      <c r="VJS2" s="353"/>
      <c r="VJT2" s="353"/>
      <c r="VJU2" s="353"/>
      <c r="VJV2" s="353"/>
      <c r="VJW2" s="353"/>
      <c r="VJX2" s="353"/>
      <c r="VJY2" s="353"/>
      <c r="VJZ2" s="353"/>
      <c r="VKA2" s="353"/>
      <c r="VKB2" s="353"/>
      <c r="VKC2" s="353"/>
      <c r="VKD2" s="353"/>
      <c r="VKE2" s="353"/>
      <c r="VKF2" s="353"/>
      <c r="VKG2" s="353"/>
      <c r="VKH2" s="353"/>
      <c r="VKI2" s="353"/>
      <c r="VKJ2" s="353"/>
      <c r="VKK2" s="353"/>
      <c r="VKL2" s="353"/>
      <c r="VKM2" s="353"/>
      <c r="VKN2" s="353"/>
      <c r="VKO2" s="353"/>
      <c r="VKP2" s="353"/>
      <c r="VKQ2" s="353"/>
      <c r="VKR2" s="353"/>
      <c r="VKS2" s="353"/>
      <c r="VKT2" s="353"/>
      <c r="VKU2" s="353"/>
      <c r="VKV2" s="353"/>
      <c r="VKW2" s="353"/>
      <c r="VKX2" s="353"/>
      <c r="VKY2" s="353"/>
      <c r="VKZ2" s="353"/>
      <c r="VLA2" s="353"/>
      <c r="VLB2" s="353"/>
      <c r="VLC2" s="353"/>
      <c r="VLD2" s="353"/>
      <c r="VLE2" s="353"/>
      <c r="VLF2" s="353"/>
      <c r="VLG2" s="353"/>
      <c r="VLH2" s="353"/>
      <c r="VLI2" s="353"/>
      <c r="VLJ2" s="353"/>
      <c r="VLK2" s="353"/>
      <c r="VLL2" s="353"/>
      <c r="VLM2" s="353"/>
      <c r="VLN2" s="353"/>
      <c r="VLO2" s="353"/>
      <c r="VLP2" s="353"/>
      <c r="VLQ2" s="353"/>
      <c r="VLR2" s="353"/>
      <c r="VLS2" s="353"/>
      <c r="VLT2" s="353"/>
      <c r="VLU2" s="353"/>
      <c r="VLV2" s="353"/>
      <c r="VLW2" s="353"/>
      <c r="VLX2" s="353"/>
      <c r="VLY2" s="353"/>
      <c r="VLZ2" s="353"/>
      <c r="VMA2" s="353"/>
      <c r="VMB2" s="353"/>
      <c r="VMC2" s="353"/>
      <c r="VMD2" s="353"/>
      <c r="VME2" s="353"/>
      <c r="VMF2" s="353"/>
      <c r="VMG2" s="353"/>
      <c r="VMH2" s="353"/>
      <c r="VMI2" s="353"/>
      <c r="VMJ2" s="353"/>
      <c r="VMK2" s="353"/>
      <c r="VML2" s="353"/>
      <c r="VMM2" s="353"/>
      <c r="VMN2" s="353"/>
      <c r="VMO2" s="353"/>
      <c r="VMP2" s="353"/>
      <c r="VMQ2" s="353"/>
      <c r="VMR2" s="353"/>
      <c r="VMS2" s="353"/>
      <c r="VMT2" s="353"/>
      <c r="VMU2" s="353"/>
      <c r="VMV2" s="353"/>
      <c r="VMW2" s="353"/>
      <c r="VMX2" s="353"/>
      <c r="VMY2" s="353"/>
      <c r="VMZ2" s="353"/>
      <c r="VNA2" s="353"/>
      <c r="VNB2" s="353"/>
      <c r="VNC2" s="353"/>
      <c r="VND2" s="353"/>
      <c r="VNE2" s="353"/>
      <c r="VNF2" s="353"/>
      <c r="VNG2" s="353"/>
      <c r="VNH2" s="353"/>
      <c r="VNI2" s="353"/>
      <c r="VNJ2" s="353"/>
      <c r="VNK2" s="353"/>
      <c r="VNL2" s="353"/>
      <c r="VNM2" s="353"/>
      <c r="VNN2" s="353"/>
      <c r="VNO2" s="353"/>
      <c r="VNP2" s="353"/>
      <c r="VNQ2" s="353"/>
      <c r="VNR2" s="353"/>
      <c r="VNS2" s="353"/>
      <c r="VNT2" s="353"/>
      <c r="VNU2" s="353"/>
      <c r="VNV2" s="353"/>
      <c r="VNW2" s="353"/>
      <c r="VNX2" s="353"/>
      <c r="VNY2" s="353"/>
      <c r="VNZ2" s="353"/>
      <c r="VOA2" s="353"/>
      <c r="VOB2" s="353"/>
      <c r="VOC2" s="353"/>
      <c r="VOD2" s="353"/>
      <c r="VOE2" s="353"/>
      <c r="VOF2" s="353"/>
      <c r="VOG2" s="353"/>
      <c r="VOH2" s="353"/>
      <c r="VOI2" s="353"/>
      <c r="VOJ2" s="353"/>
      <c r="VOK2" s="353"/>
      <c r="VOL2" s="353"/>
      <c r="VOM2" s="353"/>
      <c r="VON2" s="353"/>
      <c r="VOO2" s="353"/>
      <c r="VOP2" s="353"/>
      <c r="VOQ2" s="353"/>
      <c r="VOR2" s="353"/>
      <c r="VOS2" s="353"/>
      <c r="VOT2" s="353"/>
      <c r="VOU2" s="353"/>
      <c r="VOV2" s="353"/>
      <c r="VOW2" s="353"/>
      <c r="VOX2" s="353"/>
      <c r="VOY2" s="353"/>
      <c r="VOZ2" s="353"/>
      <c r="VPA2" s="353"/>
      <c r="VPB2" s="353"/>
      <c r="VPC2" s="353"/>
      <c r="VPD2" s="353"/>
      <c r="VPE2" s="353"/>
      <c r="VPF2" s="353"/>
      <c r="VPG2" s="353"/>
      <c r="VPH2" s="353"/>
      <c r="VPI2" s="353"/>
      <c r="VPJ2" s="353"/>
      <c r="VPK2" s="353"/>
      <c r="VPL2" s="353"/>
      <c r="VPM2" s="353"/>
      <c r="VPN2" s="353"/>
      <c r="VPO2" s="353"/>
      <c r="VPP2" s="353"/>
      <c r="VPQ2" s="353"/>
      <c r="VPR2" s="353"/>
      <c r="VPS2" s="353"/>
      <c r="VPT2" s="353"/>
      <c r="VPU2" s="353"/>
      <c r="VPV2" s="353"/>
      <c r="VPW2" s="353"/>
      <c r="VPX2" s="353"/>
      <c r="VPY2" s="353"/>
      <c r="VPZ2" s="353"/>
      <c r="VQA2" s="353"/>
      <c r="VQB2" s="353"/>
      <c r="VQC2" s="353"/>
      <c r="VQD2" s="353"/>
      <c r="VQE2" s="353"/>
      <c r="VQF2" s="353"/>
      <c r="VQG2" s="353"/>
      <c r="VQH2" s="353"/>
      <c r="VQI2" s="353"/>
      <c r="VQJ2" s="353"/>
      <c r="VQK2" s="353"/>
      <c r="VQL2" s="353"/>
      <c r="VQM2" s="353"/>
      <c r="VQN2" s="353"/>
      <c r="VQO2" s="353"/>
      <c r="VQP2" s="353"/>
      <c r="VQQ2" s="353"/>
      <c r="VQR2" s="353"/>
      <c r="VQS2" s="353"/>
      <c r="VQT2" s="353"/>
      <c r="VQU2" s="353"/>
      <c r="VQV2" s="353"/>
      <c r="VQW2" s="353"/>
      <c r="VQX2" s="353"/>
      <c r="VQY2" s="353"/>
      <c r="VQZ2" s="353"/>
      <c r="VRA2" s="353"/>
      <c r="VRB2" s="353"/>
      <c r="VRC2" s="353"/>
      <c r="VRD2" s="353"/>
      <c r="VRE2" s="353"/>
      <c r="VRF2" s="353"/>
      <c r="VRG2" s="353"/>
      <c r="VRH2" s="353"/>
      <c r="VRI2" s="353"/>
      <c r="VRJ2" s="353"/>
      <c r="VRK2" s="353"/>
      <c r="VRL2" s="353"/>
      <c r="VRM2" s="353"/>
      <c r="VRN2" s="353"/>
      <c r="VRO2" s="353"/>
      <c r="VRP2" s="353"/>
      <c r="VRQ2" s="353"/>
      <c r="VRR2" s="353"/>
      <c r="VRS2" s="353"/>
      <c r="VRT2" s="353"/>
      <c r="VRU2" s="353"/>
      <c r="VRV2" s="353"/>
      <c r="VRW2" s="353"/>
      <c r="VRX2" s="353"/>
      <c r="VRY2" s="353"/>
      <c r="VRZ2" s="353"/>
      <c r="VSA2" s="353"/>
      <c r="VSB2" s="353"/>
      <c r="VSC2" s="353"/>
      <c r="VSD2" s="353"/>
      <c r="VSE2" s="353"/>
      <c r="VSF2" s="353"/>
      <c r="VSG2" s="353"/>
      <c r="VSH2" s="353"/>
      <c r="VSI2" s="353"/>
      <c r="VSJ2" s="353"/>
      <c r="VSK2" s="353"/>
      <c r="VSL2" s="353"/>
      <c r="VSM2" s="353"/>
      <c r="VSN2" s="353"/>
      <c r="VSO2" s="353"/>
      <c r="VSP2" s="353"/>
      <c r="VSQ2" s="353"/>
      <c r="VSR2" s="353"/>
      <c r="VSS2" s="353"/>
      <c r="VST2" s="353"/>
      <c r="VSU2" s="353"/>
      <c r="VSV2" s="353"/>
      <c r="VSW2" s="353"/>
      <c r="VSX2" s="353"/>
      <c r="VSY2" s="353"/>
      <c r="VSZ2" s="353"/>
      <c r="VTA2" s="353"/>
      <c r="VTB2" s="353"/>
      <c r="VTC2" s="353"/>
      <c r="VTD2" s="353"/>
      <c r="VTE2" s="353"/>
      <c r="VTF2" s="353"/>
      <c r="VTG2" s="353"/>
      <c r="VTH2" s="353"/>
      <c r="VTI2" s="353"/>
      <c r="VTJ2" s="353"/>
      <c r="VTK2" s="353"/>
      <c r="VTL2" s="353"/>
      <c r="VTM2" s="353"/>
      <c r="VTN2" s="353"/>
      <c r="VTO2" s="353"/>
      <c r="VTP2" s="353"/>
      <c r="VTQ2" s="353"/>
      <c r="VTR2" s="353"/>
      <c r="VTS2" s="353"/>
      <c r="VTT2" s="353"/>
      <c r="VTU2" s="353"/>
      <c r="VTV2" s="353"/>
      <c r="VTW2" s="353"/>
      <c r="VTX2" s="353"/>
      <c r="VTY2" s="353"/>
      <c r="VTZ2" s="353"/>
      <c r="VUA2" s="353"/>
      <c r="VUB2" s="353"/>
      <c r="VUC2" s="353"/>
      <c r="VUD2" s="353"/>
      <c r="VUE2" s="353"/>
      <c r="VUF2" s="353"/>
      <c r="VUG2" s="353"/>
      <c r="VUH2" s="353"/>
      <c r="VUI2" s="353"/>
      <c r="VUJ2" s="353"/>
      <c r="VUK2" s="353"/>
      <c r="VUL2" s="353"/>
      <c r="VUM2" s="353"/>
      <c r="VUN2" s="353"/>
      <c r="VUO2" s="353"/>
      <c r="VUP2" s="353"/>
      <c r="VUQ2" s="353"/>
      <c r="VUR2" s="353"/>
      <c r="VUS2" s="353"/>
      <c r="VUT2" s="353"/>
      <c r="VUU2" s="353"/>
      <c r="VUV2" s="353"/>
      <c r="VUW2" s="353"/>
      <c r="VUX2" s="353"/>
      <c r="VUY2" s="353"/>
      <c r="VUZ2" s="353"/>
      <c r="VVA2" s="353"/>
      <c r="VVB2" s="353"/>
      <c r="VVC2" s="353"/>
      <c r="VVD2" s="353"/>
      <c r="VVE2" s="353"/>
      <c r="VVF2" s="353"/>
      <c r="VVG2" s="353"/>
      <c r="VVH2" s="353"/>
      <c r="VVI2" s="353"/>
      <c r="VVJ2" s="353"/>
      <c r="VVK2" s="353"/>
      <c r="VVL2" s="353"/>
      <c r="VVM2" s="353"/>
      <c r="VVN2" s="353"/>
      <c r="VVO2" s="353"/>
      <c r="VVP2" s="353"/>
      <c r="VVQ2" s="353"/>
      <c r="VVR2" s="353"/>
      <c r="VVS2" s="353"/>
      <c r="VVT2" s="353"/>
      <c r="VVU2" s="353"/>
      <c r="VVV2" s="353"/>
      <c r="VVW2" s="353"/>
      <c r="VVX2" s="353"/>
      <c r="VVY2" s="353"/>
      <c r="VVZ2" s="353"/>
      <c r="VWA2" s="353"/>
      <c r="VWB2" s="353"/>
      <c r="VWC2" s="353"/>
      <c r="VWD2" s="353"/>
      <c r="VWE2" s="353"/>
      <c r="VWF2" s="353"/>
      <c r="VWG2" s="353"/>
      <c r="VWH2" s="353"/>
      <c r="VWI2" s="353"/>
      <c r="VWJ2" s="353"/>
      <c r="VWK2" s="353"/>
      <c r="VWL2" s="353"/>
      <c r="VWM2" s="353"/>
      <c r="VWN2" s="353"/>
      <c r="VWO2" s="353"/>
      <c r="VWP2" s="353"/>
      <c r="VWQ2" s="353"/>
      <c r="VWR2" s="353"/>
      <c r="VWS2" s="353"/>
      <c r="VWT2" s="353"/>
      <c r="VWU2" s="353"/>
      <c r="VWV2" s="353"/>
      <c r="VWW2" s="353"/>
      <c r="VWX2" s="353"/>
      <c r="VWY2" s="353"/>
      <c r="VWZ2" s="353"/>
      <c r="VXA2" s="353"/>
      <c r="VXB2" s="353"/>
      <c r="VXC2" s="353"/>
      <c r="VXD2" s="353"/>
      <c r="VXE2" s="353"/>
      <c r="VXF2" s="353"/>
      <c r="VXG2" s="353"/>
      <c r="VXH2" s="353"/>
      <c r="VXI2" s="353"/>
      <c r="VXJ2" s="353"/>
      <c r="VXK2" s="353"/>
      <c r="VXL2" s="353"/>
      <c r="VXM2" s="353"/>
      <c r="VXN2" s="353"/>
      <c r="VXO2" s="353"/>
      <c r="VXP2" s="353"/>
      <c r="VXQ2" s="353"/>
      <c r="VXR2" s="353"/>
      <c r="VXS2" s="353"/>
      <c r="VXT2" s="353"/>
      <c r="VXU2" s="353"/>
      <c r="VXV2" s="353"/>
      <c r="VXW2" s="353"/>
      <c r="VXX2" s="353"/>
      <c r="VXY2" s="353"/>
      <c r="VXZ2" s="353"/>
      <c r="VYA2" s="353"/>
      <c r="VYB2" s="353"/>
      <c r="VYC2" s="353"/>
      <c r="VYD2" s="353"/>
      <c r="VYE2" s="353"/>
      <c r="VYF2" s="353"/>
      <c r="VYG2" s="353"/>
      <c r="VYH2" s="353"/>
      <c r="VYI2" s="353"/>
      <c r="VYJ2" s="353"/>
      <c r="VYK2" s="353"/>
      <c r="VYL2" s="353"/>
      <c r="VYM2" s="353"/>
      <c r="VYN2" s="353"/>
      <c r="VYO2" s="353"/>
      <c r="VYP2" s="353"/>
      <c r="VYQ2" s="353"/>
      <c r="VYR2" s="353"/>
      <c r="VYS2" s="353"/>
      <c r="VYT2" s="353"/>
      <c r="VYU2" s="353"/>
      <c r="VYV2" s="353"/>
      <c r="VYW2" s="353"/>
      <c r="VYX2" s="353"/>
      <c r="VYY2" s="353"/>
      <c r="VYZ2" s="353"/>
      <c r="VZA2" s="353"/>
      <c r="VZB2" s="353"/>
      <c r="VZC2" s="353"/>
      <c r="VZD2" s="353"/>
      <c r="VZE2" s="353"/>
      <c r="VZF2" s="353"/>
      <c r="VZG2" s="353"/>
      <c r="VZH2" s="353"/>
      <c r="VZI2" s="353"/>
      <c r="VZJ2" s="353"/>
      <c r="VZK2" s="353"/>
      <c r="VZL2" s="353"/>
      <c r="VZM2" s="353"/>
      <c r="VZN2" s="353"/>
      <c r="VZO2" s="353"/>
      <c r="VZP2" s="353"/>
      <c r="VZQ2" s="353"/>
      <c r="VZR2" s="353"/>
      <c r="VZS2" s="353"/>
      <c r="VZT2" s="353"/>
      <c r="VZU2" s="353"/>
      <c r="VZV2" s="353"/>
      <c r="VZW2" s="353"/>
      <c r="VZX2" s="353"/>
      <c r="VZY2" s="353"/>
      <c r="VZZ2" s="353"/>
      <c r="WAA2" s="353"/>
      <c r="WAB2" s="353"/>
      <c r="WAC2" s="353"/>
      <c r="WAD2" s="353"/>
      <c r="WAE2" s="353"/>
      <c r="WAF2" s="353"/>
      <c r="WAG2" s="353"/>
      <c r="WAH2" s="353"/>
      <c r="WAI2" s="353"/>
      <c r="WAJ2" s="353"/>
      <c r="WAK2" s="353"/>
      <c r="WAL2" s="353"/>
      <c r="WAM2" s="353"/>
      <c r="WAN2" s="353"/>
      <c r="WAO2" s="353"/>
      <c r="WAP2" s="353"/>
      <c r="WAQ2" s="353"/>
      <c r="WAR2" s="353"/>
      <c r="WAS2" s="353"/>
      <c r="WAT2" s="353"/>
      <c r="WAU2" s="353"/>
      <c r="WAV2" s="353"/>
      <c r="WAW2" s="353"/>
      <c r="WAX2" s="353"/>
      <c r="WAY2" s="353"/>
      <c r="WAZ2" s="353"/>
      <c r="WBA2" s="353"/>
      <c r="WBB2" s="353"/>
      <c r="WBC2" s="353"/>
      <c r="WBD2" s="353"/>
      <c r="WBE2" s="353"/>
      <c r="WBF2" s="353"/>
      <c r="WBG2" s="353"/>
      <c r="WBH2" s="353"/>
      <c r="WBI2" s="353"/>
      <c r="WBJ2" s="353"/>
      <c r="WBK2" s="353"/>
      <c r="WBL2" s="353"/>
      <c r="WBM2" s="353"/>
      <c r="WBN2" s="353"/>
      <c r="WBO2" s="353"/>
      <c r="WBP2" s="353"/>
      <c r="WBQ2" s="353"/>
      <c r="WBR2" s="353"/>
      <c r="WBS2" s="353"/>
      <c r="WBT2" s="353"/>
      <c r="WBU2" s="353"/>
      <c r="WBV2" s="353"/>
      <c r="WBW2" s="353"/>
      <c r="WBX2" s="353"/>
      <c r="WBY2" s="353"/>
      <c r="WBZ2" s="353"/>
      <c r="WCA2" s="353"/>
      <c r="WCB2" s="353"/>
      <c r="WCC2" s="353"/>
      <c r="WCD2" s="353"/>
      <c r="WCE2" s="353"/>
      <c r="WCF2" s="353"/>
      <c r="WCG2" s="353"/>
      <c r="WCH2" s="353"/>
      <c r="WCI2" s="353"/>
      <c r="WCJ2" s="353"/>
      <c r="WCK2" s="353"/>
      <c r="WCL2" s="353"/>
      <c r="WCM2" s="353"/>
      <c r="WCN2" s="353"/>
      <c r="WCO2" s="353"/>
      <c r="WCP2" s="353"/>
      <c r="WCQ2" s="353"/>
      <c r="WCR2" s="353"/>
      <c r="WCS2" s="353"/>
      <c r="WCT2" s="353"/>
      <c r="WCU2" s="353"/>
      <c r="WCV2" s="353"/>
      <c r="WCW2" s="353"/>
      <c r="WCX2" s="353"/>
      <c r="WCY2" s="353"/>
      <c r="WCZ2" s="353"/>
      <c r="WDA2" s="353"/>
      <c r="WDB2" s="353"/>
      <c r="WDC2" s="353"/>
      <c r="WDD2" s="353"/>
      <c r="WDE2" s="353"/>
      <c r="WDF2" s="353"/>
      <c r="WDG2" s="353"/>
      <c r="WDH2" s="353"/>
      <c r="WDI2" s="353"/>
      <c r="WDJ2" s="353"/>
      <c r="WDK2" s="353"/>
      <c r="WDL2" s="353"/>
      <c r="WDM2" s="353"/>
      <c r="WDN2" s="353"/>
      <c r="WDO2" s="353"/>
      <c r="WDP2" s="353"/>
      <c r="WDQ2" s="353"/>
      <c r="WDR2" s="353"/>
      <c r="WDS2" s="353"/>
      <c r="WDT2" s="353"/>
      <c r="WDU2" s="353"/>
      <c r="WDV2" s="353"/>
      <c r="WDW2" s="353"/>
      <c r="WDX2" s="353"/>
      <c r="WDY2" s="353"/>
      <c r="WDZ2" s="353"/>
      <c r="WEA2" s="353"/>
      <c r="WEB2" s="353"/>
      <c r="WEC2" s="353"/>
      <c r="WED2" s="353"/>
      <c r="WEE2" s="353"/>
      <c r="WEF2" s="353"/>
      <c r="WEG2" s="353"/>
      <c r="WEH2" s="353"/>
      <c r="WEI2" s="353"/>
      <c r="WEJ2" s="353"/>
      <c r="WEK2" s="353"/>
      <c r="WEL2" s="353"/>
      <c r="WEM2" s="353"/>
      <c r="WEN2" s="353"/>
      <c r="WEO2" s="353"/>
      <c r="WEP2" s="353"/>
      <c r="WEQ2" s="353"/>
      <c r="WER2" s="353"/>
      <c r="WES2" s="353"/>
      <c r="WET2" s="353"/>
      <c r="WEU2" s="353"/>
      <c r="WEV2" s="353"/>
      <c r="WEW2" s="353"/>
      <c r="WEX2" s="353"/>
      <c r="WEY2" s="353"/>
      <c r="WEZ2" s="353"/>
      <c r="WFA2" s="353"/>
      <c r="WFB2" s="353"/>
      <c r="WFC2" s="353"/>
      <c r="WFD2" s="353"/>
      <c r="WFE2" s="353"/>
      <c r="WFF2" s="353"/>
      <c r="WFG2" s="353"/>
      <c r="WFH2" s="353"/>
      <c r="WFI2" s="353"/>
      <c r="WFJ2" s="353"/>
      <c r="WFK2" s="353"/>
      <c r="WFL2" s="353"/>
      <c r="WFM2" s="353"/>
      <c r="WFN2" s="353"/>
      <c r="WFO2" s="353"/>
      <c r="WFP2" s="353"/>
      <c r="WFQ2" s="353"/>
      <c r="WFR2" s="353"/>
      <c r="WFS2" s="353"/>
      <c r="WFT2" s="353"/>
      <c r="WFU2" s="353"/>
      <c r="WFV2" s="353"/>
      <c r="WFW2" s="353"/>
      <c r="WFX2" s="353"/>
      <c r="WFY2" s="353"/>
      <c r="WFZ2" s="353"/>
      <c r="WGA2" s="353"/>
      <c r="WGB2" s="353"/>
      <c r="WGC2" s="353"/>
      <c r="WGD2" s="353"/>
      <c r="WGE2" s="353"/>
      <c r="WGF2" s="353"/>
      <c r="WGG2" s="353"/>
      <c r="WGH2" s="353"/>
      <c r="WGI2" s="353"/>
      <c r="WGJ2" s="353"/>
      <c r="WGK2" s="353"/>
      <c r="WGL2" s="353"/>
      <c r="WGM2" s="353"/>
      <c r="WGN2" s="353"/>
      <c r="WGO2" s="353"/>
      <c r="WGP2" s="353"/>
      <c r="WGQ2" s="353"/>
      <c r="WGR2" s="353"/>
      <c r="WGS2" s="353"/>
      <c r="WGT2" s="353"/>
      <c r="WGU2" s="353"/>
      <c r="WGV2" s="353"/>
      <c r="WGW2" s="353"/>
      <c r="WGX2" s="353"/>
      <c r="WGY2" s="353"/>
      <c r="WGZ2" s="353"/>
      <c r="WHA2" s="353"/>
      <c r="WHB2" s="353"/>
      <c r="WHC2" s="353"/>
      <c r="WHD2" s="353"/>
      <c r="WHE2" s="353"/>
      <c r="WHF2" s="353"/>
      <c r="WHG2" s="353"/>
      <c r="WHH2" s="353"/>
      <c r="WHI2" s="353"/>
      <c r="WHJ2" s="353"/>
      <c r="WHK2" s="353"/>
      <c r="WHL2" s="353"/>
      <c r="WHM2" s="353"/>
      <c r="WHN2" s="353"/>
      <c r="WHO2" s="353"/>
      <c r="WHP2" s="353"/>
      <c r="WHQ2" s="353"/>
      <c r="WHR2" s="353"/>
      <c r="WHS2" s="353"/>
      <c r="WHT2" s="353"/>
      <c r="WHU2" s="353"/>
      <c r="WHV2" s="353"/>
      <c r="WHW2" s="353"/>
      <c r="WHX2" s="353"/>
      <c r="WHY2" s="353"/>
      <c r="WHZ2" s="353"/>
      <c r="WIA2" s="353"/>
      <c r="WIB2" s="353"/>
      <c r="WIC2" s="353"/>
      <c r="WID2" s="353"/>
      <c r="WIE2" s="353"/>
      <c r="WIF2" s="353"/>
      <c r="WIG2" s="353"/>
      <c r="WIH2" s="353"/>
      <c r="WII2" s="353"/>
      <c r="WIJ2" s="353"/>
      <c r="WIK2" s="353"/>
      <c r="WIL2" s="353"/>
      <c r="WIM2" s="353"/>
      <c r="WIN2" s="353"/>
      <c r="WIO2" s="353"/>
      <c r="WIP2" s="353"/>
      <c r="WIQ2" s="353"/>
      <c r="WIR2" s="353"/>
      <c r="WIS2" s="353"/>
      <c r="WIT2" s="353"/>
      <c r="WIU2" s="353"/>
      <c r="WIV2" s="353"/>
      <c r="WIW2" s="353"/>
      <c r="WIX2" s="353"/>
      <c r="WIY2" s="353"/>
      <c r="WIZ2" s="353"/>
      <c r="WJA2" s="353"/>
      <c r="WJB2" s="353"/>
      <c r="WJC2" s="353"/>
      <c r="WJD2" s="353"/>
      <c r="WJE2" s="353"/>
      <c r="WJF2" s="353"/>
      <c r="WJG2" s="353"/>
      <c r="WJH2" s="353"/>
      <c r="WJI2" s="353"/>
      <c r="WJJ2" s="353"/>
      <c r="WJK2" s="353"/>
      <c r="WJL2" s="353"/>
      <c r="WJM2" s="353"/>
      <c r="WJN2" s="353"/>
      <c r="WJO2" s="353"/>
      <c r="WJP2" s="353"/>
      <c r="WJQ2" s="353"/>
      <c r="WJR2" s="353"/>
      <c r="WJS2" s="353"/>
      <c r="WJT2" s="353"/>
      <c r="WJU2" s="353"/>
      <c r="WJV2" s="353"/>
      <c r="WJW2" s="353"/>
      <c r="WJX2" s="353"/>
      <c r="WJY2" s="353"/>
      <c r="WJZ2" s="353"/>
      <c r="WKA2" s="353"/>
      <c r="WKB2" s="353"/>
      <c r="WKC2" s="353"/>
      <c r="WKD2" s="353"/>
      <c r="WKE2" s="353"/>
      <c r="WKF2" s="353"/>
      <c r="WKG2" s="353"/>
      <c r="WKH2" s="353"/>
      <c r="WKI2" s="353"/>
      <c r="WKJ2" s="353"/>
      <c r="WKK2" s="353"/>
      <c r="WKL2" s="353"/>
      <c r="WKM2" s="353"/>
      <c r="WKN2" s="353"/>
      <c r="WKO2" s="353"/>
      <c r="WKP2" s="353"/>
      <c r="WKQ2" s="353"/>
      <c r="WKR2" s="353"/>
      <c r="WKS2" s="353"/>
      <c r="WKT2" s="353"/>
      <c r="WKU2" s="353"/>
      <c r="WKV2" s="353"/>
      <c r="WKW2" s="353"/>
      <c r="WKX2" s="353"/>
      <c r="WKY2" s="353"/>
      <c r="WKZ2" s="353"/>
      <c r="WLA2" s="353"/>
      <c r="WLB2" s="353"/>
      <c r="WLC2" s="353"/>
      <c r="WLD2" s="353"/>
      <c r="WLE2" s="353"/>
      <c r="WLF2" s="353"/>
      <c r="WLG2" s="353"/>
      <c r="WLH2" s="353"/>
      <c r="WLI2" s="353"/>
      <c r="WLJ2" s="353"/>
      <c r="WLK2" s="353"/>
      <c r="WLL2" s="353"/>
      <c r="WLM2" s="353"/>
      <c r="WLN2" s="353"/>
      <c r="WLO2" s="353"/>
      <c r="WLP2" s="353"/>
      <c r="WLQ2" s="353"/>
      <c r="WLR2" s="353"/>
      <c r="WLS2" s="353"/>
      <c r="WLT2" s="353"/>
      <c r="WLU2" s="353"/>
      <c r="WLV2" s="353"/>
      <c r="WLW2" s="353"/>
      <c r="WLX2" s="353"/>
      <c r="WLY2" s="353"/>
      <c r="WLZ2" s="353"/>
      <c r="WMA2" s="353"/>
      <c r="WMB2" s="353"/>
      <c r="WMC2" s="353"/>
      <c r="WMD2" s="353"/>
      <c r="WME2" s="353"/>
      <c r="WMF2" s="353"/>
      <c r="WMG2" s="353"/>
      <c r="WMH2" s="353"/>
      <c r="WMI2" s="353"/>
      <c r="WMJ2" s="353"/>
      <c r="WMK2" s="353"/>
      <c r="WML2" s="353"/>
      <c r="WMM2" s="353"/>
      <c r="WMN2" s="353"/>
      <c r="WMO2" s="353"/>
      <c r="WMP2" s="353"/>
      <c r="WMQ2" s="353"/>
      <c r="WMR2" s="353"/>
      <c r="WMS2" s="353"/>
      <c r="WMT2" s="353"/>
      <c r="WMU2" s="353"/>
      <c r="WMV2" s="353"/>
      <c r="WMW2" s="353"/>
      <c r="WMX2" s="353"/>
      <c r="WMY2" s="353"/>
      <c r="WMZ2" s="353"/>
      <c r="WNA2" s="353"/>
      <c r="WNB2" s="353"/>
      <c r="WNC2" s="353"/>
      <c r="WND2" s="353"/>
      <c r="WNE2" s="353"/>
      <c r="WNF2" s="353"/>
      <c r="WNG2" s="353"/>
      <c r="WNH2" s="353"/>
      <c r="WNI2" s="353"/>
      <c r="WNJ2" s="353"/>
      <c r="WNK2" s="353"/>
      <c r="WNL2" s="353"/>
      <c r="WNM2" s="353"/>
      <c r="WNN2" s="353"/>
      <c r="WNO2" s="353"/>
      <c r="WNP2" s="353"/>
      <c r="WNQ2" s="353"/>
      <c r="WNR2" s="353"/>
      <c r="WNS2" s="353"/>
      <c r="WNT2" s="353"/>
      <c r="WNU2" s="353"/>
      <c r="WNV2" s="353"/>
      <c r="WNW2" s="353"/>
      <c r="WNX2" s="353"/>
      <c r="WNY2" s="353"/>
      <c r="WNZ2" s="353"/>
      <c r="WOA2" s="353"/>
      <c r="WOB2" s="353"/>
      <c r="WOC2" s="353"/>
      <c r="WOD2" s="353"/>
      <c r="WOE2" s="353"/>
      <c r="WOF2" s="353"/>
      <c r="WOG2" s="353"/>
      <c r="WOH2" s="353"/>
      <c r="WOI2" s="353"/>
      <c r="WOJ2" s="353"/>
      <c r="WOK2" s="353"/>
      <c r="WOL2" s="353"/>
      <c r="WOM2" s="353"/>
      <c r="WON2" s="353"/>
      <c r="WOO2" s="353"/>
      <c r="WOP2" s="353"/>
      <c r="WOQ2" s="353"/>
      <c r="WOR2" s="353"/>
      <c r="WOS2" s="353"/>
      <c r="WOT2" s="353"/>
      <c r="WOU2" s="353"/>
      <c r="WOV2" s="353"/>
      <c r="WOW2" s="353"/>
      <c r="WOX2" s="353"/>
      <c r="WOY2" s="353"/>
      <c r="WOZ2" s="353"/>
      <c r="WPA2" s="353"/>
      <c r="WPB2" s="353"/>
      <c r="WPC2" s="353"/>
      <c r="WPD2" s="353"/>
      <c r="WPE2" s="353"/>
      <c r="WPF2" s="353"/>
      <c r="WPG2" s="353"/>
      <c r="WPH2" s="353"/>
      <c r="WPI2" s="353"/>
      <c r="WPJ2" s="353"/>
      <c r="WPK2" s="353"/>
      <c r="WPL2" s="353"/>
      <c r="WPM2" s="353"/>
      <c r="WPN2" s="353"/>
      <c r="WPO2" s="353"/>
      <c r="WPP2" s="353"/>
      <c r="WPQ2" s="353"/>
      <c r="WPR2" s="353"/>
      <c r="WPS2" s="353"/>
      <c r="WPT2" s="353"/>
      <c r="WPU2" s="353"/>
      <c r="WPV2" s="353"/>
      <c r="WPW2" s="353"/>
      <c r="WPX2" s="353"/>
      <c r="WPY2" s="353"/>
      <c r="WPZ2" s="353"/>
      <c r="WQA2" s="353"/>
      <c r="WQB2" s="353"/>
      <c r="WQC2" s="353"/>
      <c r="WQD2" s="353"/>
      <c r="WQE2" s="353"/>
      <c r="WQF2" s="353"/>
      <c r="WQG2" s="353"/>
      <c r="WQH2" s="353"/>
      <c r="WQI2" s="353"/>
      <c r="WQJ2" s="353"/>
      <c r="WQK2" s="353"/>
      <c r="WQL2" s="353"/>
      <c r="WQM2" s="353"/>
      <c r="WQN2" s="353"/>
      <c r="WQO2" s="353"/>
      <c r="WQP2" s="353"/>
      <c r="WQQ2" s="353"/>
      <c r="WQR2" s="353"/>
      <c r="WQS2" s="353"/>
      <c r="WQT2" s="353"/>
      <c r="WQU2" s="353"/>
      <c r="WQV2" s="353"/>
      <c r="WQW2" s="353"/>
      <c r="WQX2" s="353"/>
      <c r="WQY2" s="353"/>
      <c r="WQZ2" s="353"/>
      <c r="WRA2" s="353"/>
      <c r="WRB2" s="353"/>
      <c r="WRC2" s="353"/>
      <c r="WRD2" s="353"/>
      <c r="WRE2" s="353"/>
      <c r="WRF2" s="353"/>
      <c r="WRG2" s="353"/>
      <c r="WRH2" s="353"/>
      <c r="WRI2" s="353"/>
      <c r="WRJ2" s="353"/>
      <c r="WRK2" s="353"/>
      <c r="WRL2" s="353"/>
      <c r="WRM2" s="353"/>
      <c r="WRN2" s="353"/>
      <c r="WRO2" s="353"/>
      <c r="WRP2" s="353"/>
      <c r="WRQ2" s="353"/>
      <c r="WRR2" s="353"/>
      <c r="WRS2" s="353"/>
      <c r="WRT2" s="353"/>
      <c r="WRU2" s="353"/>
      <c r="WRV2" s="353"/>
      <c r="WRW2" s="353"/>
      <c r="WRX2" s="353"/>
      <c r="WRY2" s="353"/>
      <c r="WRZ2" s="353"/>
      <c r="WSA2" s="353"/>
      <c r="WSB2" s="353"/>
      <c r="WSC2" s="353"/>
      <c r="WSD2" s="353"/>
      <c r="WSE2" s="353"/>
      <c r="WSF2" s="353"/>
      <c r="WSG2" s="353"/>
      <c r="WSH2" s="353"/>
      <c r="WSI2" s="353"/>
      <c r="WSJ2" s="353"/>
      <c r="WSK2" s="353"/>
      <c r="WSL2" s="353"/>
      <c r="WSM2" s="353"/>
      <c r="WSN2" s="353"/>
      <c r="WSO2" s="353"/>
      <c r="WSP2" s="353"/>
      <c r="WSQ2" s="353"/>
      <c r="WSR2" s="353"/>
      <c r="WSS2" s="353"/>
      <c r="WST2" s="353"/>
      <c r="WSU2" s="353"/>
      <c r="WSV2" s="353"/>
      <c r="WSW2" s="353"/>
      <c r="WSX2" s="353"/>
      <c r="WSY2" s="353"/>
      <c r="WSZ2" s="353"/>
      <c r="WTA2" s="353"/>
      <c r="WTB2" s="353"/>
      <c r="WTC2" s="353"/>
      <c r="WTD2" s="353"/>
      <c r="WTE2" s="353"/>
      <c r="WTF2" s="353"/>
      <c r="WTG2" s="353"/>
      <c r="WTH2" s="353"/>
      <c r="WTI2" s="353"/>
      <c r="WTJ2" s="353"/>
      <c r="WTK2" s="353"/>
      <c r="WTL2" s="353"/>
      <c r="WTM2" s="353"/>
      <c r="WTN2" s="353"/>
      <c r="WTO2" s="353"/>
      <c r="WTP2" s="353"/>
      <c r="WTQ2" s="353"/>
      <c r="WTR2" s="353"/>
      <c r="WTS2" s="353"/>
      <c r="WTT2" s="353"/>
      <c r="WTU2" s="353"/>
      <c r="WTV2" s="353"/>
      <c r="WTW2" s="353"/>
      <c r="WTX2" s="353"/>
      <c r="WTY2" s="353"/>
      <c r="WTZ2" s="353"/>
      <c r="WUA2" s="353"/>
      <c r="WUB2" s="353"/>
      <c r="WUC2" s="353"/>
      <c r="WUD2" s="353"/>
      <c r="WUE2" s="353"/>
      <c r="WUF2" s="353"/>
      <c r="WUG2" s="353"/>
      <c r="WUH2" s="353"/>
      <c r="WUI2" s="353"/>
      <c r="WUJ2" s="353"/>
      <c r="WUK2" s="353"/>
      <c r="WUL2" s="353"/>
      <c r="WUM2" s="353"/>
      <c r="WUN2" s="353"/>
      <c r="WUO2" s="353"/>
      <c r="WUP2" s="353"/>
      <c r="WUQ2" s="353"/>
      <c r="WUR2" s="353"/>
      <c r="WUS2" s="353"/>
      <c r="WUT2" s="353"/>
      <c r="WUU2" s="353"/>
      <c r="WUV2" s="353"/>
      <c r="WUW2" s="353"/>
      <c r="WUX2" s="353"/>
      <c r="WUY2" s="353"/>
      <c r="WUZ2" s="353"/>
      <c r="WVA2" s="353"/>
      <c r="WVB2" s="353"/>
      <c r="WVC2" s="353"/>
      <c r="WVD2" s="353"/>
      <c r="WVE2" s="353"/>
      <c r="WVF2" s="353"/>
      <c r="WVG2" s="353"/>
      <c r="WVH2" s="353"/>
      <c r="WVI2" s="353"/>
      <c r="WVJ2" s="353"/>
      <c r="WVK2" s="353"/>
      <c r="WVL2" s="353"/>
      <c r="WVM2" s="353"/>
      <c r="WVN2" s="353"/>
      <c r="WVO2" s="353"/>
      <c r="WVP2" s="353"/>
      <c r="WVQ2" s="353"/>
      <c r="WVR2" s="353"/>
      <c r="WVS2" s="353"/>
      <c r="WVT2" s="353"/>
      <c r="WVU2" s="353"/>
      <c r="WVV2" s="353"/>
      <c r="WVW2" s="353"/>
      <c r="WVX2" s="353"/>
      <c r="WVY2" s="353"/>
      <c r="WVZ2" s="353"/>
      <c r="WWA2" s="353"/>
      <c r="WWB2" s="353"/>
      <c r="WWC2" s="353"/>
      <c r="WWD2" s="353"/>
      <c r="WWE2" s="353"/>
      <c r="WWF2" s="353"/>
      <c r="WWG2" s="353"/>
      <c r="WWH2" s="353"/>
      <c r="WWI2" s="353"/>
      <c r="WWJ2" s="353"/>
      <c r="WWK2" s="353"/>
      <c r="WWL2" s="353"/>
      <c r="WWM2" s="353"/>
      <c r="WWN2" s="353"/>
      <c r="WWO2" s="353"/>
      <c r="WWP2" s="353"/>
      <c r="WWQ2" s="353"/>
      <c r="WWR2" s="353"/>
      <c r="WWS2" s="353"/>
      <c r="WWT2" s="353"/>
      <c r="WWU2" s="353"/>
      <c r="WWV2" s="353"/>
      <c r="WWW2" s="353"/>
      <c r="WWX2" s="353"/>
      <c r="WWY2" s="353"/>
      <c r="WWZ2" s="353"/>
      <c r="WXA2" s="353"/>
      <c r="WXB2" s="353"/>
      <c r="WXC2" s="353"/>
      <c r="WXD2" s="353"/>
      <c r="WXE2" s="353"/>
      <c r="WXF2" s="353"/>
      <c r="WXG2" s="353"/>
      <c r="WXH2" s="353"/>
      <c r="WXI2" s="353"/>
      <c r="WXJ2" s="353"/>
      <c r="WXK2" s="353"/>
      <c r="WXL2" s="353"/>
      <c r="WXM2" s="353"/>
      <c r="WXN2" s="353"/>
      <c r="WXO2" s="353"/>
      <c r="WXP2" s="353"/>
      <c r="WXQ2" s="353"/>
      <c r="WXR2" s="353"/>
      <c r="WXS2" s="353"/>
      <c r="WXT2" s="353"/>
      <c r="WXU2" s="353"/>
      <c r="WXV2" s="353"/>
      <c r="WXW2" s="353"/>
      <c r="WXX2" s="353"/>
      <c r="WXY2" s="353"/>
      <c r="WXZ2" s="353"/>
      <c r="WYA2" s="353"/>
      <c r="WYB2" s="353"/>
      <c r="WYC2" s="353"/>
      <c r="WYD2" s="353"/>
      <c r="WYE2" s="353"/>
      <c r="WYF2" s="353"/>
      <c r="WYG2" s="353"/>
      <c r="WYH2" s="353"/>
      <c r="WYI2" s="353"/>
      <c r="WYJ2" s="353"/>
      <c r="WYK2" s="353"/>
      <c r="WYL2" s="353"/>
      <c r="WYM2" s="353"/>
      <c r="WYN2" s="353"/>
      <c r="WYO2" s="353"/>
      <c r="WYP2" s="353"/>
      <c r="WYQ2" s="353"/>
      <c r="WYR2" s="353"/>
      <c r="WYS2" s="353"/>
      <c r="WYT2" s="353"/>
      <c r="WYU2" s="353"/>
      <c r="WYV2" s="353"/>
      <c r="WYW2" s="353"/>
      <c r="WYX2" s="353"/>
      <c r="WYY2" s="353"/>
      <c r="WYZ2" s="353"/>
      <c r="WZA2" s="353"/>
      <c r="WZB2" s="353"/>
      <c r="WZC2" s="353"/>
      <c r="WZD2" s="353"/>
      <c r="WZE2" s="353"/>
      <c r="WZF2" s="353"/>
      <c r="WZG2" s="353"/>
      <c r="WZH2" s="353"/>
      <c r="WZI2" s="353"/>
      <c r="WZJ2" s="353"/>
      <c r="WZK2" s="353"/>
      <c r="WZL2" s="353"/>
      <c r="WZM2" s="353"/>
      <c r="WZN2" s="353"/>
      <c r="WZO2" s="353"/>
      <c r="WZP2" s="353"/>
      <c r="WZQ2" s="353"/>
      <c r="WZR2" s="353"/>
      <c r="WZS2" s="353"/>
      <c r="WZT2" s="353"/>
      <c r="WZU2" s="353"/>
      <c r="WZV2" s="353"/>
      <c r="WZW2" s="353"/>
      <c r="WZX2" s="353"/>
      <c r="WZY2" s="353"/>
      <c r="WZZ2" s="353"/>
      <c r="XAA2" s="353"/>
      <c r="XAB2" s="353"/>
      <c r="XAC2" s="353"/>
      <c r="XAD2" s="353"/>
      <c r="XAE2" s="353"/>
      <c r="XAF2" s="353"/>
      <c r="XAG2" s="353"/>
      <c r="XAH2" s="353"/>
      <c r="XAI2" s="353"/>
      <c r="XAJ2" s="353"/>
      <c r="XAK2" s="353"/>
      <c r="XAL2" s="353"/>
      <c r="XAM2" s="353"/>
      <c r="XAN2" s="353"/>
      <c r="XAO2" s="353"/>
      <c r="XAP2" s="353"/>
      <c r="XAQ2" s="353"/>
      <c r="XAR2" s="353"/>
      <c r="XAS2" s="353"/>
      <c r="XAT2" s="353"/>
      <c r="XAU2" s="353"/>
      <c r="XAV2" s="353"/>
      <c r="XAW2" s="353"/>
      <c r="XAX2" s="353"/>
      <c r="XAY2" s="353"/>
      <c r="XAZ2" s="353"/>
      <c r="XBA2" s="353"/>
      <c r="XBB2" s="353"/>
      <c r="XBC2" s="353"/>
      <c r="XBD2" s="353"/>
      <c r="XBE2" s="353"/>
      <c r="XBF2" s="353"/>
      <c r="XBG2" s="353"/>
      <c r="XBH2" s="353"/>
      <c r="XBI2" s="353"/>
      <c r="XBJ2" s="353"/>
      <c r="XBK2" s="353"/>
      <c r="XBL2" s="353"/>
      <c r="XBM2" s="353"/>
      <c r="XBN2" s="353"/>
      <c r="XBO2" s="353"/>
      <c r="XBP2" s="353"/>
      <c r="XBQ2" s="353"/>
      <c r="XBR2" s="353"/>
      <c r="XBS2" s="353"/>
      <c r="XBT2" s="353"/>
      <c r="XBU2" s="353"/>
      <c r="XBV2" s="353"/>
      <c r="XBW2" s="353"/>
      <c r="XBX2" s="353"/>
      <c r="XBY2" s="353"/>
      <c r="XBZ2" s="353"/>
      <c r="XCA2" s="353"/>
      <c r="XCB2" s="353"/>
      <c r="XCC2" s="353"/>
      <c r="XCD2" s="353"/>
      <c r="XCE2" s="353"/>
      <c r="XCF2" s="353"/>
      <c r="XCG2" s="353"/>
      <c r="XCH2" s="353"/>
      <c r="XCI2" s="353"/>
      <c r="XCJ2" s="353"/>
      <c r="XCK2" s="353"/>
      <c r="XCL2" s="353"/>
      <c r="XCM2" s="353"/>
      <c r="XCN2" s="353"/>
      <c r="XCO2" s="353"/>
      <c r="XCP2" s="353"/>
      <c r="XCQ2" s="353"/>
      <c r="XCR2" s="353"/>
      <c r="XCS2" s="353"/>
      <c r="XCT2" s="353"/>
      <c r="XCU2" s="353"/>
      <c r="XCV2" s="353"/>
      <c r="XCW2" s="353"/>
      <c r="XCX2" s="353"/>
      <c r="XCY2" s="353"/>
      <c r="XCZ2" s="353"/>
      <c r="XDA2" s="353"/>
      <c r="XDB2" s="353"/>
      <c r="XDC2" s="353"/>
      <c r="XDD2" s="353"/>
      <c r="XDE2" s="353"/>
      <c r="XDF2" s="353"/>
      <c r="XDG2" s="353"/>
      <c r="XDH2" s="353"/>
      <c r="XDI2" s="353"/>
      <c r="XDJ2" s="353"/>
      <c r="XDK2" s="353"/>
      <c r="XDL2" s="353"/>
      <c r="XDM2" s="353"/>
      <c r="XDN2" s="353"/>
      <c r="XDO2" s="353"/>
      <c r="XDP2" s="353"/>
      <c r="XDQ2" s="353"/>
      <c r="XDR2" s="353"/>
      <c r="XDS2" s="353"/>
      <c r="XDT2" s="353"/>
      <c r="XDU2" s="353"/>
      <c r="XDV2" s="353"/>
      <c r="XDW2" s="353"/>
      <c r="XDX2" s="353"/>
      <c r="XDY2" s="353"/>
      <c r="XDZ2" s="353"/>
      <c r="XEA2" s="353"/>
      <c r="XEB2" s="353"/>
      <c r="XEC2" s="353"/>
      <c r="XED2" s="353"/>
      <c r="XEE2" s="353"/>
      <c r="XEF2" s="353"/>
      <c r="XEG2" s="353"/>
      <c r="XEH2" s="353"/>
      <c r="XEI2" s="353"/>
      <c r="XEJ2" s="353"/>
      <c r="XEK2" s="353"/>
      <c r="XEL2" s="353"/>
      <c r="XEM2" s="353"/>
      <c r="XEN2" s="353"/>
      <c r="XEO2" s="353"/>
      <c r="XEP2" s="353"/>
      <c r="XEQ2" s="353"/>
      <c r="XER2" s="353"/>
      <c r="XES2" s="353"/>
      <c r="XET2" s="353"/>
      <c r="XEU2" s="353"/>
      <c r="XEV2" s="353"/>
      <c r="XEW2" s="353"/>
      <c r="XEX2" s="353"/>
      <c r="XEY2" s="353"/>
      <c r="XEZ2" s="353"/>
      <c r="XFA2" s="353"/>
      <c r="XFB2" s="353"/>
      <c r="XFC2" s="353"/>
      <c r="XFD2" s="353"/>
    </row>
    <row r="3" spans="2:16384" x14ac:dyDescent="0.25">
      <c r="I3" s="469"/>
      <c r="J3" s="469"/>
      <c r="X3" s="353"/>
      <c r="Y3" s="353"/>
      <c r="Z3" s="353"/>
      <c r="AA3" s="353"/>
      <c r="AB3" s="353"/>
      <c r="AC3" s="353"/>
      <c r="AD3" s="353"/>
      <c r="AE3" s="353"/>
      <c r="AF3" s="353"/>
      <c r="AG3" s="353"/>
      <c r="AH3" s="353"/>
      <c r="AI3" s="353"/>
      <c r="AJ3" s="353"/>
      <c r="AK3" s="353"/>
      <c r="AL3" s="353"/>
      <c r="AM3" s="353"/>
      <c r="AN3" s="353"/>
      <c r="AO3" s="353"/>
      <c r="AP3" s="353"/>
      <c r="AQ3" s="353"/>
      <c r="AR3" s="353"/>
      <c r="AS3" s="353"/>
      <c r="AT3" s="353"/>
      <c r="AU3" s="353"/>
      <c r="AV3" s="353"/>
      <c r="AW3" s="353"/>
      <c r="AX3" s="353"/>
      <c r="AY3" s="353"/>
      <c r="AZ3" s="353"/>
      <c r="BA3" s="353"/>
      <c r="BB3" s="353"/>
      <c r="BC3" s="353"/>
      <c r="BD3" s="353"/>
      <c r="BE3" s="353"/>
      <c r="BF3" s="353"/>
      <c r="BG3" s="353"/>
      <c r="BH3" s="353"/>
      <c r="BI3" s="353"/>
      <c r="BJ3" s="353"/>
      <c r="BK3" s="353"/>
      <c r="BL3" s="353"/>
      <c r="BM3" s="353"/>
      <c r="BN3" s="353"/>
      <c r="BO3" s="353"/>
      <c r="BP3" s="353"/>
      <c r="BQ3" s="353"/>
      <c r="BR3" s="353"/>
      <c r="BS3" s="353"/>
      <c r="BT3" s="353"/>
      <c r="BU3" s="353"/>
      <c r="BV3" s="353"/>
      <c r="BW3" s="353"/>
      <c r="BX3" s="353"/>
      <c r="BY3" s="353"/>
      <c r="BZ3" s="353"/>
      <c r="CA3" s="353"/>
      <c r="CB3" s="353"/>
      <c r="CC3" s="353"/>
      <c r="CD3" s="353"/>
      <c r="CE3" s="353"/>
      <c r="CF3" s="353"/>
      <c r="CG3" s="353"/>
      <c r="CH3" s="353"/>
      <c r="CI3" s="353"/>
      <c r="CJ3" s="353"/>
      <c r="CK3" s="353"/>
      <c r="CL3" s="353"/>
      <c r="CM3" s="353"/>
      <c r="CN3" s="353"/>
      <c r="CO3" s="353"/>
      <c r="CP3" s="353"/>
      <c r="CQ3" s="353"/>
      <c r="CR3" s="353"/>
      <c r="CS3" s="353"/>
      <c r="CT3" s="353"/>
      <c r="CU3" s="353"/>
      <c r="CV3" s="353"/>
      <c r="CW3" s="353"/>
      <c r="CX3" s="353"/>
      <c r="CY3" s="353"/>
      <c r="CZ3" s="353"/>
      <c r="DA3" s="353"/>
      <c r="DB3" s="353"/>
      <c r="DC3" s="353"/>
      <c r="DD3" s="353"/>
      <c r="DE3" s="353"/>
      <c r="DF3" s="353"/>
      <c r="DG3" s="353"/>
      <c r="DH3" s="353"/>
      <c r="DI3" s="353"/>
      <c r="DJ3" s="353"/>
      <c r="DK3" s="353"/>
      <c r="DL3" s="353"/>
      <c r="DM3" s="353"/>
      <c r="DN3" s="353"/>
      <c r="DO3" s="353"/>
      <c r="DP3" s="353"/>
      <c r="DQ3" s="353"/>
      <c r="DR3" s="353"/>
      <c r="DS3" s="353"/>
      <c r="DT3" s="353"/>
      <c r="DU3" s="353"/>
      <c r="DV3" s="353"/>
      <c r="DW3" s="353"/>
      <c r="DX3" s="353"/>
      <c r="DY3" s="353"/>
      <c r="DZ3" s="353"/>
      <c r="EA3" s="353"/>
      <c r="EB3" s="353"/>
      <c r="EC3" s="353"/>
      <c r="ED3" s="353"/>
      <c r="EE3" s="353"/>
      <c r="EF3" s="353"/>
      <c r="EG3" s="353"/>
      <c r="EH3" s="353"/>
      <c r="EI3" s="353"/>
      <c r="EJ3" s="353"/>
      <c r="EK3" s="353"/>
      <c r="EL3" s="353"/>
      <c r="EM3" s="353"/>
      <c r="EN3" s="353"/>
      <c r="EO3" s="353"/>
      <c r="EP3" s="353"/>
      <c r="EQ3" s="353"/>
      <c r="ER3" s="353"/>
      <c r="ES3" s="353"/>
      <c r="ET3" s="353"/>
      <c r="EU3" s="353"/>
      <c r="EV3" s="353"/>
      <c r="EW3" s="353"/>
      <c r="EX3" s="353"/>
      <c r="EY3" s="353"/>
      <c r="EZ3" s="353"/>
      <c r="FA3" s="353"/>
      <c r="FB3" s="353"/>
      <c r="FC3" s="353"/>
      <c r="FD3" s="353"/>
      <c r="FE3" s="353"/>
      <c r="FF3" s="353"/>
      <c r="FG3" s="353"/>
      <c r="FH3" s="353"/>
      <c r="FI3" s="353"/>
      <c r="FJ3" s="353"/>
      <c r="FK3" s="353"/>
      <c r="FL3" s="353"/>
      <c r="FM3" s="353"/>
      <c r="FN3" s="353"/>
      <c r="FO3" s="353"/>
      <c r="FP3" s="353"/>
      <c r="FQ3" s="353"/>
      <c r="FR3" s="353"/>
      <c r="FS3" s="353"/>
      <c r="FT3" s="353"/>
      <c r="FU3" s="353"/>
      <c r="FV3" s="353"/>
      <c r="FW3" s="353"/>
      <c r="FX3" s="353"/>
      <c r="FY3" s="353"/>
      <c r="FZ3" s="353"/>
      <c r="GA3" s="353"/>
      <c r="GB3" s="353"/>
      <c r="GC3" s="353"/>
      <c r="GD3" s="353"/>
      <c r="GE3" s="353"/>
      <c r="GF3" s="353"/>
      <c r="GG3" s="353"/>
      <c r="GH3" s="353"/>
      <c r="GI3" s="353"/>
      <c r="GJ3" s="353"/>
      <c r="GK3" s="353"/>
      <c r="GL3" s="353"/>
      <c r="GM3" s="353"/>
      <c r="GN3" s="353"/>
      <c r="GO3" s="353"/>
      <c r="GP3" s="353"/>
      <c r="GQ3" s="353"/>
      <c r="GR3" s="353"/>
      <c r="GS3" s="353"/>
      <c r="GT3" s="353"/>
      <c r="GU3" s="353"/>
      <c r="GV3" s="353"/>
      <c r="GW3" s="353"/>
      <c r="GX3" s="353"/>
      <c r="GY3" s="353"/>
      <c r="GZ3" s="353"/>
      <c r="HA3" s="353"/>
      <c r="HB3" s="353"/>
      <c r="HC3" s="353"/>
      <c r="HD3" s="353"/>
      <c r="HE3" s="353"/>
      <c r="HF3" s="353"/>
      <c r="HG3" s="353"/>
      <c r="HH3" s="353"/>
      <c r="HI3" s="353"/>
      <c r="HJ3" s="353"/>
      <c r="HK3" s="353"/>
      <c r="HL3" s="353"/>
      <c r="HM3" s="353"/>
      <c r="HN3" s="353"/>
      <c r="HO3" s="353"/>
      <c r="HP3" s="353"/>
      <c r="HQ3" s="353"/>
      <c r="HR3" s="353"/>
      <c r="HS3" s="353"/>
      <c r="HT3" s="353"/>
      <c r="HU3" s="353"/>
      <c r="HV3" s="353"/>
      <c r="HW3" s="353"/>
      <c r="HX3" s="353"/>
      <c r="HY3" s="353"/>
      <c r="HZ3" s="353"/>
      <c r="IA3" s="353"/>
      <c r="IB3" s="353"/>
      <c r="IC3" s="353"/>
      <c r="ID3" s="353"/>
      <c r="IE3" s="353"/>
      <c r="IF3" s="353"/>
      <c r="IG3" s="353"/>
      <c r="IH3" s="353"/>
      <c r="II3" s="353"/>
      <c r="IJ3" s="353"/>
      <c r="IK3" s="353"/>
      <c r="IL3" s="353"/>
      <c r="IM3" s="353"/>
      <c r="IN3" s="353"/>
      <c r="IO3" s="353"/>
      <c r="IP3" s="353"/>
      <c r="IQ3" s="353"/>
      <c r="IR3" s="353"/>
      <c r="IS3" s="353"/>
      <c r="IT3" s="353"/>
      <c r="IU3" s="353"/>
      <c r="IV3" s="353"/>
      <c r="IW3" s="353"/>
      <c r="IX3" s="353"/>
      <c r="IY3" s="353"/>
      <c r="IZ3" s="353"/>
      <c r="JA3" s="353"/>
      <c r="JB3" s="353"/>
      <c r="JC3" s="353"/>
      <c r="JD3" s="353"/>
      <c r="JE3" s="353"/>
      <c r="JF3" s="353"/>
      <c r="JG3" s="353"/>
      <c r="JH3" s="353"/>
      <c r="JI3" s="353"/>
      <c r="JJ3" s="353"/>
      <c r="JK3" s="353"/>
      <c r="JL3" s="353"/>
      <c r="JM3" s="353"/>
      <c r="JN3" s="353"/>
      <c r="JO3" s="353"/>
      <c r="JP3" s="353"/>
      <c r="JQ3" s="353"/>
      <c r="JR3" s="353"/>
      <c r="JS3" s="353"/>
      <c r="JT3" s="353"/>
      <c r="JU3" s="353"/>
      <c r="JV3" s="353"/>
      <c r="JW3" s="353"/>
      <c r="JX3" s="353"/>
      <c r="JY3" s="353"/>
      <c r="JZ3" s="353"/>
      <c r="KA3" s="353"/>
      <c r="KB3" s="353"/>
      <c r="KC3" s="353"/>
      <c r="KD3" s="353"/>
      <c r="KE3" s="353"/>
      <c r="KF3" s="353"/>
      <c r="KG3" s="353"/>
      <c r="KH3" s="353"/>
      <c r="KI3" s="353"/>
      <c r="KJ3" s="353"/>
      <c r="KK3" s="353"/>
      <c r="KL3" s="353"/>
      <c r="KM3" s="353"/>
      <c r="KN3" s="353"/>
      <c r="KO3" s="353"/>
      <c r="KP3" s="353"/>
      <c r="KQ3" s="353"/>
      <c r="KR3" s="353"/>
      <c r="KS3" s="353"/>
      <c r="KT3" s="353"/>
      <c r="KU3" s="353"/>
      <c r="KV3" s="353"/>
      <c r="KW3" s="353"/>
      <c r="KX3" s="353"/>
      <c r="KY3" s="353"/>
      <c r="KZ3" s="353"/>
      <c r="LA3" s="353"/>
      <c r="LB3" s="353"/>
      <c r="LC3" s="353"/>
      <c r="LD3" s="353"/>
      <c r="LE3" s="353"/>
      <c r="LF3" s="353"/>
      <c r="LG3" s="353"/>
      <c r="LH3" s="353"/>
      <c r="LI3" s="353"/>
      <c r="LJ3" s="353"/>
      <c r="LK3" s="353"/>
      <c r="LL3" s="353"/>
      <c r="LM3" s="353"/>
      <c r="LN3" s="353"/>
      <c r="LO3" s="353"/>
      <c r="LP3" s="353"/>
      <c r="LQ3" s="353"/>
      <c r="LR3" s="353"/>
      <c r="LS3" s="353"/>
      <c r="LT3" s="353"/>
      <c r="LU3" s="353"/>
      <c r="LV3" s="353"/>
      <c r="LW3" s="353"/>
      <c r="LX3" s="353"/>
      <c r="LY3" s="353"/>
      <c r="LZ3" s="353"/>
      <c r="MA3" s="353"/>
      <c r="MB3" s="353"/>
      <c r="MC3" s="353"/>
      <c r="MD3" s="353"/>
      <c r="ME3" s="353"/>
      <c r="MF3" s="353"/>
      <c r="MG3" s="353"/>
      <c r="MH3" s="353"/>
      <c r="MI3" s="353"/>
      <c r="MJ3" s="353"/>
      <c r="MK3" s="353"/>
      <c r="ML3" s="353"/>
      <c r="MM3" s="353"/>
      <c r="MN3" s="353"/>
      <c r="MO3" s="353"/>
      <c r="MP3" s="353"/>
      <c r="MQ3" s="353"/>
      <c r="MR3" s="353"/>
      <c r="MS3" s="353"/>
      <c r="MT3" s="353"/>
      <c r="MU3" s="353"/>
      <c r="MV3" s="353"/>
      <c r="MW3" s="353"/>
      <c r="MX3" s="353"/>
      <c r="MY3" s="353"/>
      <c r="MZ3" s="353"/>
      <c r="NA3" s="353"/>
      <c r="NB3" s="353"/>
      <c r="NC3" s="353"/>
      <c r="ND3" s="353"/>
      <c r="NE3" s="353"/>
      <c r="NF3" s="353"/>
      <c r="NG3" s="353"/>
      <c r="NH3" s="353"/>
      <c r="NI3" s="353"/>
      <c r="NJ3" s="353"/>
      <c r="NK3" s="353"/>
      <c r="NL3" s="353"/>
      <c r="NM3" s="353"/>
      <c r="NN3" s="353"/>
      <c r="NO3" s="353"/>
      <c r="NP3" s="353"/>
      <c r="NQ3" s="353"/>
      <c r="NR3" s="353"/>
      <c r="NS3" s="353"/>
      <c r="NT3" s="353"/>
      <c r="NU3" s="353"/>
      <c r="NV3" s="353"/>
      <c r="NW3" s="353"/>
      <c r="NX3" s="353"/>
      <c r="NY3" s="353"/>
      <c r="NZ3" s="353"/>
      <c r="OA3" s="353"/>
      <c r="OB3" s="353"/>
      <c r="OC3" s="353"/>
      <c r="OD3" s="353"/>
      <c r="OE3" s="353"/>
      <c r="OF3" s="353"/>
      <c r="OG3" s="353"/>
      <c r="OH3" s="353"/>
      <c r="OI3" s="353"/>
      <c r="OJ3" s="353"/>
      <c r="OK3" s="353"/>
      <c r="OL3" s="353"/>
      <c r="OM3" s="353"/>
      <c r="ON3" s="353"/>
      <c r="OO3" s="353"/>
      <c r="OP3" s="353"/>
      <c r="OQ3" s="353"/>
      <c r="OR3" s="353"/>
      <c r="OS3" s="353"/>
      <c r="OT3" s="353"/>
      <c r="OU3" s="353"/>
      <c r="OV3" s="353"/>
      <c r="OW3" s="353"/>
      <c r="OX3" s="353"/>
      <c r="OY3" s="353"/>
      <c r="OZ3" s="353"/>
      <c r="PA3" s="353"/>
      <c r="PB3" s="353"/>
      <c r="PC3" s="353"/>
      <c r="PD3" s="353"/>
      <c r="PE3" s="353"/>
      <c r="PF3" s="353"/>
      <c r="PG3" s="353"/>
      <c r="PH3" s="353"/>
      <c r="PI3" s="353"/>
      <c r="PJ3" s="353"/>
      <c r="PK3" s="353"/>
      <c r="PL3" s="353"/>
      <c r="PM3" s="353"/>
      <c r="PN3" s="353"/>
      <c r="PO3" s="353"/>
      <c r="PP3" s="353"/>
      <c r="PQ3" s="353"/>
      <c r="PR3" s="353"/>
      <c r="PS3" s="353"/>
      <c r="PT3" s="353"/>
      <c r="PU3" s="353"/>
      <c r="PV3" s="353"/>
      <c r="PW3" s="353"/>
      <c r="PX3" s="353"/>
      <c r="PY3" s="353"/>
      <c r="PZ3" s="353"/>
      <c r="QA3" s="353"/>
      <c r="QB3" s="353"/>
      <c r="QC3" s="353"/>
      <c r="QD3" s="353"/>
      <c r="QE3" s="353"/>
      <c r="QF3" s="353"/>
      <c r="QG3" s="353"/>
      <c r="QH3" s="353"/>
      <c r="QI3" s="353"/>
      <c r="QJ3" s="353"/>
      <c r="QK3" s="353"/>
      <c r="QL3" s="353"/>
      <c r="QM3" s="353"/>
      <c r="QN3" s="353"/>
      <c r="QO3" s="353"/>
      <c r="QP3" s="353"/>
      <c r="QQ3" s="353"/>
      <c r="QR3" s="353"/>
      <c r="QS3" s="353"/>
      <c r="QT3" s="353"/>
      <c r="QU3" s="353"/>
      <c r="QV3" s="353"/>
      <c r="QW3" s="353"/>
      <c r="QX3" s="353"/>
      <c r="QY3" s="353"/>
      <c r="QZ3" s="353"/>
      <c r="RA3" s="353"/>
      <c r="RB3" s="353"/>
      <c r="RC3" s="353"/>
      <c r="RD3" s="353"/>
      <c r="RE3" s="353"/>
      <c r="RF3" s="353"/>
      <c r="RG3" s="353"/>
      <c r="RH3" s="353"/>
      <c r="RI3" s="353"/>
      <c r="RJ3" s="353"/>
      <c r="RK3" s="353"/>
      <c r="RL3" s="353"/>
      <c r="RM3" s="353"/>
      <c r="RN3" s="353"/>
      <c r="RO3" s="353"/>
      <c r="RP3" s="353"/>
      <c r="RQ3" s="353"/>
      <c r="RR3" s="353"/>
      <c r="RS3" s="353"/>
      <c r="RT3" s="353"/>
      <c r="RU3" s="353"/>
      <c r="RV3" s="353"/>
      <c r="RW3" s="353"/>
      <c r="RX3" s="353"/>
      <c r="RY3" s="353"/>
      <c r="RZ3" s="353"/>
      <c r="SA3" s="353"/>
      <c r="SB3" s="353"/>
      <c r="SC3" s="353"/>
      <c r="SD3" s="353"/>
      <c r="SE3" s="353"/>
      <c r="SF3" s="353"/>
      <c r="SG3" s="353"/>
      <c r="SH3" s="353"/>
      <c r="SI3" s="353"/>
      <c r="SJ3" s="353"/>
      <c r="SK3" s="353"/>
      <c r="SL3" s="353"/>
      <c r="SM3" s="353"/>
      <c r="SN3" s="353"/>
      <c r="SO3" s="353"/>
      <c r="SP3" s="353"/>
      <c r="SQ3" s="353"/>
      <c r="SR3" s="353"/>
      <c r="SS3" s="353"/>
      <c r="ST3" s="353"/>
      <c r="SU3" s="353"/>
      <c r="SV3" s="353"/>
      <c r="SW3" s="353"/>
      <c r="SX3" s="353"/>
      <c r="SY3" s="353"/>
      <c r="SZ3" s="353"/>
      <c r="TA3" s="353"/>
      <c r="TB3" s="353"/>
      <c r="TC3" s="353"/>
      <c r="TD3" s="353"/>
      <c r="TE3" s="353"/>
      <c r="TF3" s="353"/>
      <c r="TG3" s="353"/>
      <c r="TH3" s="353"/>
      <c r="TI3" s="353"/>
      <c r="TJ3" s="353"/>
      <c r="TK3" s="353"/>
      <c r="TL3" s="353"/>
      <c r="TM3" s="353"/>
      <c r="TN3" s="353"/>
      <c r="TO3" s="353"/>
      <c r="TP3" s="353"/>
      <c r="TQ3" s="353"/>
      <c r="TR3" s="353"/>
      <c r="TS3" s="353"/>
      <c r="TT3" s="353"/>
      <c r="TU3" s="353"/>
      <c r="TV3" s="353"/>
      <c r="TW3" s="353"/>
      <c r="TX3" s="353"/>
      <c r="TY3" s="353"/>
      <c r="TZ3" s="353"/>
      <c r="UA3" s="353"/>
      <c r="UB3" s="353"/>
      <c r="UC3" s="353"/>
      <c r="UD3" s="353"/>
      <c r="UE3" s="353"/>
      <c r="UF3" s="353"/>
      <c r="UG3" s="353"/>
      <c r="UH3" s="353"/>
      <c r="UI3" s="353"/>
      <c r="UJ3" s="353"/>
      <c r="UK3" s="353"/>
      <c r="UL3" s="353"/>
      <c r="UM3" s="353"/>
      <c r="UN3" s="353"/>
      <c r="UO3" s="353"/>
      <c r="UP3" s="353"/>
      <c r="UQ3" s="353"/>
      <c r="UR3" s="353"/>
      <c r="US3" s="353"/>
      <c r="UT3" s="353"/>
      <c r="UU3" s="353"/>
      <c r="UV3" s="353"/>
      <c r="UW3" s="353"/>
      <c r="UX3" s="353"/>
      <c r="UY3" s="353"/>
      <c r="UZ3" s="353"/>
      <c r="VA3" s="353"/>
      <c r="VB3" s="353"/>
      <c r="VC3" s="353"/>
      <c r="VD3" s="353"/>
      <c r="VE3" s="353"/>
      <c r="VF3" s="353"/>
      <c r="VG3" s="353"/>
      <c r="VH3" s="353"/>
      <c r="VI3" s="353"/>
      <c r="VJ3" s="353"/>
      <c r="VK3" s="353"/>
      <c r="VL3" s="353"/>
      <c r="VM3" s="353"/>
      <c r="VN3" s="353"/>
      <c r="VO3" s="353"/>
      <c r="VP3" s="353"/>
      <c r="VQ3" s="353"/>
      <c r="VR3" s="353"/>
      <c r="VS3" s="353"/>
      <c r="VT3" s="353"/>
      <c r="VU3" s="353"/>
      <c r="VV3" s="353"/>
      <c r="VW3" s="353"/>
      <c r="VX3" s="353"/>
      <c r="VY3" s="353"/>
      <c r="VZ3" s="353"/>
      <c r="WA3" s="353"/>
      <c r="WB3" s="353"/>
      <c r="WC3" s="353"/>
      <c r="WD3" s="353"/>
      <c r="WE3" s="353"/>
      <c r="WF3" s="353"/>
      <c r="WG3" s="353"/>
      <c r="WH3" s="353"/>
      <c r="WI3" s="353"/>
      <c r="WJ3" s="353"/>
      <c r="WK3" s="353"/>
      <c r="WL3" s="353"/>
      <c r="WM3" s="353"/>
      <c r="WN3" s="353"/>
      <c r="WO3" s="353"/>
      <c r="WP3" s="353"/>
      <c r="WQ3" s="353"/>
      <c r="WR3" s="353"/>
      <c r="WS3" s="353"/>
      <c r="WT3" s="353"/>
      <c r="WU3" s="353"/>
      <c r="WV3" s="353"/>
      <c r="WW3" s="353"/>
      <c r="WX3" s="353"/>
      <c r="WY3" s="353"/>
      <c r="WZ3" s="353"/>
      <c r="XA3" s="353"/>
      <c r="XB3" s="353"/>
      <c r="XC3" s="353"/>
      <c r="XD3" s="353"/>
      <c r="XE3" s="353"/>
      <c r="XF3" s="353"/>
      <c r="XG3" s="353"/>
      <c r="XH3" s="353"/>
      <c r="XI3" s="353"/>
      <c r="XJ3" s="353"/>
      <c r="XK3" s="353"/>
      <c r="XL3" s="353"/>
      <c r="XM3" s="353"/>
      <c r="XN3" s="353"/>
      <c r="XO3" s="353"/>
      <c r="XP3" s="353"/>
      <c r="XQ3" s="353"/>
      <c r="XR3" s="353"/>
      <c r="XS3" s="353"/>
      <c r="XT3" s="353"/>
      <c r="XU3" s="353"/>
      <c r="XV3" s="353"/>
      <c r="XW3" s="353"/>
      <c r="XX3" s="353"/>
      <c r="XY3" s="353"/>
      <c r="XZ3" s="353"/>
      <c r="YA3" s="353"/>
      <c r="YB3" s="353"/>
      <c r="YC3" s="353"/>
      <c r="YD3" s="353"/>
      <c r="YE3" s="353"/>
      <c r="YF3" s="353"/>
      <c r="YG3" s="353"/>
      <c r="YH3" s="353"/>
      <c r="YI3" s="353"/>
      <c r="YJ3" s="353"/>
      <c r="YK3" s="353"/>
      <c r="YL3" s="353"/>
      <c r="YM3" s="353"/>
      <c r="YN3" s="353"/>
      <c r="YO3" s="353"/>
      <c r="YP3" s="353"/>
      <c r="YQ3" s="353"/>
      <c r="YR3" s="353"/>
      <c r="YS3" s="353"/>
      <c r="YT3" s="353"/>
      <c r="YU3" s="353"/>
      <c r="YV3" s="353"/>
      <c r="YW3" s="353"/>
      <c r="YX3" s="353"/>
      <c r="YY3" s="353"/>
      <c r="YZ3" s="353"/>
      <c r="ZA3" s="353"/>
      <c r="ZB3" s="353"/>
      <c r="ZC3" s="353"/>
      <c r="ZD3" s="353"/>
      <c r="ZE3" s="353"/>
      <c r="ZF3" s="353"/>
      <c r="ZG3" s="353"/>
      <c r="ZH3" s="353"/>
      <c r="ZI3" s="353"/>
      <c r="ZJ3" s="353"/>
      <c r="ZK3" s="353"/>
      <c r="ZL3" s="353"/>
      <c r="ZM3" s="353"/>
      <c r="ZN3" s="353"/>
      <c r="ZO3" s="353"/>
      <c r="ZP3" s="353"/>
      <c r="ZQ3" s="353"/>
      <c r="ZR3" s="353"/>
      <c r="ZS3" s="353"/>
      <c r="ZT3" s="353"/>
      <c r="ZU3" s="353"/>
      <c r="ZV3" s="353"/>
      <c r="ZW3" s="353"/>
      <c r="ZX3" s="353"/>
      <c r="ZY3" s="353"/>
      <c r="ZZ3" s="353"/>
      <c r="AAA3" s="353"/>
      <c r="AAB3" s="353"/>
      <c r="AAC3" s="353"/>
      <c r="AAD3" s="353"/>
      <c r="AAE3" s="353"/>
      <c r="AAF3" s="353"/>
      <c r="AAG3" s="353"/>
      <c r="AAH3" s="353"/>
      <c r="AAI3" s="353"/>
      <c r="AAJ3" s="353"/>
      <c r="AAK3" s="353"/>
      <c r="AAL3" s="353"/>
      <c r="AAM3" s="353"/>
      <c r="AAN3" s="353"/>
      <c r="AAO3" s="353"/>
      <c r="AAP3" s="353"/>
      <c r="AAQ3" s="353"/>
      <c r="AAR3" s="353"/>
      <c r="AAS3" s="353"/>
      <c r="AAT3" s="353"/>
      <c r="AAU3" s="353"/>
      <c r="AAV3" s="353"/>
      <c r="AAW3" s="353"/>
      <c r="AAX3" s="353"/>
      <c r="AAY3" s="353"/>
      <c r="AAZ3" s="353"/>
      <c r="ABA3" s="353"/>
      <c r="ABB3" s="353"/>
      <c r="ABC3" s="353"/>
      <c r="ABD3" s="353"/>
      <c r="ABE3" s="353"/>
      <c r="ABF3" s="353"/>
      <c r="ABG3" s="353"/>
      <c r="ABH3" s="353"/>
      <c r="ABI3" s="353"/>
      <c r="ABJ3" s="353"/>
      <c r="ABK3" s="353"/>
      <c r="ABL3" s="353"/>
      <c r="ABM3" s="353"/>
      <c r="ABN3" s="353"/>
      <c r="ABO3" s="353"/>
      <c r="ABP3" s="353"/>
      <c r="ABQ3" s="353"/>
      <c r="ABR3" s="353"/>
      <c r="ABS3" s="353"/>
      <c r="ABT3" s="353"/>
      <c r="ABU3" s="353"/>
      <c r="ABV3" s="353"/>
      <c r="ABW3" s="353"/>
      <c r="ABX3" s="353"/>
      <c r="ABY3" s="353"/>
      <c r="ABZ3" s="353"/>
      <c r="ACA3" s="353"/>
      <c r="ACB3" s="353"/>
      <c r="ACC3" s="353"/>
      <c r="ACD3" s="353"/>
      <c r="ACE3" s="353"/>
      <c r="ACF3" s="353"/>
      <c r="ACG3" s="353"/>
      <c r="ACH3" s="353"/>
      <c r="ACI3" s="353"/>
      <c r="ACJ3" s="353"/>
      <c r="ACK3" s="353"/>
      <c r="ACL3" s="353"/>
      <c r="ACM3" s="353"/>
      <c r="ACN3" s="353"/>
      <c r="ACO3" s="353"/>
      <c r="ACP3" s="353"/>
      <c r="ACQ3" s="353"/>
      <c r="ACR3" s="353"/>
      <c r="ACS3" s="353"/>
      <c r="ACT3" s="353"/>
      <c r="ACU3" s="353"/>
      <c r="ACV3" s="353"/>
      <c r="ACW3" s="353"/>
      <c r="ACX3" s="353"/>
      <c r="ACY3" s="353"/>
      <c r="ACZ3" s="353"/>
      <c r="ADA3" s="353"/>
      <c r="ADB3" s="353"/>
      <c r="ADC3" s="353"/>
      <c r="ADD3" s="353"/>
      <c r="ADE3" s="353"/>
      <c r="ADF3" s="353"/>
      <c r="ADG3" s="353"/>
      <c r="ADH3" s="353"/>
      <c r="ADI3" s="353"/>
      <c r="ADJ3" s="353"/>
      <c r="ADK3" s="353"/>
      <c r="ADL3" s="353"/>
      <c r="ADM3" s="353"/>
      <c r="ADN3" s="353"/>
      <c r="ADO3" s="353"/>
      <c r="ADP3" s="353"/>
      <c r="ADQ3" s="353"/>
      <c r="ADR3" s="353"/>
      <c r="ADS3" s="353"/>
      <c r="ADT3" s="353"/>
      <c r="ADU3" s="353"/>
      <c r="ADV3" s="353"/>
      <c r="ADW3" s="353"/>
      <c r="ADX3" s="353"/>
      <c r="ADY3" s="353"/>
      <c r="ADZ3" s="353"/>
      <c r="AEA3" s="353"/>
      <c r="AEB3" s="353"/>
      <c r="AEC3" s="353"/>
      <c r="AED3" s="353"/>
      <c r="AEE3" s="353"/>
      <c r="AEF3" s="353"/>
      <c r="AEG3" s="353"/>
      <c r="AEH3" s="353"/>
      <c r="AEI3" s="353"/>
      <c r="AEJ3" s="353"/>
      <c r="AEK3" s="353"/>
      <c r="AEL3" s="353"/>
      <c r="AEM3" s="353"/>
      <c r="AEN3" s="353"/>
      <c r="AEO3" s="353"/>
      <c r="AEP3" s="353"/>
      <c r="AEQ3" s="353"/>
      <c r="AER3" s="353"/>
      <c r="AES3" s="353"/>
      <c r="AET3" s="353"/>
      <c r="AEU3" s="353"/>
      <c r="AEV3" s="353"/>
      <c r="AEW3" s="353"/>
      <c r="AEX3" s="353"/>
      <c r="AEY3" s="353"/>
      <c r="AEZ3" s="353"/>
      <c r="AFA3" s="353"/>
      <c r="AFB3" s="353"/>
      <c r="AFC3" s="353"/>
      <c r="AFD3" s="353"/>
      <c r="AFE3" s="353"/>
      <c r="AFF3" s="353"/>
      <c r="AFG3" s="353"/>
      <c r="AFH3" s="353"/>
      <c r="AFI3" s="353"/>
      <c r="AFJ3" s="353"/>
      <c r="AFK3" s="353"/>
      <c r="AFL3" s="353"/>
      <c r="AFM3" s="353"/>
      <c r="AFN3" s="353"/>
      <c r="AFO3" s="353"/>
      <c r="AFP3" s="353"/>
      <c r="AFQ3" s="353"/>
      <c r="AFR3" s="353"/>
      <c r="AFS3" s="353"/>
      <c r="AFT3" s="353"/>
      <c r="AFU3" s="353"/>
      <c r="AFV3" s="353"/>
      <c r="AFW3" s="353"/>
      <c r="AFX3" s="353"/>
      <c r="AFY3" s="353"/>
      <c r="AFZ3" s="353"/>
      <c r="AGA3" s="353"/>
      <c r="AGB3" s="353"/>
      <c r="AGC3" s="353"/>
      <c r="AGD3" s="353"/>
      <c r="AGE3" s="353"/>
      <c r="AGF3" s="353"/>
      <c r="AGG3" s="353"/>
      <c r="AGH3" s="353"/>
      <c r="AGI3" s="353"/>
      <c r="AGJ3" s="353"/>
      <c r="AGK3" s="353"/>
      <c r="AGL3" s="353"/>
      <c r="AGM3" s="353"/>
      <c r="AGN3" s="353"/>
      <c r="AGO3" s="353"/>
      <c r="AGP3" s="353"/>
      <c r="AGQ3" s="353"/>
      <c r="AGR3" s="353"/>
      <c r="AGS3" s="353"/>
      <c r="AGT3" s="353"/>
      <c r="AGU3" s="353"/>
      <c r="AGV3" s="353"/>
      <c r="AGW3" s="353"/>
      <c r="AGX3" s="353"/>
      <c r="AGY3" s="353"/>
      <c r="AGZ3" s="353"/>
      <c r="AHA3" s="353"/>
      <c r="AHB3" s="353"/>
      <c r="AHC3" s="353"/>
      <c r="AHD3" s="353"/>
      <c r="AHE3" s="353"/>
      <c r="AHF3" s="353"/>
      <c r="AHG3" s="353"/>
      <c r="AHH3" s="353"/>
      <c r="AHI3" s="353"/>
      <c r="AHJ3" s="353"/>
      <c r="AHK3" s="353"/>
      <c r="AHL3" s="353"/>
      <c r="AHM3" s="353"/>
      <c r="AHN3" s="353"/>
      <c r="AHO3" s="353"/>
      <c r="AHP3" s="353"/>
      <c r="AHQ3" s="353"/>
      <c r="AHR3" s="353"/>
      <c r="AHS3" s="353"/>
      <c r="AHT3" s="353"/>
      <c r="AHU3" s="353"/>
      <c r="AHV3" s="353"/>
      <c r="AHW3" s="353"/>
      <c r="AHX3" s="353"/>
      <c r="AHY3" s="353"/>
      <c r="AHZ3" s="353"/>
      <c r="AIA3" s="353"/>
      <c r="AIB3" s="353"/>
      <c r="AIC3" s="353"/>
      <c r="AID3" s="353"/>
      <c r="AIE3" s="353"/>
      <c r="AIF3" s="353"/>
      <c r="AIG3" s="353"/>
      <c r="AIH3" s="353"/>
      <c r="AII3" s="353"/>
      <c r="AIJ3" s="353"/>
      <c r="AIK3" s="353"/>
      <c r="AIL3" s="353"/>
      <c r="AIM3" s="353"/>
      <c r="AIN3" s="353"/>
      <c r="AIO3" s="353"/>
      <c r="AIP3" s="353"/>
      <c r="AIQ3" s="353"/>
      <c r="AIR3" s="353"/>
      <c r="AIS3" s="353"/>
      <c r="AIT3" s="353"/>
      <c r="AIU3" s="353"/>
      <c r="AIV3" s="353"/>
      <c r="AIW3" s="353"/>
      <c r="AIX3" s="353"/>
      <c r="AIY3" s="353"/>
      <c r="AIZ3" s="353"/>
      <c r="AJA3" s="353"/>
      <c r="AJB3" s="353"/>
      <c r="AJC3" s="353"/>
      <c r="AJD3" s="353"/>
      <c r="AJE3" s="353"/>
      <c r="AJF3" s="353"/>
      <c r="AJG3" s="353"/>
      <c r="AJH3" s="353"/>
      <c r="AJI3" s="353"/>
      <c r="AJJ3" s="353"/>
      <c r="AJK3" s="353"/>
      <c r="AJL3" s="353"/>
      <c r="AJM3" s="353"/>
      <c r="AJN3" s="353"/>
      <c r="AJO3" s="353"/>
      <c r="AJP3" s="353"/>
      <c r="AJQ3" s="353"/>
      <c r="AJR3" s="353"/>
      <c r="AJS3" s="353"/>
      <c r="AJT3" s="353"/>
      <c r="AJU3" s="353"/>
      <c r="AJV3" s="353"/>
      <c r="AJW3" s="353"/>
      <c r="AJX3" s="353"/>
      <c r="AJY3" s="353"/>
      <c r="AJZ3" s="353"/>
      <c r="AKA3" s="353"/>
      <c r="AKB3" s="353"/>
      <c r="AKC3" s="353"/>
      <c r="AKD3" s="353"/>
      <c r="AKE3" s="353"/>
      <c r="AKF3" s="353"/>
      <c r="AKG3" s="353"/>
      <c r="AKH3" s="353"/>
      <c r="AKI3" s="353"/>
      <c r="AKJ3" s="353"/>
      <c r="AKK3" s="353"/>
      <c r="AKL3" s="353"/>
      <c r="AKM3" s="353"/>
      <c r="AKN3" s="353"/>
      <c r="AKO3" s="353"/>
      <c r="AKP3" s="353"/>
      <c r="AKQ3" s="353"/>
      <c r="AKR3" s="353"/>
      <c r="AKS3" s="353"/>
      <c r="AKT3" s="353"/>
      <c r="AKU3" s="353"/>
      <c r="AKV3" s="353"/>
      <c r="AKW3" s="353"/>
      <c r="AKX3" s="353"/>
      <c r="AKY3" s="353"/>
      <c r="AKZ3" s="353"/>
      <c r="ALA3" s="353"/>
      <c r="ALB3" s="353"/>
      <c r="ALC3" s="353"/>
      <c r="ALD3" s="353"/>
      <c r="ALE3" s="353"/>
      <c r="ALF3" s="353"/>
      <c r="ALG3" s="353"/>
      <c r="ALH3" s="353"/>
      <c r="ALI3" s="353"/>
      <c r="ALJ3" s="353"/>
      <c r="ALK3" s="353"/>
      <c r="ALL3" s="353"/>
      <c r="ALM3" s="353"/>
      <c r="ALN3" s="353"/>
      <c r="ALO3" s="353"/>
      <c r="ALP3" s="353"/>
      <c r="ALQ3" s="353"/>
      <c r="ALR3" s="353"/>
      <c r="ALS3" s="353"/>
      <c r="ALT3" s="353"/>
      <c r="ALU3" s="353"/>
      <c r="ALV3" s="353"/>
      <c r="ALW3" s="353"/>
      <c r="ALX3" s="353"/>
      <c r="ALY3" s="353"/>
      <c r="ALZ3" s="353"/>
      <c r="AMA3" s="353"/>
      <c r="AMB3" s="353"/>
      <c r="AMC3" s="353"/>
      <c r="AMD3" s="353"/>
      <c r="AME3" s="353"/>
      <c r="AMF3" s="353"/>
      <c r="AMG3" s="353"/>
      <c r="AMH3" s="353"/>
      <c r="AMI3" s="353"/>
      <c r="AMJ3" s="353"/>
      <c r="AMK3" s="353"/>
      <c r="AML3" s="353"/>
      <c r="AMM3" s="353"/>
      <c r="AMN3" s="353"/>
      <c r="AMO3" s="353"/>
      <c r="AMP3" s="353"/>
      <c r="AMQ3" s="353"/>
      <c r="AMR3" s="353"/>
      <c r="AMS3" s="353"/>
      <c r="AMT3" s="353"/>
      <c r="AMU3" s="353"/>
      <c r="AMV3" s="353"/>
      <c r="AMW3" s="353"/>
      <c r="AMX3" s="353"/>
      <c r="AMY3" s="353"/>
      <c r="AMZ3" s="353"/>
      <c r="ANA3" s="353"/>
      <c r="ANB3" s="353"/>
      <c r="ANC3" s="353"/>
      <c r="AND3" s="353"/>
      <c r="ANE3" s="353"/>
      <c r="ANF3" s="353"/>
      <c r="ANG3" s="353"/>
      <c r="ANH3" s="353"/>
      <c r="ANI3" s="353"/>
      <c r="ANJ3" s="353"/>
      <c r="ANK3" s="353"/>
      <c r="ANL3" s="353"/>
      <c r="ANM3" s="353"/>
      <c r="ANN3" s="353"/>
      <c r="ANO3" s="353"/>
      <c r="ANP3" s="353"/>
      <c r="ANQ3" s="353"/>
      <c r="ANR3" s="353"/>
      <c r="ANS3" s="353"/>
      <c r="ANT3" s="353"/>
      <c r="ANU3" s="353"/>
      <c r="ANV3" s="353"/>
      <c r="ANW3" s="353"/>
      <c r="ANX3" s="353"/>
      <c r="ANY3" s="353"/>
      <c r="ANZ3" s="353"/>
      <c r="AOA3" s="353"/>
      <c r="AOB3" s="353"/>
      <c r="AOC3" s="353"/>
      <c r="AOD3" s="353"/>
      <c r="AOE3" s="353"/>
      <c r="AOF3" s="353"/>
      <c r="AOG3" s="353"/>
      <c r="AOH3" s="353"/>
      <c r="AOI3" s="353"/>
      <c r="AOJ3" s="353"/>
      <c r="AOK3" s="353"/>
      <c r="AOL3" s="353"/>
      <c r="AOM3" s="353"/>
      <c r="AON3" s="353"/>
      <c r="AOO3" s="353"/>
      <c r="AOP3" s="353"/>
      <c r="AOQ3" s="353"/>
      <c r="AOR3" s="353"/>
      <c r="AOS3" s="353"/>
      <c r="AOT3" s="353"/>
      <c r="AOU3" s="353"/>
      <c r="AOV3" s="353"/>
      <c r="AOW3" s="353"/>
      <c r="AOX3" s="353"/>
      <c r="AOY3" s="353"/>
      <c r="AOZ3" s="353"/>
      <c r="APA3" s="353"/>
      <c r="APB3" s="353"/>
      <c r="APC3" s="353"/>
      <c r="APD3" s="353"/>
      <c r="APE3" s="353"/>
      <c r="APF3" s="353"/>
      <c r="APG3" s="353"/>
      <c r="APH3" s="353"/>
      <c r="API3" s="353"/>
      <c r="APJ3" s="353"/>
      <c r="APK3" s="353"/>
      <c r="APL3" s="353"/>
      <c r="APM3" s="353"/>
      <c r="APN3" s="353"/>
      <c r="APO3" s="353"/>
      <c r="APP3" s="353"/>
      <c r="APQ3" s="353"/>
      <c r="APR3" s="353"/>
      <c r="APS3" s="353"/>
      <c r="APT3" s="353"/>
      <c r="APU3" s="353"/>
      <c r="APV3" s="353"/>
      <c r="APW3" s="353"/>
      <c r="APX3" s="353"/>
      <c r="APY3" s="353"/>
      <c r="APZ3" s="353"/>
      <c r="AQA3" s="353"/>
      <c r="AQB3" s="353"/>
      <c r="AQC3" s="353"/>
      <c r="AQD3" s="353"/>
      <c r="AQE3" s="353"/>
      <c r="AQF3" s="353"/>
      <c r="AQG3" s="353"/>
      <c r="AQH3" s="353"/>
      <c r="AQI3" s="353"/>
      <c r="AQJ3" s="353"/>
      <c r="AQK3" s="353"/>
      <c r="AQL3" s="353"/>
      <c r="AQM3" s="353"/>
      <c r="AQN3" s="353"/>
      <c r="AQO3" s="353"/>
      <c r="AQP3" s="353"/>
      <c r="AQQ3" s="353"/>
      <c r="AQR3" s="353"/>
      <c r="AQS3" s="353"/>
      <c r="AQT3" s="353"/>
      <c r="AQU3" s="353"/>
      <c r="AQV3" s="353"/>
      <c r="AQW3" s="353"/>
      <c r="AQX3" s="353"/>
      <c r="AQY3" s="353"/>
      <c r="AQZ3" s="353"/>
      <c r="ARA3" s="353"/>
      <c r="ARB3" s="353"/>
      <c r="ARC3" s="353"/>
      <c r="ARD3" s="353"/>
      <c r="ARE3" s="353"/>
      <c r="ARF3" s="353"/>
      <c r="ARG3" s="353"/>
      <c r="ARH3" s="353"/>
      <c r="ARI3" s="353"/>
      <c r="ARJ3" s="353"/>
      <c r="ARK3" s="353"/>
      <c r="ARL3" s="353"/>
      <c r="ARM3" s="353"/>
      <c r="ARN3" s="353"/>
      <c r="ARO3" s="353"/>
      <c r="ARP3" s="353"/>
      <c r="ARQ3" s="353"/>
      <c r="ARR3" s="353"/>
      <c r="ARS3" s="353"/>
      <c r="ART3" s="353"/>
      <c r="ARU3" s="353"/>
      <c r="ARV3" s="353"/>
      <c r="ARW3" s="353"/>
      <c r="ARX3" s="353"/>
      <c r="ARY3" s="353"/>
      <c r="ARZ3" s="353"/>
      <c r="ASA3" s="353"/>
      <c r="ASB3" s="353"/>
      <c r="ASC3" s="353"/>
      <c r="ASD3" s="353"/>
      <c r="ASE3" s="353"/>
      <c r="ASF3" s="353"/>
      <c r="ASG3" s="353"/>
      <c r="ASH3" s="353"/>
      <c r="ASI3" s="353"/>
      <c r="ASJ3" s="353"/>
      <c r="ASK3" s="353"/>
      <c r="ASL3" s="353"/>
      <c r="ASM3" s="353"/>
      <c r="ASN3" s="353"/>
      <c r="ASO3" s="353"/>
      <c r="ASP3" s="353"/>
      <c r="ASQ3" s="353"/>
      <c r="ASR3" s="353"/>
      <c r="ASS3" s="353"/>
      <c r="AST3" s="353"/>
      <c r="ASU3" s="353"/>
      <c r="ASV3" s="353"/>
      <c r="ASW3" s="353"/>
      <c r="ASX3" s="353"/>
      <c r="ASY3" s="353"/>
      <c r="ASZ3" s="353"/>
      <c r="ATA3" s="353"/>
      <c r="ATB3" s="353"/>
      <c r="ATC3" s="353"/>
      <c r="ATD3" s="353"/>
      <c r="ATE3" s="353"/>
      <c r="ATF3" s="353"/>
      <c r="ATG3" s="353"/>
      <c r="ATH3" s="353"/>
      <c r="ATI3" s="353"/>
      <c r="ATJ3" s="353"/>
      <c r="ATK3" s="353"/>
      <c r="ATL3" s="353"/>
      <c r="ATM3" s="353"/>
      <c r="ATN3" s="353"/>
      <c r="ATO3" s="353"/>
      <c r="ATP3" s="353"/>
      <c r="ATQ3" s="353"/>
      <c r="ATR3" s="353"/>
      <c r="ATS3" s="353"/>
      <c r="ATT3" s="353"/>
      <c r="ATU3" s="353"/>
      <c r="ATV3" s="353"/>
      <c r="ATW3" s="353"/>
      <c r="ATX3" s="353"/>
      <c r="ATY3" s="353"/>
      <c r="ATZ3" s="353"/>
      <c r="AUA3" s="353"/>
      <c r="AUB3" s="353"/>
      <c r="AUC3" s="353"/>
      <c r="AUD3" s="353"/>
      <c r="AUE3" s="353"/>
      <c r="AUF3" s="353"/>
      <c r="AUG3" s="353"/>
      <c r="AUH3" s="353"/>
      <c r="AUI3" s="353"/>
      <c r="AUJ3" s="353"/>
      <c r="AUK3" s="353"/>
      <c r="AUL3" s="353"/>
      <c r="AUM3" s="353"/>
      <c r="AUN3" s="353"/>
      <c r="AUO3" s="353"/>
      <c r="AUP3" s="353"/>
      <c r="AUQ3" s="353"/>
      <c r="AUR3" s="353"/>
      <c r="AUS3" s="353"/>
      <c r="AUT3" s="353"/>
      <c r="AUU3" s="353"/>
      <c r="AUV3" s="353"/>
      <c r="AUW3" s="353"/>
      <c r="AUX3" s="353"/>
      <c r="AUY3" s="353"/>
      <c r="AUZ3" s="353"/>
      <c r="AVA3" s="353"/>
      <c r="AVB3" s="353"/>
      <c r="AVC3" s="353"/>
      <c r="AVD3" s="353"/>
      <c r="AVE3" s="353"/>
      <c r="AVF3" s="353"/>
      <c r="AVG3" s="353"/>
      <c r="AVH3" s="353"/>
      <c r="AVI3" s="353"/>
      <c r="AVJ3" s="353"/>
      <c r="AVK3" s="353"/>
      <c r="AVL3" s="353"/>
      <c r="AVM3" s="353"/>
      <c r="AVN3" s="353"/>
      <c r="AVO3" s="353"/>
      <c r="AVP3" s="353"/>
      <c r="AVQ3" s="353"/>
      <c r="AVR3" s="353"/>
      <c r="AVS3" s="353"/>
      <c r="AVT3" s="353"/>
      <c r="AVU3" s="353"/>
      <c r="AVV3" s="353"/>
      <c r="AVW3" s="353"/>
      <c r="AVX3" s="353"/>
      <c r="AVY3" s="353"/>
      <c r="AVZ3" s="353"/>
      <c r="AWA3" s="353"/>
      <c r="AWB3" s="353"/>
      <c r="AWC3" s="353"/>
      <c r="AWD3" s="353"/>
      <c r="AWE3" s="353"/>
      <c r="AWF3" s="353"/>
      <c r="AWG3" s="353"/>
      <c r="AWH3" s="353"/>
      <c r="AWI3" s="353"/>
      <c r="AWJ3" s="353"/>
      <c r="AWK3" s="353"/>
      <c r="AWL3" s="353"/>
      <c r="AWM3" s="353"/>
      <c r="AWN3" s="353"/>
      <c r="AWO3" s="353"/>
      <c r="AWP3" s="353"/>
      <c r="AWQ3" s="353"/>
      <c r="AWR3" s="353"/>
      <c r="AWS3" s="353"/>
      <c r="AWT3" s="353"/>
      <c r="AWU3" s="353"/>
      <c r="AWV3" s="353"/>
      <c r="AWW3" s="353"/>
      <c r="AWX3" s="353"/>
      <c r="AWY3" s="353"/>
      <c r="AWZ3" s="353"/>
      <c r="AXA3" s="353"/>
      <c r="AXB3" s="353"/>
      <c r="AXC3" s="353"/>
      <c r="AXD3" s="353"/>
      <c r="AXE3" s="353"/>
      <c r="AXF3" s="353"/>
      <c r="AXG3" s="353"/>
      <c r="AXH3" s="353"/>
      <c r="AXI3" s="353"/>
      <c r="AXJ3" s="353"/>
      <c r="AXK3" s="353"/>
      <c r="AXL3" s="353"/>
      <c r="AXM3" s="353"/>
      <c r="AXN3" s="353"/>
      <c r="AXO3" s="353"/>
      <c r="AXP3" s="353"/>
      <c r="AXQ3" s="353"/>
      <c r="AXR3" s="353"/>
      <c r="AXS3" s="353"/>
      <c r="AXT3" s="353"/>
      <c r="AXU3" s="353"/>
      <c r="AXV3" s="353"/>
      <c r="AXW3" s="353"/>
      <c r="AXX3" s="353"/>
      <c r="AXY3" s="353"/>
      <c r="AXZ3" s="353"/>
      <c r="AYA3" s="353"/>
      <c r="AYB3" s="353"/>
      <c r="AYC3" s="353"/>
      <c r="AYD3" s="353"/>
      <c r="AYE3" s="353"/>
      <c r="AYF3" s="353"/>
      <c r="AYG3" s="353"/>
      <c r="AYH3" s="353"/>
      <c r="AYI3" s="353"/>
      <c r="AYJ3" s="353"/>
      <c r="AYK3" s="353"/>
      <c r="AYL3" s="353"/>
      <c r="AYM3" s="353"/>
      <c r="AYN3" s="353"/>
      <c r="AYO3" s="353"/>
      <c r="AYP3" s="353"/>
      <c r="AYQ3" s="353"/>
      <c r="AYR3" s="353"/>
      <c r="AYS3" s="353"/>
      <c r="AYT3" s="353"/>
      <c r="AYU3" s="353"/>
      <c r="AYV3" s="353"/>
      <c r="AYW3" s="353"/>
      <c r="AYX3" s="353"/>
      <c r="AYY3" s="353"/>
      <c r="AYZ3" s="353"/>
      <c r="AZA3" s="353"/>
      <c r="AZB3" s="353"/>
      <c r="AZC3" s="353"/>
      <c r="AZD3" s="353"/>
      <c r="AZE3" s="353"/>
      <c r="AZF3" s="353"/>
      <c r="AZG3" s="353"/>
      <c r="AZH3" s="353"/>
      <c r="AZI3" s="353"/>
      <c r="AZJ3" s="353"/>
      <c r="AZK3" s="353"/>
      <c r="AZL3" s="353"/>
      <c r="AZM3" s="353"/>
      <c r="AZN3" s="353"/>
      <c r="AZO3" s="353"/>
      <c r="AZP3" s="353"/>
      <c r="AZQ3" s="353"/>
      <c r="AZR3" s="353"/>
      <c r="AZS3" s="353"/>
      <c r="AZT3" s="353"/>
      <c r="AZU3" s="353"/>
      <c r="AZV3" s="353"/>
      <c r="AZW3" s="353"/>
      <c r="AZX3" s="353"/>
      <c r="AZY3" s="353"/>
      <c r="AZZ3" s="353"/>
      <c r="BAA3" s="353"/>
      <c r="BAB3" s="353"/>
      <c r="BAC3" s="353"/>
      <c r="BAD3" s="353"/>
      <c r="BAE3" s="353"/>
      <c r="BAF3" s="353"/>
      <c r="BAG3" s="353"/>
      <c r="BAH3" s="353"/>
      <c r="BAI3" s="353"/>
      <c r="BAJ3" s="353"/>
      <c r="BAK3" s="353"/>
      <c r="BAL3" s="353"/>
      <c r="BAM3" s="353"/>
      <c r="BAN3" s="353"/>
      <c r="BAO3" s="353"/>
      <c r="BAP3" s="353"/>
      <c r="BAQ3" s="353"/>
      <c r="BAR3" s="353"/>
      <c r="BAS3" s="353"/>
      <c r="BAT3" s="353"/>
      <c r="BAU3" s="353"/>
      <c r="BAV3" s="353"/>
      <c r="BAW3" s="353"/>
      <c r="BAX3" s="353"/>
      <c r="BAY3" s="353"/>
      <c r="BAZ3" s="353"/>
      <c r="BBA3" s="353"/>
      <c r="BBB3" s="353"/>
      <c r="BBC3" s="353"/>
      <c r="BBD3" s="353"/>
      <c r="BBE3" s="353"/>
      <c r="BBF3" s="353"/>
      <c r="BBG3" s="353"/>
      <c r="BBH3" s="353"/>
      <c r="BBI3" s="353"/>
      <c r="BBJ3" s="353"/>
      <c r="BBK3" s="353"/>
      <c r="BBL3" s="353"/>
      <c r="BBM3" s="353"/>
      <c r="BBN3" s="353"/>
      <c r="BBO3" s="353"/>
      <c r="BBP3" s="353"/>
      <c r="BBQ3" s="353"/>
      <c r="BBR3" s="353"/>
      <c r="BBS3" s="353"/>
      <c r="BBT3" s="353"/>
      <c r="BBU3" s="353"/>
      <c r="BBV3" s="353"/>
      <c r="BBW3" s="353"/>
      <c r="BBX3" s="353"/>
      <c r="BBY3" s="353"/>
      <c r="BBZ3" s="353"/>
      <c r="BCA3" s="353"/>
      <c r="BCB3" s="353"/>
      <c r="BCC3" s="353"/>
      <c r="BCD3" s="353"/>
      <c r="BCE3" s="353"/>
      <c r="BCF3" s="353"/>
      <c r="BCG3" s="353"/>
      <c r="BCH3" s="353"/>
      <c r="BCI3" s="353"/>
      <c r="BCJ3" s="353"/>
      <c r="BCK3" s="353"/>
      <c r="BCL3" s="353"/>
      <c r="BCM3" s="353"/>
      <c r="BCN3" s="353"/>
      <c r="BCO3" s="353"/>
      <c r="BCP3" s="353"/>
      <c r="BCQ3" s="353"/>
      <c r="BCR3" s="353"/>
      <c r="BCS3" s="353"/>
      <c r="BCT3" s="353"/>
      <c r="BCU3" s="353"/>
      <c r="BCV3" s="353"/>
      <c r="BCW3" s="353"/>
      <c r="BCX3" s="353"/>
      <c r="BCY3" s="353"/>
      <c r="BCZ3" s="353"/>
      <c r="BDA3" s="353"/>
      <c r="BDB3" s="353"/>
      <c r="BDC3" s="353"/>
      <c r="BDD3" s="353"/>
      <c r="BDE3" s="353"/>
      <c r="BDF3" s="353"/>
      <c r="BDG3" s="353"/>
      <c r="BDH3" s="353"/>
      <c r="BDI3" s="353"/>
      <c r="BDJ3" s="353"/>
      <c r="BDK3" s="353"/>
      <c r="BDL3" s="353"/>
      <c r="BDM3" s="353"/>
      <c r="BDN3" s="353"/>
      <c r="BDO3" s="353"/>
      <c r="BDP3" s="353"/>
      <c r="BDQ3" s="353"/>
      <c r="BDR3" s="353"/>
      <c r="BDS3" s="353"/>
      <c r="BDT3" s="353"/>
      <c r="BDU3" s="353"/>
      <c r="BDV3" s="353"/>
      <c r="BDW3" s="353"/>
      <c r="BDX3" s="353"/>
      <c r="BDY3" s="353"/>
      <c r="BDZ3" s="353"/>
      <c r="BEA3" s="353"/>
      <c r="BEB3" s="353"/>
      <c r="BEC3" s="353"/>
      <c r="BED3" s="353"/>
      <c r="BEE3" s="353"/>
      <c r="BEF3" s="353"/>
      <c r="BEG3" s="353"/>
      <c r="BEH3" s="353"/>
      <c r="BEI3" s="353"/>
      <c r="BEJ3" s="353"/>
      <c r="BEK3" s="353"/>
      <c r="BEL3" s="353"/>
      <c r="BEM3" s="353"/>
      <c r="BEN3" s="353"/>
      <c r="BEO3" s="353"/>
      <c r="BEP3" s="353"/>
      <c r="BEQ3" s="353"/>
      <c r="BER3" s="353"/>
      <c r="BES3" s="353"/>
      <c r="BET3" s="353"/>
      <c r="BEU3" s="353"/>
      <c r="BEV3" s="353"/>
      <c r="BEW3" s="353"/>
      <c r="BEX3" s="353"/>
      <c r="BEY3" s="353"/>
      <c r="BEZ3" s="353"/>
      <c r="BFA3" s="353"/>
      <c r="BFB3" s="353"/>
      <c r="BFC3" s="353"/>
      <c r="BFD3" s="353"/>
      <c r="BFE3" s="353"/>
      <c r="BFF3" s="353"/>
      <c r="BFG3" s="353"/>
      <c r="BFH3" s="353"/>
      <c r="BFI3" s="353"/>
      <c r="BFJ3" s="353"/>
      <c r="BFK3" s="353"/>
      <c r="BFL3" s="353"/>
      <c r="BFM3" s="353"/>
      <c r="BFN3" s="353"/>
      <c r="BFO3" s="353"/>
      <c r="BFP3" s="353"/>
      <c r="BFQ3" s="353"/>
      <c r="BFR3" s="353"/>
      <c r="BFS3" s="353"/>
      <c r="BFT3" s="353"/>
      <c r="BFU3" s="353"/>
      <c r="BFV3" s="353"/>
      <c r="BFW3" s="353"/>
      <c r="BFX3" s="353"/>
      <c r="BFY3" s="353"/>
      <c r="BFZ3" s="353"/>
      <c r="BGA3" s="353"/>
      <c r="BGB3" s="353"/>
      <c r="BGC3" s="353"/>
      <c r="BGD3" s="353"/>
      <c r="BGE3" s="353"/>
      <c r="BGF3" s="353"/>
      <c r="BGG3" s="353"/>
      <c r="BGH3" s="353"/>
      <c r="BGI3" s="353"/>
      <c r="BGJ3" s="353"/>
      <c r="BGK3" s="353"/>
      <c r="BGL3" s="353"/>
      <c r="BGM3" s="353"/>
      <c r="BGN3" s="353"/>
      <c r="BGO3" s="353"/>
      <c r="BGP3" s="353"/>
      <c r="BGQ3" s="353"/>
      <c r="BGR3" s="353"/>
      <c r="BGS3" s="353"/>
      <c r="BGT3" s="353"/>
      <c r="BGU3" s="353"/>
      <c r="BGV3" s="353"/>
      <c r="BGW3" s="353"/>
      <c r="BGX3" s="353"/>
      <c r="BGY3" s="353"/>
      <c r="BGZ3" s="353"/>
      <c r="BHA3" s="353"/>
      <c r="BHB3" s="353"/>
      <c r="BHC3" s="353"/>
      <c r="BHD3" s="353"/>
      <c r="BHE3" s="353"/>
      <c r="BHF3" s="353"/>
      <c r="BHG3" s="353"/>
      <c r="BHH3" s="353"/>
      <c r="BHI3" s="353"/>
      <c r="BHJ3" s="353"/>
      <c r="BHK3" s="353"/>
      <c r="BHL3" s="353"/>
      <c r="BHM3" s="353"/>
      <c r="BHN3" s="353"/>
      <c r="BHO3" s="353"/>
      <c r="BHP3" s="353"/>
      <c r="BHQ3" s="353"/>
      <c r="BHR3" s="353"/>
      <c r="BHS3" s="353"/>
      <c r="BHT3" s="353"/>
      <c r="BHU3" s="353"/>
      <c r="BHV3" s="353"/>
      <c r="BHW3" s="353"/>
      <c r="BHX3" s="353"/>
      <c r="BHY3" s="353"/>
      <c r="BHZ3" s="353"/>
      <c r="BIA3" s="353"/>
      <c r="BIB3" s="353"/>
      <c r="BIC3" s="353"/>
      <c r="BID3" s="353"/>
      <c r="BIE3" s="353"/>
      <c r="BIF3" s="353"/>
      <c r="BIG3" s="353"/>
      <c r="BIH3" s="353"/>
      <c r="BII3" s="353"/>
      <c r="BIJ3" s="353"/>
      <c r="BIK3" s="353"/>
      <c r="BIL3" s="353"/>
      <c r="BIM3" s="353"/>
      <c r="BIN3" s="353"/>
      <c r="BIO3" s="353"/>
      <c r="BIP3" s="353"/>
      <c r="BIQ3" s="353"/>
      <c r="BIR3" s="353"/>
      <c r="BIS3" s="353"/>
      <c r="BIT3" s="353"/>
      <c r="BIU3" s="353"/>
      <c r="BIV3" s="353"/>
      <c r="BIW3" s="353"/>
      <c r="BIX3" s="353"/>
      <c r="BIY3" s="353"/>
      <c r="BIZ3" s="353"/>
      <c r="BJA3" s="353"/>
      <c r="BJB3" s="353"/>
      <c r="BJC3" s="353"/>
      <c r="BJD3" s="353"/>
      <c r="BJE3" s="353"/>
      <c r="BJF3" s="353"/>
      <c r="BJG3" s="353"/>
      <c r="BJH3" s="353"/>
      <c r="BJI3" s="353"/>
      <c r="BJJ3" s="353"/>
      <c r="BJK3" s="353"/>
      <c r="BJL3" s="353"/>
      <c r="BJM3" s="353"/>
      <c r="BJN3" s="353"/>
      <c r="BJO3" s="353"/>
      <c r="BJP3" s="353"/>
      <c r="BJQ3" s="353"/>
      <c r="BJR3" s="353"/>
      <c r="BJS3" s="353"/>
      <c r="BJT3" s="353"/>
      <c r="BJU3" s="353"/>
      <c r="BJV3" s="353"/>
      <c r="BJW3" s="353"/>
      <c r="BJX3" s="353"/>
      <c r="BJY3" s="353"/>
      <c r="BJZ3" s="353"/>
      <c r="BKA3" s="353"/>
      <c r="BKB3" s="353"/>
      <c r="BKC3" s="353"/>
      <c r="BKD3" s="353"/>
      <c r="BKE3" s="353"/>
      <c r="BKF3" s="353"/>
      <c r="BKG3" s="353"/>
      <c r="BKH3" s="353"/>
      <c r="BKI3" s="353"/>
      <c r="BKJ3" s="353"/>
      <c r="BKK3" s="353"/>
      <c r="BKL3" s="353"/>
      <c r="BKM3" s="353"/>
      <c r="BKN3" s="353"/>
      <c r="BKO3" s="353"/>
      <c r="BKP3" s="353"/>
      <c r="BKQ3" s="353"/>
      <c r="BKR3" s="353"/>
      <c r="BKS3" s="353"/>
      <c r="BKT3" s="353"/>
      <c r="BKU3" s="353"/>
      <c r="BKV3" s="353"/>
      <c r="BKW3" s="353"/>
      <c r="BKX3" s="353"/>
      <c r="BKY3" s="353"/>
      <c r="BKZ3" s="353"/>
      <c r="BLA3" s="353"/>
      <c r="BLB3" s="353"/>
      <c r="BLC3" s="353"/>
      <c r="BLD3" s="353"/>
      <c r="BLE3" s="353"/>
      <c r="BLF3" s="353"/>
      <c r="BLG3" s="353"/>
      <c r="BLH3" s="353"/>
      <c r="BLI3" s="353"/>
      <c r="BLJ3" s="353"/>
      <c r="BLK3" s="353"/>
      <c r="BLL3" s="353"/>
      <c r="BLM3" s="353"/>
      <c r="BLN3" s="353"/>
      <c r="BLO3" s="353"/>
      <c r="BLP3" s="353"/>
      <c r="BLQ3" s="353"/>
      <c r="BLR3" s="353"/>
      <c r="BLS3" s="353"/>
      <c r="BLT3" s="353"/>
      <c r="BLU3" s="353"/>
      <c r="BLV3" s="353"/>
      <c r="BLW3" s="353"/>
      <c r="BLX3" s="353"/>
      <c r="BLY3" s="353"/>
      <c r="BLZ3" s="353"/>
      <c r="BMA3" s="353"/>
      <c r="BMB3" s="353"/>
      <c r="BMC3" s="353"/>
      <c r="BMD3" s="353"/>
      <c r="BME3" s="353"/>
      <c r="BMF3" s="353"/>
      <c r="BMG3" s="353"/>
      <c r="BMH3" s="353"/>
      <c r="BMI3" s="353"/>
      <c r="BMJ3" s="353"/>
      <c r="BMK3" s="353"/>
      <c r="BML3" s="353"/>
      <c r="BMM3" s="353"/>
      <c r="BMN3" s="353"/>
      <c r="BMO3" s="353"/>
      <c r="BMP3" s="353"/>
      <c r="BMQ3" s="353"/>
      <c r="BMR3" s="353"/>
      <c r="BMS3" s="353"/>
      <c r="BMT3" s="353"/>
      <c r="BMU3" s="353"/>
      <c r="BMV3" s="353"/>
      <c r="BMW3" s="353"/>
      <c r="BMX3" s="353"/>
      <c r="BMY3" s="353"/>
      <c r="BMZ3" s="353"/>
      <c r="BNA3" s="353"/>
      <c r="BNB3" s="353"/>
      <c r="BNC3" s="353"/>
      <c r="BND3" s="353"/>
      <c r="BNE3" s="353"/>
      <c r="BNF3" s="353"/>
      <c r="BNG3" s="353"/>
      <c r="BNH3" s="353"/>
      <c r="BNI3" s="353"/>
      <c r="BNJ3" s="353"/>
      <c r="BNK3" s="353"/>
      <c r="BNL3" s="353"/>
      <c r="BNM3" s="353"/>
      <c r="BNN3" s="353"/>
      <c r="BNO3" s="353"/>
      <c r="BNP3" s="353"/>
      <c r="BNQ3" s="353"/>
      <c r="BNR3" s="353"/>
      <c r="BNS3" s="353"/>
      <c r="BNT3" s="353"/>
      <c r="BNU3" s="353"/>
      <c r="BNV3" s="353"/>
      <c r="BNW3" s="353"/>
      <c r="BNX3" s="353"/>
      <c r="BNY3" s="353"/>
      <c r="BNZ3" s="353"/>
      <c r="BOA3" s="353"/>
      <c r="BOB3" s="353"/>
      <c r="BOC3" s="353"/>
      <c r="BOD3" s="353"/>
      <c r="BOE3" s="353"/>
      <c r="BOF3" s="353"/>
      <c r="BOG3" s="353"/>
      <c r="BOH3" s="353"/>
      <c r="BOI3" s="353"/>
      <c r="BOJ3" s="353"/>
      <c r="BOK3" s="353"/>
      <c r="BOL3" s="353"/>
      <c r="BOM3" s="353"/>
      <c r="BON3" s="353"/>
      <c r="BOO3" s="353"/>
      <c r="BOP3" s="353"/>
      <c r="BOQ3" s="353"/>
      <c r="BOR3" s="353"/>
      <c r="BOS3" s="353"/>
      <c r="BOT3" s="353"/>
      <c r="BOU3" s="353"/>
      <c r="BOV3" s="353"/>
      <c r="BOW3" s="353"/>
      <c r="BOX3" s="353"/>
      <c r="BOY3" s="353"/>
      <c r="BOZ3" s="353"/>
      <c r="BPA3" s="353"/>
      <c r="BPB3" s="353"/>
      <c r="BPC3" s="353"/>
      <c r="BPD3" s="353"/>
      <c r="BPE3" s="353"/>
      <c r="BPF3" s="353"/>
      <c r="BPG3" s="353"/>
      <c r="BPH3" s="353"/>
      <c r="BPI3" s="353"/>
      <c r="BPJ3" s="353"/>
      <c r="BPK3" s="353"/>
      <c r="BPL3" s="353"/>
      <c r="BPM3" s="353"/>
      <c r="BPN3" s="353"/>
      <c r="BPO3" s="353"/>
      <c r="BPP3" s="353"/>
      <c r="BPQ3" s="353"/>
      <c r="BPR3" s="353"/>
      <c r="BPS3" s="353"/>
      <c r="BPT3" s="353"/>
      <c r="BPU3" s="353"/>
      <c r="BPV3" s="353"/>
      <c r="BPW3" s="353"/>
      <c r="BPX3" s="353"/>
      <c r="BPY3" s="353"/>
      <c r="BPZ3" s="353"/>
      <c r="BQA3" s="353"/>
      <c r="BQB3" s="353"/>
      <c r="BQC3" s="353"/>
      <c r="BQD3" s="353"/>
      <c r="BQE3" s="353"/>
      <c r="BQF3" s="353"/>
      <c r="BQG3" s="353"/>
      <c r="BQH3" s="353"/>
      <c r="BQI3" s="353"/>
      <c r="BQJ3" s="353"/>
      <c r="BQK3" s="353"/>
      <c r="BQL3" s="353"/>
      <c r="BQM3" s="353"/>
      <c r="BQN3" s="353"/>
      <c r="BQO3" s="353"/>
      <c r="BQP3" s="353"/>
      <c r="BQQ3" s="353"/>
      <c r="BQR3" s="353"/>
      <c r="BQS3" s="353"/>
      <c r="BQT3" s="353"/>
      <c r="BQU3" s="353"/>
      <c r="BQV3" s="353"/>
      <c r="BQW3" s="353"/>
      <c r="BQX3" s="353"/>
      <c r="BQY3" s="353"/>
      <c r="BQZ3" s="353"/>
      <c r="BRA3" s="353"/>
      <c r="BRB3" s="353"/>
      <c r="BRC3" s="353"/>
      <c r="BRD3" s="353"/>
      <c r="BRE3" s="353"/>
      <c r="BRF3" s="353"/>
      <c r="BRG3" s="353"/>
      <c r="BRH3" s="353"/>
      <c r="BRI3" s="353"/>
      <c r="BRJ3" s="353"/>
      <c r="BRK3" s="353"/>
      <c r="BRL3" s="353"/>
      <c r="BRM3" s="353"/>
      <c r="BRN3" s="353"/>
      <c r="BRO3" s="353"/>
      <c r="BRP3" s="353"/>
      <c r="BRQ3" s="353"/>
      <c r="BRR3" s="353"/>
      <c r="BRS3" s="353"/>
      <c r="BRT3" s="353"/>
      <c r="BRU3" s="353"/>
      <c r="BRV3" s="353"/>
      <c r="BRW3" s="353"/>
      <c r="BRX3" s="353"/>
      <c r="BRY3" s="353"/>
      <c r="BRZ3" s="353"/>
      <c r="BSA3" s="353"/>
      <c r="BSB3" s="353"/>
      <c r="BSC3" s="353"/>
      <c r="BSD3" s="353"/>
      <c r="BSE3" s="353"/>
      <c r="BSF3" s="353"/>
      <c r="BSG3" s="353"/>
      <c r="BSH3" s="353"/>
      <c r="BSI3" s="353"/>
      <c r="BSJ3" s="353"/>
      <c r="BSK3" s="353"/>
      <c r="BSL3" s="353"/>
      <c r="BSM3" s="353"/>
      <c r="BSN3" s="353"/>
      <c r="BSO3" s="353"/>
      <c r="BSP3" s="353"/>
      <c r="BSQ3" s="353"/>
      <c r="BSR3" s="353"/>
      <c r="BSS3" s="353"/>
      <c r="BST3" s="353"/>
      <c r="BSU3" s="353"/>
      <c r="BSV3" s="353"/>
      <c r="BSW3" s="353"/>
      <c r="BSX3" s="353"/>
      <c r="BSY3" s="353"/>
      <c r="BSZ3" s="353"/>
      <c r="BTA3" s="353"/>
      <c r="BTB3" s="353"/>
      <c r="BTC3" s="353"/>
      <c r="BTD3" s="353"/>
      <c r="BTE3" s="353"/>
      <c r="BTF3" s="353"/>
      <c r="BTG3" s="353"/>
      <c r="BTH3" s="353"/>
      <c r="BTI3" s="353"/>
      <c r="BTJ3" s="353"/>
      <c r="BTK3" s="353"/>
      <c r="BTL3" s="353"/>
      <c r="BTM3" s="353"/>
      <c r="BTN3" s="353"/>
      <c r="BTO3" s="353"/>
      <c r="BTP3" s="353"/>
      <c r="BTQ3" s="353"/>
      <c r="BTR3" s="353"/>
      <c r="BTS3" s="353"/>
      <c r="BTT3" s="353"/>
      <c r="BTU3" s="353"/>
      <c r="BTV3" s="353"/>
      <c r="BTW3" s="353"/>
      <c r="BTX3" s="353"/>
      <c r="BTY3" s="353"/>
      <c r="BTZ3" s="353"/>
      <c r="BUA3" s="353"/>
      <c r="BUB3" s="353"/>
      <c r="BUC3" s="353"/>
      <c r="BUD3" s="353"/>
      <c r="BUE3" s="353"/>
      <c r="BUF3" s="353"/>
      <c r="BUG3" s="353"/>
      <c r="BUH3" s="353"/>
      <c r="BUI3" s="353"/>
      <c r="BUJ3" s="353"/>
      <c r="BUK3" s="353"/>
      <c r="BUL3" s="353"/>
      <c r="BUM3" s="353"/>
      <c r="BUN3" s="353"/>
      <c r="BUO3" s="353"/>
      <c r="BUP3" s="353"/>
      <c r="BUQ3" s="353"/>
      <c r="BUR3" s="353"/>
      <c r="BUS3" s="353"/>
      <c r="BUT3" s="353"/>
      <c r="BUU3" s="353"/>
      <c r="BUV3" s="353"/>
      <c r="BUW3" s="353"/>
      <c r="BUX3" s="353"/>
      <c r="BUY3" s="353"/>
      <c r="BUZ3" s="353"/>
      <c r="BVA3" s="353"/>
      <c r="BVB3" s="353"/>
      <c r="BVC3" s="353"/>
      <c r="BVD3" s="353"/>
      <c r="BVE3" s="353"/>
      <c r="BVF3" s="353"/>
      <c r="BVG3" s="353"/>
      <c r="BVH3" s="353"/>
      <c r="BVI3" s="353"/>
      <c r="BVJ3" s="353"/>
      <c r="BVK3" s="353"/>
      <c r="BVL3" s="353"/>
      <c r="BVM3" s="353"/>
      <c r="BVN3" s="353"/>
      <c r="BVO3" s="353"/>
      <c r="BVP3" s="353"/>
      <c r="BVQ3" s="353"/>
      <c r="BVR3" s="353"/>
      <c r="BVS3" s="353"/>
      <c r="BVT3" s="353"/>
      <c r="BVU3" s="353"/>
      <c r="BVV3" s="353"/>
      <c r="BVW3" s="353"/>
      <c r="BVX3" s="353"/>
      <c r="BVY3" s="353"/>
      <c r="BVZ3" s="353"/>
      <c r="BWA3" s="353"/>
      <c r="BWB3" s="353"/>
      <c r="BWC3" s="353"/>
      <c r="BWD3" s="353"/>
      <c r="BWE3" s="353"/>
      <c r="BWF3" s="353"/>
      <c r="BWG3" s="353"/>
      <c r="BWH3" s="353"/>
      <c r="BWI3" s="353"/>
      <c r="BWJ3" s="353"/>
      <c r="BWK3" s="353"/>
      <c r="BWL3" s="353"/>
      <c r="BWM3" s="353"/>
      <c r="BWN3" s="353"/>
      <c r="BWO3" s="353"/>
      <c r="BWP3" s="353"/>
      <c r="BWQ3" s="353"/>
      <c r="BWR3" s="353"/>
      <c r="BWS3" s="353"/>
      <c r="BWT3" s="353"/>
      <c r="BWU3" s="353"/>
      <c r="BWV3" s="353"/>
      <c r="BWW3" s="353"/>
      <c r="BWX3" s="353"/>
      <c r="BWY3" s="353"/>
      <c r="BWZ3" s="353"/>
      <c r="BXA3" s="353"/>
      <c r="BXB3" s="353"/>
      <c r="BXC3" s="353"/>
      <c r="BXD3" s="353"/>
      <c r="BXE3" s="353"/>
      <c r="BXF3" s="353"/>
      <c r="BXG3" s="353"/>
      <c r="BXH3" s="353"/>
      <c r="BXI3" s="353"/>
      <c r="BXJ3" s="353"/>
      <c r="BXK3" s="353"/>
      <c r="BXL3" s="353"/>
      <c r="BXM3" s="353"/>
      <c r="BXN3" s="353"/>
      <c r="BXO3" s="353"/>
      <c r="BXP3" s="353"/>
      <c r="BXQ3" s="353"/>
      <c r="BXR3" s="353"/>
      <c r="BXS3" s="353"/>
      <c r="BXT3" s="353"/>
      <c r="BXU3" s="353"/>
      <c r="BXV3" s="353"/>
      <c r="BXW3" s="353"/>
      <c r="BXX3" s="353"/>
      <c r="BXY3" s="353"/>
      <c r="BXZ3" s="353"/>
      <c r="BYA3" s="353"/>
      <c r="BYB3" s="353"/>
      <c r="BYC3" s="353"/>
      <c r="BYD3" s="353"/>
      <c r="BYE3" s="353"/>
      <c r="BYF3" s="353"/>
      <c r="BYG3" s="353"/>
      <c r="BYH3" s="353"/>
      <c r="BYI3" s="353"/>
      <c r="BYJ3" s="353"/>
      <c r="BYK3" s="353"/>
      <c r="BYL3" s="353"/>
      <c r="BYM3" s="353"/>
      <c r="BYN3" s="353"/>
      <c r="BYO3" s="353"/>
      <c r="BYP3" s="353"/>
      <c r="BYQ3" s="353"/>
      <c r="BYR3" s="353"/>
      <c r="BYS3" s="353"/>
      <c r="BYT3" s="353"/>
      <c r="BYU3" s="353"/>
      <c r="BYV3" s="353"/>
      <c r="BYW3" s="353"/>
      <c r="BYX3" s="353"/>
      <c r="BYY3" s="353"/>
      <c r="BYZ3" s="353"/>
      <c r="BZA3" s="353"/>
      <c r="BZB3" s="353"/>
      <c r="BZC3" s="353"/>
      <c r="BZD3" s="353"/>
      <c r="BZE3" s="353"/>
      <c r="BZF3" s="353"/>
      <c r="BZG3" s="353"/>
      <c r="BZH3" s="353"/>
      <c r="BZI3" s="353"/>
      <c r="BZJ3" s="353"/>
      <c r="BZK3" s="353"/>
      <c r="BZL3" s="353"/>
      <c r="BZM3" s="353"/>
      <c r="BZN3" s="353"/>
      <c r="BZO3" s="353"/>
      <c r="BZP3" s="353"/>
      <c r="BZQ3" s="353"/>
      <c r="BZR3" s="353"/>
      <c r="BZS3" s="353"/>
      <c r="BZT3" s="353"/>
      <c r="BZU3" s="353"/>
      <c r="BZV3" s="353"/>
      <c r="BZW3" s="353"/>
      <c r="BZX3" s="353"/>
      <c r="BZY3" s="353"/>
      <c r="BZZ3" s="353"/>
      <c r="CAA3" s="353"/>
      <c r="CAB3" s="353"/>
      <c r="CAC3" s="353"/>
      <c r="CAD3" s="353"/>
      <c r="CAE3" s="353"/>
      <c r="CAF3" s="353"/>
      <c r="CAG3" s="353"/>
      <c r="CAH3" s="353"/>
      <c r="CAI3" s="353"/>
      <c r="CAJ3" s="353"/>
      <c r="CAK3" s="353"/>
      <c r="CAL3" s="353"/>
      <c r="CAM3" s="353"/>
      <c r="CAN3" s="353"/>
      <c r="CAO3" s="353"/>
      <c r="CAP3" s="353"/>
      <c r="CAQ3" s="353"/>
      <c r="CAR3" s="353"/>
      <c r="CAS3" s="353"/>
      <c r="CAT3" s="353"/>
      <c r="CAU3" s="353"/>
      <c r="CAV3" s="353"/>
      <c r="CAW3" s="353"/>
      <c r="CAX3" s="353"/>
      <c r="CAY3" s="353"/>
      <c r="CAZ3" s="353"/>
      <c r="CBA3" s="353"/>
      <c r="CBB3" s="353"/>
      <c r="CBC3" s="353"/>
      <c r="CBD3" s="353"/>
      <c r="CBE3" s="353"/>
      <c r="CBF3" s="353"/>
      <c r="CBG3" s="353"/>
      <c r="CBH3" s="353"/>
      <c r="CBI3" s="353"/>
      <c r="CBJ3" s="353"/>
      <c r="CBK3" s="353"/>
      <c r="CBL3" s="353"/>
      <c r="CBM3" s="353"/>
      <c r="CBN3" s="353"/>
      <c r="CBO3" s="353"/>
      <c r="CBP3" s="353"/>
      <c r="CBQ3" s="353"/>
      <c r="CBR3" s="353"/>
      <c r="CBS3" s="353"/>
      <c r="CBT3" s="353"/>
      <c r="CBU3" s="353"/>
      <c r="CBV3" s="353"/>
      <c r="CBW3" s="353"/>
      <c r="CBX3" s="353"/>
      <c r="CBY3" s="353"/>
      <c r="CBZ3" s="353"/>
      <c r="CCA3" s="353"/>
      <c r="CCB3" s="353"/>
      <c r="CCC3" s="353"/>
      <c r="CCD3" s="353"/>
      <c r="CCE3" s="353"/>
      <c r="CCF3" s="353"/>
      <c r="CCG3" s="353"/>
      <c r="CCH3" s="353"/>
      <c r="CCI3" s="353"/>
      <c r="CCJ3" s="353"/>
      <c r="CCK3" s="353"/>
      <c r="CCL3" s="353"/>
      <c r="CCM3" s="353"/>
      <c r="CCN3" s="353"/>
      <c r="CCO3" s="353"/>
      <c r="CCP3" s="353"/>
      <c r="CCQ3" s="353"/>
      <c r="CCR3" s="353"/>
      <c r="CCS3" s="353"/>
      <c r="CCT3" s="353"/>
      <c r="CCU3" s="353"/>
      <c r="CCV3" s="353"/>
      <c r="CCW3" s="353"/>
      <c r="CCX3" s="353"/>
      <c r="CCY3" s="353"/>
      <c r="CCZ3" s="353"/>
      <c r="CDA3" s="353"/>
      <c r="CDB3" s="353"/>
      <c r="CDC3" s="353"/>
      <c r="CDD3" s="353"/>
      <c r="CDE3" s="353"/>
      <c r="CDF3" s="353"/>
      <c r="CDG3" s="353"/>
      <c r="CDH3" s="353"/>
      <c r="CDI3" s="353"/>
      <c r="CDJ3" s="353"/>
      <c r="CDK3" s="353"/>
      <c r="CDL3" s="353"/>
      <c r="CDM3" s="353"/>
      <c r="CDN3" s="353"/>
      <c r="CDO3" s="353"/>
      <c r="CDP3" s="353"/>
      <c r="CDQ3" s="353"/>
      <c r="CDR3" s="353"/>
      <c r="CDS3" s="353"/>
      <c r="CDT3" s="353"/>
      <c r="CDU3" s="353"/>
      <c r="CDV3" s="353"/>
      <c r="CDW3" s="353"/>
      <c r="CDX3" s="353"/>
      <c r="CDY3" s="353"/>
      <c r="CDZ3" s="353"/>
      <c r="CEA3" s="353"/>
      <c r="CEB3" s="353"/>
      <c r="CEC3" s="353"/>
      <c r="CED3" s="353"/>
      <c r="CEE3" s="353"/>
      <c r="CEF3" s="353"/>
      <c r="CEG3" s="353"/>
      <c r="CEH3" s="353"/>
      <c r="CEI3" s="353"/>
      <c r="CEJ3" s="353"/>
      <c r="CEK3" s="353"/>
      <c r="CEL3" s="353"/>
      <c r="CEM3" s="353"/>
      <c r="CEN3" s="353"/>
      <c r="CEO3" s="353"/>
      <c r="CEP3" s="353"/>
      <c r="CEQ3" s="353"/>
      <c r="CER3" s="353"/>
      <c r="CES3" s="353"/>
      <c r="CET3" s="353"/>
      <c r="CEU3" s="353"/>
      <c r="CEV3" s="353"/>
      <c r="CEW3" s="353"/>
      <c r="CEX3" s="353"/>
      <c r="CEY3" s="353"/>
      <c r="CEZ3" s="353"/>
      <c r="CFA3" s="353"/>
      <c r="CFB3" s="353"/>
      <c r="CFC3" s="353"/>
      <c r="CFD3" s="353"/>
      <c r="CFE3" s="353"/>
      <c r="CFF3" s="353"/>
      <c r="CFG3" s="353"/>
      <c r="CFH3" s="353"/>
      <c r="CFI3" s="353"/>
      <c r="CFJ3" s="353"/>
      <c r="CFK3" s="353"/>
      <c r="CFL3" s="353"/>
      <c r="CFM3" s="353"/>
      <c r="CFN3" s="353"/>
      <c r="CFO3" s="353"/>
      <c r="CFP3" s="353"/>
      <c r="CFQ3" s="353"/>
      <c r="CFR3" s="353"/>
      <c r="CFS3" s="353"/>
      <c r="CFT3" s="353"/>
      <c r="CFU3" s="353"/>
      <c r="CFV3" s="353"/>
      <c r="CFW3" s="353"/>
      <c r="CFX3" s="353"/>
      <c r="CFY3" s="353"/>
      <c r="CFZ3" s="353"/>
      <c r="CGA3" s="353"/>
      <c r="CGB3" s="353"/>
      <c r="CGC3" s="353"/>
      <c r="CGD3" s="353"/>
      <c r="CGE3" s="353"/>
      <c r="CGF3" s="353"/>
      <c r="CGG3" s="353"/>
      <c r="CGH3" s="353"/>
      <c r="CGI3" s="353"/>
      <c r="CGJ3" s="353"/>
      <c r="CGK3" s="353"/>
      <c r="CGL3" s="353"/>
      <c r="CGM3" s="353"/>
      <c r="CGN3" s="353"/>
      <c r="CGO3" s="353"/>
      <c r="CGP3" s="353"/>
      <c r="CGQ3" s="353"/>
      <c r="CGR3" s="353"/>
      <c r="CGS3" s="353"/>
      <c r="CGT3" s="353"/>
      <c r="CGU3" s="353"/>
      <c r="CGV3" s="353"/>
      <c r="CGW3" s="353"/>
      <c r="CGX3" s="353"/>
      <c r="CGY3" s="353"/>
      <c r="CGZ3" s="353"/>
      <c r="CHA3" s="353"/>
      <c r="CHB3" s="353"/>
      <c r="CHC3" s="353"/>
      <c r="CHD3" s="353"/>
      <c r="CHE3" s="353"/>
      <c r="CHF3" s="353"/>
      <c r="CHG3" s="353"/>
      <c r="CHH3" s="353"/>
      <c r="CHI3" s="353"/>
      <c r="CHJ3" s="353"/>
      <c r="CHK3" s="353"/>
      <c r="CHL3" s="353"/>
      <c r="CHM3" s="353"/>
      <c r="CHN3" s="353"/>
      <c r="CHO3" s="353"/>
      <c r="CHP3" s="353"/>
      <c r="CHQ3" s="353"/>
      <c r="CHR3" s="353"/>
      <c r="CHS3" s="353"/>
      <c r="CHT3" s="353"/>
      <c r="CHU3" s="353"/>
      <c r="CHV3" s="353"/>
      <c r="CHW3" s="353"/>
      <c r="CHX3" s="353"/>
      <c r="CHY3" s="353"/>
      <c r="CHZ3" s="353"/>
      <c r="CIA3" s="353"/>
      <c r="CIB3" s="353"/>
      <c r="CIC3" s="353"/>
      <c r="CID3" s="353"/>
      <c r="CIE3" s="353"/>
      <c r="CIF3" s="353"/>
      <c r="CIG3" s="353"/>
      <c r="CIH3" s="353"/>
      <c r="CII3" s="353"/>
      <c r="CIJ3" s="353"/>
      <c r="CIK3" s="353"/>
      <c r="CIL3" s="353"/>
      <c r="CIM3" s="353"/>
      <c r="CIN3" s="353"/>
      <c r="CIO3" s="353"/>
      <c r="CIP3" s="353"/>
      <c r="CIQ3" s="353"/>
      <c r="CIR3" s="353"/>
      <c r="CIS3" s="353"/>
      <c r="CIT3" s="353"/>
      <c r="CIU3" s="353"/>
      <c r="CIV3" s="353"/>
      <c r="CIW3" s="353"/>
      <c r="CIX3" s="353"/>
      <c r="CIY3" s="353"/>
      <c r="CIZ3" s="353"/>
      <c r="CJA3" s="353"/>
      <c r="CJB3" s="353"/>
      <c r="CJC3" s="353"/>
      <c r="CJD3" s="353"/>
      <c r="CJE3" s="353"/>
      <c r="CJF3" s="353"/>
      <c r="CJG3" s="353"/>
      <c r="CJH3" s="353"/>
      <c r="CJI3" s="353"/>
      <c r="CJJ3" s="353"/>
      <c r="CJK3" s="353"/>
      <c r="CJL3" s="353"/>
      <c r="CJM3" s="353"/>
      <c r="CJN3" s="353"/>
      <c r="CJO3" s="353"/>
      <c r="CJP3" s="353"/>
      <c r="CJQ3" s="353"/>
      <c r="CJR3" s="353"/>
      <c r="CJS3" s="353"/>
      <c r="CJT3" s="353"/>
      <c r="CJU3" s="353"/>
      <c r="CJV3" s="353"/>
      <c r="CJW3" s="353"/>
      <c r="CJX3" s="353"/>
      <c r="CJY3" s="353"/>
      <c r="CJZ3" s="353"/>
      <c r="CKA3" s="353"/>
      <c r="CKB3" s="353"/>
      <c r="CKC3" s="353"/>
      <c r="CKD3" s="353"/>
      <c r="CKE3" s="353"/>
      <c r="CKF3" s="353"/>
      <c r="CKG3" s="353"/>
      <c r="CKH3" s="353"/>
      <c r="CKI3" s="353"/>
      <c r="CKJ3" s="353"/>
      <c r="CKK3" s="353"/>
      <c r="CKL3" s="353"/>
      <c r="CKM3" s="353"/>
      <c r="CKN3" s="353"/>
      <c r="CKO3" s="353"/>
      <c r="CKP3" s="353"/>
      <c r="CKQ3" s="353"/>
      <c r="CKR3" s="353"/>
      <c r="CKS3" s="353"/>
      <c r="CKT3" s="353"/>
      <c r="CKU3" s="353"/>
      <c r="CKV3" s="353"/>
      <c r="CKW3" s="353"/>
      <c r="CKX3" s="353"/>
      <c r="CKY3" s="353"/>
      <c r="CKZ3" s="353"/>
      <c r="CLA3" s="353"/>
      <c r="CLB3" s="353"/>
      <c r="CLC3" s="353"/>
      <c r="CLD3" s="353"/>
      <c r="CLE3" s="353"/>
      <c r="CLF3" s="353"/>
      <c r="CLG3" s="353"/>
      <c r="CLH3" s="353"/>
      <c r="CLI3" s="353"/>
      <c r="CLJ3" s="353"/>
      <c r="CLK3" s="353"/>
      <c r="CLL3" s="353"/>
      <c r="CLM3" s="353"/>
      <c r="CLN3" s="353"/>
      <c r="CLO3" s="353"/>
      <c r="CLP3" s="353"/>
      <c r="CLQ3" s="353"/>
      <c r="CLR3" s="353"/>
      <c r="CLS3" s="353"/>
      <c r="CLT3" s="353"/>
      <c r="CLU3" s="353"/>
      <c r="CLV3" s="353"/>
      <c r="CLW3" s="353"/>
      <c r="CLX3" s="353"/>
      <c r="CLY3" s="353"/>
      <c r="CLZ3" s="353"/>
      <c r="CMA3" s="353"/>
      <c r="CMB3" s="353"/>
      <c r="CMC3" s="353"/>
      <c r="CMD3" s="353"/>
      <c r="CME3" s="353"/>
      <c r="CMF3" s="353"/>
      <c r="CMG3" s="353"/>
      <c r="CMH3" s="353"/>
      <c r="CMI3" s="353"/>
      <c r="CMJ3" s="353"/>
      <c r="CMK3" s="353"/>
      <c r="CML3" s="353"/>
      <c r="CMM3" s="353"/>
      <c r="CMN3" s="353"/>
      <c r="CMO3" s="353"/>
      <c r="CMP3" s="353"/>
      <c r="CMQ3" s="353"/>
      <c r="CMR3" s="353"/>
      <c r="CMS3" s="353"/>
      <c r="CMT3" s="353"/>
      <c r="CMU3" s="353"/>
      <c r="CMV3" s="353"/>
      <c r="CMW3" s="353"/>
      <c r="CMX3" s="353"/>
      <c r="CMY3" s="353"/>
      <c r="CMZ3" s="353"/>
      <c r="CNA3" s="353"/>
      <c r="CNB3" s="353"/>
      <c r="CNC3" s="353"/>
      <c r="CND3" s="353"/>
      <c r="CNE3" s="353"/>
      <c r="CNF3" s="353"/>
      <c r="CNG3" s="353"/>
      <c r="CNH3" s="353"/>
      <c r="CNI3" s="353"/>
      <c r="CNJ3" s="353"/>
      <c r="CNK3" s="353"/>
      <c r="CNL3" s="353"/>
      <c r="CNM3" s="353"/>
      <c r="CNN3" s="353"/>
      <c r="CNO3" s="353"/>
      <c r="CNP3" s="353"/>
      <c r="CNQ3" s="353"/>
      <c r="CNR3" s="353"/>
      <c r="CNS3" s="353"/>
      <c r="CNT3" s="353"/>
      <c r="CNU3" s="353"/>
      <c r="CNV3" s="353"/>
      <c r="CNW3" s="353"/>
      <c r="CNX3" s="353"/>
      <c r="CNY3" s="353"/>
      <c r="CNZ3" s="353"/>
      <c r="COA3" s="353"/>
      <c r="COB3" s="353"/>
      <c r="COC3" s="353"/>
      <c r="COD3" s="353"/>
      <c r="COE3" s="353"/>
      <c r="COF3" s="353"/>
      <c r="COG3" s="353"/>
      <c r="COH3" s="353"/>
      <c r="COI3" s="353"/>
      <c r="COJ3" s="353"/>
      <c r="COK3" s="353"/>
      <c r="COL3" s="353"/>
      <c r="COM3" s="353"/>
      <c r="CON3" s="353"/>
      <c r="COO3" s="353"/>
      <c r="COP3" s="353"/>
      <c r="COQ3" s="353"/>
      <c r="COR3" s="353"/>
      <c r="COS3" s="353"/>
      <c r="COT3" s="353"/>
      <c r="COU3" s="353"/>
      <c r="COV3" s="353"/>
      <c r="COW3" s="353"/>
      <c r="COX3" s="353"/>
      <c r="COY3" s="353"/>
      <c r="COZ3" s="353"/>
      <c r="CPA3" s="353"/>
      <c r="CPB3" s="353"/>
      <c r="CPC3" s="353"/>
      <c r="CPD3" s="353"/>
      <c r="CPE3" s="353"/>
      <c r="CPF3" s="353"/>
      <c r="CPG3" s="353"/>
      <c r="CPH3" s="353"/>
      <c r="CPI3" s="353"/>
      <c r="CPJ3" s="353"/>
      <c r="CPK3" s="353"/>
      <c r="CPL3" s="353"/>
      <c r="CPM3" s="353"/>
      <c r="CPN3" s="353"/>
      <c r="CPO3" s="353"/>
      <c r="CPP3" s="353"/>
      <c r="CPQ3" s="353"/>
      <c r="CPR3" s="353"/>
      <c r="CPS3" s="353"/>
      <c r="CPT3" s="353"/>
      <c r="CPU3" s="353"/>
      <c r="CPV3" s="353"/>
      <c r="CPW3" s="353"/>
      <c r="CPX3" s="353"/>
      <c r="CPY3" s="353"/>
      <c r="CPZ3" s="353"/>
      <c r="CQA3" s="353"/>
      <c r="CQB3" s="353"/>
      <c r="CQC3" s="353"/>
      <c r="CQD3" s="353"/>
      <c r="CQE3" s="353"/>
      <c r="CQF3" s="353"/>
      <c r="CQG3" s="353"/>
      <c r="CQH3" s="353"/>
      <c r="CQI3" s="353"/>
      <c r="CQJ3" s="353"/>
      <c r="CQK3" s="353"/>
      <c r="CQL3" s="353"/>
      <c r="CQM3" s="353"/>
      <c r="CQN3" s="353"/>
      <c r="CQO3" s="353"/>
      <c r="CQP3" s="353"/>
      <c r="CQQ3" s="353"/>
      <c r="CQR3" s="353"/>
      <c r="CQS3" s="353"/>
      <c r="CQT3" s="353"/>
      <c r="CQU3" s="353"/>
      <c r="CQV3" s="353"/>
      <c r="CQW3" s="353"/>
      <c r="CQX3" s="353"/>
      <c r="CQY3" s="353"/>
      <c r="CQZ3" s="353"/>
      <c r="CRA3" s="353"/>
      <c r="CRB3" s="353"/>
      <c r="CRC3" s="353"/>
      <c r="CRD3" s="353"/>
      <c r="CRE3" s="353"/>
      <c r="CRF3" s="353"/>
      <c r="CRG3" s="353"/>
      <c r="CRH3" s="353"/>
      <c r="CRI3" s="353"/>
      <c r="CRJ3" s="353"/>
      <c r="CRK3" s="353"/>
      <c r="CRL3" s="353"/>
      <c r="CRM3" s="353"/>
      <c r="CRN3" s="353"/>
      <c r="CRO3" s="353"/>
      <c r="CRP3" s="353"/>
      <c r="CRQ3" s="353"/>
      <c r="CRR3" s="353"/>
      <c r="CRS3" s="353"/>
      <c r="CRT3" s="353"/>
      <c r="CRU3" s="353"/>
      <c r="CRV3" s="353"/>
      <c r="CRW3" s="353"/>
      <c r="CRX3" s="353"/>
      <c r="CRY3" s="353"/>
      <c r="CRZ3" s="353"/>
      <c r="CSA3" s="353"/>
      <c r="CSB3" s="353"/>
      <c r="CSC3" s="353"/>
      <c r="CSD3" s="353"/>
      <c r="CSE3" s="353"/>
      <c r="CSF3" s="353"/>
      <c r="CSG3" s="353"/>
      <c r="CSH3" s="353"/>
      <c r="CSI3" s="353"/>
      <c r="CSJ3" s="353"/>
      <c r="CSK3" s="353"/>
      <c r="CSL3" s="353"/>
      <c r="CSM3" s="353"/>
      <c r="CSN3" s="353"/>
      <c r="CSO3" s="353"/>
      <c r="CSP3" s="353"/>
      <c r="CSQ3" s="353"/>
      <c r="CSR3" s="353"/>
      <c r="CSS3" s="353"/>
      <c r="CST3" s="353"/>
      <c r="CSU3" s="353"/>
      <c r="CSV3" s="353"/>
      <c r="CSW3" s="353"/>
      <c r="CSX3" s="353"/>
      <c r="CSY3" s="353"/>
      <c r="CSZ3" s="353"/>
      <c r="CTA3" s="353"/>
      <c r="CTB3" s="353"/>
      <c r="CTC3" s="353"/>
      <c r="CTD3" s="353"/>
      <c r="CTE3" s="353"/>
      <c r="CTF3" s="353"/>
      <c r="CTG3" s="353"/>
      <c r="CTH3" s="353"/>
      <c r="CTI3" s="353"/>
      <c r="CTJ3" s="353"/>
      <c r="CTK3" s="353"/>
      <c r="CTL3" s="353"/>
      <c r="CTM3" s="353"/>
      <c r="CTN3" s="353"/>
      <c r="CTO3" s="353"/>
      <c r="CTP3" s="353"/>
      <c r="CTQ3" s="353"/>
      <c r="CTR3" s="353"/>
      <c r="CTS3" s="353"/>
      <c r="CTT3" s="353"/>
      <c r="CTU3" s="353"/>
      <c r="CTV3" s="353"/>
      <c r="CTW3" s="353"/>
      <c r="CTX3" s="353"/>
      <c r="CTY3" s="353"/>
      <c r="CTZ3" s="353"/>
      <c r="CUA3" s="353"/>
      <c r="CUB3" s="353"/>
      <c r="CUC3" s="353"/>
      <c r="CUD3" s="353"/>
      <c r="CUE3" s="353"/>
      <c r="CUF3" s="353"/>
      <c r="CUG3" s="353"/>
      <c r="CUH3" s="353"/>
      <c r="CUI3" s="353"/>
      <c r="CUJ3" s="353"/>
      <c r="CUK3" s="353"/>
      <c r="CUL3" s="353"/>
      <c r="CUM3" s="353"/>
      <c r="CUN3" s="353"/>
      <c r="CUO3" s="353"/>
      <c r="CUP3" s="353"/>
      <c r="CUQ3" s="353"/>
      <c r="CUR3" s="353"/>
      <c r="CUS3" s="353"/>
      <c r="CUT3" s="353"/>
      <c r="CUU3" s="353"/>
      <c r="CUV3" s="353"/>
      <c r="CUW3" s="353"/>
      <c r="CUX3" s="353"/>
      <c r="CUY3" s="353"/>
      <c r="CUZ3" s="353"/>
      <c r="CVA3" s="353"/>
      <c r="CVB3" s="353"/>
      <c r="CVC3" s="353"/>
      <c r="CVD3" s="353"/>
      <c r="CVE3" s="353"/>
      <c r="CVF3" s="353"/>
      <c r="CVG3" s="353"/>
      <c r="CVH3" s="353"/>
      <c r="CVI3" s="353"/>
      <c r="CVJ3" s="353"/>
      <c r="CVK3" s="353"/>
      <c r="CVL3" s="353"/>
      <c r="CVM3" s="353"/>
      <c r="CVN3" s="353"/>
      <c r="CVO3" s="353"/>
      <c r="CVP3" s="353"/>
      <c r="CVQ3" s="353"/>
      <c r="CVR3" s="353"/>
      <c r="CVS3" s="353"/>
      <c r="CVT3" s="353"/>
      <c r="CVU3" s="353"/>
      <c r="CVV3" s="353"/>
      <c r="CVW3" s="353"/>
      <c r="CVX3" s="353"/>
      <c r="CVY3" s="353"/>
      <c r="CVZ3" s="353"/>
      <c r="CWA3" s="353"/>
      <c r="CWB3" s="353"/>
      <c r="CWC3" s="353"/>
      <c r="CWD3" s="353"/>
      <c r="CWE3" s="353"/>
      <c r="CWF3" s="353"/>
      <c r="CWG3" s="353"/>
      <c r="CWH3" s="353"/>
      <c r="CWI3" s="353"/>
      <c r="CWJ3" s="353"/>
      <c r="CWK3" s="353"/>
      <c r="CWL3" s="353"/>
      <c r="CWM3" s="353"/>
      <c r="CWN3" s="353"/>
      <c r="CWO3" s="353"/>
      <c r="CWP3" s="353"/>
      <c r="CWQ3" s="353"/>
      <c r="CWR3" s="353"/>
      <c r="CWS3" s="353"/>
      <c r="CWT3" s="353"/>
      <c r="CWU3" s="353"/>
      <c r="CWV3" s="353"/>
      <c r="CWW3" s="353"/>
      <c r="CWX3" s="353"/>
      <c r="CWY3" s="353"/>
      <c r="CWZ3" s="353"/>
      <c r="CXA3" s="353"/>
      <c r="CXB3" s="353"/>
      <c r="CXC3" s="353"/>
      <c r="CXD3" s="353"/>
      <c r="CXE3" s="353"/>
      <c r="CXF3" s="353"/>
      <c r="CXG3" s="353"/>
      <c r="CXH3" s="353"/>
      <c r="CXI3" s="353"/>
      <c r="CXJ3" s="353"/>
      <c r="CXK3" s="353"/>
      <c r="CXL3" s="353"/>
      <c r="CXM3" s="353"/>
      <c r="CXN3" s="353"/>
      <c r="CXO3" s="353"/>
      <c r="CXP3" s="353"/>
      <c r="CXQ3" s="353"/>
      <c r="CXR3" s="353"/>
      <c r="CXS3" s="353"/>
      <c r="CXT3" s="353"/>
      <c r="CXU3" s="353"/>
      <c r="CXV3" s="353"/>
      <c r="CXW3" s="353"/>
      <c r="CXX3" s="353"/>
      <c r="CXY3" s="353"/>
      <c r="CXZ3" s="353"/>
      <c r="CYA3" s="353"/>
      <c r="CYB3" s="353"/>
      <c r="CYC3" s="353"/>
      <c r="CYD3" s="353"/>
      <c r="CYE3" s="353"/>
      <c r="CYF3" s="353"/>
      <c r="CYG3" s="353"/>
      <c r="CYH3" s="353"/>
      <c r="CYI3" s="353"/>
      <c r="CYJ3" s="353"/>
      <c r="CYK3" s="353"/>
      <c r="CYL3" s="353"/>
      <c r="CYM3" s="353"/>
      <c r="CYN3" s="353"/>
      <c r="CYO3" s="353"/>
      <c r="CYP3" s="353"/>
      <c r="CYQ3" s="353"/>
      <c r="CYR3" s="353"/>
      <c r="CYS3" s="353"/>
      <c r="CYT3" s="353"/>
      <c r="CYU3" s="353"/>
      <c r="CYV3" s="353"/>
      <c r="CYW3" s="353"/>
      <c r="CYX3" s="353"/>
      <c r="CYY3" s="353"/>
      <c r="CYZ3" s="353"/>
      <c r="CZA3" s="353"/>
      <c r="CZB3" s="353"/>
      <c r="CZC3" s="353"/>
      <c r="CZD3" s="353"/>
      <c r="CZE3" s="353"/>
      <c r="CZF3" s="353"/>
      <c r="CZG3" s="353"/>
      <c r="CZH3" s="353"/>
      <c r="CZI3" s="353"/>
      <c r="CZJ3" s="353"/>
      <c r="CZK3" s="353"/>
      <c r="CZL3" s="353"/>
      <c r="CZM3" s="353"/>
      <c r="CZN3" s="353"/>
      <c r="CZO3" s="353"/>
      <c r="CZP3" s="353"/>
      <c r="CZQ3" s="353"/>
      <c r="CZR3" s="353"/>
      <c r="CZS3" s="353"/>
      <c r="CZT3" s="353"/>
      <c r="CZU3" s="353"/>
      <c r="CZV3" s="353"/>
      <c r="CZW3" s="353"/>
      <c r="CZX3" s="353"/>
      <c r="CZY3" s="353"/>
      <c r="CZZ3" s="353"/>
      <c r="DAA3" s="353"/>
      <c r="DAB3" s="353"/>
      <c r="DAC3" s="353"/>
      <c r="DAD3" s="353"/>
      <c r="DAE3" s="353"/>
      <c r="DAF3" s="353"/>
      <c r="DAG3" s="353"/>
      <c r="DAH3" s="353"/>
      <c r="DAI3" s="353"/>
      <c r="DAJ3" s="353"/>
      <c r="DAK3" s="353"/>
      <c r="DAL3" s="353"/>
      <c r="DAM3" s="353"/>
      <c r="DAN3" s="353"/>
      <c r="DAO3" s="353"/>
      <c r="DAP3" s="353"/>
      <c r="DAQ3" s="353"/>
      <c r="DAR3" s="353"/>
      <c r="DAS3" s="353"/>
      <c r="DAT3" s="353"/>
      <c r="DAU3" s="353"/>
      <c r="DAV3" s="353"/>
      <c r="DAW3" s="353"/>
      <c r="DAX3" s="353"/>
      <c r="DAY3" s="353"/>
      <c r="DAZ3" s="353"/>
      <c r="DBA3" s="353"/>
      <c r="DBB3" s="353"/>
      <c r="DBC3" s="353"/>
      <c r="DBD3" s="353"/>
      <c r="DBE3" s="353"/>
      <c r="DBF3" s="353"/>
      <c r="DBG3" s="353"/>
      <c r="DBH3" s="353"/>
      <c r="DBI3" s="353"/>
      <c r="DBJ3" s="353"/>
      <c r="DBK3" s="353"/>
      <c r="DBL3" s="353"/>
      <c r="DBM3" s="353"/>
      <c r="DBN3" s="353"/>
      <c r="DBO3" s="353"/>
      <c r="DBP3" s="353"/>
      <c r="DBQ3" s="353"/>
      <c r="DBR3" s="353"/>
      <c r="DBS3" s="353"/>
      <c r="DBT3" s="353"/>
      <c r="DBU3" s="353"/>
      <c r="DBV3" s="353"/>
      <c r="DBW3" s="353"/>
      <c r="DBX3" s="353"/>
      <c r="DBY3" s="353"/>
      <c r="DBZ3" s="353"/>
      <c r="DCA3" s="353"/>
      <c r="DCB3" s="353"/>
      <c r="DCC3" s="353"/>
      <c r="DCD3" s="353"/>
      <c r="DCE3" s="353"/>
      <c r="DCF3" s="353"/>
      <c r="DCG3" s="353"/>
      <c r="DCH3" s="353"/>
      <c r="DCI3" s="353"/>
      <c r="DCJ3" s="353"/>
      <c r="DCK3" s="353"/>
      <c r="DCL3" s="353"/>
      <c r="DCM3" s="353"/>
      <c r="DCN3" s="353"/>
      <c r="DCO3" s="353"/>
      <c r="DCP3" s="353"/>
      <c r="DCQ3" s="353"/>
      <c r="DCR3" s="353"/>
      <c r="DCS3" s="353"/>
      <c r="DCT3" s="353"/>
      <c r="DCU3" s="353"/>
      <c r="DCV3" s="353"/>
      <c r="DCW3" s="353"/>
      <c r="DCX3" s="353"/>
      <c r="DCY3" s="353"/>
      <c r="DCZ3" s="353"/>
      <c r="DDA3" s="353"/>
      <c r="DDB3" s="353"/>
      <c r="DDC3" s="353"/>
      <c r="DDD3" s="353"/>
      <c r="DDE3" s="353"/>
      <c r="DDF3" s="353"/>
      <c r="DDG3" s="353"/>
      <c r="DDH3" s="353"/>
      <c r="DDI3" s="353"/>
      <c r="DDJ3" s="353"/>
      <c r="DDK3" s="353"/>
      <c r="DDL3" s="353"/>
      <c r="DDM3" s="353"/>
      <c r="DDN3" s="353"/>
      <c r="DDO3" s="353"/>
      <c r="DDP3" s="353"/>
      <c r="DDQ3" s="353"/>
      <c r="DDR3" s="353"/>
      <c r="DDS3" s="353"/>
      <c r="DDT3" s="353"/>
      <c r="DDU3" s="353"/>
      <c r="DDV3" s="353"/>
      <c r="DDW3" s="353"/>
      <c r="DDX3" s="353"/>
      <c r="DDY3" s="353"/>
      <c r="DDZ3" s="353"/>
      <c r="DEA3" s="353"/>
      <c r="DEB3" s="353"/>
      <c r="DEC3" s="353"/>
      <c r="DED3" s="353"/>
      <c r="DEE3" s="353"/>
      <c r="DEF3" s="353"/>
      <c r="DEG3" s="353"/>
      <c r="DEH3" s="353"/>
      <c r="DEI3" s="353"/>
      <c r="DEJ3" s="353"/>
      <c r="DEK3" s="353"/>
      <c r="DEL3" s="353"/>
      <c r="DEM3" s="353"/>
      <c r="DEN3" s="353"/>
      <c r="DEO3" s="353"/>
      <c r="DEP3" s="353"/>
      <c r="DEQ3" s="353"/>
      <c r="DER3" s="353"/>
      <c r="DES3" s="353"/>
      <c r="DET3" s="353"/>
      <c r="DEU3" s="353"/>
      <c r="DEV3" s="353"/>
      <c r="DEW3" s="353"/>
      <c r="DEX3" s="353"/>
      <c r="DEY3" s="353"/>
      <c r="DEZ3" s="353"/>
      <c r="DFA3" s="353"/>
      <c r="DFB3" s="353"/>
      <c r="DFC3" s="353"/>
      <c r="DFD3" s="353"/>
      <c r="DFE3" s="353"/>
      <c r="DFF3" s="353"/>
      <c r="DFG3" s="353"/>
      <c r="DFH3" s="353"/>
      <c r="DFI3" s="353"/>
      <c r="DFJ3" s="353"/>
      <c r="DFK3" s="353"/>
      <c r="DFL3" s="353"/>
      <c r="DFM3" s="353"/>
      <c r="DFN3" s="353"/>
      <c r="DFO3" s="353"/>
      <c r="DFP3" s="353"/>
      <c r="DFQ3" s="353"/>
      <c r="DFR3" s="353"/>
      <c r="DFS3" s="353"/>
      <c r="DFT3" s="353"/>
      <c r="DFU3" s="353"/>
      <c r="DFV3" s="353"/>
      <c r="DFW3" s="353"/>
      <c r="DFX3" s="353"/>
      <c r="DFY3" s="353"/>
      <c r="DFZ3" s="353"/>
      <c r="DGA3" s="353"/>
      <c r="DGB3" s="353"/>
      <c r="DGC3" s="353"/>
      <c r="DGD3" s="353"/>
      <c r="DGE3" s="353"/>
      <c r="DGF3" s="353"/>
      <c r="DGG3" s="353"/>
      <c r="DGH3" s="353"/>
      <c r="DGI3" s="353"/>
      <c r="DGJ3" s="353"/>
      <c r="DGK3" s="353"/>
      <c r="DGL3" s="353"/>
      <c r="DGM3" s="353"/>
      <c r="DGN3" s="353"/>
      <c r="DGO3" s="353"/>
      <c r="DGP3" s="353"/>
      <c r="DGQ3" s="353"/>
      <c r="DGR3" s="353"/>
      <c r="DGS3" s="353"/>
      <c r="DGT3" s="353"/>
      <c r="DGU3" s="353"/>
      <c r="DGV3" s="353"/>
      <c r="DGW3" s="353"/>
      <c r="DGX3" s="353"/>
      <c r="DGY3" s="353"/>
      <c r="DGZ3" s="353"/>
      <c r="DHA3" s="353"/>
      <c r="DHB3" s="353"/>
      <c r="DHC3" s="353"/>
      <c r="DHD3" s="353"/>
      <c r="DHE3" s="353"/>
      <c r="DHF3" s="353"/>
      <c r="DHG3" s="353"/>
      <c r="DHH3" s="353"/>
      <c r="DHI3" s="353"/>
      <c r="DHJ3" s="353"/>
      <c r="DHK3" s="353"/>
      <c r="DHL3" s="353"/>
      <c r="DHM3" s="353"/>
      <c r="DHN3" s="353"/>
      <c r="DHO3" s="353"/>
      <c r="DHP3" s="353"/>
      <c r="DHQ3" s="353"/>
      <c r="DHR3" s="353"/>
      <c r="DHS3" s="353"/>
      <c r="DHT3" s="353"/>
      <c r="DHU3" s="353"/>
      <c r="DHV3" s="353"/>
      <c r="DHW3" s="353"/>
      <c r="DHX3" s="353"/>
      <c r="DHY3" s="353"/>
      <c r="DHZ3" s="353"/>
      <c r="DIA3" s="353"/>
      <c r="DIB3" s="353"/>
      <c r="DIC3" s="353"/>
      <c r="DID3" s="353"/>
      <c r="DIE3" s="353"/>
      <c r="DIF3" s="353"/>
      <c r="DIG3" s="353"/>
      <c r="DIH3" s="353"/>
      <c r="DII3" s="353"/>
      <c r="DIJ3" s="353"/>
      <c r="DIK3" s="353"/>
      <c r="DIL3" s="353"/>
      <c r="DIM3" s="353"/>
      <c r="DIN3" s="353"/>
      <c r="DIO3" s="353"/>
      <c r="DIP3" s="353"/>
      <c r="DIQ3" s="353"/>
      <c r="DIR3" s="353"/>
      <c r="DIS3" s="353"/>
      <c r="DIT3" s="353"/>
      <c r="DIU3" s="353"/>
      <c r="DIV3" s="353"/>
      <c r="DIW3" s="353"/>
      <c r="DIX3" s="353"/>
      <c r="DIY3" s="353"/>
      <c r="DIZ3" s="353"/>
      <c r="DJA3" s="353"/>
      <c r="DJB3" s="353"/>
      <c r="DJC3" s="353"/>
      <c r="DJD3" s="353"/>
      <c r="DJE3" s="353"/>
      <c r="DJF3" s="353"/>
      <c r="DJG3" s="353"/>
      <c r="DJH3" s="353"/>
      <c r="DJI3" s="353"/>
      <c r="DJJ3" s="353"/>
      <c r="DJK3" s="353"/>
      <c r="DJL3" s="353"/>
      <c r="DJM3" s="353"/>
      <c r="DJN3" s="353"/>
      <c r="DJO3" s="353"/>
      <c r="DJP3" s="353"/>
      <c r="DJQ3" s="353"/>
      <c r="DJR3" s="353"/>
      <c r="DJS3" s="353"/>
      <c r="DJT3" s="353"/>
      <c r="DJU3" s="353"/>
      <c r="DJV3" s="353"/>
      <c r="DJW3" s="353"/>
      <c r="DJX3" s="353"/>
      <c r="DJY3" s="353"/>
      <c r="DJZ3" s="353"/>
      <c r="DKA3" s="353"/>
      <c r="DKB3" s="353"/>
      <c r="DKC3" s="353"/>
      <c r="DKD3" s="353"/>
      <c r="DKE3" s="353"/>
      <c r="DKF3" s="353"/>
      <c r="DKG3" s="353"/>
      <c r="DKH3" s="353"/>
      <c r="DKI3" s="353"/>
      <c r="DKJ3" s="353"/>
      <c r="DKK3" s="353"/>
      <c r="DKL3" s="353"/>
      <c r="DKM3" s="353"/>
      <c r="DKN3" s="353"/>
      <c r="DKO3" s="353"/>
      <c r="DKP3" s="353"/>
      <c r="DKQ3" s="353"/>
      <c r="DKR3" s="353"/>
      <c r="DKS3" s="353"/>
      <c r="DKT3" s="353"/>
      <c r="DKU3" s="353"/>
      <c r="DKV3" s="353"/>
      <c r="DKW3" s="353"/>
      <c r="DKX3" s="353"/>
      <c r="DKY3" s="353"/>
      <c r="DKZ3" s="353"/>
      <c r="DLA3" s="353"/>
      <c r="DLB3" s="353"/>
      <c r="DLC3" s="353"/>
      <c r="DLD3" s="353"/>
      <c r="DLE3" s="353"/>
      <c r="DLF3" s="353"/>
      <c r="DLG3" s="353"/>
      <c r="DLH3" s="353"/>
      <c r="DLI3" s="353"/>
      <c r="DLJ3" s="353"/>
      <c r="DLK3" s="353"/>
      <c r="DLL3" s="353"/>
      <c r="DLM3" s="353"/>
      <c r="DLN3" s="353"/>
      <c r="DLO3" s="353"/>
      <c r="DLP3" s="353"/>
      <c r="DLQ3" s="353"/>
      <c r="DLR3" s="353"/>
      <c r="DLS3" s="353"/>
      <c r="DLT3" s="353"/>
      <c r="DLU3" s="353"/>
      <c r="DLV3" s="353"/>
      <c r="DLW3" s="353"/>
      <c r="DLX3" s="353"/>
      <c r="DLY3" s="353"/>
      <c r="DLZ3" s="353"/>
      <c r="DMA3" s="353"/>
      <c r="DMB3" s="353"/>
      <c r="DMC3" s="353"/>
      <c r="DMD3" s="353"/>
      <c r="DME3" s="353"/>
      <c r="DMF3" s="353"/>
      <c r="DMG3" s="353"/>
      <c r="DMH3" s="353"/>
      <c r="DMI3" s="353"/>
      <c r="DMJ3" s="353"/>
      <c r="DMK3" s="353"/>
      <c r="DML3" s="353"/>
      <c r="DMM3" s="353"/>
      <c r="DMN3" s="353"/>
      <c r="DMO3" s="353"/>
      <c r="DMP3" s="353"/>
      <c r="DMQ3" s="353"/>
      <c r="DMR3" s="353"/>
      <c r="DMS3" s="353"/>
      <c r="DMT3" s="353"/>
      <c r="DMU3" s="353"/>
      <c r="DMV3" s="353"/>
      <c r="DMW3" s="353"/>
      <c r="DMX3" s="353"/>
      <c r="DMY3" s="353"/>
      <c r="DMZ3" s="353"/>
      <c r="DNA3" s="353"/>
      <c r="DNB3" s="353"/>
      <c r="DNC3" s="353"/>
      <c r="DND3" s="353"/>
      <c r="DNE3" s="353"/>
      <c r="DNF3" s="353"/>
      <c r="DNG3" s="353"/>
      <c r="DNH3" s="353"/>
      <c r="DNI3" s="353"/>
      <c r="DNJ3" s="353"/>
      <c r="DNK3" s="353"/>
      <c r="DNL3" s="353"/>
      <c r="DNM3" s="353"/>
      <c r="DNN3" s="353"/>
      <c r="DNO3" s="353"/>
      <c r="DNP3" s="353"/>
      <c r="DNQ3" s="353"/>
      <c r="DNR3" s="353"/>
      <c r="DNS3" s="353"/>
      <c r="DNT3" s="353"/>
      <c r="DNU3" s="353"/>
      <c r="DNV3" s="353"/>
      <c r="DNW3" s="353"/>
      <c r="DNX3" s="353"/>
      <c r="DNY3" s="353"/>
      <c r="DNZ3" s="353"/>
      <c r="DOA3" s="353"/>
      <c r="DOB3" s="353"/>
      <c r="DOC3" s="353"/>
      <c r="DOD3" s="353"/>
      <c r="DOE3" s="353"/>
      <c r="DOF3" s="353"/>
      <c r="DOG3" s="353"/>
      <c r="DOH3" s="353"/>
      <c r="DOI3" s="353"/>
      <c r="DOJ3" s="353"/>
      <c r="DOK3" s="353"/>
      <c r="DOL3" s="353"/>
      <c r="DOM3" s="353"/>
      <c r="DON3" s="353"/>
      <c r="DOO3" s="353"/>
      <c r="DOP3" s="353"/>
      <c r="DOQ3" s="353"/>
      <c r="DOR3" s="353"/>
      <c r="DOS3" s="353"/>
      <c r="DOT3" s="353"/>
      <c r="DOU3" s="353"/>
      <c r="DOV3" s="353"/>
      <c r="DOW3" s="353"/>
      <c r="DOX3" s="353"/>
      <c r="DOY3" s="353"/>
      <c r="DOZ3" s="353"/>
      <c r="DPA3" s="353"/>
      <c r="DPB3" s="353"/>
      <c r="DPC3" s="353"/>
      <c r="DPD3" s="353"/>
      <c r="DPE3" s="353"/>
      <c r="DPF3" s="353"/>
      <c r="DPG3" s="353"/>
      <c r="DPH3" s="353"/>
      <c r="DPI3" s="353"/>
      <c r="DPJ3" s="353"/>
      <c r="DPK3" s="353"/>
      <c r="DPL3" s="353"/>
      <c r="DPM3" s="353"/>
      <c r="DPN3" s="353"/>
      <c r="DPO3" s="353"/>
      <c r="DPP3" s="353"/>
      <c r="DPQ3" s="353"/>
      <c r="DPR3" s="353"/>
      <c r="DPS3" s="353"/>
      <c r="DPT3" s="353"/>
      <c r="DPU3" s="353"/>
      <c r="DPV3" s="353"/>
      <c r="DPW3" s="353"/>
      <c r="DPX3" s="353"/>
      <c r="DPY3" s="353"/>
      <c r="DPZ3" s="353"/>
      <c r="DQA3" s="353"/>
      <c r="DQB3" s="353"/>
      <c r="DQC3" s="353"/>
      <c r="DQD3" s="353"/>
      <c r="DQE3" s="353"/>
      <c r="DQF3" s="353"/>
      <c r="DQG3" s="353"/>
      <c r="DQH3" s="353"/>
      <c r="DQI3" s="353"/>
      <c r="DQJ3" s="353"/>
      <c r="DQK3" s="353"/>
      <c r="DQL3" s="353"/>
      <c r="DQM3" s="353"/>
      <c r="DQN3" s="353"/>
      <c r="DQO3" s="353"/>
      <c r="DQP3" s="353"/>
      <c r="DQQ3" s="353"/>
      <c r="DQR3" s="353"/>
      <c r="DQS3" s="353"/>
      <c r="DQT3" s="353"/>
      <c r="DQU3" s="353"/>
      <c r="DQV3" s="353"/>
      <c r="DQW3" s="353"/>
      <c r="DQX3" s="353"/>
      <c r="DQY3" s="353"/>
      <c r="DQZ3" s="353"/>
      <c r="DRA3" s="353"/>
      <c r="DRB3" s="353"/>
      <c r="DRC3" s="353"/>
      <c r="DRD3" s="353"/>
      <c r="DRE3" s="353"/>
      <c r="DRF3" s="353"/>
      <c r="DRG3" s="353"/>
      <c r="DRH3" s="353"/>
      <c r="DRI3" s="353"/>
      <c r="DRJ3" s="353"/>
      <c r="DRK3" s="353"/>
      <c r="DRL3" s="353"/>
      <c r="DRM3" s="353"/>
      <c r="DRN3" s="353"/>
      <c r="DRO3" s="353"/>
      <c r="DRP3" s="353"/>
      <c r="DRQ3" s="353"/>
      <c r="DRR3" s="353"/>
      <c r="DRS3" s="353"/>
      <c r="DRT3" s="353"/>
      <c r="DRU3" s="353"/>
      <c r="DRV3" s="353"/>
      <c r="DRW3" s="353"/>
      <c r="DRX3" s="353"/>
      <c r="DRY3" s="353"/>
      <c r="DRZ3" s="353"/>
      <c r="DSA3" s="353"/>
      <c r="DSB3" s="353"/>
      <c r="DSC3" s="353"/>
      <c r="DSD3" s="353"/>
      <c r="DSE3" s="353"/>
      <c r="DSF3" s="353"/>
      <c r="DSG3" s="353"/>
      <c r="DSH3" s="353"/>
      <c r="DSI3" s="353"/>
      <c r="DSJ3" s="353"/>
      <c r="DSK3" s="353"/>
      <c r="DSL3" s="353"/>
      <c r="DSM3" s="353"/>
      <c r="DSN3" s="353"/>
      <c r="DSO3" s="353"/>
      <c r="DSP3" s="353"/>
      <c r="DSQ3" s="353"/>
      <c r="DSR3" s="353"/>
      <c r="DSS3" s="353"/>
      <c r="DST3" s="353"/>
      <c r="DSU3" s="353"/>
      <c r="DSV3" s="353"/>
      <c r="DSW3" s="353"/>
      <c r="DSX3" s="353"/>
      <c r="DSY3" s="353"/>
      <c r="DSZ3" s="353"/>
      <c r="DTA3" s="353"/>
      <c r="DTB3" s="353"/>
      <c r="DTC3" s="353"/>
      <c r="DTD3" s="353"/>
      <c r="DTE3" s="353"/>
      <c r="DTF3" s="353"/>
      <c r="DTG3" s="353"/>
      <c r="DTH3" s="353"/>
      <c r="DTI3" s="353"/>
      <c r="DTJ3" s="353"/>
      <c r="DTK3" s="353"/>
      <c r="DTL3" s="353"/>
      <c r="DTM3" s="353"/>
      <c r="DTN3" s="353"/>
      <c r="DTO3" s="353"/>
      <c r="DTP3" s="353"/>
      <c r="DTQ3" s="353"/>
      <c r="DTR3" s="353"/>
      <c r="DTS3" s="353"/>
      <c r="DTT3" s="353"/>
      <c r="DTU3" s="353"/>
      <c r="DTV3" s="353"/>
      <c r="DTW3" s="353"/>
      <c r="DTX3" s="353"/>
      <c r="DTY3" s="353"/>
      <c r="DTZ3" s="353"/>
      <c r="DUA3" s="353"/>
      <c r="DUB3" s="353"/>
      <c r="DUC3" s="353"/>
      <c r="DUD3" s="353"/>
      <c r="DUE3" s="353"/>
      <c r="DUF3" s="353"/>
      <c r="DUG3" s="353"/>
      <c r="DUH3" s="353"/>
      <c r="DUI3" s="353"/>
      <c r="DUJ3" s="353"/>
      <c r="DUK3" s="353"/>
      <c r="DUL3" s="353"/>
      <c r="DUM3" s="353"/>
      <c r="DUN3" s="353"/>
      <c r="DUO3" s="353"/>
      <c r="DUP3" s="353"/>
      <c r="DUQ3" s="353"/>
      <c r="DUR3" s="353"/>
      <c r="DUS3" s="353"/>
      <c r="DUT3" s="353"/>
      <c r="DUU3" s="353"/>
      <c r="DUV3" s="353"/>
      <c r="DUW3" s="353"/>
      <c r="DUX3" s="353"/>
      <c r="DUY3" s="353"/>
      <c r="DUZ3" s="353"/>
      <c r="DVA3" s="353"/>
      <c r="DVB3" s="353"/>
      <c r="DVC3" s="353"/>
      <c r="DVD3" s="353"/>
      <c r="DVE3" s="353"/>
      <c r="DVF3" s="353"/>
      <c r="DVG3" s="353"/>
      <c r="DVH3" s="353"/>
      <c r="DVI3" s="353"/>
      <c r="DVJ3" s="353"/>
      <c r="DVK3" s="353"/>
      <c r="DVL3" s="353"/>
      <c r="DVM3" s="353"/>
      <c r="DVN3" s="353"/>
      <c r="DVO3" s="353"/>
      <c r="DVP3" s="353"/>
      <c r="DVQ3" s="353"/>
      <c r="DVR3" s="353"/>
      <c r="DVS3" s="353"/>
      <c r="DVT3" s="353"/>
      <c r="DVU3" s="353"/>
      <c r="DVV3" s="353"/>
      <c r="DVW3" s="353"/>
      <c r="DVX3" s="353"/>
      <c r="DVY3" s="353"/>
      <c r="DVZ3" s="353"/>
      <c r="DWA3" s="353"/>
      <c r="DWB3" s="353"/>
      <c r="DWC3" s="353"/>
      <c r="DWD3" s="353"/>
      <c r="DWE3" s="353"/>
      <c r="DWF3" s="353"/>
      <c r="DWG3" s="353"/>
      <c r="DWH3" s="353"/>
      <c r="DWI3" s="353"/>
      <c r="DWJ3" s="353"/>
      <c r="DWK3" s="353"/>
      <c r="DWL3" s="353"/>
      <c r="DWM3" s="353"/>
      <c r="DWN3" s="353"/>
      <c r="DWO3" s="353"/>
      <c r="DWP3" s="353"/>
      <c r="DWQ3" s="353"/>
      <c r="DWR3" s="353"/>
      <c r="DWS3" s="353"/>
      <c r="DWT3" s="353"/>
      <c r="DWU3" s="353"/>
      <c r="DWV3" s="353"/>
      <c r="DWW3" s="353"/>
      <c r="DWX3" s="353"/>
      <c r="DWY3" s="353"/>
      <c r="DWZ3" s="353"/>
      <c r="DXA3" s="353"/>
      <c r="DXB3" s="353"/>
      <c r="DXC3" s="353"/>
      <c r="DXD3" s="353"/>
      <c r="DXE3" s="353"/>
      <c r="DXF3" s="353"/>
      <c r="DXG3" s="353"/>
      <c r="DXH3" s="353"/>
      <c r="DXI3" s="353"/>
      <c r="DXJ3" s="353"/>
      <c r="DXK3" s="353"/>
      <c r="DXL3" s="353"/>
      <c r="DXM3" s="353"/>
      <c r="DXN3" s="353"/>
      <c r="DXO3" s="353"/>
      <c r="DXP3" s="353"/>
      <c r="DXQ3" s="353"/>
      <c r="DXR3" s="353"/>
      <c r="DXS3" s="353"/>
      <c r="DXT3" s="353"/>
      <c r="DXU3" s="353"/>
      <c r="DXV3" s="353"/>
      <c r="DXW3" s="353"/>
      <c r="DXX3" s="353"/>
      <c r="DXY3" s="353"/>
      <c r="DXZ3" s="353"/>
      <c r="DYA3" s="353"/>
      <c r="DYB3" s="353"/>
      <c r="DYC3" s="353"/>
      <c r="DYD3" s="353"/>
      <c r="DYE3" s="353"/>
      <c r="DYF3" s="353"/>
      <c r="DYG3" s="353"/>
      <c r="DYH3" s="353"/>
      <c r="DYI3" s="353"/>
      <c r="DYJ3" s="353"/>
      <c r="DYK3" s="353"/>
      <c r="DYL3" s="353"/>
      <c r="DYM3" s="353"/>
      <c r="DYN3" s="353"/>
      <c r="DYO3" s="353"/>
      <c r="DYP3" s="353"/>
      <c r="DYQ3" s="353"/>
      <c r="DYR3" s="353"/>
      <c r="DYS3" s="353"/>
      <c r="DYT3" s="353"/>
      <c r="DYU3" s="353"/>
      <c r="DYV3" s="353"/>
      <c r="DYW3" s="353"/>
      <c r="DYX3" s="353"/>
      <c r="DYY3" s="353"/>
      <c r="DYZ3" s="353"/>
      <c r="DZA3" s="353"/>
      <c r="DZB3" s="353"/>
      <c r="DZC3" s="353"/>
      <c r="DZD3" s="353"/>
      <c r="DZE3" s="353"/>
      <c r="DZF3" s="353"/>
      <c r="DZG3" s="353"/>
      <c r="DZH3" s="353"/>
      <c r="DZI3" s="353"/>
      <c r="DZJ3" s="353"/>
      <c r="DZK3" s="353"/>
      <c r="DZL3" s="353"/>
      <c r="DZM3" s="353"/>
      <c r="DZN3" s="353"/>
      <c r="DZO3" s="353"/>
      <c r="DZP3" s="353"/>
      <c r="DZQ3" s="353"/>
      <c r="DZR3" s="353"/>
      <c r="DZS3" s="353"/>
      <c r="DZT3" s="353"/>
      <c r="DZU3" s="353"/>
      <c r="DZV3" s="353"/>
      <c r="DZW3" s="353"/>
      <c r="DZX3" s="353"/>
      <c r="DZY3" s="353"/>
      <c r="DZZ3" s="353"/>
      <c r="EAA3" s="353"/>
      <c r="EAB3" s="353"/>
      <c r="EAC3" s="353"/>
      <c r="EAD3" s="353"/>
      <c r="EAE3" s="353"/>
      <c r="EAF3" s="353"/>
      <c r="EAG3" s="353"/>
      <c r="EAH3" s="353"/>
      <c r="EAI3" s="353"/>
      <c r="EAJ3" s="353"/>
      <c r="EAK3" s="353"/>
      <c r="EAL3" s="353"/>
      <c r="EAM3" s="353"/>
      <c r="EAN3" s="353"/>
      <c r="EAO3" s="353"/>
      <c r="EAP3" s="353"/>
      <c r="EAQ3" s="353"/>
      <c r="EAR3" s="353"/>
      <c r="EAS3" s="353"/>
      <c r="EAT3" s="353"/>
      <c r="EAU3" s="353"/>
      <c r="EAV3" s="353"/>
      <c r="EAW3" s="353"/>
      <c r="EAX3" s="353"/>
      <c r="EAY3" s="353"/>
      <c r="EAZ3" s="353"/>
      <c r="EBA3" s="353"/>
      <c r="EBB3" s="353"/>
      <c r="EBC3" s="353"/>
      <c r="EBD3" s="353"/>
      <c r="EBE3" s="353"/>
      <c r="EBF3" s="353"/>
      <c r="EBG3" s="353"/>
      <c r="EBH3" s="353"/>
      <c r="EBI3" s="353"/>
      <c r="EBJ3" s="353"/>
      <c r="EBK3" s="353"/>
      <c r="EBL3" s="353"/>
      <c r="EBM3" s="353"/>
      <c r="EBN3" s="353"/>
      <c r="EBO3" s="353"/>
      <c r="EBP3" s="353"/>
      <c r="EBQ3" s="353"/>
      <c r="EBR3" s="353"/>
      <c r="EBS3" s="353"/>
      <c r="EBT3" s="353"/>
      <c r="EBU3" s="353"/>
      <c r="EBV3" s="353"/>
      <c r="EBW3" s="353"/>
      <c r="EBX3" s="353"/>
      <c r="EBY3" s="353"/>
      <c r="EBZ3" s="353"/>
      <c r="ECA3" s="353"/>
      <c r="ECB3" s="353"/>
      <c r="ECC3" s="353"/>
      <c r="ECD3" s="353"/>
      <c r="ECE3" s="353"/>
      <c r="ECF3" s="353"/>
      <c r="ECG3" s="353"/>
      <c r="ECH3" s="353"/>
      <c r="ECI3" s="353"/>
      <c r="ECJ3" s="353"/>
      <c r="ECK3" s="353"/>
      <c r="ECL3" s="353"/>
      <c r="ECM3" s="353"/>
      <c r="ECN3" s="353"/>
      <c r="ECO3" s="353"/>
      <c r="ECP3" s="353"/>
      <c r="ECQ3" s="353"/>
      <c r="ECR3" s="353"/>
      <c r="ECS3" s="353"/>
      <c r="ECT3" s="353"/>
      <c r="ECU3" s="353"/>
      <c r="ECV3" s="353"/>
      <c r="ECW3" s="353"/>
      <c r="ECX3" s="353"/>
      <c r="ECY3" s="353"/>
      <c r="ECZ3" s="353"/>
      <c r="EDA3" s="353"/>
      <c r="EDB3" s="353"/>
      <c r="EDC3" s="353"/>
      <c r="EDD3" s="353"/>
      <c r="EDE3" s="353"/>
      <c r="EDF3" s="353"/>
      <c r="EDG3" s="353"/>
      <c r="EDH3" s="353"/>
      <c r="EDI3" s="353"/>
      <c r="EDJ3" s="353"/>
      <c r="EDK3" s="353"/>
      <c r="EDL3" s="353"/>
      <c r="EDM3" s="353"/>
      <c r="EDN3" s="353"/>
      <c r="EDO3" s="353"/>
      <c r="EDP3" s="353"/>
      <c r="EDQ3" s="353"/>
      <c r="EDR3" s="353"/>
      <c r="EDS3" s="353"/>
      <c r="EDT3" s="353"/>
      <c r="EDU3" s="353"/>
      <c r="EDV3" s="353"/>
      <c r="EDW3" s="353"/>
      <c r="EDX3" s="353"/>
      <c r="EDY3" s="353"/>
      <c r="EDZ3" s="353"/>
      <c r="EEA3" s="353"/>
      <c r="EEB3" s="353"/>
      <c r="EEC3" s="353"/>
      <c r="EED3" s="353"/>
      <c r="EEE3" s="353"/>
      <c r="EEF3" s="353"/>
      <c r="EEG3" s="353"/>
      <c r="EEH3" s="353"/>
      <c r="EEI3" s="353"/>
      <c r="EEJ3" s="353"/>
      <c r="EEK3" s="353"/>
      <c r="EEL3" s="353"/>
      <c r="EEM3" s="353"/>
      <c r="EEN3" s="353"/>
      <c r="EEO3" s="353"/>
      <c r="EEP3" s="353"/>
      <c r="EEQ3" s="353"/>
      <c r="EER3" s="353"/>
      <c r="EES3" s="353"/>
      <c r="EET3" s="353"/>
      <c r="EEU3" s="353"/>
      <c r="EEV3" s="353"/>
      <c r="EEW3" s="353"/>
      <c r="EEX3" s="353"/>
      <c r="EEY3" s="353"/>
      <c r="EEZ3" s="353"/>
      <c r="EFA3" s="353"/>
      <c r="EFB3" s="353"/>
      <c r="EFC3" s="353"/>
      <c r="EFD3" s="353"/>
      <c r="EFE3" s="353"/>
      <c r="EFF3" s="353"/>
      <c r="EFG3" s="353"/>
      <c r="EFH3" s="353"/>
      <c r="EFI3" s="353"/>
      <c r="EFJ3" s="353"/>
      <c r="EFK3" s="353"/>
      <c r="EFL3" s="353"/>
      <c r="EFM3" s="353"/>
      <c r="EFN3" s="353"/>
      <c r="EFO3" s="353"/>
      <c r="EFP3" s="353"/>
      <c r="EFQ3" s="353"/>
      <c r="EFR3" s="353"/>
      <c r="EFS3" s="353"/>
      <c r="EFT3" s="353"/>
      <c r="EFU3" s="353"/>
      <c r="EFV3" s="353"/>
      <c r="EFW3" s="353"/>
      <c r="EFX3" s="353"/>
      <c r="EFY3" s="353"/>
      <c r="EFZ3" s="353"/>
      <c r="EGA3" s="353"/>
      <c r="EGB3" s="353"/>
      <c r="EGC3" s="353"/>
      <c r="EGD3" s="353"/>
      <c r="EGE3" s="353"/>
      <c r="EGF3" s="353"/>
      <c r="EGG3" s="353"/>
      <c r="EGH3" s="353"/>
      <c r="EGI3" s="353"/>
      <c r="EGJ3" s="353"/>
      <c r="EGK3" s="353"/>
      <c r="EGL3" s="353"/>
      <c r="EGM3" s="353"/>
      <c r="EGN3" s="353"/>
      <c r="EGO3" s="353"/>
      <c r="EGP3" s="353"/>
      <c r="EGQ3" s="353"/>
      <c r="EGR3" s="353"/>
      <c r="EGS3" s="353"/>
      <c r="EGT3" s="353"/>
      <c r="EGU3" s="353"/>
      <c r="EGV3" s="353"/>
      <c r="EGW3" s="353"/>
      <c r="EGX3" s="353"/>
      <c r="EGY3" s="353"/>
      <c r="EGZ3" s="353"/>
      <c r="EHA3" s="353"/>
      <c r="EHB3" s="353"/>
      <c r="EHC3" s="353"/>
      <c r="EHD3" s="353"/>
      <c r="EHE3" s="353"/>
      <c r="EHF3" s="353"/>
      <c r="EHG3" s="353"/>
      <c r="EHH3" s="353"/>
      <c r="EHI3" s="353"/>
      <c r="EHJ3" s="353"/>
      <c r="EHK3" s="353"/>
      <c r="EHL3" s="353"/>
      <c r="EHM3" s="353"/>
      <c r="EHN3" s="353"/>
      <c r="EHO3" s="353"/>
      <c r="EHP3" s="353"/>
      <c r="EHQ3" s="353"/>
      <c r="EHR3" s="353"/>
      <c r="EHS3" s="353"/>
      <c r="EHT3" s="353"/>
      <c r="EHU3" s="353"/>
      <c r="EHV3" s="353"/>
      <c r="EHW3" s="353"/>
      <c r="EHX3" s="353"/>
      <c r="EHY3" s="353"/>
      <c r="EHZ3" s="353"/>
      <c r="EIA3" s="353"/>
      <c r="EIB3" s="353"/>
      <c r="EIC3" s="353"/>
      <c r="EID3" s="353"/>
      <c r="EIE3" s="353"/>
      <c r="EIF3" s="353"/>
      <c r="EIG3" s="353"/>
      <c r="EIH3" s="353"/>
      <c r="EII3" s="353"/>
      <c r="EIJ3" s="353"/>
      <c r="EIK3" s="353"/>
      <c r="EIL3" s="353"/>
      <c r="EIM3" s="353"/>
      <c r="EIN3" s="353"/>
      <c r="EIO3" s="353"/>
      <c r="EIP3" s="353"/>
      <c r="EIQ3" s="353"/>
      <c r="EIR3" s="353"/>
      <c r="EIS3" s="353"/>
      <c r="EIT3" s="353"/>
      <c r="EIU3" s="353"/>
      <c r="EIV3" s="353"/>
      <c r="EIW3" s="353"/>
      <c r="EIX3" s="353"/>
      <c r="EIY3" s="353"/>
      <c r="EIZ3" s="353"/>
      <c r="EJA3" s="353"/>
      <c r="EJB3" s="353"/>
      <c r="EJC3" s="353"/>
      <c r="EJD3" s="353"/>
      <c r="EJE3" s="353"/>
      <c r="EJF3" s="353"/>
      <c r="EJG3" s="353"/>
      <c r="EJH3" s="353"/>
      <c r="EJI3" s="353"/>
      <c r="EJJ3" s="353"/>
      <c r="EJK3" s="353"/>
      <c r="EJL3" s="353"/>
      <c r="EJM3" s="353"/>
      <c r="EJN3" s="353"/>
      <c r="EJO3" s="353"/>
      <c r="EJP3" s="353"/>
      <c r="EJQ3" s="353"/>
      <c r="EJR3" s="353"/>
      <c r="EJS3" s="353"/>
      <c r="EJT3" s="353"/>
      <c r="EJU3" s="353"/>
      <c r="EJV3" s="353"/>
      <c r="EJW3" s="353"/>
      <c r="EJX3" s="353"/>
      <c r="EJY3" s="353"/>
      <c r="EJZ3" s="353"/>
      <c r="EKA3" s="353"/>
      <c r="EKB3" s="353"/>
      <c r="EKC3" s="353"/>
      <c r="EKD3" s="353"/>
      <c r="EKE3" s="353"/>
      <c r="EKF3" s="353"/>
      <c r="EKG3" s="353"/>
      <c r="EKH3" s="353"/>
      <c r="EKI3" s="353"/>
      <c r="EKJ3" s="353"/>
      <c r="EKK3" s="353"/>
      <c r="EKL3" s="353"/>
      <c r="EKM3" s="353"/>
      <c r="EKN3" s="353"/>
      <c r="EKO3" s="353"/>
      <c r="EKP3" s="353"/>
      <c r="EKQ3" s="353"/>
      <c r="EKR3" s="353"/>
      <c r="EKS3" s="353"/>
      <c r="EKT3" s="353"/>
      <c r="EKU3" s="353"/>
      <c r="EKV3" s="353"/>
      <c r="EKW3" s="353"/>
      <c r="EKX3" s="353"/>
      <c r="EKY3" s="353"/>
      <c r="EKZ3" s="353"/>
      <c r="ELA3" s="353"/>
      <c r="ELB3" s="353"/>
      <c r="ELC3" s="353"/>
      <c r="ELD3" s="353"/>
      <c r="ELE3" s="353"/>
      <c r="ELF3" s="353"/>
      <c r="ELG3" s="353"/>
      <c r="ELH3" s="353"/>
      <c r="ELI3" s="353"/>
      <c r="ELJ3" s="353"/>
      <c r="ELK3" s="353"/>
      <c r="ELL3" s="353"/>
      <c r="ELM3" s="353"/>
      <c r="ELN3" s="353"/>
      <c r="ELO3" s="353"/>
      <c r="ELP3" s="353"/>
      <c r="ELQ3" s="353"/>
      <c r="ELR3" s="353"/>
      <c r="ELS3" s="353"/>
      <c r="ELT3" s="353"/>
      <c r="ELU3" s="353"/>
      <c r="ELV3" s="353"/>
      <c r="ELW3" s="353"/>
      <c r="ELX3" s="353"/>
      <c r="ELY3" s="353"/>
      <c r="ELZ3" s="353"/>
      <c r="EMA3" s="353"/>
      <c r="EMB3" s="353"/>
      <c r="EMC3" s="353"/>
      <c r="EMD3" s="353"/>
      <c r="EME3" s="353"/>
      <c r="EMF3" s="353"/>
      <c r="EMG3" s="353"/>
      <c r="EMH3" s="353"/>
      <c r="EMI3" s="353"/>
      <c r="EMJ3" s="353"/>
      <c r="EMK3" s="353"/>
      <c r="EML3" s="353"/>
      <c r="EMM3" s="353"/>
      <c r="EMN3" s="353"/>
      <c r="EMO3" s="353"/>
      <c r="EMP3" s="353"/>
      <c r="EMQ3" s="353"/>
      <c r="EMR3" s="353"/>
      <c r="EMS3" s="353"/>
      <c r="EMT3" s="353"/>
      <c r="EMU3" s="353"/>
      <c r="EMV3" s="353"/>
      <c r="EMW3" s="353"/>
      <c r="EMX3" s="353"/>
      <c r="EMY3" s="353"/>
      <c r="EMZ3" s="353"/>
      <c r="ENA3" s="353"/>
      <c r="ENB3" s="353"/>
      <c r="ENC3" s="353"/>
      <c r="END3" s="353"/>
      <c r="ENE3" s="353"/>
      <c r="ENF3" s="353"/>
      <c r="ENG3" s="353"/>
      <c r="ENH3" s="353"/>
      <c r="ENI3" s="353"/>
      <c r="ENJ3" s="353"/>
      <c r="ENK3" s="353"/>
      <c r="ENL3" s="353"/>
      <c r="ENM3" s="353"/>
      <c r="ENN3" s="353"/>
      <c r="ENO3" s="353"/>
      <c r="ENP3" s="353"/>
      <c r="ENQ3" s="353"/>
      <c r="ENR3" s="353"/>
      <c r="ENS3" s="353"/>
      <c r="ENT3" s="353"/>
      <c r="ENU3" s="353"/>
      <c r="ENV3" s="353"/>
      <c r="ENW3" s="353"/>
      <c r="ENX3" s="353"/>
      <c r="ENY3" s="353"/>
      <c r="ENZ3" s="353"/>
      <c r="EOA3" s="353"/>
      <c r="EOB3" s="353"/>
      <c r="EOC3" s="353"/>
      <c r="EOD3" s="353"/>
      <c r="EOE3" s="353"/>
      <c r="EOF3" s="353"/>
      <c r="EOG3" s="353"/>
      <c r="EOH3" s="353"/>
      <c r="EOI3" s="353"/>
      <c r="EOJ3" s="353"/>
      <c r="EOK3" s="353"/>
      <c r="EOL3" s="353"/>
      <c r="EOM3" s="353"/>
      <c r="EON3" s="353"/>
      <c r="EOO3" s="353"/>
      <c r="EOP3" s="353"/>
      <c r="EOQ3" s="353"/>
      <c r="EOR3" s="353"/>
      <c r="EOS3" s="353"/>
      <c r="EOT3" s="353"/>
      <c r="EOU3" s="353"/>
      <c r="EOV3" s="353"/>
      <c r="EOW3" s="353"/>
      <c r="EOX3" s="353"/>
      <c r="EOY3" s="353"/>
      <c r="EOZ3" s="353"/>
      <c r="EPA3" s="353"/>
      <c r="EPB3" s="353"/>
      <c r="EPC3" s="353"/>
      <c r="EPD3" s="353"/>
      <c r="EPE3" s="353"/>
      <c r="EPF3" s="353"/>
      <c r="EPG3" s="353"/>
      <c r="EPH3" s="353"/>
      <c r="EPI3" s="353"/>
      <c r="EPJ3" s="353"/>
      <c r="EPK3" s="353"/>
      <c r="EPL3" s="353"/>
      <c r="EPM3" s="353"/>
      <c r="EPN3" s="353"/>
      <c r="EPO3" s="353"/>
      <c r="EPP3" s="353"/>
      <c r="EPQ3" s="353"/>
      <c r="EPR3" s="353"/>
      <c r="EPS3" s="353"/>
      <c r="EPT3" s="353"/>
      <c r="EPU3" s="353"/>
      <c r="EPV3" s="353"/>
      <c r="EPW3" s="353"/>
      <c r="EPX3" s="353"/>
      <c r="EPY3" s="353"/>
      <c r="EPZ3" s="353"/>
      <c r="EQA3" s="353"/>
      <c r="EQB3" s="353"/>
      <c r="EQC3" s="353"/>
      <c r="EQD3" s="353"/>
      <c r="EQE3" s="353"/>
      <c r="EQF3" s="353"/>
      <c r="EQG3" s="353"/>
      <c r="EQH3" s="353"/>
      <c r="EQI3" s="353"/>
      <c r="EQJ3" s="353"/>
      <c r="EQK3" s="353"/>
      <c r="EQL3" s="353"/>
      <c r="EQM3" s="353"/>
      <c r="EQN3" s="353"/>
      <c r="EQO3" s="353"/>
      <c r="EQP3" s="353"/>
      <c r="EQQ3" s="353"/>
      <c r="EQR3" s="353"/>
      <c r="EQS3" s="353"/>
      <c r="EQT3" s="353"/>
      <c r="EQU3" s="353"/>
      <c r="EQV3" s="353"/>
      <c r="EQW3" s="353"/>
      <c r="EQX3" s="353"/>
      <c r="EQY3" s="353"/>
      <c r="EQZ3" s="353"/>
      <c r="ERA3" s="353"/>
      <c r="ERB3" s="353"/>
      <c r="ERC3" s="353"/>
      <c r="ERD3" s="353"/>
      <c r="ERE3" s="353"/>
      <c r="ERF3" s="353"/>
      <c r="ERG3" s="353"/>
      <c r="ERH3" s="353"/>
      <c r="ERI3" s="353"/>
      <c r="ERJ3" s="353"/>
      <c r="ERK3" s="353"/>
      <c r="ERL3" s="353"/>
      <c r="ERM3" s="353"/>
      <c r="ERN3" s="353"/>
      <c r="ERO3" s="353"/>
      <c r="ERP3" s="353"/>
      <c r="ERQ3" s="353"/>
      <c r="ERR3" s="353"/>
      <c r="ERS3" s="353"/>
      <c r="ERT3" s="353"/>
      <c r="ERU3" s="353"/>
      <c r="ERV3" s="353"/>
      <c r="ERW3" s="353"/>
      <c r="ERX3" s="353"/>
      <c r="ERY3" s="353"/>
      <c r="ERZ3" s="353"/>
      <c r="ESA3" s="353"/>
      <c r="ESB3" s="353"/>
      <c r="ESC3" s="353"/>
      <c r="ESD3" s="353"/>
      <c r="ESE3" s="353"/>
      <c r="ESF3" s="353"/>
      <c r="ESG3" s="353"/>
      <c r="ESH3" s="353"/>
      <c r="ESI3" s="353"/>
      <c r="ESJ3" s="353"/>
      <c r="ESK3" s="353"/>
      <c r="ESL3" s="353"/>
      <c r="ESM3" s="353"/>
      <c r="ESN3" s="353"/>
      <c r="ESO3" s="353"/>
      <c r="ESP3" s="353"/>
      <c r="ESQ3" s="353"/>
      <c r="ESR3" s="353"/>
      <c r="ESS3" s="353"/>
      <c r="EST3" s="353"/>
      <c r="ESU3" s="353"/>
      <c r="ESV3" s="353"/>
      <c r="ESW3" s="353"/>
      <c r="ESX3" s="353"/>
      <c r="ESY3" s="353"/>
      <c r="ESZ3" s="353"/>
      <c r="ETA3" s="353"/>
      <c r="ETB3" s="353"/>
      <c r="ETC3" s="353"/>
      <c r="ETD3" s="353"/>
      <c r="ETE3" s="353"/>
      <c r="ETF3" s="353"/>
      <c r="ETG3" s="353"/>
      <c r="ETH3" s="353"/>
      <c r="ETI3" s="353"/>
      <c r="ETJ3" s="353"/>
      <c r="ETK3" s="353"/>
      <c r="ETL3" s="353"/>
      <c r="ETM3" s="353"/>
      <c r="ETN3" s="353"/>
      <c r="ETO3" s="353"/>
      <c r="ETP3" s="353"/>
      <c r="ETQ3" s="353"/>
      <c r="ETR3" s="353"/>
      <c r="ETS3" s="353"/>
      <c r="ETT3" s="353"/>
      <c r="ETU3" s="353"/>
      <c r="ETV3" s="353"/>
      <c r="ETW3" s="353"/>
      <c r="ETX3" s="353"/>
      <c r="ETY3" s="353"/>
      <c r="ETZ3" s="353"/>
      <c r="EUA3" s="353"/>
      <c r="EUB3" s="353"/>
      <c r="EUC3" s="353"/>
      <c r="EUD3" s="353"/>
      <c r="EUE3" s="353"/>
      <c r="EUF3" s="353"/>
      <c r="EUG3" s="353"/>
      <c r="EUH3" s="353"/>
      <c r="EUI3" s="353"/>
      <c r="EUJ3" s="353"/>
      <c r="EUK3" s="353"/>
      <c r="EUL3" s="353"/>
      <c r="EUM3" s="353"/>
      <c r="EUN3" s="353"/>
      <c r="EUO3" s="353"/>
      <c r="EUP3" s="353"/>
      <c r="EUQ3" s="353"/>
      <c r="EUR3" s="353"/>
      <c r="EUS3" s="353"/>
      <c r="EUT3" s="353"/>
      <c r="EUU3" s="353"/>
      <c r="EUV3" s="353"/>
      <c r="EUW3" s="353"/>
      <c r="EUX3" s="353"/>
      <c r="EUY3" s="353"/>
      <c r="EUZ3" s="353"/>
      <c r="EVA3" s="353"/>
      <c r="EVB3" s="353"/>
      <c r="EVC3" s="353"/>
      <c r="EVD3" s="353"/>
      <c r="EVE3" s="353"/>
      <c r="EVF3" s="353"/>
      <c r="EVG3" s="353"/>
      <c r="EVH3" s="353"/>
      <c r="EVI3" s="353"/>
      <c r="EVJ3" s="353"/>
      <c r="EVK3" s="353"/>
      <c r="EVL3" s="353"/>
      <c r="EVM3" s="353"/>
      <c r="EVN3" s="353"/>
      <c r="EVO3" s="353"/>
      <c r="EVP3" s="353"/>
      <c r="EVQ3" s="353"/>
      <c r="EVR3" s="353"/>
      <c r="EVS3" s="353"/>
      <c r="EVT3" s="353"/>
      <c r="EVU3" s="353"/>
      <c r="EVV3" s="353"/>
      <c r="EVW3" s="353"/>
      <c r="EVX3" s="353"/>
      <c r="EVY3" s="353"/>
      <c r="EVZ3" s="353"/>
      <c r="EWA3" s="353"/>
      <c r="EWB3" s="353"/>
      <c r="EWC3" s="353"/>
      <c r="EWD3" s="353"/>
      <c r="EWE3" s="353"/>
      <c r="EWF3" s="353"/>
      <c r="EWG3" s="353"/>
      <c r="EWH3" s="353"/>
      <c r="EWI3" s="353"/>
      <c r="EWJ3" s="353"/>
      <c r="EWK3" s="353"/>
      <c r="EWL3" s="353"/>
      <c r="EWM3" s="353"/>
      <c r="EWN3" s="353"/>
      <c r="EWO3" s="353"/>
      <c r="EWP3" s="353"/>
      <c r="EWQ3" s="353"/>
      <c r="EWR3" s="353"/>
      <c r="EWS3" s="353"/>
      <c r="EWT3" s="353"/>
      <c r="EWU3" s="353"/>
      <c r="EWV3" s="353"/>
      <c r="EWW3" s="353"/>
      <c r="EWX3" s="353"/>
      <c r="EWY3" s="353"/>
      <c r="EWZ3" s="353"/>
      <c r="EXA3" s="353"/>
      <c r="EXB3" s="353"/>
      <c r="EXC3" s="353"/>
      <c r="EXD3" s="353"/>
      <c r="EXE3" s="353"/>
      <c r="EXF3" s="353"/>
      <c r="EXG3" s="353"/>
      <c r="EXH3" s="353"/>
      <c r="EXI3" s="353"/>
      <c r="EXJ3" s="353"/>
      <c r="EXK3" s="353"/>
      <c r="EXL3" s="353"/>
      <c r="EXM3" s="353"/>
      <c r="EXN3" s="353"/>
      <c r="EXO3" s="353"/>
      <c r="EXP3" s="353"/>
      <c r="EXQ3" s="353"/>
      <c r="EXR3" s="353"/>
      <c r="EXS3" s="353"/>
      <c r="EXT3" s="353"/>
      <c r="EXU3" s="353"/>
      <c r="EXV3" s="353"/>
      <c r="EXW3" s="353"/>
      <c r="EXX3" s="353"/>
      <c r="EXY3" s="353"/>
      <c r="EXZ3" s="353"/>
      <c r="EYA3" s="353"/>
      <c r="EYB3" s="353"/>
      <c r="EYC3" s="353"/>
      <c r="EYD3" s="353"/>
      <c r="EYE3" s="353"/>
      <c r="EYF3" s="353"/>
      <c r="EYG3" s="353"/>
      <c r="EYH3" s="353"/>
      <c r="EYI3" s="353"/>
      <c r="EYJ3" s="353"/>
      <c r="EYK3" s="353"/>
      <c r="EYL3" s="353"/>
      <c r="EYM3" s="353"/>
      <c r="EYN3" s="353"/>
      <c r="EYO3" s="353"/>
      <c r="EYP3" s="353"/>
      <c r="EYQ3" s="353"/>
      <c r="EYR3" s="353"/>
      <c r="EYS3" s="353"/>
      <c r="EYT3" s="353"/>
      <c r="EYU3" s="353"/>
      <c r="EYV3" s="353"/>
      <c r="EYW3" s="353"/>
      <c r="EYX3" s="353"/>
      <c r="EYY3" s="353"/>
      <c r="EYZ3" s="353"/>
      <c r="EZA3" s="353"/>
      <c r="EZB3" s="353"/>
      <c r="EZC3" s="353"/>
      <c r="EZD3" s="353"/>
      <c r="EZE3" s="353"/>
      <c r="EZF3" s="353"/>
      <c r="EZG3" s="353"/>
      <c r="EZH3" s="353"/>
      <c r="EZI3" s="353"/>
      <c r="EZJ3" s="353"/>
      <c r="EZK3" s="353"/>
      <c r="EZL3" s="353"/>
      <c r="EZM3" s="353"/>
      <c r="EZN3" s="353"/>
      <c r="EZO3" s="353"/>
      <c r="EZP3" s="353"/>
      <c r="EZQ3" s="353"/>
      <c r="EZR3" s="353"/>
      <c r="EZS3" s="353"/>
      <c r="EZT3" s="353"/>
      <c r="EZU3" s="353"/>
      <c r="EZV3" s="353"/>
      <c r="EZW3" s="353"/>
      <c r="EZX3" s="353"/>
      <c r="EZY3" s="353"/>
      <c r="EZZ3" s="353"/>
      <c r="FAA3" s="353"/>
      <c r="FAB3" s="353"/>
      <c r="FAC3" s="353"/>
      <c r="FAD3" s="353"/>
      <c r="FAE3" s="353"/>
      <c r="FAF3" s="353"/>
      <c r="FAG3" s="353"/>
      <c r="FAH3" s="353"/>
      <c r="FAI3" s="353"/>
      <c r="FAJ3" s="353"/>
      <c r="FAK3" s="353"/>
      <c r="FAL3" s="353"/>
      <c r="FAM3" s="353"/>
      <c r="FAN3" s="353"/>
      <c r="FAO3" s="353"/>
      <c r="FAP3" s="353"/>
      <c r="FAQ3" s="353"/>
      <c r="FAR3" s="353"/>
      <c r="FAS3" s="353"/>
      <c r="FAT3" s="353"/>
      <c r="FAU3" s="353"/>
      <c r="FAV3" s="353"/>
      <c r="FAW3" s="353"/>
      <c r="FAX3" s="353"/>
      <c r="FAY3" s="353"/>
      <c r="FAZ3" s="353"/>
      <c r="FBA3" s="353"/>
      <c r="FBB3" s="353"/>
      <c r="FBC3" s="353"/>
      <c r="FBD3" s="353"/>
      <c r="FBE3" s="353"/>
      <c r="FBF3" s="353"/>
      <c r="FBG3" s="353"/>
      <c r="FBH3" s="353"/>
      <c r="FBI3" s="353"/>
      <c r="FBJ3" s="353"/>
      <c r="FBK3" s="353"/>
      <c r="FBL3" s="353"/>
      <c r="FBM3" s="353"/>
      <c r="FBN3" s="353"/>
      <c r="FBO3" s="353"/>
      <c r="FBP3" s="353"/>
      <c r="FBQ3" s="353"/>
      <c r="FBR3" s="353"/>
      <c r="FBS3" s="353"/>
      <c r="FBT3" s="353"/>
      <c r="FBU3" s="353"/>
      <c r="FBV3" s="353"/>
      <c r="FBW3" s="353"/>
      <c r="FBX3" s="353"/>
      <c r="FBY3" s="353"/>
      <c r="FBZ3" s="353"/>
      <c r="FCA3" s="353"/>
      <c r="FCB3" s="353"/>
      <c r="FCC3" s="353"/>
      <c r="FCD3" s="353"/>
      <c r="FCE3" s="353"/>
      <c r="FCF3" s="353"/>
      <c r="FCG3" s="353"/>
      <c r="FCH3" s="353"/>
      <c r="FCI3" s="353"/>
      <c r="FCJ3" s="353"/>
      <c r="FCK3" s="353"/>
      <c r="FCL3" s="353"/>
      <c r="FCM3" s="353"/>
      <c r="FCN3" s="353"/>
      <c r="FCO3" s="353"/>
      <c r="FCP3" s="353"/>
      <c r="FCQ3" s="353"/>
      <c r="FCR3" s="353"/>
      <c r="FCS3" s="353"/>
      <c r="FCT3" s="353"/>
      <c r="FCU3" s="353"/>
      <c r="FCV3" s="353"/>
      <c r="FCW3" s="353"/>
      <c r="FCX3" s="353"/>
      <c r="FCY3" s="353"/>
      <c r="FCZ3" s="353"/>
      <c r="FDA3" s="353"/>
      <c r="FDB3" s="353"/>
      <c r="FDC3" s="353"/>
      <c r="FDD3" s="353"/>
      <c r="FDE3" s="353"/>
      <c r="FDF3" s="353"/>
      <c r="FDG3" s="353"/>
      <c r="FDH3" s="353"/>
      <c r="FDI3" s="353"/>
      <c r="FDJ3" s="353"/>
      <c r="FDK3" s="353"/>
      <c r="FDL3" s="353"/>
      <c r="FDM3" s="353"/>
      <c r="FDN3" s="353"/>
      <c r="FDO3" s="353"/>
      <c r="FDP3" s="353"/>
      <c r="FDQ3" s="353"/>
      <c r="FDR3" s="353"/>
      <c r="FDS3" s="353"/>
      <c r="FDT3" s="353"/>
      <c r="FDU3" s="353"/>
      <c r="FDV3" s="353"/>
      <c r="FDW3" s="353"/>
      <c r="FDX3" s="353"/>
      <c r="FDY3" s="353"/>
      <c r="FDZ3" s="353"/>
      <c r="FEA3" s="353"/>
      <c r="FEB3" s="353"/>
      <c r="FEC3" s="353"/>
      <c r="FED3" s="353"/>
      <c r="FEE3" s="353"/>
      <c r="FEF3" s="353"/>
      <c r="FEG3" s="353"/>
      <c r="FEH3" s="353"/>
      <c r="FEI3" s="353"/>
      <c r="FEJ3" s="353"/>
      <c r="FEK3" s="353"/>
      <c r="FEL3" s="353"/>
      <c r="FEM3" s="353"/>
      <c r="FEN3" s="353"/>
      <c r="FEO3" s="353"/>
      <c r="FEP3" s="353"/>
      <c r="FEQ3" s="353"/>
      <c r="FER3" s="353"/>
      <c r="FES3" s="353"/>
      <c r="FET3" s="353"/>
      <c r="FEU3" s="353"/>
      <c r="FEV3" s="353"/>
      <c r="FEW3" s="353"/>
      <c r="FEX3" s="353"/>
      <c r="FEY3" s="353"/>
      <c r="FEZ3" s="353"/>
      <c r="FFA3" s="353"/>
      <c r="FFB3" s="353"/>
      <c r="FFC3" s="353"/>
      <c r="FFD3" s="353"/>
      <c r="FFE3" s="353"/>
      <c r="FFF3" s="353"/>
      <c r="FFG3" s="353"/>
      <c r="FFH3" s="353"/>
      <c r="FFI3" s="353"/>
      <c r="FFJ3" s="353"/>
      <c r="FFK3" s="353"/>
      <c r="FFL3" s="353"/>
      <c r="FFM3" s="353"/>
      <c r="FFN3" s="353"/>
      <c r="FFO3" s="353"/>
      <c r="FFP3" s="353"/>
      <c r="FFQ3" s="353"/>
      <c r="FFR3" s="353"/>
      <c r="FFS3" s="353"/>
      <c r="FFT3" s="353"/>
      <c r="FFU3" s="353"/>
      <c r="FFV3" s="353"/>
      <c r="FFW3" s="353"/>
      <c r="FFX3" s="353"/>
      <c r="FFY3" s="353"/>
      <c r="FFZ3" s="353"/>
      <c r="FGA3" s="353"/>
      <c r="FGB3" s="353"/>
      <c r="FGC3" s="353"/>
      <c r="FGD3" s="353"/>
      <c r="FGE3" s="353"/>
      <c r="FGF3" s="353"/>
      <c r="FGG3" s="353"/>
      <c r="FGH3" s="353"/>
      <c r="FGI3" s="353"/>
      <c r="FGJ3" s="353"/>
      <c r="FGK3" s="353"/>
      <c r="FGL3" s="353"/>
      <c r="FGM3" s="353"/>
      <c r="FGN3" s="353"/>
      <c r="FGO3" s="353"/>
      <c r="FGP3" s="353"/>
      <c r="FGQ3" s="353"/>
      <c r="FGR3" s="353"/>
      <c r="FGS3" s="353"/>
      <c r="FGT3" s="353"/>
      <c r="FGU3" s="353"/>
      <c r="FGV3" s="353"/>
      <c r="FGW3" s="353"/>
      <c r="FGX3" s="353"/>
      <c r="FGY3" s="353"/>
      <c r="FGZ3" s="353"/>
      <c r="FHA3" s="353"/>
      <c r="FHB3" s="353"/>
      <c r="FHC3" s="353"/>
      <c r="FHD3" s="353"/>
      <c r="FHE3" s="353"/>
      <c r="FHF3" s="353"/>
      <c r="FHG3" s="353"/>
      <c r="FHH3" s="353"/>
      <c r="FHI3" s="353"/>
      <c r="FHJ3" s="353"/>
      <c r="FHK3" s="353"/>
      <c r="FHL3" s="353"/>
      <c r="FHM3" s="353"/>
      <c r="FHN3" s="353"/>
      <c r="FHO3" s="353"/>
      <c r="FHP3" s="353"/>
      <c r="FHQ3" s="353"/>
      <c r="FHR3" s="353"/>
      <c r="FHS3" s="353"/>
      <c r="FHT3" s="353"/>
      <c r="FHU3" s="353"/>
      <c r="FHV3" s="353"/>
      <c r="FHW3" s="353"/>
      <c r="FHX3" s="353"/>
      <c r="FHY3" s="353"/>
      <c r="FHZ3" s="353"/>
      <c r="FIA3" s="353"/>
      <c r="FIB3" s="353"/>
      <c r="FIC3" s="353"/>
      <c r="FID3" s="353"/>
      <c r="FIE3" s="353"/>
      <c r="FIF3" s="353"/>
      <c r="FIG3" s="353"/>
      <c r="FIH3" s="353"/>
      <c r="FII3" s="353"/>
      <c r="FIJ3" s="353"/>
      <c r="FIK3" s="353"/>
      <c r="FIL3" s="353"/>
      <c r="FIM3" s="353"/>
      <c r="FIN3" s="353"/>
      <c r="FIO3" s="353"/>
      <c r="FIP3" s="353"/>
      <c r="FIQ3" s="353"/>
      <c r="FIR3" s="353"/>
      <c r="FIS3" s="353"/>
      <c r="FIT3" s="353"/>
      <c r="FIU3" s="353"/>
      <c r="FIV3" s="353"/>
      <c r="FIW3" s="353"/>
      <c r="FIX3" s="353"/>
      <c r="FIY3" s="353"/>
      <c r="FIZ3" s="353"/>
      <c r="FJA3" s="353"/>
      <c r="FJB3" s="353"/>
      <c r="FJC3" s="353"/>
      <c r="FJD3" s="353"/>
      <c r="FJE3" s="353"/>
      <c r="FJF3" s="353"/>
      <c r="FJG3" s="353"/>
      <c r="FJH3" s="353"/>
      <c r="FJI3" s="353"/>
      <c r="FJJ3" s="353"/>
      <c r="FJK3" s="353"/>
      <c r="FJL3" s="353"/>
      <c r="FJM3" s="353"/>
      <c r="FJN3" s="353"/>
      <c r="FJO3" s="353"/>
      <c r="FJP3" s="353"/>
      <c r="FJQ3" s="353"/>
      <c r="FJR3" s="353"/>
      <c r="FJS3" s="353"/>
      <c r="FJT3" s="353"/>
      <c r="FJU3" s="353"/>
      <c r="FJV3" s="353"/>
      <c r="FJW3" s="353"/>
      <c r="FJX3" s="353"/>
      <c r="FJY3" s="353"/>
      <c r="FJZ3" s="353"/>
      <c r="FKA3" s="353"/>
      <c r="FKB3" s="353"/>
      <c r="FKC3" s="353"/>
      <c r="FKD3" s="353"/>
      <c r="FKE3" s="353"/>
      <c r="FKF3" s="353"/>
      <c r="FKG3" s="353"/>
      <c r="FKH3" s="353"/>
      <c r="FKI3" s="353"/>
      <c r="FKJ3" s="353"/>
      <c r="FKK3" s="353"/>
      <c r="FKL3" s="353"/>
      <c r="FKM3" s="353"/>
      <c r="FKN3" s="353"/>
      <c r="FKO3" s="353"/>
      <c r="FKP3" s="353"/>
      <c r="FKQ3" s="353"/>
      <c r="FKR3" s="353"/>
      <c r="FKS3" s="353"/>
      <c r="FKT3" s="353"/>
      <c r="FKU3" s="353"/>
      <c r="FKV3" s="353"/>
      <c r="FKW3" s="353"/>
      <c r="FKX3" s="353"/>
      <c r="FKY3" s="353"/>
      <c r="FKZ3" s="353"/>
      <c r="FLA3" s="353"/>
      <c r="FLB3" s="353"/>
      <c r="FLC3" s="353"/>
      <c r="FLD3" s="353"/>
      <c r="FLE3" s="353"/>
      <c r="FLF3" s="353"/>
      <c r="FLG3" s="353"/>
      <c r="FLH3" s="353"/>
      <c r="FLI3" s="353"/>
      <c r="FLJ3" s="353"/>
      <c r="FLK3" s="353"/>
      <c r="FLL3" s="353"/>
      <c r="FLM3" s="353"/>
      <c r="FLN3" s="353"/>
      <c r="FLO3" s="353"/>
      <c r="FLP3" s="353"/>
      <c r="FLQ3" s="353"/>
      <c r="FLR3" s="353"/>
      <c r="FLS3" s="353"/>
      <c r="FLT3" s="353"/>
      <c r="FLU3" s="353"/>
      <c r="FLV3" s="353"/>
      <c r="FLW3" s="353"/>
      <c r="FLX3" s="353"/>
      <c r="FLY3" s="353"/>
      <c r="FLZ3" s="353"/>
      <c r="FMA3" s="353"/>
      <c r="FMB3" s="353"/>
      <c r="FMC3" s="353"/>
      <c r="FMD3" s="353"/>
      <c r="FME3" s="353"/>
      <c r="FMF3" s="353"/>
      <c r="FMG3" s="353"/>
      <c r="FMH3" s="353"/>
      <c r="FMI3" s="353"/>
      <c r="FMJ3" s="353"/>
      <c r="FMK3" s="353"/>
      <c r="FML3" s="353"/>
      <c r="FMM3" s="353"/>
      <c r="FMN3" s="353"/>
      <c r="FMO3" s="353"/>
      <c r="FMP3" s="353"/>
      <c r="FMQ3" s="353"/>
      <c r="FMR3" s="353"/>
      <c r="FMS3" s="353"/>
      <c r="FMT3" s="353"/>
      <c r="FMU3" s="353"/>
      <c r="FMV3" s="353"/>
      <c r="FMW3" s="353"/>
      <c r="FMX3" s="353"/>
      <c r="FMY3" s="353"/>
      <c r="FMZ3" s="353"/>
      <c r="FNA3" s="353"/>
      <c r="FNB3" s="353"/>
      <c r="FNC3" s="353"/>
      <c r="FND3" s="353"/>
      <c r="FNE3" s="353"/>
      <c r="FNF3" s="353"/>
      <c r="FNG3" s="353"/>
      <c r="FNH3" s="353"/>
      <c r="FNI3" s="353"/>
      <c r="FNJ3" s="353"/>
      <c r="FNK3" s="353"/>
      <c r="FNL3" s="353"/>
      <c r="FNM3" s="353"/>
      <c r="FNN3" s="353"/>
      <c r="FNO3" s="353"/>
      <c r="FNP3" s="353"/>
      <c r="FNQ3" s="353"/>
      <c r="FNR3" s="353"/>
      <c r="FNS3" s="353"/>
      <c r="FNT3" s="353"/>
      <c r="FNU3" s="353"/>
      <c r="FNV3" s="353"/>
      <c r="FNW3" s="353"/>
      <c r="FNX3" s="353"/>
      <c r="FNY3" s="353"/>
      <c r="FNZ3" s="353"/>
      <c r="FOA3" s="353"/>
      <c r="FOB3" s="353"/>
      <c r="FOC3" s="353"/>
      <c r="FOD3" s="353"/>
      <c r="FOE3" s="353"/>
      <c r="FOF3" s="353"/>
      <c r="FOG3" s="353"/>
      <c r="FOH3" s="353"/>
      <c r="FOI3" s="353"/>
      <c r="FOJ3" s="353"/>
      <c r="FOK3" s="353"/>
      <c r="FOL3" s="353"/>
      <c r="FOM3" s="353"/>
      <c r="FON3" s="353"/>
      <c r="FOO3" s="353"/>
      <c r="FOP3" s="353"/>
      <c r="FOQ3" s="353"/>
      <c r="FOR3" s="353"/>
      <c r="FOS3" s="353"/>
      <c r="FOT3" s="353"/>
      <c r="FOU3" s="353"/>
      <c r="FOV3" s="353"/>
      <c r="FOW3" s="353"/>
      <c r="FOX3" s="353"/>
      <c r="FOY3" s="353"/>
      <c r="FOZ3" s="353"/>
      <c r="FPA3" s="353"/>
      <c r="FPB3" s="353"/>
      <c r="FPC3" s="353"/>
      <c r="FPD3" s="353"/>
      <c r="FPE3" s="353"/>
      <c r="FPF3" s="353"/>
      <c r="FPG3" s="353"/>
      <c r="FPH3" s="353"/>
      <c r="FPI3" s="353"/>
      <c r="FPJ3" s="353"/>
      <c r="FPK3" s="353"/>
      <c r="FPL3" s="353"/>
      <c r="FPM3" s="353"/>
      <c r="FPN3" s="353"/>
      <c r="FPO3" s="353"/>
      <c r="FPP3" s="353"/>
      <c r="FPQ3" s="353"/>
      <c r="FPR3" s="353"/>
      <c r="FPS3" s="353"/>
      <c r="FPT3" s="353"/>
      <c r="FPU3" s="353"/>
      <c r="FPV3" s="353"/>
      <c r="FPW3" s="353"/>
      <c r="FPX3" s="353"/>
      <c r="FPY3" s="353"/>
      <c r="FPZ3" s="353"/>
      <c r="FQA3" s="353"/>
      <c r="FQB3" s="353"/>
      <c r="FQC3" s="353"/>
      <c r="FQD3" s="353"/>
      <c r="FQE3" s="353"/>
      <c r="FQF3" s="353"/>
      <c r="FQG3" s="353"/>
      <c r="FQH3" s="353"/>
      <c r="FQI3" s="353"/>
      <c r="FQJ3" s="353"/>
      <c r="FQK3" s="353"/>
      <c r="FQL3" s="353"/>
      <c r="FQM3" s="353"/>
      <c r="FQN3" s="353"/>
      <c r="FQO3" s="353"/>
      <c r="FQP3" s="353"/>
      <c r="FQQ3" s="353"/>
      <c r="FQR3" s="353"/>
      <c r="FQS3" s="353"/>
      <c r="FQT3" s="353"/>
      <c r="FQU3" s="353"/>
      <c r="FQV3" s="353"/>
      <c r="FQW3" s="353"/>
      <c r="FQX3" s="353"/>
      <c r="FQY3" s="353"/>
      <c r="FQZ3" s="353"/>
      <c r="FRA3" s="353"/>
      <c r="FRB3" s="353"/>
      <c r="FRC3" s="353"/>
      <c r="FRD3" s="353"/>
      <c r="FRE3" s="353"/>
      <c r="FRF3" s="353"/>
      <c r="FRG3" s="353"/>
      <c r="FRH3" s="353"/>
      <c r="FRI3" s="353"/>
      <c r="FRJ3" s="353"/>
      <c r="FRK3" s="353"/>
      <c r="FRL3" s="353"/>
      <c r="FRM3" s="353"/>
      <c r="FRN3" s="353"/>
      <c r="FRO3" s="353"/>
      <c r="FRP3" s="353"/>
      <c r="FRQ3" s="353"/>
      <c r="FRR3" s="353"/>
      <c r="FRS3" s="353"/>
      <c r="FRT3" s="353"/>
      <c r="FRU3" s="353"/>
      <c r="FRV3" s="353"/>
      <c r="FRW3" s="353"/>
      <c r="FRX3" s="353"/>
      <c r="FRY3" s="353"/>
      <c r="FRZ3" s="353"/>
      <c r="FSA3" s="353"/>
      <c r="FSB3" s="353"/>
      <c r="FSC3" s="353"/>
      <c r="FSD3" s="353"/>
      <c r="FSE3" s="353"/>
      <c r="FSF3" s="353"/>
      <c r="FSG3" s="353"/>
      <c r="FSH3" s="353"/>
      <c r="FSI3" s="353"/>
      <c r="FSJ3" s="353"/>
      <c r="FSK3" s="353"/>
      <c r="FSL3" s="353"/>
      <c r="FSM3" s="353"/>
      <c r="FSN3" s="353"/>
      <c r="FSO3" s="353"/>
      <c r="FSP3" s="353"/>
      <c r="FSQ3" s="353"/>
      <c r="FSR3" s="353"/>
      <c r="FSS3" s="353"/>
      <c r="FST3" s="353"/>
      <c r="FSU3" s="353"/>
      <c r="FSV3" s="353"/>
      <c r="FSW3" s="353"/>
      <c r="FSX3" s="353"/>
      <c r="FSY3" s="353"/>
      <c r="FSZ3" s="353"/>
      <c r="FTA3" s="353"/>
      <c r="FTB3" s="353"/>
      <c r="FTC3" s="353"/>
      <c r="FTD3" s="353"/>
      <c r="FTE3" s="353"/>
      <c r="FTF3" s="353"/>
      <c r="FTG3" s="353"/>
      <c r="FTH3" s="353"/>
      <c r="FTI3" s="353"/>
      <c r="FTJ3" s="353"/>
      <c r="FTK3" s="353"/>
      <c r="FTL3" s="353"/>
      <c r="FTM3" s="353"/>
      <c r="FTN3" s="353"/>
      <c r="FTO3" s="353"/>
      <c r="FTP3" s="353"/>
      <c r="FTQ3" s="353"/>
      <c r="FTR3" s="353"/>
      <c r="FTS3" s="353"/>
      <c r="FTT3" s="353"/>
      <c r="FTU3" s="353"/>
      <c r="FTV3" s="353"/>
      <c r="FTW3" s="353"/>
      <c r="FTX3" s="353"/>
      <c r="FTY3" s="353"/>
      <c r="FTZ3" s="353"/>
      <c r="FUA3" s="353"/>
      <c r="FUB3" s="353"/>
      <c r="FUC3" s="353"/>
      <c r="FUD3" s="353"/>
      <c r="FUE3" s="353"/>
      <c r="FUF3" s="353"/>
      <c r="FUG3" s="353"/>
      <c r="FUH3" s="353"/>
      <c r="FUI3" s="353"/>
      <c r="FUJ3" s="353"/>
      <c r="FUK3" s="353"/>
      <c r="FUL3" s="353"/>
      <c r="FUM3" s="353"/>
      <c r="FUN3" s="353"/>
      <c r="FUO3" s="353"/>
      <c r="FUP3" s="353"/>
      <c r="FUQ3" s="353"/>
      <c r="FUR3" s="353"/>
      <c r="FUS3" s="353"/>
      <c r="FUT3" s="353"/>
      <c r="FUU3" s="353"/>
      <c r="FUV3" s="353"/>
      <c r="FUW3" s="353"/>
      <c r="FUX3" s="353"/>
      <c r="FUY3" s="353"/>
      <c r="FUZ3" s="353"/>
      <c r="FVA3" s="353"/>
      <c r="FVB3" s="353"/>
      <c r="FVC3" s="353"/>
      <c r="FVD3" s="353"/>
      <c r="FVE3" s="353"/>
      <c r="FVF3" s="353"/>
      <c r="FVG3" s="353"/>
      <c r="FVH3" s="353"/>
      <c r="FVI3" s="353"/>
      <c r="FVJ3" s="353"/>
      <c r="FVK3" s="353"/>
      <c r="FVL3" s="353"/>
      <c r="FVM3" s="353"/>
      <c r="FVN3" s="353"/>
      <c r="FVO3" s="353"/>
      <c r="FVP3" s="353"/>
      <c r="FVQ3" s="353"/>
      <c r="FVR3" s="353"/>
      <c r="FVS3" s="353"/>
      <c r="FVT3" s="353"/>
      <c r="FVU3" s="353"/>
      <c r="FVV3" s="353"/>
      <c r="FVW3" s="353"/>
      <c r="FVX3" s="353"/>
      <c r="FVY3" s="353"/>
      <c r="FVZ3" s="353"/>
      <c r="FWA3" s="353"/>
      <c r="FWB3" s="353"/>
      <c r="FWC3" s="353"/>
      <c r="FWD3" s="353"/>
      <c r="FWE3" s="353"/>
      <c r="FWF3" s="353"/>
      <c r="FWG3" s="353"/>
      <c r="FWH3" s="353"/>
      <c r="FWI3" s="353"/>
      <c r="FWJ3" s="353"/>
      <c r="FWK3" s="353"/>
      <c r="FWL3" s="353"/>
      <c r="FWM3" s="353"/>
      <c r="FWN3" s="353"/>
      <c r="FWO3" s="353"/>
      <c r="FWP3" s="353"/>
      <c r="FWQ3" s="353"/>
      <c r="FWR3" s="353"/>
      <c r="FWS3" s="353"/>
      <c r="FWT3" s="353"/>
      <c r="FWU3" s="353"/>
      <c r="FWV3" s="353"/>
      <c r="FWW3" s="353"/>
      <c r="FWX3" s="353"/>
      <c r="FWY3" s="353"/>
      <c r="FWZ3" s="353"/>
      <c r="FXA3" s="353"/>
      <c r="FXB3" s="353"/>
      <c r="FXC3" s="353"/>
      <c r="FXD3" s="353"/>
      <c r="FXE3" s="353"/>
      <c r="FXF3" s="353"/>
      <c r="FXG3" s="353"/>
      <c r="FXH3" s="353"/>
      <c r="FXI3" s="353"/>
      <c r="FXJ3" s="353"/>
      <c r="FXK3" s="353"/>
      <c r="FXL3" s="353"/>
      <c r="FXM3" s="353"/>
      <c r="FXN3" s="353"/>
      <c r="FXO3" s="353"/>
      <c r="FXP3" s="353"/>
      <c r="FXQ3" s="353"/>
      <c r="FXR3" s="353"/>
      <c r="FXS3" s="353"/>
      <c r="FXT3" s="353"/>
      <c r="FXU3" s="353"/>
      <c r="FXV3" s="353"/>
      <c r="FXW3" s="353"/>
      <c r="FXX3" s="353"/>
      <c r="FXY3" s="353"/>
      <c r="FXZ3" s="353"/>
      <c r="FYA3" s="353"/>
      <c r="FYB3" s="353"/>
      <c r="FYC3" s="353"/>
      <c r="FYD3" s="353"/>
      <c r="FYE3" s="353"/>
      <c r="FYF3" s="353"/>
      <c r="FYG3" s="353"/>
      <c r="FYH3" s="353"/>
      <c r="FYI3" s="353"/>
      <c r="FYJ3" s="353"/>
      <c r="FYK3" s="353"/>
      <c r="FYL3" s="353"/>
      <c r="FYM3" s="353"/>
      <c r="FYN3" s="353"/>
      <c r="FYO3" s="353"/>
      <c r="FYP3" s="353"/>
      <c r="FYQ3" s="353"/>
      <c r="FYR3" s="353"/>
      <c r="FYS3" s="353"/>
      <c r="FYT3" s="353"/>
      <c r="FYU3" s="353"/>
      <c r="FYV3" s="353"/>
      <c r="FYW3" s="353"/>
      <c r="FYX3" s="353"/>
      <c r="FYY3" s="353"/>
      <c r="FYZ3" s="353"/>
      <c r="FZA3" s="353"/>
      <c r="FZB3" s="353"/>
      <c r="FZC3" s="353"/>
      <c r="FZD3" s="353"/>
      <c r="FZE3" s="353"/>
      <c r="FZF3" s="353"/>
      <c r="FZG3" s="353"/>
      <c r="FZH3" s="353"/>
      <c r="FZI3" s="353"/>
      <c r="FZJ3" s="353"/>
      <c r="FZK3" s="353"/>
      <c r="FZL3" s="353"/>
      <c r="FZM3" s="353"/>
      <c r="FZN3" s="353"/>
      <c r="FZO3" s="353"/>
      <c r="FZP3" s="353"/>
      <c r="FZQ3" s="353"/>
      <c r="FZR3" s="353"/>
      <c r="FZS3" s="353"/>
      <c r="FZT3" s="353"/>
      <c r="FZU3" s="353"/>
      <c r="FZV3" s="353"/>
      <c r="FZW3" s="353"/>
      <c r="FZX3" s="353"/>
      <c r="FZY3" s="353"/>
      <c r="FZZ3" s="353"/>
      <c r="GAA3" s="353"/>
      <c r="GAB3" s="353"/>
      <c r="GAC3" s="353"/>
      <c r="GAD3" s="353"/>
      <c r="GAE3" s="353"/>
      <c r="GAF3" s="353"/>
      <c r="GAG3" s="353"/>
      <c r="GAH3" s="353"/>
      <c r="GAI3" s="353"/>
      <c r="GAJ3" s="353"/>
      <c r="GAK3" s="353"/>
      <c r="GAL3" s="353"/>
      <c r="GAM3" s="353"/>
      <c r="GAN3" s="353"/>
      <c r="GAO3" s="353"/>
      <c r="GAP3" s="353"/>
      <c r="GAQ3" s="353"/>
      <c r="GAR3" s="353"/>
      <c r="GAS3" s="353"/>
      <c r="GAT3" s="353"/>
      <c r="GAU3" s="353"/>
      <c r="GAV3" s="353"/>
      <c r="GAW3" s="353"/>
      <c r="GAX3" s="353"/>
      <c r="GAY3" s="353"/>
      <c r="GAZ3" s="353"/>
      <c r="GBA3" s="353"/>
      <c r="GBB3" s="353"/>
      <c r="GBC3" s="353"/>
      <c r="GBD3" s="353"/>
      <c r="GBE3" s="353"/>
      <c r="GBF3" s="353"/>
      <c r="GBG3" s="353"/>
      <c r="GBH3" s="353"/>
      <c r="GBI3" s="353"/>
      <c r="GBJ3" s="353"/>
      <c r="GBK3" s="353"/>
      <c r="GBL3" s="353"/>
      <c r="GBM3" s="353"/>
      <c r="GBN3" s="353"/>
      <c r="GBO3" s="353"/>
      <c r="GBP3" s="353"/>
      <c r="GBQ3" s="353"/>
      <c r="GBR3" s="353"/>
      <c r="GBS3" s="353"/>
      <c r="GBT3" s="353"/>
      <c r="GBU3" s="353"/>
      <c r="GBV3" s="353"/>
      <c r="GBW3" s="353"/>
      <c r="GBX3" s="353"/>
      <c r="GBY3" s="353"/>
      <c r="GBZ3" s="353"/>
      <c r="GCA3" s="353"/>
      <c r="GCB3" s="353"/>
      <c r="GCC3" s="353"/>
      <c r="GCD3" s="353"/>
      <c r="GCE3" s="353"/>
      <c r="GCF3" s="353"/>
      <c r="GCG3" s="353"/>
      <c r="GCH3" s="353"/>
      <c r="GCI3" s="353"/>
      <c r="GCJ3" s="353"/>
      <c r="GCK3" s="353"/>
      <c r="GCL3" s="353"/>
      <c r="GCM3" s="353"/>
      <c r="GCN3" s="353"/>
      <c r="GCO3" s="353"/>
      <c r="GCP3" s="353"/>
      <c r="GCQ3" s="353"/>
      <c r="GCR3" s="353"/>
      <c r="GCS3" s="353"/>
      <c r="GCT3" s="353"/>
      <c r="GCU3" s="353"/>
      <c r="GCV3" s="353"/>
      <c r="GCW3" s="353"/>
      <c r="GCX3" s="353"/>
      <c r="GCY3" s="353"/>
      <c r="GCZ3" s="353"/>
      <c r="GDA3" s="353"/>
      <c r="GDB3" s="353"/>
      <c r="GDC3" s="353"/>
      <c r="GDD3" s="353"/>
      <c r="GDE3" s="353"/>
      <c r="GDF3" s="353"/>
      <c r="GDG3" s="353"/>
      <c r="GDH3" s="353"/>
      <c r="GDI3" s="353"/>
      <c r="GDJ3" s="353"/>
      <c r="GDK3" s="353"/>
      <c r="GDL3" s="353"/>
      <c r="GDM3" s="353"/>
      <c r="GDN3" s="353"/>
      <c r="GDO3" s="353"/>
      <c r="GDP3" s="353"/>
      <c r="GDQ3" s="353"/>
      <c r="GDR3" s="353"/>
      <c r="GDS3" s="353"/>
      <c r="GDT3" s="353"/>
      <c r="GDU3" s="353"/>
      <c r="GDV3" s="353"/>
      <c r="GDW3" s="353"/>
      <c r="GDX3" s="353"/>
      <c r="GDY3" s="353"/>
      <c r="GDZ3" s="353"/>
      <c r="GEA3" s="353"/>
      <c r="GEB3" s="353"/>
      <c r="GEC3" s="353"/>
      <c r="GED3" s="353"/>
      <c r="GEE3" s="353"/>
      <c r="GEF3" s="353"/>
      <c r="GEG3" s="353"/>
      <c r="GEH3" s="353"/>
      <c r="GEI3" s="353"/>
      <c r="GEJ3" s="353"/>
      <c r="GEK3" s="353"/>
      <c r="GEL3" s="353"/>
      <c r="GEM3" s="353"/>
      <c r="GEN3" s="353"/>
      <c r="GEO3" s="353"/>
      <c r="GEP3" s="353"/>
      <c r="GEQ3" s="353"/>
      <c r="GER3" s="353"/>
      <c r="GES3" s="353"/>
      <c r="GET3" s="353"/>
      <c r="GEU3" s="353"/>
      <c r="GEV3" s="353"/>
      <c r="GEW3" s="353"/>
      <c r="GEX3" s="353"/>
      <c r="GEY3" s="353"/>
      <c r="GEZ3" s="353"/>
      <c r="GFA3" s="353"/>
      <c r="GFB3" s="353"/>
      <c r="GFC3" s="353"/>
      <c r="GFD3" s="353"/>
      <c r="GFE3" s="353"/>
      <c r="GFF3" s="353"/>
      <c r="GFG3" s="353"/>
      <c r="GFH3" s="353"/>
      <c r="GFI3" s="353"/>
      <c r="GFJ3" s="353"/>
      <c r="GFK3" s="353"/>
      <c r="GFL3" s="353"/>
      <c r="GFM3" s="353"/>
      <c r="GFN3" s="353"/>
      <c r="GFO3" s="353"/>
      <c r="GFP3" s="353"/>
      <c r="GFQ3" s="353"/>
      <c r="GFR3" s="353"/>
      <c r="GFS3" s="353"/>
      <c r="GFT3" s="353"/>
      <c r="GFU3" s="353"/>
      <c r="GFV3" s="353"/>
      <c r="GFW3" s="353"/>
      <c r="GFX3" s="353"/>
      <c r="GFY3" s="353"/>
      <c r="GFZ3" s="353"/>
      <c r="GGA3" s="353"/>
      <c r="GGB3" s="353"/>
      <c r="GGC3" s="353"/>
      <c r="GGD3" s="353"/>
      <c r="GGE3" s="353"/>
      <c r="GGF3" s="353"/>
      <c r="GGG3" s="353"/>
      <c r="GGH3" s="353"/>
      <c r="GGI3" s="353"/>
      <c r="GGJ3" s="353"/>
      <c r="GGK3" s="353"/>
      <c r="GGL3" s="353"/>
      <c r="GGM3" s="353"/>
      <c r="GGN3" s="353"/>
      <c r="GGO3" s="353"/>
      <c r="GGP3" s="353"/>
      <c r="GGQ3" s="353"/>
      <c r="GGR3" s="353"/>
      <c r="GGS3" s="353"/>
      <c r="GGT3" s="353"/>
      <c r="GGU3" s="353"/>
      <c r="GGV3" s="353"/>
      <c r="GGW3" s="353"/>
      <c r="GGX3" s="353"/>
      <c r="GGY3" s="353"/>
      <c r="GGZ3" s="353"/>
      <c r="GHA3" s="353"/>
      <c r="GHB3" s="353"/>
      <c r="GHC3" s="353"/>
      <c r="GHD3" s="353"/>
      <c r="GHE3" s="353"/>
      <c r="GHF3" s="353"/>
      <c r="GHG3" s="353"/>
      <c r="GHH3" s="353"/>
      <c r="GHI3" s="353"/>
      <c r="GHJ3" s="353"/>
      <c r="GHK3" s="353"/>
      <c r="GHL3" s="353"/>
      <c r="GHM3" s="353"/>
      <c r="GHN3" s="353"/>
      <c r="GHO3" s="353"/>
      <c r="GHP3" s="353"/>
      <c r="GHQ3" s="353"/>
      <c r="GHR3" s="353"/>
      <c r="GHS3" s="353"/>
      <c r="GHT3" s="353"/>
      <c r="GHU3" s="353"/>
      <c r="GHV3" s="353"/>
      <c r="GHW3" s="353"/>
      <c r="GHX3" s="353"/>
      <c r="GHY3" s="353"/>
      <c r="GHZ3" s="353"/>
      <c r="GIA3" s="353"/>
      <c r="GIB3" s="353"/>
      <c r="GIC3" s="353"/>
      <c r="GID3" s="353"/>
      <c r="GIE3" s="353"/>
      <c r="GIF3" s="353"/>
      <c r="GIG3" s="353"/>
      <c r="GIH3" s="353"/>
      <c r="GII3" s="353"/>
      <c r="GIJ3" s="353"/>
      <c r="GIK3" s="353"/>
      <c r="GIL3" s="353"/>
      <c r="GIM3" s="353"/>
      <c r="GIN3" s="353"/>
      <c r="GIO3" s="353"/>
      <c r="GIP3" s="353"/>
      <c r="GIQ3" s="353"/>
      <c r="GIR3" s="353"/>
      <c r="GIS3" s="353"/>
      <c r="GIT3" s="353"/>
      <c r="GIU3" s="353"/>
      <c r="GIV3" s="353"/>
      <c r="GIW3" s="353"/>
      <c r="GIX3" s="353"/>
      <c r="GIY3" s="353"/>
      <c r="GIZ3" s="353"/>
      <c r="GJA3" s="353"/>
      <c r="GJB3" s="353"/>
      <c r="GJC3" s="353"/>
      <c r="GJD3" s="353"/>
      <c r="GJE3" s="353"/>
      <c r="GJF3" s="353"/>
      <c r="GJG3" s="353"/>
      <c r="GJH3" s="353"/>
      <c r="GJI3" s="353"/>
      <c r="GJJ3" s="353"/>
      <c r="GJK3" s="353"/>
      <c r="GJL3" s="353"/>
      <c r="GJM3" s="353"/>
      <c r="GJN3" s="353"/>
      <c r="GJO3" s="353"/>
      <c r="GJP3" s="353"/>
      <c r="GJQ3" s="353"/>
      <c r="GJR3" s="353"/>
      <c r="GJS3" s="353"/>
      <c r="GJT3" s="353"/>
      <c r="GJU3" s="353"/>
      <c r="GJV3" s="353"/>
      <c r="GJW3" s="353"/>
      <c r="GJX3" s="353"/>
      <c r="GJY3" s="353"/>
      <c r="GJZ3" s="353"/>
      <c r="GKA3" s="353"/>
      <c r="GKB3" s="353"/>
      <c r="GKC3" s="353"/>
      <c r="GKD3" s="353"/>
      <c r="GKE3" s="353"/>
      <c r="GKF3" s="353"/>
      <c r="GKG3" s="353"/>
      <c r="GKH3" s="353"/>
      <c r="GKI3" s="353"/>
      <c r="GKJ3" s="353"/>
      <c r="GKK3" s="353"/>
      <c r="GKL3" s="353"/>
      <c r="GKM3" s="353"/>
      <c r="GKN3" s="353"/>
      <c r="GKO3" s="353"/>
      <c r="GKP3" s="353"/>
      <c r="GKQ3" s="353"/>
      <c r="GKR3" s="353"/>
      <c r="GKS3" s="353"/>
      <c r="GKT3" s="353"/>
      <c r="GKU3" s="353"/>
      <c r="GKV3" s="353"/>
      <c r="GKW3" s="353"/>
      <c r="GKX3" s="353"/>
      <c r="GKY3" s="353"/>
      <c r="GKZ3" s="353"/>
      <c r="GLA3" s="353"/>
      <c r="GLB3" s="353"/>
      <c r="GLC3" s="353"/>
      <c r="GLD3" s="353"/>
      <c r="GLE3" s="353"/>
      <c r="GLF3" s="353"/>
      <c r="GLG3" s="353"/>
      <c r="GLH3" s="353"/>
      <c r="GLI3" s="353"/>
      <c r="GLJ3" s="353"/>
      <c r="GLK3" s="353"/>
      <c r="GLL3" s="353"/>
      <c r="GLM3" s="353"/>
      <c r="GLN3" s="353"/>
      <c r="GLO3" s="353"/>
      <c r="GLP3" s="353"/>
      <c r="GLQ3" s="353"/>
      <c r="GLR3" s="353"/>
      <c r="GLS3" s="353"/>
      <c r="GLT3" s="353"/>
      <c r="GLU3" s="353"/>
      <c r="GLV3" s="353"/>
      <c r="GLW3" s="353"/>
      <c r="GLX3" s="353"/>
      <c r="GLY3" s="353"/>
      <c r="GLZ3" s="353"/>
      <c r="GMA3" s="353"/>
      <c r="GMB3" s="353"/>
      <c r="GMC3" s="353"/>
      <c r="GMD3" s="353"/>
      <c r="GME3" s="353"/>
      <c r="GMF3" s="353"/>
      <c r="GMG3" s="353"/>
      <c r="GMH3" s="353"/>
      <c r="GMI3" s="353"/>
      <c r="GMJ3" s="353"/>
      <c r="GMK3" s="353"/>
      <c r="GML3" s="353"/>
      <c r="GMM3" s="353"/>
      <c r="GMN3" s="353"/>
      <c r="GMO3" s="353"/>
      <c r="GMP3" s="353"/>
      <c r="GMQ3" s="353"/>
      <c r="GMR3" s="353"/>
      <c r="GMS3" s="353"/>
      <c r="GMT3" s="353"/>
      <c r="GMU3" s="353"/>
      <c r="GMV3" s="353"/>
      <c r="GMW3" s="353"/>
      <c r="GMX3" s="353"/>
      <c r="GMY3" s="353"/>
      <c r="GMZ3" s="353"/>
      <c r="GNA3" s="353"/>
      <c r="GNB3" s="353"/>
      <c r="GNC3" s="353"/>
      <c r="GND3" s="353"/>
      <c r="GNE3" s="353"/>
      <c r="GNF3" s="353"/>
      <c r="GNG3" s="353"/>
      <c r="GNH3" s="353"/>
      <c r="GNI3" s="353"/>
      <c r="GNJ3" s="353"/>
      <c r="GNK3" s="353"/>
      <c r="GNL3" s="353"/>
      <c r="GNM3" s="353"/>
      <c r="GNN3" s="353"/>
      <c r="GNO3" s="353"/>
      <c r="GNP3" s="353"/>
      <c r="GNQ3" s="353"/>
      <c r="GNR3" s="353"/>
      <c r="GNS3" s="353"/>
      <c r="GNT3" s="353"/>
      <c r="GNU3" s="353"/>
      <c r="GNV3" s="353"/>
      <c r="GNW3" s="353"/>
      <c r="GNX3" s="353"/>
      <c r="GNY3" s="353"/>
      <c r="GNZ3" s="353"/>
      <c r="GOA3" s="353"/>
      <c r="GOB3" s="353"/>
      <c r="GOC3" s="353"/>
      <c r="GOD3" s="353"/>
      <c r="GOE3" s="353"/>
      <c r="GOF3" s="353"/>
      <c r="GOG3" s="353"/>
      <c r="GOH3" s="353"/>
      <c r="GOI3" s="353"/>
      <c r="GOJ3" s="353"/>
      <c r="GOK3" s="353"/>
      <c r="GOL3" s="353"/>
      <c r="GOM3" s="353"/>
      <c r="GON3" s="353"/>
      <c r="GOO3" s="353"/>
      <c r="GOP3" s="353"/>
      <c r="GOQ3" s="353"/>
      <c r="GOR3" s="353"/>
      <c r="GOS3" s="353"/>
      <c r="GOT3" s="353"/>
      <c r="GOU3" s="353"/>
      <c r="GOV3" s="353"/>
      <c r="GOW3" s="353"/>
      <c r="GOX3" s="353"/>
      <c r="GOY3" s="353"/>
      <c r="GOZ3" s="353"/>
      <c r="GPA3" s="353"/>
      <c r="GPB3" s="353"/>
      <c r="GPC3" s="353"/>
      <c r="GPD3" s="353"/>
      <c r="GPE3" s="353"/>
      <c r="GPF3" s="353"/>
      <c r="GPG3" s="353"/>
      <c r="GPH3" s="353"/>
      <c r="GPI3" s="353"/>
      <c r="GPJ3" s="353"/>
      <c r="GPK3" s="353"/>
      <c r="GPL3" s="353"/>
      <c r="GPM3" s="353"/>
      <c r="GPN3" s="353"/>
      <c r="GPO3" s="353"/>
      <c r="GPP3" s="353"/>
      <c r="GPQ3" s="353"/>
      <c r="GPR3" s="353"/>
      <c r="GPS3" s="353"/>
      <c r="GPT3" s="353"/>
      <c r="GPU3" s="353"/>
      <c r="GPV3" s="353"/>
      <c r="GPW3" s="353"/>
      <c r="GPX3" s="353"/>
      <c r="GPY3" s="353"/>
      <c r="GPZ3" s="353"/>
      <c r="GQA3" s="353"/>
      <c r="GQB3" s="353"/>
      <c r="GQC3" s="353"/>
      <c r="GQD3" s="353"/>
      <c r="GQE3" s="353"/>
      <c r="GQF3" s="353"/>
      <c r="GQG3" s="353"/>
      <c r="GQH3" s="353"/>
      <c r="GQI3" s="353"/>
      <c r="GQJ3" s="353"/>
      <c r="GQK3" s="353"/>
      <c r="GQL3" s="353"/>
      <c r="GQM3" s="353"/>
      <c r="GQN3" s="353"/>
      <c r="GQO3" s="353"/>
      <c r="GQP3" s="353"/>
      <c r="GQQ3" s="353"/>
      <c r="GQR3" s="353"/>
      <c r="GQS3" s="353"/>
      <c r="GQT3" s="353"/>
      <c r="GQU3" s="353"/>
      <c r="GQV3" s="353"/>
      <c r="GQW3" s="353"/>
      <c r="GQX3" s="353"/>
      <c r="GQY3" s="353"/>
      <c r="GQZ3" s="353"/>
      <c r="GRA3" s="353"/>
      <c r="GRB3" s="353"/>
      <c r="GRC3" s="353"/>
      <c r="GRD3" s="353"/>
      <c r="GRE3" s="353"/>
      <c r="GRF3" s="353"/>
      <c r="GRG3" s="353"/>
      <c r="GRH3" s="353"/>
      <c r="GRI3" s="353"/>
      <c r="GRJ3" s="353"/>
      <c r="GRK3" s="353"/>
      <c r="GRL3" s="353"/>
      <c r="GRM3" s="353"/>
      <c r="GRN3" s="353"/>
      <c r="GRO3" s="353"/>
      <c r="GRP3" s="353"/>
      <c r="GRQ3" s="353"/>
      <c r="GRR3" s="353"/>
      <c r="GRS3" s="353"/>
      <c r="GRT3" s="353"/>
      <c r="GRU3" s="353"/>
      <c r="GRV3" s="353"/>
      <c r="GRW3" s="353"/>
      <c r="GRX3" s="353"/>
      <c r="GRY3" s="353"/>
      <c r="GRZ3" s="353"/>
      <c r="GSA3" s="353"/>
      <c r="GSB3" s="353"/>
      <c r="GSC3" s="353"/>
      <c r="GSD3" s="353"/>
      <c r="GSE3" s="353"/>
      <c r="GSF3" s="353"/>
      <c r="GSG3" s="353"/>
      <c r="GSH3" s="353"/>
      <c r="GSI3" s="353"/>
      <c r="GSJ3" s="353"/>
      <c r="GSK3" s="353"/>
      <c r="GSL3" s="353"/>
      <c r="GSM3" s="353"/>
      <c r="GSN3" s="353"/>
      <c r="GSO3" s="353"/>
      <c r="GSP3" s="353"/>
      <c r="GSQ3" s="353"/>
      <c r="GSR3" s="353"/>
      <c r="GSS3" s="353"/>
      <c r="GST3" s="353"/>
      <c r="GSU3" s="353"/>
      <c r="GSV3" s="353"/>
      <c r="GSW3" s="353"/>
      <c r="GSX3" s="353"/>
      <c r="GSY3" s="353"/>
      <c r="GSZ3" s="353"/>
      <c r="GTA3" s="353"/>
      <c r="GTB3" s="353"/>
      <c r="GTC3" s="353"/>
      <c r="GTD3" s="353"/>
      <c r="GTE3" s="353"/>
      <c r="GTF3" s="353"/>
      <c r="GTG3" s="353"/>
      <c r="GTH3" s="353"/>
      <c r="GTI3" s="353"/>
      <c r="GTJ3" s="353"/>
      <c r="GTK3" s="353"/>
      <c r="GTL3" s="353"/>
      <c r="GTM3" s="353"/>
      <c r="GTN3" s="353"/>
      <c r="GTO3" s="353"/>
      <c r="GTP3" s="353"/>
      <c r="GTQ3" s="353"/>
      <c r="GTR3" s="353"/>
      <c r="GTS3" s="353"/>
      <c r="GTT3" s="353"/>
      <c r="GTU3" s="353"/>
      <c r="GTV3" s="353"/>
      <c r="GTW3" s="353"/>
      <c r="GTX3" s="353"/>
      <c r="GTY3" s="353"/>
      <c r="GTZ3" s="353"/>
      <c r="GUA3" s="353"/>
      <c r="GUB3" s="353"/>
      <c r="GUC3" s="353"/>
      <c r="GUD3" s="353"/>
      <c r="GUE3" s="353"/>
      <c r="GUF3" s="353"/>
      <c r="GUG3" s="353"/>
      <c r="GUH3" s="353"/>
      <c r="GUI3" s="353"/>
      <c r="GUJ3" s="353"/>
      <c r="GUK3" s="353"/>
      <c r="GUL3" s="353"/>
      <c r="GUM3" s="353"/>
      <c r="GUN3" s="353"/>
      <c r="GUO3" s="353"/>
      <c r="GUP3" s="353"/>
      <c r="GUQ3" s="353"/>
      <c r="GUR3" s="353"/>
      <c r="GUS3" s="353"/>
      <c r="GUT3" s="353"/>
      <c r="GUU3" s="353"/>
      <c r="GUV3" s="353"/>
      <c r="GUW3" s="353"/>
      <c r="GUX3" s="353"/>
      <c r="GUY3" s="353"/>
      <c r="GUZ3" s="353"/>
      <c r="GVA3" s="353"/>
      <c r="GVB3" s="353"/>
      <c r="GVC3" s="353"/>
      <c r="GVD3" s="353"/>
      <c r="GVE3" s="353"/>
      <c r="GVF3" s="353"/>
      <c r="GVG3" s="353"/>
      <c r="GVH3" s="353"/>
      <c r="GVI3" s="353"/>
      <c r="GVJ3" s="353"/>
      <c r="GVK3" s="353"/>
      <c r="GVL3" s="353"/>
      <c r="GVM3" s="353"/>
      <c r="GVN3" s="353"/>
      <c r="GVO3" s="353"/>
      <c r="GVP3" s="353"/>
      <c r="GVQ3" s="353"/>
      <c r="GVR3" s="353"/>
      <c r="GVS3" s="353"/>
      <c r="GVT3" s="353"/>
      <c r="GVU3" s="353"/>
      <c r="GVV3" s="353"/>
      <c r="GVW3" s="353"/>
      <c r="GVX3" s="353"/>
      <c r="GVY3" s="353"/>
      <c r="GVZ3" s="353"/>
      <c r="GWA3" s="353"/>
      <c r="GWB3" s="353"/>
      <c r="GWC3" s="353"/>
      <c r="GWD3" s="353"/>
      <c r="GWE3" s="353"/>
      <c r="GWF3" s="353"/>
      <c r="GWG3" s="353"/>
      <c r="GWH3" s="353"/>
      <c r="GWI3" s="353"/>
      <c r="GWJ3" s="353"/>
      <c r="GWK3" s="353"/>
      <c r="GWL3" s="353"/>
      <c r="GWM3" s="353"/>
      <c r="GWN3" s="353"/>
      <c r="GWO3" s="353"/>
      <c r="GWP3" s="353"/>
      <c r="GWQ3" s="353"/>
      <c r="GWR3" s="353"/>
      <c r="GWS3" s="353"/>
      <c r="GWT3" s="353"/>
      <c r="GWU3" s="353"/>
      <c r="GWV3" s="353"/>
      <c r="GWW3" s="353"/>
      <c r="GWX3" s="353"/>
      <c r="GWY3" s="353"/>
      <c r="GWZ3" s="353"/>
      <c r="GXA3" s="353"/>
      <c r="GXB3" s="353"/>
      <c r="GXC3" s="353"/>
      <c r="GXD3" s="353"/>
      <c r="GXE3" s="353"/>
      <c r="GXF3" s="353"/>
      <c r="GXG3" s="353"/>
      <c r="GXH3" s="353"/>
      <c r="GXI3" s="353"/>
      <c r="GXJ3" s="353"/>
      <c r="GXK3" s="353"/>
      <c r="GXL3" s="353"/>
      <c r="GXM3" s="353"/>
      <c r="GXN3" s="353"/>
      <c r="GXO3" s="353"/>
      <c r="GXP3" s="353"/>
      <c r="GXQ3" s="353"/>
      <c r="GXR3" s="353"/>
      <c r="GXS3" s="353"/>
      <c r="GXT3" s="353"/>
      <c r="GXU3" s="353"/>
      <c r="GXV3" s="353"/>
      <c r="GXW3" s="353"/>
      <c r="GXX3" s="353"/>
      <c r="GXY3" s="353"/>
      <c r="GXZ3" s="353"/>
      <c r="GYA3" s="353"/>
      <c r="GYB3" s="353"/>
      <c r="GYC3" s="353"/>
      <c r="GYD3" s="353"/>
      <c r="GYE3" s="353"/>
      <c r="GYF3" s="353"/>
      <c r="GYG3" s="353"/>
      <c r="GYH3" s="353"/>
      <c r="GYI3" s="353"/>
      <c r="GYJ3" s="353"/>
      <c r="GYK3" s="353"/>
      <c r="GYL3" s="353"/>
      <c r="GYM3" s="353"/>
      <c r="GYN3" s="353"/>
      <c r="GYO3" s="353"/>
      <c r="GYP3" s="353"/>
      <c r="GYQ3" s="353"/>
      <c r="GYR3" s="353"/>
      <c r="GYS3" s="353"/>
      <c r="GYT3" s="353"/>
      <c r="GYU3" s="353"/>
      <c r="GYV3" s="353"/>
      <c r="GYW3" s="353"/>
      <c r="GYX3" s="353"/>
      <c r="GYY3" s="353"/>
      <c r="GYZ3" s="353"/>
      <c r="GZA3" s="353"/>
      <c r="GZB3" s="353"/>
      <c r="GZC3" s="353"/>
      <c r="GZD3" s="353"/>
      <c r="GZE3" s="353"/>
      <c r="GZF3" s="353"/>
      <c r="GZG3" s="353"/>
      <c r="GZH3" s="353"/>
      <c r="GZI3" s="353"/>
      <c r="GZJ3" s="353"/>
      <c r="GZK3" s="353"/>
      <c r="GZL3" s="353"/>
      <c r="GZM3" s="353"/>
      <c r="GZN3" s="353"/>
      <c r="GZO3" s="353"/>
      <c r="GZP3" s="353"/>
      <c r="GZQ3" s="353"/>
      <c r="GZR3" s="353"/>
      <c r="GZS3" s="353"/>
      <c r="GZT3" s="353"/>
      <c r="GZU3" s="353"/>
      <c r="GZV3" s="353"/>
      <c r="GZW3" s="353"/>
      <c r="GZX3" s="353"/>
      <c r="GZY3" s="353"/>
      <c r="GZZ3" s="353"/>
      <c r="HAA3" s="353"/>
      <c r="HAB3" s="353"/>
      <c r="HAC3" s="353"/>
      <c r="HAD3" s="353"/>
      <c r="HAE3" s="353"/>
      <c r="HAF3" s="353"/>
      <c r="HAG3" s="353"/>
      <c r="HAH3" s="353"/>
      <c r="HAI3" s="353"/>
      <c r="HAJ3" s="353"/>
      <c r="HAK3" s="353"/>
      <c r="HAL3" s="353"/>
      <c r="HAM3" s="353"/>
      <c r="HAN3" s="353"/>
      <c r="HAO3" s="353"/>
      <c r="HAP3" s="353"/>
      <c r="HAQ3" s="353"/>
      <c r="HAR3" s="353"/>
      <c r="HAS3" s="353"/>
      <c r="HAT3" s="353"/>
      <c r="HAU3" s="353"/>
      <c r="HAV3" s="353"/>
      <c r="HAW3" s="353"/>
      <c r="HAX3" s="353"/>
      <c r="HAY3" s="353"/>
      <c r="HAZ3" s="353"/>
      <c r="HBA3" s="353"/>
      <c r="HBB3" s="353"/>
      <c r="HBC3" s="353"/>
      <c r="HBD3" s="353"/>
      <c r="HBE3" s="353"/>
      <c r="HBF3" s="353"/>
      <c r="HBG3" s="353"/>
      <c r="HBH3" s="353"/>
      <c r="HBI3" s="353"/>
      <c r="HBJ3" s="353"/>
      <c r="HBK3" s="353"/>
      <c r="HBL3" s="353"/>
      <c r="HBM3" s="353"/>
      <c r="HBN3" s="353"/>
      <c r="HBO3" s="353"/>
      <c r="HBP3" s="353"/>
      <c r="HBQ3" s="353"/>
      <c r="HBR3" s="353"/>
      <c r="HBS3" s="353"/>
      <c r="HBT3" s="353"/>
      <c r="HBU3" s="353"/>
      <c r="HBV3" s="353"/>
      <c r="HBW3" s="353"/>
      <c r="HBX3" s="353"/>
      <c r="HBY3" s="353"/>
      <c r="HBZ3" s="353"/>
      <c r="HCA3" s="353"/>
      <c r="HCB3" s="353"/>
      <c r="HCC3" s="353"/>
      <c r="HCD3" s="353"/>
      <c r="HCE3" s="353"/>
      <c r="HCF3" s="353"/>
      <c r="HCG3" s="353"/>
      <c r="HCH3" s="353"/>
      <c r="HCI3" s="353"/>
      <c r="HCJ3" s="353"/>
      <c r="HCK3" s="353"/>
      <c r="HCL3" s="353"/>
      <c r="HCM3" s="353"/>
      <c r="HCN3" s="353"/>
      <c r="HCO3" s="353"/>
      <c r="HCP3" s="353"/>
      <c r="HCQ3" s="353"/>
      <c r="HCR3" s="353"/>
      <c r="HCS3" s="353"/>
      <c r="HCT3" s="353"/>
      <c r="HCU3" s="353"/>
      <c r="HCV3" s="353"/>
      <c r="HCW3" s="353"/>
      <c r="HCX3" s="353"/>
      <c r="HCY3" s="353"/>
      <c r="HCZ3" s="353"/>
      <c r="HDA3" s="353"/>
      <c r="HDB3" s="353"/>
      <c r="HDC3" s="353"/>
      <c r="HDD3" s="353"/>
      <c r="HDE3" s="353"/>
      <c r="HDF3" s="353"/>
      <c r="HDG3" s="353"/>
      <c r="HDH3" s="353"/>
      <c r="HDI3" s="353"/>
      <c r="HDJ3" s="353"/>
      <c r="HDK3" s="353"/>
      <c r="HDL3" s="353"/>
      <c r="HDM3" s="353"/>
      <c r="HDN3" s="353"/>
      <c r="HDO3" s="353"/>
      <c r="HDP3" s="353"/>
      <c r="HDQ3" s="353"/>
      <c r="HDR3" s="353"/>
      <c r="HDS3" s="353"/>
      <c r="HDT3" s="353"/>
      <c r="HDU3" s="353"/>
      <c r="HDV3" s="353"/>
      <c r="HDW3" s="353"/>
      <c r="HDX3" s="353"/>
      <c r="HDY3" s="353"/>
      <c r="HDZ3" s="353"/>
      <c r="HEA3" s="353"/>
      <c r="HEB3" s="353"/>
      <c r="HEC3" s="353"/>
      <c r="HED3" s="353"/>
      <c r="HEE3" s="353"/>
      <c r="HEF3" s="353"/>
      <c r="HEG3" s="353"/>
      <c r="HEH3" s="353"/>
      <c r="HEI3" s="353"/>
      <c r="HEJ3" s="353"/>
      <c r="HEK3" s="353"/>
      <c r="HEL3" s="353"/>
      <c r="HEM3" s="353"/>
      <c r="HEN3" s="353"/>
      <c r="HEO3" s="353"/>
      <c r="HEP3" s="353"/>
      <c r="HEQ3" s="353"/>
      <c r="HER3" s="353"/>
      <c r="HES3" s="353"/>
      <c r="HET3" s="353"/>
      <c r="HEU3" s="353"/>
      <c r="HEV3" s="353"/>
      <c r="HEW3" s="353"/>
      <c r="HEX3" s="353"/>
      <c r="HEY3" s="353"/>
      <c r="HEZ3" s="353"/>
      <c r="HFA3" s="353"/>
      <c r="HFB3" s="353"/>
      <c r="HFC3" s="353"/>
      <c r="HFD3" s="353"/>
      <c r="HFE3" s="353"/>
      <c r="HFF3" s="353"/>
      <c r="HFG3" s="353"/>
      <c r="HFH3" s="353"/>
      <c r="HFI3" s="353"/>
      <c r="HFJ3" s="353"/>
      <c r="HFK3" s="353"/>
      <c r="HFL3" s="353"/>
      <c r="HFM3" s="353"/>
      <c r="HFN3" s="353"/>
      <c r="HFO3" s="353"/>
      <c r="HFP3" s="353"/>
      <c r="HFQ3" s="353"/>
      <c r="HFR3" s="353"/>
      <c r="HFS3" s="353"/>
      <c r="HFT3" s="353"/>
      <c r="HFU3" s="353"/>
      <c r="HFV3" s="353"/>
      <c r="HFW3" s="353"/>
      <c r="HFX3" s="353"/>
      <c r="HFY3" s="353"/>
      <c r="HFZ3" s="353"/>
      <c r="HGA3" s="353"/>
      <c r="HGB3" s="353"/>
      <c r="HGC3" s="353"/>
      <c r="HGD3" s="353"/>
      <c r="HGE3" s="353"/>
      <c r="HGF3" s="353"/>
      <c r="HGG3" s="353"/>
      <c r="HGH3" s="353"/>
      <c r="HGI3" s="353"/>
      <c r="HGJ3" s="353"/>
      <c r="HGK3" s="353"/>
      <c r="HGL3" s="353"/>
      <c r="HGM3" s="353"/>
      <c r="HGN3" s="353"/>
      <c r="HGO3" s="353"/>
      <c r="HGP3" s="353"/>
      <c r="HGQ3" s="353"/>
      <c r="HGR3" s="353"/>
      <c r="HGS3" s="353"/>
      <c r="HGT3" s="353"/>
      <c r="HGU3" s="353"/>
      <c r="HGV3" s="353"/>
      <c r="HGW3" s="353"/>
      <c r="HGX3" s="353"/>
      <c r="HGY3" s="353"/>
      <c r="HGZ3" s="353"/>
      <c r="HHA3" s="353"/>
      <c r="HHB3" s="353"/>
      <c r="HHC3" s="353"/>
      <c r="HHD3" s="353"/>
      <c r="HHE3" s="353"/>
      <c r="HHF3" s="353"/>
      <c r="HHG3" s="353"/>
      <c r="HHH3" s="353"/>
      <c r="HHI3" s="353"/>
      <c r="HHJ3" s="353"/>
      <c r="HHK3" s="353"/>
      <c r="HHL3" s="353"/>
      <c r="HHM3" s="353"/>
      <c r="HHN3" s="353"/>
      <c r="HHO3" s="353"/>
      <c r="HHP3" s="353"/>
      <c r="HHQ3" s="353"/>
      <c r="HHR3" s="353"/>
      <c r="HHS3" s="353"/>
      <c r="HHT3" s="353"/>
      <c r="HHU3" s="353"/>
      <c r="HHV3" s="353"/>
      <c r="HHW3" s="353"/>
      <c r="HHX3" s="353"/>
      <c r="HHY3" s="353"/>
      <c r="HHZ3" s="353"/>
      <c r="HIA3" s="353"/>
      <c r="HIB3" s="353"/>
      <c r="HIC3" s="353"/>
      <c r="HID3" s="353"/>
      <c r="HIE3" s="353"/>
      <c r="HIF3" s="353"/>
      <c r="HIG3" s="353"/>
      <c r="HIH3" s="353"/>
      <c r="HII3" s="353"/>
      <c r="HIJ3" s="353"/>
      <c r="HIK3" s="353"/>
      <c r="HIL3" s="353"/>
      <c r="HIM3" s="353"/>
      <c r="HIN3" s="353"/>
      <c r="HIO3" s="353"/>
      <c r="HIP3" s="353"/>
      <c r="HIQ3" s="353"/>
      <c r="HIR3" s="353"/>
      <c r="HIS3" s="353"/>
      <c r="HIT3" s="353"/>
      <c r="HIU3" s="353"/>
      <c r="HIV3" s="353"/>
      <c r="HIW3" s="353"/>
      <c r="HIX3" s="353"/>
      <c r="HIY3" s="353"/>
      <c r="HIZ3" s="353"/>
      <c r="HJA3" s="353"/>
      <c r="HJB3" s="353"/>
      <c r="HJC3" s="353"/>
      <c r="HJD3" s="353"/>
      <c r="HJE3" s="353"/>
      <c r="HJF3" s="353"/>
      <c r="HJG3" s="353"/>
      <c r="HJH3" s="353"/>
      <c r="HJI3" s="353"/>
      <c r="HJJ3" s="353"/>
      <c r="HJK3" s="353"/>
      <c r="HJL3" s="353"/>
      <c r="HJM3" s="353"/>
      <c r="HJN3" s="353"/>
      <c r="HJO3" s="353"/>
      <c r="HJP3" s="353"/>
      <c r="HJQ3" s="353"/>
      <c r="HJR3" s="353"/>
      <c r="HJS3" s="353"/>
      <c r="HJT3" s="353"/>
      <c r="HJU3" s="353"/>
      <c r="HJV3" s="353"/>
      <c r="HJW3" s="353"/>
      <c r="HJX3" s="353"/>
      <c r="HJY3" s="353"/>
      <c r="HJZ3" s="353"/>
      <c r="HKA3" s="353"/>
      <c r="HKB3" s="353"/>
      <c r="HKC3" s="353"/>
      <c r="HKD3" s="353"/>
      <c r="HKE3" s="353"/>
      <c r="HKF3" s="353"/>
      <c r="HKG3" s="353"/>
      <c r="HKH3" s="353"/>
      <c r="HKI3" s="353"/>
      <c r="HKJ3" s="353"/>
      <c r="HKK3" s="353"/>
      <c r="HKL3" s="353"/>
      <c r="HKM3" s="353"/>
      <c r="HKN3" s="353"/>
      <c r="HKO3" s="353"/>
      <c r="HKP3" s="353"/>
      <c r="HKQ3" s="353"/>
      <c r="HKR3" s="353"/>
      <c r="HKS3" s="353"/>
      <c r="HKT3" s="353"/>
      <c r="HKU3" s="353"/>
      <c r="HKV3" s="353"/>
      <c r="HKW3" s="353"/>
      <c r="HKX3" s="353"/>
      <c r="HKY3" s="353"/>
      <c r="HKZ3" s="353"/>
      <c r="HLA3" s="353"/>
      <c r="HLB3" s="353"/>
      <c r="HLC3" s="353"/>
      <c r="HLD3" s="353"/>
      <c r="HLE3" s="353"/>
      <c r="HLF3" s="353"/>
      <c r="HLG3" s="353"/>
      <c r="HLH3" s="353"/>
      <c r="HLI3" s="353"/>
      <c r="HLJ3" s="353"/>
      <c r="HLK3" s="353"/>
      <c r="HLL3" s="353"/>
      <c r="HLM3" s="353"/>
      <c r="HLN3" s="353"/>
      <c r="HLO3" s="353"/>
      <c r="HLP3" s="353"/>
      <c r="HLQ3" s="353"/>
      <c r="HLR3" s="353"/>
      <c r="HLS3" s="353"/>
      <c r="HLT3" s="353"/>
      <c r="HLU3" s="353"/>
      <c r="HLV3" s="353"/>
      <c r="HLW3" s="353"/>
      <c r="HLX3" s="353"/>
      <c r="HLY3" s="353"/>
      <c r="HLZ3" s="353"/>
      <c r="HMA3" s="353"/>
      <c r="HMB3" s="353"/>
      <c r="HMC3" s="353"/>
      <c r="HMD3" s="353"/>
      <c r="HME3" s="353"/>
      <c r="HMF3" s="353"/>
      <c r="HMG3" s="353"/>
      <c r="HMH3" s="353"/>
      <c r="HMI3" s="353"/>
      <c r="HMJ3" s="353"/>
      <c r="HMK3" s="353"/>
      <c r="HML3" s="353"/>
      <c r="HMM3" s="353"/>
      <c r="HMN3" s="353"/>
      <c r="HMO3" s="353"/>
      <c r="HMP3" s="353"/>
      <c r="HMQ3" s="353"/>
      <c r="HMR3" s="353"/>
      <c r="HMS3" s="353"/>
      <c r="HMT3" s="353"/>
      <c r="HMU3" s="353"/>
      <c r="HMV3" s="353"/>
      <c r="HMW3" s="353"/>
      <c r="HMX3" s="353"/>
      <c r="HMY3" s="353"/>
      <c r="HMZ3" s="353"/>
      <c r="HNA3" s="353"/>
      <c r="HNB3" s="353"/>
      <c r="HNC3" s="353"/>
      <c r="HND3" s="353"/>
      <c r="HNE3" s="353"/>
      <c r="HNF3" s="353"/>
      <c r="HNG3" s="353"/>
      <c r="HNH3" s="353"/>
      <c r="HNI3" s="353"/>
      <c r="HNJ3" s="353"/>
      <c r="HNK3" s="353"/>
      <c r="HNL3" s="353"/>
      <c r="HNM3" s="353"/>
      <c r="HNN3" s="353"/>
      <c r="HNO3" s="353"/>
      <c r="HNP3" s="353"/>
      <c r="HNQ3" s="353"/>
      <c r="HNR3" s="353"/>
      <c r="HNS3" s="353"/>
      <c r="HNT3" s="353"/>
      <c r="HNU3" s="353"/>
      <c r="HNV3" s="353"/>
      <c r="HNW3" s="353"/>
      <c r="HNX3" s="353"/>
      <c r="HNY3" s="353"/>
      <c r="HNZ3" s="353"/>
      <c r="HOA3" s="353"/>
      <c r="HOB3" s="353"/>
      <c r="HOC3" s="353"/>
      <c r="HOD3" s="353"/>
      <c r="HOE3" s="353"/>
      <c r="HOF3" s="353"/>
      <c r="HOG3" s="353"/>
      <c r="HOH3" s="353"/>
      <c r="HOI3" s="353"/>
      <c r="HOJ3" s="353"/>
      <c r="HOK3" s="353"/>
      <c r="HOL3" s="353"/>
      <c r="HOM3" s="353"/>
      <c r="HON3" s="353"/>
      <c r="HOO3" s="353"/>
      <c r="HOP3" s="353"/>
      <c r="HOQ3" s="353"/>
      <c r="HOR3" s="353"/>
      <c r="HOS3" s="353"/>
      <c r="HOT3" s="353"/>
      <c r="HOU3" s="353"/>
      <c r="HOV3" s="353"/>
      <c r="HOW3" s="353"/>
      <c r="HOX3" s="353"/>
      <c r="HOY3" s="353"/>
      <c r="HOZ3" s="353"/>
      <c r="HPA3" s="353"/>
      <c r="HPB3" s="353"/>
      <c r="HPC3" s="353"/>
      <c r="HPD3" s="353"/>
      <c r="HPE3" s="353"/>
      <c r="HPF3" s="353"/>
      <c r="HPG3" s="353"/>
      <c r="HPH3" s="353"/>
      <c r="HPI3" s="353"/>
      <c r="HPJ3" s="353"/>
      <c r="HPK3" s="353"/>
      <c r="HPL3" s="353"/>
      <c r="HPM3" s="353"/>
      <c r="HPN3" s="353"/>
      <c r="HPO3" s="353"/>
      <c r="HPP3" s="353"/>
      <c r="HPQ3" s="353"/>
      <c r="HPR3" s="353"/>
      <c r="HPS3" s="353"/>
      <c r="HPT3" s="353"/>
      <c r="HPU3" s="353"/>
      <c r="HPV3" s="353"/>
      <c r="HPW3" s="353"/>
      <c r="HPX3" s="353"/>
      <c r="HPY3" s="353"/>
      <c r="HPZ3" s="353"/>
      <c r="HQA3" s="353"/>
      <c r="HQB3" s="353"/>
      <c r="HQC3" s="353"/>
      <c r="HQD3" s="353"/>
      <c r="HQE3" s="353"/>
      <c r="HQF3" s="353"/>
      <c r="HQG3" s="353"/>
      <c r="HQH3" s="353"/>
      <c r="HQI3" s="353"/>
      <c r="HQJ3" s="353"/>
      <c r="HQK3" s="353"/>
      <c r="HQL3" s="353"/>
      <c r="HQM3" s="353"/>
      <c r="HQN3" s="353"/>
      <c r="HQO3" s="353"/>
      <c r="HQP3" s="353"/>
      <c r="HQQ3" s="353"/>
      <c r="HQR3" s="353"/>
      <c r="HQS3" s="353"/>
      <c r="HQT3" s="353"/>
      <c r="HQU3" s="353"/>
      <c r="HQV3" s="353"/>
      <c r="HQW3" s="353"/>
      <c r="HQX3" s="353"/>
      <c r="HQY3" s="353"/>
      <c r="HQZ3" s="353"/>
      <c r="HRA3" s="353"/>
      <c r="HRB3" s="353"/>
      <c r="HRC3" s="353"/>
      <c r="HRD3" s="353"/>
      <c r="HRE3" s="353"/>
      <c r="HRF3" s="353"/>
      <c r="HRG3" s="353"/>
      <c r="HRH3" s="353"/>
      <c r="HRI3" s="353"/>
      <c r="HRJ3" s="353"/>
      <c r="HRK3" s="353"/>
      <c r="HRL3" s="353"/>
      <c r="HRM3" s="353"/>
      <c r="HRN3" s="353"/>
      <c r="HRO3" s="353"/>
      <c r="HRP3" s="353"/>
      <c r="HRQ3" s="353"/>
      <c r="HRR3" s="353"/>
      <c r="HRS3" s="353"/>
      <c r="HRT3" s="353"/>
      <c r="HRU3" s="353"/>
      <c r="HRV3" s="353"/>
      <c r="HRW3" s="353"/>
      <c r="HRX3" s="353"/>
      <c r="HRY3" s="353"/>
      <c r="HRZ3" s="353"/>
      <c r="HSA3" s="353"/>
      <c r="HSB3" s="353"/>
      <c r="HSC3" s="353"/>
      <c r="HSD3" s="353"/>
      <c r="HSE3" s="353"/>
      <c r="HSF3" s="353"/>
      <c r="HSG3" s="353"/>
      <c r="HSH3" s="353"/>
      <c r="HSI3" s="353"/>
      <c r="HSJ3" s="353"/>
      <c r="HSK3" s="353"/>
      <c r="HSL3" s="353"/>
      <c r="HSM3" s="353"/>
      <c r="HSN3" s="353"/>
      <c r="HSO3" s="353"/>
      <c r="HSP3" s="353"/>
      <c r="HSQ3" s="353"/>
      <c r="HSR3" s="353"/>
      <c r="HSS3" s="353"/>
      <c r="HST3" s="353"/>
      <c r="HSU3" s="353"/>
      <c r="HSV3" s="353"/>
      <c r="HSW3" s="353"/>
      <c r="HSX3" s="353"/>
      <c r="HSY3" s="353"/>
      <c r="HSZ3" s="353"/>
      <c r="HTA3" s="353"/>
      <c r="HTB3" s="353"/>
      <c r="HTC3" s="353"/>
      <c r="HTD3" s="353"/>
      <c r="HTE3" s="353"/>
      <c r="HTF3" s="353"/>
      <c r="HTG3" s="353"/>
      <c r="HTH3" s="353"/>
      <c r="HTI3" s="353"/>
      <c r="HTJ3" s="353"/>
      <c r="HTK3" s="353"/>
      <c r="HTL3" s="353"/>
      <c r="HTM3" s="353"/>
      <c r="HTN3" s="353"/>
      <c r="HTO3" s="353"/>
      <c r="HTP3" s="353"/>
      <c r="HTQ3" s="353"/>
      <c r="HTR3" s="353"/>
      <c r="HTS3" s="353"/>
      <c r="HTT3" s="353"/>
      <c r="HTU3" s="353"/>
      <c r="HTV3" s="353"/>
      <c r="HTW3" s="353"/>
      <c r="HTX3" s="353"/>
      <c r="HTY3" s="353"/>
      <c r="HTZ3" s="353"/>
      <c r="HUA3" s="353"/>
      <c r="HUB3" s="353"/>
      <c r="HUC3" s="353"/>
      <c r="HUD3" s="353"/>
      <c r="HUE3" s="353"/>
      <c r="HUF3" s="353"/>
      <c r="HUG3" s="353"/>
      <c r="HUH3" s="353"/>
      <c r="HUI3" s="353"/>
      <c r="HUJ3" s="353"/>
      <c r="HUK3" s="353"/>
      <c r="HUL3" s="353"/>
      <c r="HUM3" s="353"/>
      <c r="HUN3" s="353"/>
      <c r="HUO3" s="353"/>
      <c r="HUP3" s="353"/>
      <c r="HUQ3" s="353"/>
      <c r="HUR3" s="353"/>
      <c r="HUS3" s="353"/>
      <c r="HUT3" s="353"/>
      <c r="HUU3" s="353"/>
      <c r="HUV3" s="353"/>
      <c r="HUW3" s="353"/>
      <c r="HUX3" s="353"/>
      <c r="HUY3" s="353"/>
      <c r="HUZ3" s="353"/>
      <c r="HVA3" s="353"/>
      <c r="HVB3" s="353"/>
      <c r="HVC3" s="353"/>
      <c r="HVD3" s="353"/>
      <c r="HVE3" s="353"/>
      <c r="HVF3" s="353"/>
      <c r="HVG3" s="353"/>
      <c r="HVH3" s="353"/>
      <c r="HVI3" s="353"/>
      <c r="HVJ3" s="353"/>
      <c r="HVK3" s="353"/>
      <c r="HVL3" s="353"/>
      <c r="HVM3" s="353"/>
      <c r="HVN3" s="353"/>
      <c r="HVO3" s="353"/>
      <c r="HVP3" s="353"/>
      <c r="HVQ3" s="353"/>
      <c r="HVR3" s="353"/>
      <c r="HVS3" s="353"/>
      <c r="HVT3" s="353"/>
      <c r="HVU3" s="353"/>
      <c r="HVV3" s="353"/>
      <c r="HVW3" s="353"/>
      <c r="HVX3" s="353"/>
      <c r="HVY3" s="353"/>
      <c r="HVZ3" s="353"/>
      <c r="HWA3" s="353"/>
      <c r="HWB3" s="353"/>
      <c r="HWC3" s="353"/>
      <c r="HWD3" s="353"/>
      <c r="HWE3" s="353"/>
      <c r="HWF3" s="353"/>
      <c r="HWG3" s="353"/>
      <c r="HWH3" s="353"/>
      <c r="HWI3" s="353"/>
      <c r="HWJ3" s="353"/>
      <c r="HWK3" s="353"/>
      <c r="HWL3" s="353"/>
      <c r="HWM3" s="353"/>
      <c r="HWN3" s="353"/>
      <c r="HWO3" s="353"/>
      <c r="HWP3" s="353"/>
      <c r="HWQ3" s="353"/>
      <c r="HWR3" s="353"/>
      <c r="HWS3" s="353"/>
      <c r="HWT3" s="353"/>
      <c r="HWU3" s="353"/>
      <c r="HWV3" s="353"/>
      <c r="HWW3" s="353"/>
      <c r="HWX3" s="353"/>
      <c r="HWY3" s="353"/>
      <c r="HWZ3" s="353"/>
      <c r="HXA3" s="353"/>
      <c r="HXB3" s="353"/>
      <c r="HXC3" s="353"/>
      <c r="HXD3" s="353"/>
      <c r="HXE3" s="353"/>
      <c r="HXF3" s="353"/>
      <c r="HXG3" s="353"/>
      <c r="HXH3" s="353"/>
      <c r="HXI3" s="353"/>
      <c r="HXJ3" s="353"/>
      <c r="HXK3" s="353"/>
      <c r="HXL3" s="353"/>
      <c r="HXM3" s="353"/>
      <c r="HXN3" s="353"/>
      <c r="HXO3" s="353"/>
      <c r="HXP3" s="353"/>
      <c r="HXQ3" s="353"/>
      <c r="HXR3" s="353"/>
      <c r="HXS3" s="353"/>
      <c r="HXT3" s="353"/>
      <c r="HXU3" s="353"/>
      <c r="HXV3" s="353"/>
      <c r="HXW3" s="353"/>
      <c r="HXX3" s="353"/>
      <c r="HXY3" s="353"/>
      <c r="HXZ3" s="353"/>
      <c r="HYA3" s="353"/>
      <c r="HYB3" s="353"/>
      <c r="HYC3" s="353"/>
      <c r="HYD3" s="353"/>
      <c r="HYE3" s="353"/>
      <c r="HYF3" s="353"/>
      <c r="HYG3" s="353"/>
      <c r="HYH3" s="353"/>
      <c r="HYI3" s="353"/>
      <c r="HYJ3" s="353"/>
      <c r="HYK3" s="353"/>
      <c r="HYL3" s="353"/>
      <c r="HYM3" s="353"/>
      <c r="HYN3" s="353"/>
      <c r="HYO3" s="353"/>
      <c r="HYP3" s="353"/>
      <c r="HYQ3" s="353"/>
      <c r="HYR3" s="353"/>
      <c r="HYS3" s="353"/>
      <c r="HYT3" s="353"/>
      <c r="HYU3" s="353"/>
      <c r="HYV3" s="353"/>
      <c r="HYW3" s="353"/>
      <c r="HYX3" s="353"/>
      <c r="HYY3" s="353"/>
      <c r="HYZ3" s="353"/>
      <c r="HZA3" s="353"/>
      <c r="HZB3" s="353"/>
      <c r="HZC3" s="353"/>
      <c r="HZD3" s="353"/>
      <c r="HZE3" s="353"/>
      <c r="HZF3" s="353"/>
      <c r="HZG3" s="353"/>
      <c r="HZH3" s="353"/>
      <c r="HZI3" s="353"/>
      <c r="HZJ3" s="353"/>
      <c r="HZK3" s="353"/>
      <c r="HZL3" s="353"/>
      <c r="HZM3" s="353"/>
      <c r="HZN3" s="353"/>
      <c r="HZO3" s="353"/>
      <c r="HZP3" s="353"/>
      <c r="HZQ3" s="353"/>
      <c r="HZR3" s="353"/>
      <c r="HZS3" s="353"/>
      <c r="HZT3" s="353"/>
      <c r="HZU3" s="353"/>
      <c r="HZV3" s="353"/>
      <c r="HZW3" s="353"/>
      <c r="HZX3" s="353"/>
      <c r="HZY3" s="353"/>
      <c r="HZZ3" s="353"/>
      <c r="IAA3" s="353"/>
      <c r="IAB3" s="353"/>
      <c r="IAC3" s="353"/>
      <c r="IAD3" s="353"/>
      <c r="IAE3" s="353"/>
      <c r="IAF3" s="353"/>
      <c r="IAG3" s="353"/>
      <c r="IAH3" s="353"/>
      <c r="IAI3" s="353"/>
      <c r="IAJ3" s="353"/>
      <c r="IAK3" s="353"/>
      <c r="IAL3" s="353"/>
      <c r="IAM3" s="353"/>
      <c r="IAN3" s="353"/>
      <c r="IAO3" s="353"/>
      <c r="IAP3" s="353"/>
      <c r="IAQ3" s="353"/>
      <c r="IAR3" s="353"/>
      <c r="IAS3" s="353"/>
      <c r="IAT3" s="353"/>
      <c r="IAU3" s="353"/>
      <c r="IAV3" s="353"/>
      <c r="IAW3" s="353"/>
      <c r="IAX3" s="353"/>
      <c r="IAY3" s="353"/>
      <c r="IAZ3" s="353"/>
      <c r="IBA3" s="353"/>
      <c r="IBB3" s="353"/>
      <c r="IBC3" s="353"/>
      <c r="IBD3" s="353"/>
      <c r="IBE3" s="353"/>
      <c r="IBF3" s="353"/>
      <c r="IBG3" s="353"/>
      <c r="IBH3" s="353"/>
      <c r="IBI3" s="353"/>
      <c r="IBJ3" s="353"/>
      <c r="IBK3" s="353"/>
      <c r="IBL3" s="353"/>
      <c r="IBM3" s="353"/>
      <c r="IBN3" s="353"/>
      <c r="IBO3" s="353"/>
      <c r="IBP3" s="353"/>
      <c r="IBQ3" s="353"/>
      <c r="IBR3" s="353"/>
      <c r="IBS3" s="353"/>
      <c r="IBT3" s="353"/>
      <c r="IBU3" s="353"/>
      <c r="IBV3" s="353"/>
      <c r="IBW3" s="353"/>
      <c r="IBX3" s="353"/>
      <c r="IBY3" s="353"/>
      <c r="IBZ3" s="353"/>
      <c r="ICA3" s="353"/>
      <c r="ICB3" s="353"/>
      <c r="ICC3" s="353"/>
      <c r="ICD3" s="353"/>
      <c r="ICE3" s="353"/>
      <c r="ICF3" s="353"/>
      <c r="ICG3" s="353"/>
      <c r="ICH3" s="353"/>
      <c r="ICI3" s="353"/>
      <c r="ICJ3" s="353"/>
      <c r="ICK3" s="353"/>
      <c r="ICL3" s="353"/>
      <c r="ICM3" s="353"/>
      <c r="ICN3" s="353"/>
      <c r="ICO3" s="353"/>
      <c r="ICP3" s="353"/>
      <c r="ICQ3" s="353"/>
      <c r="ICR3" s="353"/>
      <c r="ICS3" s="353"/>
      <c r="ICT3" s="353"/>
      <c r="ICU3" s="353"/>
      <c r="ICV3" s="353"/>
      <c r="ICW3" s="353"/>
      <c r="ICX3" s="353"/>
      <c r="ICY3" s="353"/>
      <c r="ICZ3" s="353"/>
      <c r="IDA3" s="353"/>
      <c r="IDB3" s="353"/>
      <c r="IDC3" s="353"/>
      <c r="IDD3" s="353"/>
      <c r="IDE3" s="353"/>
      <c r="IDF3" s="353"/>
      <c r="IDG3" s="353"/>
      <c r="IDH3" s="353"/>
      <c r="IDI3" s="353"/>
      <c r="IDJ3" s="353"/>
      <c r="IDK3" s="353"/>
      <c r="IDL3" s="353"/>
      <c r="IDM3" s="353"/>
      <c r="IDN3" s="353"/>
      <c r="IDO3" s="353"/>
      <c r="IDP3" s="353"/>
      <c r="IDQ3" s="353"/>
      <c r="IDR3" s="353"/>
      <c r="IDS3" s="353"/>
      <c r="IDT3" s="353"/>
      <c r="IDU3" s="353"/>
      <c r="IDV3" s="353"/>
      <c r="IDW3" s="353"/>
      <c r="IDX3" s="353"/>
      <c r="IDY3" s="353"/>
      <c r="IDZ3" s="353"/>
      <c r="IEA3" s="353"/>
      <c r="IEB3" s="353"/>
      <c r="IEC3" s="353"/>
      <c r="IED3" s="353"/>
      <c r="IEE3" s="353"/>
      <c r="IEF3" s="353"/>
      <c r="IEG3" s="353"/>
      <c r="IEH3" s="353"/>
      <c r="IEI3" s="353"/>
      <c r="IEJ3" s="353"/>
      <c r="IEK3" s="353"/>
      <c r="IEL3" s="353"/>
      <c r="IEM3" s="353"/>
      <c r="IEN3" s="353"/>
      <c r="IEO3" s="353"/>
      <c r="IEP3" s="353"/>
      <c r="IEQ3" s="353"/>
      <c r="IER3" s="353"/>
      <c r="IES3" s="353"/>
      <c r="IET3" s="353"/>
      <c r="IEU3" s="353"/>
      <c r="IEV3" s="353"/>
      <c r="IEW3" s="353"/>
      <c r="IEX3" s="353"/>
      <c r="IEY3" s="353"/>
      <c r="IEZ3" s="353"/>
      <c r="IFA3" s="353"/>
      <c r="IFB3" s="353"/>
      <c r="IFC3" s="353"/>
      <c r="IFD3" s="353"/>
      <c r="IFE3" s="353"/>
      <c r="IFF3" s="353"/>
      <c r="IFG3" s="353"/>
      <c r="IFH3" s="353"/>
      <c r="IFI3" s="353"/>
      <c r="IFJ3" s="353"/>
      <c r="IFK3" s="353"/>
      <c r="IFL3" s="353"/>
      <c r="IFM3" s="353"/>
      <c r="IFN3" s="353"/>
      <c r="IFO3" s="353"/>
      <c r="IFP3" s="353"/>
      <c r="IFQ3" s="353"/>
      <c r="IFR3" s="353"/>
      <c r="IFS3" s="353"/>
      <c r="IFT3" s="353"/>
      <c r="IFU3" s="353"/>
      <c r="IFV3" s="353"/>
      <c r="IFW3" s="353"/>
      <c r="IFX3" s="353"/>
      <c r="IFY3" s="353"/>
      <c r="IFZ3" s="353"/>
      <c r="IGA3" s="353"/>
      <c r="IGB3" s="353"/>
      <c r="IGC3" s="353"/>
      <c r="IGD3" s="353"/>
      <c r="IGE3" s="353"/>
      <c r="IGF3" s="353"/>
      <c r="IGG3" s="353"/>
      <c r="IGH3" s="353"/>
      <c r="IGI3" s="353"/>
      <c r="IGJ3" s="353"/>
      <c r="IGK3" s="353"/>
      <c r="IGL3" s="353"/>
      <c r="IGM3" s="353"/>
      <c r="IGN3" s="353"/>
      <c r="IGO3" s="353"/>
      <c r="IGP3" s="353"/>
      <c r="IGQ3" s="353"/>
      <c r="IGR3" s="353"/>
      <c r="IGS3" s="353"/>
      <c r="IGT3" s="353"/>
      <c r="IGU3" s="353"/>
      <c r="IGV3" s="353"/>
      <c r="IGW3" s="353"/>
      <c r="IGX3" s="353"/>
      <c r="IGY3" s="353"/>
      <c r="IGZ3" s="353"/>
      <c r="IHA3" s="353"/>
      <c r="IHB3" s="353"/>
      <c r="IHC3" s="353"/>
      <c r="IHD3" s="353"/>
      <c r="IHE3" s="353"/>
      <c r="IHF3" s="353"/>
      <c r="IHG3" s="353"/>
      <c r="IHH3" s="353"/>
      <c r="IHI3" s="353"/>
      <c r="IHJ3" s="353"/>
      <c r="IHK3" s="353"/>
      <c r="IHL3" s="353"/>
      <c r="IHM3" s="353"/>
      <c r="IHN3" s="353"/>
      <c r="IHO3" s="353"/>
      <c r="IHP3" s="353"/>
      <c r="IHQ3" s="353"/>
      <c r="IHR3" s="353"/>
      <c r="IHS3" s="353"/>
      <c r="IHT3" s="353"/>
      <c r="IHU3" s="353"/>
      <c r="IHV3" s="353"/>
      <c r="IHW3" s="353"/>
      <c r="IHX3" s="353"/>
      <c r="IHY3" s="353"/>
      <c r="IHZ3" s="353"/>
      <c r="IIA3" s="353"/>
      <c r="IIB3" s="353"/>
      <c r="IIC3" s="353"/>
      <c r="IID3" s="353"/>
      <c r="IIE3" s="353"/>
      <c r="IIF3" s="353"/>
      <c r="IIG3" s="353"/>
      <c r="IIH3" s="353"/>
      <c r="III3" s="353"/>
      <c r="IIJ3" s="353"/>
      <c r="IIK3" s="353"/>
      <c r="IIL3" s="353"/>
      <c r="IIM3" s="353"/>
      <c r="IIN3" s="353"/>
      <c r="IIO3" s="353"/>
      <c r="IIP3" s="353"/>
      <c r="IIQ3" s="353"/>
      <c r="IIR3" s="353"/>
      <c r="IIS3" s="353"/>
      <c r="IIT3" s="353"/>
      <c r="IIU3" s="353"/>
      <c r="IIV3" s="353"/>
      <c r="IIW3" s="353"/>
      <c r="IIX3" s="353"/>
      <c r="IIY3" s="353"/>
      <c r="IIZ3" s="353"/>
      <c r="IJA3" s="353"/>
      <c r="IJB3" s="353"/>
      <c r="IJC3" s="353"/>
      <c r="IJD3" s="353"/>
      <c r="IJE3" s="353"/>
      <c r="IJF3" s="353"/>
      <c r="IJG3" s="353"/>
      <c r="IJH3" s="353"/>
      <c r="IJI3" s="353"/>
      <c r="IJJ3" s="353"/>
      <c r="IJK3" s="353"/>
      <c r="IJL3" s="353"/>
      <c r="IJM3" s="353"/>
      <c r="IJN3" s="353"/>
      <c r="IJO3" s="353"/>
      <c r="IJP3" s="353"/>
      <c r="IJQ3" s="353"/>
      <c r="IJR3" s="353"/>
      <c r="IJS3" s="353"/>
      <c r="IJT3" s="353"/>
      <c r="IJU3" s="353"/>
      <c r="IJV3" s="353"/>
      <c r="IJW3" s="353"/>
      <c r="IJX3" s="353"/>
      <c r="IJY3" s="353"/>
      <c r="IJZ3" s="353"/>
      <c r="IKA3" s="353"/>
      <c r="IKB3" s="353"/>
      <c r="IKC3" s="353"/>
      <c r="IKD3" s="353"/>
      <c r="IKE3" s="353"/>
      <c r="IKF3" s="353"/>
      <c r="IKG3" s="353"/>
      <c r="IKH3" s="353"/>
      <c r="IKI3" s="353"/>
      <c r="IKJ3" s="353"/>
      <c r="IKK3" s="353"/>
      <c r="IKL3" s="353"/>
      <c r="IKM3" s="353"/>
      <c r="IKN3" s="353"/>
      <c r="IKO3" s="353"/>
      <c r="IKP3" s="353"/>
      <c r="IKQ3" s="353"/>
      <c r="IKR3" s="353"/>
      <c r="IKS3" s="353"/>
      <c r="IKT3" s="353"/>
      <c r="IKU3" s="353"/>
      <c r="IKV3" s="353"/>
      <c r="IKW3" s="353"/>
      <c r="IKX3" s="353"/>
      <c r="IKY3" s="353"/>
      <c r="IKZ3" s="353"/>
      <c r="ILA3" s="353"/>
      <c r="ILB3" s="353"/>
      <c r="ILC3" s="353"/>
      <c r="ILD3" s="353"/>
      <c r="ILE3" s="353"/>
      <c r="ILF3" s="353"/>
      <c r="ILG3" s="353"/>
      <c r="ILH3" s="353"/>
      <c r="ILI3" s="353"/>
      <c r="ILJ3" s="353"/>
      <c r="ILK3" s="353"/>
      <c r="ILL3" s="353"/>
      <c r="ILM3" s="353"/>
      <c r="ILN3" s="353"/>
      <c r="ILO3" s="353"/>
      <c r="ILP3" s="353"/>
      <c r="ILQ3" s="353"/>
      <c r="ILR3" s="353"/>
      <c r="ILS3" s="353"/>
      <c r="ILT3" s="353"/>
      <c r="ILU3" s="353"/>
      <c r="ILV3" s="353"/>
      <c r="ILW3" s="353"/>
      <c r="ILX3" s="353"/>
      <c r="ILY3" s="353"/>
      <c r="ILZ3" s="353"/>
      <c r="IMA3" s="353"/>
      <c r="IMB3" s="353"/>
      <c r="IMC3" s="353"/>
      <c r="IMD3" s="353"/>
      <c r="IME3" s="353"/>
      <c r="IMF3" s="353"/>
      <c r="IMG3" s="353"/>
      <c r="IMH3" s="353"/>
      <c r="IMI3" s="353"/>
      <c r="IMJ3" s="353"/>
      <c r="IMK3" s="353"/>
      <c r="IML3" s="353"/>
      <c r="IMM3" s="353"/>
      <c r="IMN3" s="353"/>
      <c r="IMO3" s="353"/>
      <c r="IMP3" s="353"/>
      <c r="IMQ3" s="353"/>
      <c r="IMR3" s="353"/>
      <c r="IMS3" s="353"/>
      <c r="IMT3" s="353"/>
      <c r="IMU3" s="353"/>
      <c r="IMV3" s="353"/>
      <c r="IMW3" s="353"/>
      <c r="IMX3" s="353"/>
      <c r="IMY3" s="353"/>
      <c r="IMZ3" s="353"/>
      <c r="INA3" s="353"/>
      <c r="INB3" s="353"/>
      <c r="INC3" s="353"/>
      <c r="IND3" s="353"/>
      <c r="INE3" s="353"/>
      <c r="INF3" s="353"/>
      <c r="ING3" s="353"/>
      <c r="INH3" s="353"/>
      <c r="INI3" s="353"/>
      <c r="INJ3" s="353"/>
      <c r="INK3" s="353"/>
      <c r="INL3" s="353"/>
      <c r="INM3" s="353"/>
      <c r="INN3" s="353"/>
      <c r="INO3" s="353"/>
      <c r="INP3" s="353"/>
      <c r="INQ3" s="353"/>
      <c r="INR3" s="353"/>
      <c r="INS3" s="353"/>
      <c r="INT3" s="353"/>
      <c r="INU3" s="353"/>
      <c r="INV3" s="353"/>
      <c r="INW3" s="353"/>
      <c r="INX3" s="353"/>
      <c r="INY3" s="353"/>
      <c r="INZ3" s="353"/>
      <c r="IOA3" s="353"/>
      <c r="IOB3" s="353"/>
      <c r="IOC3" s="353"/>
      <c r="IOD3" s="353"/>
      <c r="IOE3" s="353"/>
      <c r="IOF3" s="353"/>
      <c r="IOG3" s="353"/>
      <c r="IOH3" s="353"/>
      <c r="IOI3" s="353"/>
      <c r="IOJ3" s="353"/>
      <c r="IOK3" s="353"/>
      <c r="IOL3" s="353"/>
      <c r="IOM3" s="353"/>
      <c r="ION3" s="353"/>
      <c r="IOO3" s="353"/>
      <c r="IOP3" s="353"/>
      <c r="IOQ3" s="353"/>
      <c r="IOR3" s="353"/>
      <c r="IOS3" s="353"/>
      <c r="IOT3" s="353"/>
      <c r="IOU3" s="353"/>
      <c r="IOV3" s="353"/>
      <c r="IOW3" s="353"/>
      <c r="IOX3" s="353"/>
      <c r="IOY3" s="353"/>
      <c r="IOZ3" s="353"/>
      <c r="IPA3" s="353"/>
      <c r="IPB3" s="353"/>
      <c r="IPC3" s="353"/>
      <c r="IPD3" s="353"/>
      <c r="IPE3" s="353"/>
      <c r="IPF3" s="353"/>
      <c r="IPG3" s="353"/>
      <c r="IPH3" s="353"/>
      <c r="IPI3" s="353"/>
      <c r="IPJ3" s="353"/>
      <c r="IPK3" s="353"/>
      <c r="IPL3" s="353"/>
      <c r="IPM3" s="353"/>
      <c r="IPN3" s="353"/>
      <c r="IPO3" s="353"/>
      <c r="IPP3" s="353"/>
      <c r="IPQ3" s="353"/>
      <c r="IPR3" s="353"/>
      <c r="IPS3" s="353"/>
      <c r="IPT3" s="353"/>
      <c r="IPU3" s="353"/>
      <c r="IPV3" s="353"/>
      <c r="IPW3" s="353"/>
      <c r="IPX3" s="353"/>
      <c r="IPY3" s="353"/>
      <c r="IPZ3" s="353"/>
      <c r="IQA3" s="353"/>
      <c r="IQB3" s="353"/>
      <c r="IQC3" s="353"/>
      <c r="IQD3" s="353"/>
      <c r="IQE3" s="353"/>
      <c r="IQF3" s="353"/>
      <c r="IQG3" s="353"/>
      <c r="IQH3" s="353"/>
      <c r="IQI3" s="353"/>
      <c r="IQJ3" s="353"/>
      <c r="IQK3" s="353"/>
      <c r="IQL3" s="353"/>
      <c r="IQM3" s="353"/>
      <c r="IQN3" s="353"/>
      <c r="IQO3" s="353"/>
      <c r="IQP3" s="353"/>
      <c r="IQQ3" s="353"/>
      <c r="IQR3" s="353"/>
      <c r="IQS3" s="353"/>
      <c r="IQT3" s="353"/>
      <c r="IQU3" s="353"/>
      <c r="IQV3" s="353"/>
      <c r="IQW3" s="353"/>
      <c r="IQX3" s="353"/>
      <c r="IQY3" s="353"/>
      <c r="IQZ3" s="353"/>
      <c r="IRA3" s="353"/>
      <c r="IRB3" s="353"/>
      <c r="IRC3" s="353"/>
      <c r="IRD3" s="353"/>
      <c r="IRE3" s="353"/>
      <c r="IRF3" s="353"/>
      <c r="IRG3" s="353"/>
      <c r="IRH3" s="353"/>
      <c r="IRI3" s="353"/>
      <c r="IRJ3" s="353"/>
      <c r="IRK3" s="353"/>
      <c r="IRL3" s="353"/>
      <c r="IRM3" s="353"/>
      <c r="IRN3" s="353"/>
      <c r="IRO3" s="353"/>
      <c r="IRP3" s="353"/>
      <c r="IRQ3" s="353"/>
      <c r="IRR3" s="353"/>
      <c r="IRS3" s="353"/>
      <c r="IRT3" s="353"/>
      <c r="IRU3" s="353"/>
      <c r="IRV3" s="353"/>
      <c r="IRW3" s="353"/>
      <c r="IRX3" s="353"/>
      <c r="IRY3" s="353"/>
      <c r="IRZ3" s="353"/>
      <c r="ISA3" s="353"/>
      <c r="ISB3" s="353"/>
      <c r="ISC3" s="353"/>
      <c r="ISD3" s="353"/>
      <c r="ISE3" s="353"/>
      <c r="ISF3" s="353"/>
      <c r="ISG3" s="353"/>
      <c r="ISH3" s="353"/>
      <c r="ISI3" s="353"/>
      <c r="ISJ3" s="353"/>
      <c r="ISK3" s="353"/>
      <c r="ISL3" s="353"/>
      <c r="ISM3" s="353"/>
      <c r="ISN3" s="353"/>
      <c r="ISO3" s="353"/>
      <c r="ISP3" s="353"/>
      <c r="ISQ3" s="353"/>
      <c r="ISR3" s="353"/>
      <c r="ISS3" s="353"/>
      <c r="IST3" s="353"/>
      <c r="ISU3" s="353"/>
      <c r="ISV3" s="353"/>
      <c r="ISW3" s="353"/>
      <c r="ISX3" s="353"/>
      <c r="ISY3" s="353"/>
      <c r="ISZ3" s="353"/>
      <c r="ITA3" s="353"/>
      <c r="ITB3" s="353"/>
      <c r="ITC3" s="353"/>
      <c r="ITD3" s="353"/>
      <c r="ITE3" s="353"/>
      <c r="ITF3" s="353"/>
      <c r="ITG3" s="353"/>
      <c r="ITH3" s="353"/>
      <c r="ITI3" s="353"/>
      <c r="ITJ3" s="353"/>
      <c r="ITK3" s="353"/>
      <c r="ITL3" s="353"/>
      <c r="ITM3" s="353"/>
      <c r="ITN3" s="353"/>
      <c r="ITO3" s="353"/>
      <c r="ITP3" s="353"/>
      <c r="ITQ3" s="353"/>
      <c r="ITR3" s="353"/>
      <c r="ITS3" s="353"/>
      <c r="ITT3" s="353"/>
      <c r="ITU3" s="353"/>
      <c r="ITV3" s="353"/>
      <c r="ITW3" s="353"/>
      <c r="ITX3" s="353"/>
      <c r="ITY3" s="353"/>
      <c r="ITZ3" s="353"/>
      <c r="IUA3" s="353"/>
      <c r="IUB3" s="353"/>
      <c r="IUC3" s="353"/>
      <c r="IUD3" s="353"/>
      <c r="IUE3" s="353"/>
      <c r="IUF3" s="353"/>
      <c r="IUG3" s="353"/>
      <c r="IUH3" s="353"/>
      <c r="IUI3" s="353"/>
      <c r="IUJ3" s="353"/>
      <c r="IUK3" s="353"/>
      <c r="IUL3" s="353"/>
      <c r="IUM3" s="353"/>
      <c r="IUN3" s="353"/>
      <c r="IUO3" s="353"/>
      <c r="IUP3" s="353"/>
      <c r="IUQ3" s="353"/>
      <c r="IUR3" s="353"/>
      <c r="IUS3" s="353"/>
      <c r="IUT3" s="353"/>
      <c r="IUU3" s="353"/>
      <c r="IUV3" s="353"/>
      <c r="IUW3" s="353"/>
      <c r="IUX3" s="353"/>
      <c r="IUY3" s="353"/>
      <c r="IUZ3" s="353"/>
      <c r="IVA3" s="353"/>
      <c r="IVB3" s="353"/>
      <c r="IVC3" s="353"/>
      <c r="IVD3" s="353"/>
      <c r="IVE3" s="353"/>
      <c r="IVF3" s="353"/>
      <c r="IVG3" s="353"/>
      <c r="IVH3" s="353"/>
      <c r="IVI3" s="353"/>
      <c r="IVJ3" s="353"/>
      <c r="IVK3" s="353"/>
      <c r="IVL3" s="353"/>
      <c r="IVM3" s="353"/>
      <c r="IVN3" s="353"/>
      <c r="IVO3" s="353"/>
      <c r="IVP3" s="353"/>
      <c r="IVQ3" s="353"/>
      <c r="IVR3" s="353"/>
      <c r="IVS3" s="353"/>
      <c r="IVT3" s="353"/>
      <c r="IVU3" s="353"/>
      <c r="IVV3" s="353"/>
      <c r="IVW3" s="353"/>
      <c r="IVX3" s="353"/>
      <c r="IVY3" s="353"/>
      <c r="IVZ3" s="353"/>
      <c r="IWA3" s="353"/>
      <c r="IWB3" s="353"/>
      <c r="IWC3" s="353"/>
      <c r="IWD3" s="353"/>
      <c r="IWE3" s="353"/>
      <c r="IWF3" s="353"/>
      <c r="IWG3" s="353"/>
      <c r="IWH3" s="353"/>
      <c r="IWI3" s="353"/>
      <c r="IWJ3" s="353"/>
      <c r="IWK3" s="353"/>
      <c r="IWL3" s="353"/>
      <c r="IWM3" s="353"/>
      <c r="IWN3" s="353"/>
      <c r="IWO3" s="353"/>
      <c r="IWP3" s="353"/>
      <c r="IWQ3" s="353"/>
      <c r="IWR3" s="353"/>
      <c r="IWS3" s="353"/>
      <c r="IWT3" s="353"/>
      <c r="IWU3" s="353"/>
      <c r="IWV3" s="353"/>
      <c r="IWW3" s="353"/>
      <c r="IWX3" s="353"/>
      <c r="IWY3" s="353"/>
      <c r="IWZ3" s="353"/>
      <c r="IXA3" s="353"/>
      <c r="IXB3" s="353"/>
      <c r="IXC3" s="353"/>
      <c r="IXD3" s="353"/>
      <c r="IXE3" s="353"/>
      <c r="IXF3" s="353"/>
      <c r="IXG3" s="353"/>
      <c r="IXH3" s="353"/>
      <c r="IXI3" s="353"/>
      <c r="IXJ3" s="353"/>
      <c r="IXK3" s="353"/>
      <c r="IXL3" s="353"/>
      <c r="IXM3" s="353"/>
      <c r="IXN3" s="353"/>
      <c r="IXO3" s="353"/>
      <c r="IXP3" s="353"/>
      <c r="IXQ3" s="353"/>
      <c r="IXR3" s="353"/>
      <c r="IXS3" s="353"/>
      <c r="IXT3" s="353"/>
      <c r="IXU3" s="353"/>
      <c r="IXV3" s="353"/>
      <c r="IXW3" s="353"/>
      <c r="IXX3" s="353"/>
      <c r="IXY3" s="353"/>
      <c r="IXZ3" s="353"/>
      <c r="IYA3" s="353"/>
      <c r="IYB3" s="353"/>
      <c r="IYC3" s="353"/>
      <c r="IYD3" s="353"/>
      <c r="IYE3" s="353"/>
      <c r="IYF3" s="353"/>
      <c r="IYG3" s="353"/>
      <c r="IYH3" s="353"/>
      <c r="IYI3" s="353"/>
      <c r="IYJ3" s="353"/>
      <c r="IYK3" s="353"/>
      <c r="IYL3" s="353"/>
      <c r="IYM3" s="353"/>
      <c r="IYN3" s="353"/>
      <c r="IYO3" s="353"/>
      <c r="IYP3" s="353"/>
      <c r="IYQ3" s="353"/>
      <c r="IYR3" s="353"/>
      <c r="IYS3" s="353"/>
      <c r="IYT3" s="353"/>
      <c r="IYU3" s="353"/>
      <c r="IYV3" s="353"/>
      <c r="IYW3" s="353"/>
      <c r="IYX3" s="353"/>
      <c r="IYY3" s="353"/>
      <c r="IYZ3" s="353"/>
      <c r="IZA3" s="353"/>
      <c r="IZB3" s="353"/>
      <c r="IZC3" s="353"/>
      <c r="IZD3" s="353"/>
      <c r="IZE3" s="353"/>
      <c r="IZF3" s="353"/>
      <c r="IZG3" s="353"/>
      <c r="IZH3" s="353"/>
      <c r="IZI3" s="353"/>
      <c r="IZJ3" s="353"/>
      <c r="IZK3" s="353"/>
      <c r="IZL3" s="353"/>
      <c r="IZM3" s="353"/>
      <c r="IZN3" s="353"/>
      <c r="IZO3" s="353"/>
      <c r="IZP3" s="353"/>
      <c r="IZQ3" s="353"/>
      <c r="IZR3" s="353"/>
      <c r="IZS3" s="353"/>
      <c r="IZT3" s="353"/>
      <c r="IZU3" s="353"/>
      <c r="IZV3" s="353"/>
      <c r="IZW3" s="353"/>
      <c r="IZX3" s="353"/>
      <c r="IZY3" s="353"/>
      <c r="IZZ3" s="353"/>
      <c r="JAA3" s="353"/>
      <c r="JAB3" s="353"/>
      <c r="JAC3" s="353"/>
      <c r="JAD3" s="353"/>
      <c r="JAE3" s="353"/>
      <c r="JAF3" s="353"/>
      <c r="JAG3" s="353"/>
      <c r="JAH3" s="353"/>
      <c r="JAI3" s="353"/>
      <c r="JAJ3" s="353"/>
      <c r="JAK3" s="353"/>
      <c r="JAL3" s="353"/>
      <c r="JAM3" s="353"/>
      <c r="JAN3" s="353"/>
      <c r="JAO3" s="353"/>
      <c r="JAP3" s="353"/>
      <c r="JAQ3" s="353"/>
      <c r="JAR3" s="353"/>
      <c r="JAS3" s="353"/>
      <c r="JAT3" s="353"/>
      <c r="JAU3" s="353"/>
      <c r="JAV3" s="353"/>
      <c r="JAW3" s="353"/>
      <c r="JAX3" s="353"/>
      <c r="JAY3" s="353"/>
      <c r="JAZ3" s="353"/>
      <c r="JBA3" s="353"/>
      <c r="JBB3" s="353"/>
      <c r="JBC3" s="353"/>
      <c r="JBD3" s="353"/>
      <c r="JBE3" s="353"/>
      <c r="JBF3" s="353"/>
      <c r="JBG3" s="353"/>
      <c r="JBH3" s="353"/>
      <c r="JBI3" s="353"/>
      <c r="JBJ3" s="353"/>
      <c r="JBK3" s="353"/>
      <c r="JBL3" s="353"/>
      <c r="JBM3" s="353"/>
      <c r="JBN3" s="353"/>
      <c r="JBO3" s="353"/>
      <c r="JBP3" s="353"/>
      <c r="JBQ3" s="353"/>
      <c r="JBR3" s="353"/>
      <c r="JBS3" s="353"/>
      <c r="JBT3" s="353"/>
      <c r="JBU3" s="353"/>
      <c r="JBV3" s="353"/>
      <c r="JBW3" s="353"/>
      <c r="JBX3" s="353"/>
      <c r="JBY3" s="353"/>
      <c r="JBZ3" s="353"/>
      <c r="JCA3" s="353"/>
      <c r="JCB3" s="353"/>
      <c r="JCC3" s="353"/>
      <c r="JCD3" s="353"/>
      <c r="JCE3" s="353"/>
      <c r="JCF3" s="353"/>
      <c r="JCG3" s="353"/>
      <c r="JCH3" s="353"/>
      <c r="JCI3" s="353"/>
      <c r="JCJ3" s="353"/>
      <c r="JCK3" s="353"/>
      <c r="JCL3" s="353"/>
      <c r="JCM3" s="353"/>
      <c r="JCN3" s="353"/>
      <c r="JCO3" s="353"/>
      <c r="JCP3" s="353"/>
      <c r="JCQ3" s="353"/>
      <c r="JCR3" s="353"/>
      <c r="JCS3" s="353"/>
      <c r="JCT3" s="353"/>
      <c r="JCU3" s="353"/>
      <c r="JCV3" s="353"/>
      <c r="JCW3" s="353"/>
      <c r="JCX3" s="353"/>
      <c r="JCY3" s="353"/>
      <c r="JCZ3" s="353"/>
      <c r="JDA3" s="353"/>
      <c r="JDB3" s="353"/>
      <c r="JDC3" s="353"/>
      <c r="JDD3" s="353"/>
      <c r="JDE3" s="353"/>
      <c r="JDF3" s="353"/>
      <c r="JDG3" s="353"/>
      <c r="JDH3" s="353"/>
      <c r="JDI3" s="353"/>
      <c r="JDJ3" s="353"/>
      <c r="JDK3" s="353"/>
      <c r="JDL3" s="353"/>
      <c r="JDM3" s="353"/>
      <c r="JDN3" s="353"/>
      <c r="JDO3" s="353"/>
      <c r="JDP3" s="353"/>
      <c r="JDQ3" s="353"/>
      <c r="JDR3" s="353"/>
      <c r="JDS3" s="353"/>
      <c r="JDT3" s="353"/>
      <c r="JDU3" s="353"/>
      <c r="JDV3" s="353"/>
      <c r="JDW3" s="353"/>
      <c r="JDX3" s="353"/>
      <c r="JDY3" s="353"/>
      <c r="JDZ3" s="353"/>
      <c r="JEA3" s="353"/>
      <c r="JEB3" s="353"/>
      <c r="JEC3" s="353"/>
      <c r="JED3" s="353"/>
      <c r="JEE3" s="353"/>
      <c r="JEF3" s="353"/>
      <c r="JEG3" s="353"/>
      <c r="JEH3" s="353"/>
      <c r="JEI3" s="353"/>
      <c r="JEJ3" s="353"/>
      <c r="JEK3" s="353"/>
      <c r="JEL3" s="353"/>
      <c r="JEM3" s="353"/>
      <c r="JEN3" s="353"/>
      <c r="JEO3" s="353"/>
      <c r="JEP3" s="353"/>
      <c r="JEQ3" s="353"/>
      <c r="JER3" s="353"/>
      <c r="JES3" s="353"/>
      <c r="JET3" s="353"/>
      <c r="JEU3" s="353"/>
      <c r="JEV3" s="353"/>
      <c r="JEW3" s="353"/>
      <c r="JEX3" s="353"/>
      <c r="JEY3" s="353"/>
      <c r="JEZ3" s="353"/>
      <c r="JFA3" s="353"/>
      <c r="JFB3" s="353"/>
      <c r="JFC3" s="353"/>
      <c r="JFD3" s="353"/>
      <c r="JFE3" s="353"/>
      <c r="JFF3" s="353"/>
      <c r="JFG3" s="353"/>
      <c r="JFH3" s="353"/>
      <c r="JFI3" s="353"/>
      <c r="JFJ3" s="353"/>
      <c r="JFK3" s="353"/>
      <c r="JFL3" s="353"/>
      <c r="JFM3" s="353"/>
      <c r="JFN3" s="353"/>
      <c r="JFO3" s="353"/>
      <c r="JFP3" s="353"/>
      <c r="JFQ3" s="353"/>
      <c r="JFR3" s="353"/>
      <c r="JFS3" s="353"/>
      <c r="JFT3" s="353"/>
      <c r="JFU3" s="353"/>
      <c r="JFV3" s="353"/>
      <c r="JFW3" s="353"/>
      <c r="JFX3" s="353"/>
      <c r="JFY3" s="353"/>
      <c r="JFZ3" s="353"/>
      <c r="JGA3" s="353"/>
      <c r="JGB3" s="353"/>
      <c r="JGC3" s="353"/>
      <c r="JGD3" s="353"/>
      <c r="JGE3" s="353"/>
      <c r="JGF3" s="353"/>
      <c r="JGG3" s="353"/>
      <c r="JGH3" s="353"/>
      <c r="JGI3" s="353"/>
      <c r="JGJ3" s="353"/>
      <c r="JGK3" s="353"/>
      <c r="JGL3" s="353"/>
      <c r="JGM3" s="353"/>
      <c r="JGN3" s="353"/>
      <c r="JGO3" s="353"/>
      <c r="JGP3" s="353"/>
      <c r="JGQ3" s="353"/>
      <c r="JGR3" s="353"/>
      <c r="JGS3" s="353"/>
      <c r="JGT3" s="353"/>
      <c r="JGU3" s="353"/>
      <c r="JGV3" s="353"/>
      <c r="JGW3" s="353"/>
      <c r="JGX3" s="353"/>
      <c r="JGY3" s="353"/>
      <c r="JGZ3" s="353"/>
      <c r="JHA3" s="353"/>
      <c r="JHB3" s="353"/>
      <c r="JHC3" s="353"/>
      <c r="JHD3" s="353"/>
      <c r="JHE3" s="353"/>
      <c r="JHF3" s="353"/>
      <c r="JHG3" s="353"/>
      <c r="JHH3" s="353"/>
      <c r="JHI3" s="353"/>
      <c r="JHJ3" s="353"/>
      <c r="JHK3" s="353"/>
      <c r="JHL3" s="353"/>
      <c r="JHM3" s="353"/>
      <c r="JHN3" s="353"/>
      <c r="JHO3" s="353"/>
      <c r="JHP3" s="353"/>
      <c r="JHQ3" s="353"/>
      <c r="JHR3" s="353"/>
      <c r="JHS3" s="353"/>
      <c r="JHT3" s="353"/>
      <c r="JHU3" s="353"/>
      <c r="JHV3" s="353"/>
      <c r="JHW3" s="353"/>
      <c r="JHX3" s="353"/>
      <c r="JHY3" s="353"/>
      <c r="JHZ3" s="353"/>
      <c r="JIA3" s="353"/>
      <c r="JIB3" s="353"/>
      <c r="JIC3" s="353"/>
      <c r="JID3" s="353"/>
      <c r="JIE3" s="353"/>
      <c r="JIF3" s="353"/>
      <c r="JIG3" s="353"/>
      <c r="JIH3" s="353"/>
      <c r="JII3" s="353"/>
      <c r="JIJ3" s="353"/>
      <c r="JIK3" s="353"/>
      <c r="JIL3" s="353"/>
      <c r="JIM3" s="353"/>
      <c r="JIN3" s="353"/>
      <c r="JIO3" s="353"/>
      <c r="JIP3" s="353"/>
      <c r="JIQ3" s="353"/>
      <c r="JIR3" s="353"/>
      <c r="JIS3" s="353"/>
      <c r="JIT3" s="353"/>
      <c r="JIU3" s="353"/>
      <c r="JIV3" s="353"/>
      <c r="JIW3" s="353"/>
      <c r="JIX3" s="353"/>
      <c r="JIY3" s="353"/>
      <c r="JIZ3" s="353"/>
      <c r="JJA3" s="353"/>
      <c r="JJB3" s="353"/>
      <c r="JJC3" s="353"/>
      <c r="JJD3" s="353"/>
      <c r="JJE3" s="353"/>
      <c r="JJF3" s="353"/>
      <c r="JJG3" s="353"/>
      <c r="JJH3" s="353"/>
      <c r="JJI3" s="353"/>
      <c r="JJJ3" s="353"/>
      <c r="JJK3" s="353"/>
      <c r="JJL3" s="353"/>
      <c r="JJM3" s="353"/>
      <c r="JJN3" s="353"/>
      <c r="JJO3" s="353"/>
      <c r="JJP3" s="353"/>
      <c r="JJQ3" s="353"/>
      <c r="JJR3" s="353"/>
      <c r="JJS3" s="353"/>
      <c r="JJT3" s="353"/>
      <c r="JJU3" s="353"/>
      <c r="JJV3" s="353"/>
      <c r="JJW3" s="353"/>
      <c r="JJX3" s="353"/>
      <c r="JJY3" s="353"/>
      <c r="JJZ3" s="353"/>
      <c r="JKA3" s="353"/>
      <c r="JKB3" s="353"/>
      <c r="JKC3" s="353"/>
      <c r="JKD3" s="353"/>
      <c r="JKE3" s="353"/>
      <c r="JKF3" s="353"/>
      <c r="JKG3" s="353"/>
      <c r="JKH3" s="353"/>
      <c r="JKI3" s="353"/>
      <c r="JKJ3" s="353"/>
      <c r="JKK3" s="353"/>
      <c r="JKL3" s="353"/>
      <c r="JKM3" s="353"/>
      <c r="JKN3" s="353"/>
      <c r="JKO3" s="353"/>
      <c r="JKP3" s="353"/>
      <c r="JKQ3" s="353"/>
      <c r="JKR3" s="353"/>
      <c r="JKS3" s="353"/>
      <c r="JKT3" s="353"/>
      <c r="JKU3" s="353"/>
      <c r="JKV3" s="353"/>
      <c r="JKW3" s="353"/>
      <c r="JKX3" s="353"/>
      <c r="JKY3" s="353"/>
      <c r="JKZ3" s="353"/>
      <c r="JLA3" s="353"/>
      <c r="JLB3" s="353"/>
      <c r="JLC3" s="353"/>
      <c r="JLD3" s="353"/>
      <c r="JLE3" s="353"/>
      <c r="JLF3" s="353"/>
      <c r="JLG3" s="353"/>
      <c r="JLH3" s="353"/>
      <c r="JLI3" s="353"/>
      <c r="JLJ3" s="353"/>
      <c r="JLK3" s="353"/>
      <c r="JLL3" s="353"/>
      <c r="JLM3" s="353"/>
      <c r="JLN3" s="353"/>
      <c r="JLO3" s="353"/>
      <c r="JLP3" s="353"/>
      <c r="JLQ3" s="353"/>
      <c r="JLR3" s="353"/>
      <c r="JLS3" s="353"/>
      <c r="JLT3" s="353"/>
      <c r="JLU3" s="353"/>
      <c r="JLV3" s="353"/>
      <c r="JLW3" s="353"/>
      <c r="JLX3" s="353"/>
      <c r="JLY3" s="353"/>
      <c r="JLZ3" s="353"/>
      <c r="JMA3" s="353"/>
      <c r="JMB3" s="353"/>
      <c r="JMC3" s="353"/>
      <c r="JMD3" s="353"/>
      <c r="JME3" s="353"/>
      <c r="JMF3" s="353"/>
      <c r="JMG3" s="353"/>
      <c r="JMH3" s="353"/>
      <c r="JMI3" s="353"/>
      <c r="JMJ3" s="353"/>
      <c r="JMK3" s="353"/>
      <c r="JML3" s="353"/>
      <c r="JMM3" s="353"/>
      <c r="JMN3" s="353"/>
      <c r="JMO3" s="353"/>
      <c r="JMP3" s="353"/>
      <c r="JMQ3" s="353"/>
      <c r="JMR3" s="353"/>
      <c r="JMS3" s="353"/>
      <c r="JMT3" s="353"/>
      <c r="JMU3" s="353"/>
      <c r="JMV3" s="353"/>
      <c r="JMW3" s="353"/>
      <c r="JMX3" s="353"/>
      <c r="JMY3" s="353"/>
      <c r="JMZ3" s="353"/>
      <c r="JNA3" s="353"/>
      <c r="JNB3" s="353"/>
      <c r="JNC3" s="353"/>
      <c r="JND3" s="353"/>
      <c r="JNE3" s="353"/>
      <c r="JNF3" s="353"/>
      <c r="JNG3" s="353"/>
      <c r="JNH3" s="353"/>
      <c r="JNI3" s="353"/>
      <c r="JNJ3" s="353"/>
      <c r="JNK3" s="353"/>
      <c r="JNL3" s="353"/>
      <c r="JNM3" s="353"/>
      <c r="JNN3" s="353"/>
      <c r="JNO3" s="353"/>
      <c r="JNP3" s="353"/>
      <c r="JNQ3" s="353"/>
      <c r="JNR3" s="353"/>
      <c r="JNS3" s="353"/>
      <c r="JNT3" s="353"/>
      <c r="JNU3" s="353"/>
      <c r="JNV3" s="353"/>
      <c r="JNW3" s="353"/>
      <c r="JNX3" s="353"/>
      <c r="JNY3" s="353"/>
      <c r="JNZ3" s="353"/>
      <c r="JOA3" s="353"/>
      <c r="JOB3" s="353"/>
      <c r="JOC3" s="353"/>
      <c r="JOD3" s="353"/>
      <c r="JOE3" s="353"/>
      <c r="JOF3" s="353"/>
      <c r="JOG3" s="353"/>
      <c r="JOH3" s="353"/>
      <c r="JOI3" s="353"/>
      <c r="JOJ3" s="353"/>
      <c r="JOK3" s="353"/>
      <c r="JOL3" s="353"/>
      <c r="JOM3" s="353"/>
      <c r="JON3" s="353"/>
      <c r="JOO3" s="353"/>
      <c r="JOP3" s="353"/>
      <c r="JOQ3" s="353"/>
      <c r="JOR3" s="353"/>
      <c r="JOS3" s="353"/>
      <c r="JOT3" s="353"/>
      <c r="JOU3" s="353"/>
      <c r="JOV3" s="353"/>
      <c r="JOW3" s="353"/>
      <c r="JOX3" s="353"/>
      <c r="JOY3" s="353"/>
      <c r="JOZ3" s="353"/>
      <c r="JPA3" s="353"/>
      <c r="JPB3" s="353"/>
      <c r="JPC3" s="353"/>
      <c r="JPD3" s="353"/>
      <c r="JPE3" s="353"/>
      <c r="JPF3" s="353"/>
      <c r="JPG3" s="353"/>
      <c r="JPH3" s="353"/>
      <c r="JPI3" s="353"/>
      <c r="JPJ3" s="353"/>
      <c r="JPK3" s="353"/>
      <c r="JPL3" s="353"/>
      <c r="JPM3" s="353"/>
      <c r="JPN3" s="353"/>
      <c r="JPO3" s="353"/>
      <c r="JPP3" s="353"/>
      <c r="JPQ3" s="353"/>
      <c r="JPR3" s="353"/>
      <c r="JPS3" s="353"/>
      <c r="JPT3" s="353"/>
      <c r="JPU3" s="353"/>
      <c r="JPV3" s="353"/>
      <c r="JPW3" s="353"/>
      <c r="JPX3" s="353"/>
      <c r="JPY3" s="353"/>
      <c r="JPZ3" s="353"/>
      <c r="JQA3" s="353"/>
      <c r="JQB3" s="353"/>
      <c r="JQC3" s="353"/>
      <c r="JQD3" s="353"/>
      <c r="JQE3" s="353"/>
      <c r="JQF3" s="353"/>
      <c r="JQG3" s="353"/>
      <c r="JQH3" s="353"/>
      <c r="JQI3" s="353"/>
      <c r="JQJ3" s="353"/>
      <c r="JQK3" s="353"/>
      <c r="JQL3" s="353"/>
      <c r="JQM3" s="353"/>
      <c r="JQN3" s="353"/>
      <c r="JQO3" s="353"/>
      <c r="JQP3" s="353"/>
      <c r="JQQ3" s="353"/>
      <c r="JQR3" s="353"/>
      <c r="JQS3" s="353"/>
      <c r="JQT3" s="353"/>
      <c r="JQU3" s="353"/>
      <c r="JQV3" s="353"/>
      <c r="JQW3" s="353"/>
      <c r="JQX3" s="353"/>
      <c r="JQY3" s="353"/>
      <c r="JQZ3" s="353"/>
      <c r="JRA3" s="353"/>
      <c r="JRB3" s="353"/>
      <c r="JRC3" s="353"/>
      <c r="JRD3" s="353"/>
      <c r="JRE3" s="353"/>
      <c r="JRF3" s="353"/>
      <c r="JRG3" s="353"/>
      <c r="JRH3" s="353"/>
      <c r="JRI3" s="353"/>
      <c r="JRJ3" s="353"/>
      <c r="JRK3" s="353"/>
      <c r="JRL3" s="353"/>
      <c r="JRM3" s="353"/>
      <c r="JRN3" s="353"/>
      <c r="JRO3" s="353"/>
      <c r="JRP3" s="353"/>
      <c r="JRQ3" s="353"/>
      <c r="JRR3" s="353"/>
      <c r="JRS3" s="353"/>
      <c r="JRT3" s="353"/>
      <c r="JRU3" s="353"/>
      <c r="JRV3" s="353"/>
      <c r="JRW3" s="353"/>
      <c r="JRX3" s="353"/>
      <c r="JRY3" s="353"/>
      <c r="JRZ3" s="353"/>
      <c r="JSA3" s="353"/>
      <c r="JSB3" s="353"/>
      <c r="JSC3" s="353"/>
      <c r="JSD3" s="353"/>
      <c r="JSE3" s="353"/>
      <c r="JSF3" s="353"/>
      <c r="JSG3" s="353"/>
      <c r="JSH3" s="353"/>
      <c r="JSI3" s="353"/>
      <c r="JSJ3" s="353"/>
      <c r="JSK3" s="353"/>
      <c r="JSL3" s="353"/>
      <c r="JSM3" s="353"/>
      <c r="JSN3" s="353"/>
      <c r="JSO3" s="353"/>
      <c r="JSP3" s="353"/>
      <c r="JSQ3" s="353"/>
      <c r="JSR3" s="353"/>
      <c r="JSS3" s="353"/>
      <c r="JST3" s="353"/>
      <c r="JSU3" s="353"/>
      <c r="JSV3" s="353"/>
      <c r="JSW3" s="353"/>
      <c r="JSX3" s="353"/>
      <c r="JSY3" s="353"/>
      <c r="JSZ3" s="353"/>
      <c r="JTA3" s="353"/>
      <c r="JTB3" s="353"/>
      <c r="JTC3" s="353"/>
      <c r="JTD3" s="353"/>
      <c r="JTE3" s="353"/>
      <c r="JTF3" s="353"/>
      <c r="JTG3" s="353"/>
      <c r="JTH3" s="353"/>
      <c r="JTI3" s="353"/>
      <c r="JTJ3" s="353"/>
      <c r="JTK3" s="353"/>
      <c r="JTL3" s="353"/>
      <c r="JTM3" s="353"/>
      <c r="JTN3" s="353"/>
      <c r="JTO3" s="353"/>
      <c r="JTP3" s="353"/>
      <c r="JTQ3" s="353"/>
      <c r="JTR3" s="353"/>
      <c r="JTS3" s="353"/>
      <c r="JTT3" s="353"/>
      <c r="JTU3" s="353"/>
      <c r="JTV3" s="353"/>
      <c r="JTW3" s="353"/>
      <c r="JTX3" s="353"/>
      <c r="JTY3" s="353"/>
      <c r="JTZ3" s="353"/>
      <c r="JUA3" s="353"/>
      <c r="JUB3" s="353"/>
      <c r="JUC3" s="353"/>
      <c r="JUD3" s="353"/>
      <c r="JUE3" s="353"/>
      <c r="JUF3" s="353"/>
      <c r="JUG3" s="353"/>
      <c r="JUH3" s="353"/>
      <c r="JUI3" s="353"/>
      <c r="JUJ3" s="353"/>
      <c r="JUK3" s="353"/>
      <c r="JUL3" s="353"/>
      <c r="JUM3" s="353"/>
      <c r="JUN3" s="353"/>
      <c r="JUO3" s="353"/>
      <c r="JUP3" s="353"/>
      <c r="JUQ3" s="353"/>
      <c r="JUR3" s="353"/>
      <c r="JUS3" s="353"/>
      <c r="JUT3" s="353"/>
      <c r="JUU3" s="353"/>
      <c r="JUV3" s="353"/>
      <c r="JUW3" s="353"/>
      <c r="JUX3" s="353"/>
      <c r="JUY3" s="353"/>
      <c r="JUZ3" s="353"/>
      <c r="JVA3" s="353"/>
      <c r="JVB3" s="353"/>
      <c r="JVC3" s="353"/>
      <c r="JVD3" s="353"/>
      <c r="JVE3" s="353"/>
      <c r="JVF3" s="353"/>
      <c r="JVG3" s="353"/>
      <c r="JVH3" s="353"/>
      <c r="JVI3" s="353"/>
      <c r="JVJ3" s="353"/>
      <c r="JVK3" s="353"/>
      <c r="JVL3" s="353"/>
      <c r="JVM3" s="353"/>
      <c r="JVN3" s="353"/>
      <c r="JVO3" s="353"/>
      <c r="JVP3" s="353"/>
      <c r="JVQ3" s="353"/>
      <c r="JVR3" s="353"/>
      <c r="JVS3" s="353"/>
      <c r="JVT3" s="353"/>
      <c r="JVU3" s="353"/>
      <c r="JVV3" s="353"/>
      <c r="JVW3" s="353"/>
      <c r="JVX3" s="353"/>
      <c r="JVY3" s="353"/>
      <c r="JVZ3" s="353"/>
      <c r="JWA3" s="353"/>
      <c r="JWB3" s="353"/>
      <c r="JWC3" s="353"/>
      <c r="JWD3" s="353"/>
      <c r="JWE3" s="353"/>
      <c r="JWF3" s="353"/>
      <c r="JWG3" s="353"/>
      <c r="JWH3" s="353"/>
      <c r="JWI3" s="353"/>
      <c r="JWJ3" s="353"/>
      <c r="JWK3" s="353"/>
      <c r="JWL3" s="353"/>
      <c r="JWM3" s="353"/>
      <c r="JWN3" s="353"/>
      <c r="JWO3" s="353"/>
      <c r="JWP3" s="353"/>
      <c r="JWQ3" s="353"/>
      <c r="JWR3" s="353"/>
      <c r="JWS3" s="353"/>
      <c r="JWT3" s="353"/>
      <c r="JWU3" s="353"/>
      <c r="JWV3" s="353"/>
      <c r="JWW3" s="353"/>
      <c r="JWX3" s="353"/>
      <c r="JWY3" s="353"/>
      <c r="JWZ3" s="353"/>
      <c r="JXA3" s="353"/>
      <c r="JXB3" s="353"/>
      <c r="JXC3" s="353"/>
      <c r="JXD3" s="353"/>
      <c r="JXE3" s="353"/>
      <c r="JXF3" s="353"/>
      <c r="JXG3" s="353"/>
      <c r="JXH3" s="353"/>
      <c r="JXI3" s="353"/>
      <c r="JXJ3" s="353"/>
      <c r="JXK3" s="353"/>
      <c r="JXL3" s="353"/>
      <c r="JXM3" s="353"/>
      <c r="JXN3" s="353"/>
      <c r="JXO3" s="353"/>
      <c r="JXP3" s="353"/>
      <c r="JXQ3" s="353"/>
      <c r="JXR3" s="353"/>
      <c r="JXS3" s="353"/>
      <c r="JXT3" s="353"/>
      <c r="JXU3" s="353"/>
      <c r="JXV3" s="353"/>
      <c r="JXW3" s="353"/>
      <c r="JXX3" s="353"/>
      <c r="JXY3" s="353"/>
      <c r="JXZ3" s="353"/>
      <c r="JYA3" s="353"/>
      <c r="JYB3" s="353"/>
      <c r="JYC3" s="353"/>
      <c r="JYD3" s="353"/>
      <c r="JYE3" s="353"/>
      <c r="JYF3" s="353"/>
      <c r="JYG3" s="353"/>
      <c r="JYH3" s="353"/>
      <c r="JYI3" s="353"/>
      <c r="JYJ3" s="353"/>
      <c r="JYK3" s="353"/>
      <c r="JYL3" s="353"/>
      <c r="JYM3" s="353"/>
      <c r="JYN3" s="353"/>
      <c r="JYO3" s="353"/>
      <c r="JYP3" s="353"/>
      <c r="JYQ3" s="353"/>
      <c r="JYR3" s="353"/>
      <c r="JYS3" s="353"/>
      <c r="JYT3" s="353"/>
      <c r="JYU3" s="353"/>
      <c r="JYV3" s="353"/>
      <c r="JYW3" s="353"/>
      <c r="JYX3" s="353"/>
      <c r="JYY3" s="353"/>
      <c r="JYZ3" s="353"/>
      <c r="JZA3" s="353"/>
      <c r="JZB3" s="353"/>
      <c r="JZC3" s="353"/>
      <c r="JZD3" s="353"/>
      <c r="JZE3" s="353"/>
      <c r="JZF3" s="353"/>
      <c r="JZG3" s="353"/>
      <c r="JZH3" s="353"/>
      <c r="JZI3" s="353"/>
      <c r="JZJ3" s="353"/>
      <c r="JZK3" s="353"/>
      <c r="JZL3" s="353"/>
      <c r="JZM3" s="353"/>
      <c r="JZN3" s="353"/>
      <c r="JZO3" s="353"/>
      <c r="JZP3" s="353"/>
      <c r="JZQ3" s="353"/>
      <c r="JZR3" s="353"/>
      <c r="JZS3" s="353"/>
      <c r="JZT3" s="353"/>
      <c r="JZU3" s="353"/>
      <c r="JZV3" s="353"/>
      <c r="JZW3" s="353"/>
      <c r="JZX3" s="353"/>
      <c r="JZY3" s="353"/>
      <c r="JZZ3" s="353"/>
      <c r="KAA3" s="353"/>
      <c r="KAB3" s="353"/>
      <c r="KAC3" s="353"/>
      <c r="KAD3" s="353"/>
      <c r="KAE3" s="353"/>
      <c r="KAF3" s="353"/>
      <c r="KAG3" s="353"/>
      <c r="KAH3" s="353"/>
      <c r="KAI3" s="353"/>
      <c r="KAJ3" s="353"/>
      <c r="KAK3" s="353"/>
      <c r="KAL3" s="353"/>
      <c r="KAM3" s="353"/>
      <c r="KAN3" s="353"/>
      <c r="KAO3" s="353"/>
      <c r="KAP3" s="353"/>
      <c r="KAQ3" s="353"/>
      <c r="KAR3" s="353"/>
      <c r="KAS3" s="353"/>
      <c r="KAT3" s="353"/>
      <c r="KAU3" s="353"/>
      <c r="KAV3" s="353"/>
      <c r="KAW3" s="353"/>
      <c r="KAX3" s="353"/>
      <c r="KAY3" s="353"/>
      <c r="KAZ3" s="353"/>
      <c r="KBA3" s="353"/>
      <c r="KBB3" s="353"/>
      <c r="KBC3" s="353"/>
      <c r="KBD3" s="353"/>
      <c r="KBE3" s="353"/>
      <c r="KBF3" s="353"/>
      <c r="KBG3" s="353"/>
      <c r="KBH3" s="353"/>
      <c r="KBI3" s="353"/>
      <c r="KBJ3" s="353"/>
      <c r="KBK3" s="353"/>
      <c r="KBL3" s="353"/>
      <c r="KBM3" s="353"/>
      <c r="KBN3" s="353"/>
      <c r="KBO3" s="353"/>
      <c r="KBP3" s="353"/>
      <c r="KBQ3" s="353"/>
      <c r="KBR3" s="353"/>
      <c r="KBS3" s="353"/>
      <c r="KBT3" s="353"/>
      <c r="KBU3" s="353"/>
      <c r="KBV3" s="353"/>
      <c r="KBW3" s="353"/>
      <c r="KBX3" s="353"/>
      <c r="KBY3" s="353"/>
      <c r="KBZ3" s="353"/>
      <c r="KCA3" s="353"/>
      <c r="KCB3" s="353"/>
      <c r="KCC3" s="353"/>
      <c r="KCD3" s="353"/>
      <c r="KCE3" s="353"/>
      <c r="KCF3" s="353"/>
      <c r="KCG3" s="353"/>
      <c r="KCH3" s="353"/>
      <c r="KCI3" s="353"/>
      <c r="KCJ3" s="353"/>
      <c r="KCK3" s="353"/>
      <c r="KCL3" s="353"/>
      <c r="KCM3" s="353"/>
      <c r="KCN3" s="353"/>
      <c r="KCO3" s="353"/>
      <c r="KCP3" s="353"/>
      <c r="KCQ3" s="353"/>
      <c r="KCR3" s="353"/>
      <c r="KCS3" s="353"/>
      <c r="KCT3" s="353"/>
      <c r="KCU3" s="353"/>
      <c r="KCV3" s="353"/>
      <c r="KCW3" s="353"/>
      <c r="KCX3" s="353"/>
      <c r="KCY3" s="353"/>
      <c r="KCZ3" s="353"/>
      <c r="KDA3" s="353"/>
      <c r="KDB3" s="353"/>
      <c r="KDC3" s="353"/>
      <c r="KDD3" s="353"/>
      <c r="KDE3" s="353"/>
      <c r="KDF3" s="353"/>
      <c r="KDG3" s="353"/>
      <c r="KDH3" s="353"/>
      <c r="KDI3" s="353"/>
      <c r="KDJ3" s="353"/>
      <c r="KDK3" s="353"/>
      <c r="KDL3" s="353"/>
      <c r="KDM3" s="353"/>
      <c r="KDN3" s="353"/>
      <c r="KDO3" s="353"/>
      <c r="KDP3" s="353"/>
      <c r="KDQ3" s="353"/>
      <c r="KDR3" s="353"/>
      <c r="KDS3" s="353"/>
      <c r="KDT3" s="353"/>
      <c r="KDU3" s="353"/>
      <c r="KDV3" s="353"/>
      <c r="KDW3" s="353"/>
      <c r="KDX3" s="353"/>
      <c r="KDY3" s="353"/>
      <c r="KDZ3" s="353"/>
      <c r="KEA3" s="353"/>
      <c r="KEB3" s="353"/>
      <c r="KEC3" s="353"/>
      <c r="KED3" s="353"/>
      <c r="KEE3" s="353"/>
      <c r="KEF3" s="353"/>
      <c r="KEG3" s="353"/>
      <c r="KEH3" s="353"/>
      <c r="KEI3" s="353"/>
      <c r="KEJ3" s="353"/>
      <c r="KEK3" s="353"/>
      <c r="KEL3" s="353"/>
      <c r="KEM3" s="353"/>
      <c r="KEN3" s="353"/>
      <c r="KEO3" s="353"/>
      <c r="KEP3" s="353"/>
      <c r="KEQ3" s="353"/>
      <c r="KER3" s="353"/>
      <c r="KES3" s="353"/>
      <c r="KET3" s="353"/>
      <c r="KEU3" s="353"/>
      <c r="KEV3" s="353"/>
      <c r="KEW3" s="353"/>
      <c r="KEX3" s="353"/>
      <c r="KEY3" s="353"/>
      <c r="KEZ3" s="353"/>
      <c r="KFA3" s="353"/>
      <c r="KFB3" s="353"/>
      <c r="KFC3" s="353"/>
      <c r="KFD3" s="353"/>
      <c r="KFE3" s="353"/>
      <c r="KFF3" s="353"/>
      <c r="KFG3" s="353"/>
      <c r="KFH3" s="353"/>
      <c r="KFI3" s="353"/>
      <c r="KFJ3" s="353"/>
      <c r="KFK3" s="353"/>
      <c r="KFL3" s="353"/>
      <c r="KFM3" s="353"/>
      <c r="KFN3" s="353"/>
      <c r="KFO3" s="353"/>
      <c r="KFP3" s="353"/>
      <c r="KFQ3" s="353"/>
      <c r="KFR3" s="353"/>
      <c r="KFS3" s="353"/>
      <c r="KFT3" s="353"/>
      <c r="KFU3" s="353"/>
      <c r="KFV3" s="353"/>
      <c r="KFW3" s="353"/>
      <c r="KFX3" s="353"/>
      <c r="KFY3" s="353"/>
      <c r="KFZ3" s="353"/>
      <c r="KGA3" s="353"/>
      <c r="KGB3" s="353"/>
      <c r="KGC3" s="353"/>
      <c r="KGD3" s="353"/>
      <c r="KGE3" s="353"/>
      <c r="KGF3" s="353"/>
      <c r="KGG3" s="353"/>
      <c r="KGH3" s="353"/>
      <c r="KGI3" s="353"/>
      <c r="KGJ3" s="353"/>
      <c r="KGK3" s="353"/>
      <c r="KGL3" s="353"/>
      <c r="KGM3" s="353"/>
      <c r="KGN3" s="353"/>
      <c r="KGO3" s="353"/>
      <c r="KGP3" s="353"/>
      <c r="KGQ3" s="353"/>
      <c r="KGR3" s="353"/>
      <c r="KGS3" s="353"/>
      <c r="KGT3" s="353"/>
      <c r="KGU3" s="353"/>
      <c r="KGV3" s="353"/>
      <c r="KGW3" s="353"/>
      <c r="KGX3" s="353"/>
      <c r="KGY3" s="353"/>
      <c r="KGZ3" s="353"/>
      <c r="KHA3" s="353"/>
      <c r="KHB3" s="353"/>
      <c r="KHC3" s="353"/>
      <c r="KHD3" s="353"/>
      <c r="KHE3" s="353"/>
      <c r="KHF3" s="353"/>
      <c r="KHG3" s="353"/>
      <c r="KHH3" s="353"/>
      <c r="KHI3" s="353"/>
      <c r="KHJ3" s="353"/>
      <c r="KHK3" s="353"/>
      <c r="KHL3" s="353"/>
      <c r="KHM3" s="353"/>
      <c r="KHN3" s="353"/>
      <c r="KHO3" s="353"/>
      <c r="KHP3" s="353"/>
      <c r="KHQ3" s="353"/>
      <c r="KHR3" s="353"/>
      <c r="KHS3" s="353"/>
      <c r="KHT3" s="353"/>
      <c r="KHU3" s="353"/>
      <c r="KHV3" s="353"/>
      <c r="KHW3" s="353"/>
      <c r="KHX3" s="353"/>
      <c r="KHY3" s="353"/>
      <c r="KHZ3" s="353"/>
      <c r="KIA3" s="353"/>
      <c r="KIB3" s="353"/>
      <c r="KIC3" s="353"/>
      <c r="KID3" s="353"/>
      <c r="KIE3" s="353"/>
      <c r="KIF3" s="353"/>
      <c r="KIG3" s="353"/>
      <c r="KIH3" s="353"/>
      <c r="KII3" s="353"/>
      <c r="KIJ3" s="353"/>
      <c r="KIK3" s="353"/>
      <c r="KIL3" s="353"/>
      <c r="KIM3" s="353"/>
      <c r="KIN3" s="353"/>
      <c r="KIO3" s="353"/>
      <c r="KIP3" s="353"/>
      <c r="KIQ3" s="353"/>
      <c r="KIR3" s="353"/>
      <c r="KIS3" s="353"/>
      <c r="KIT3" s="353"/>
      <c r="KIU3" s="353"/>
      <c r="KIV3" s="353"/>
      <c r="KIW3" s="353"/>
      <c r="KIX3" s="353"/>
      <c r="KIY3" s="353"/>
      <c r="KIZ3" s="353"/>
      <c r="KJA3" s="353"/>
      <c r="KJB3" s="353"/>
      <c r="KJC3" s="353"/>
      <c r="KJD3" s="353"/>
      <c r="KJE3" s="353"/>
      <c r="KJF3" s="353"/>
      <c r="KJG3" s="353"/>
      <c r="KJH3" s="353"/>
      <c r="KJI3" s="353"/>
      <c r="KJJ3" s="353"/>
      <c r="KJK3" s="353"/>
      <c r="KJL3" s="353"/>
      <c r="KJM3" s="353"/>
      <c r="KJN3" s="353"/>
      <c r="KJO3" s="353"/>
      <c r="KJP3" s="353"/>
      <c r="KJQ3" s="353"/>
      <c r="KJR3" s="353"/>
      <c r="KJS3" s="353"/>
      <c r="KJT3" s="353"/>
      <c r="KJU3" s="353"/>
      <c r="KJV3" s="353"/>
      <c r="KJW3" s="353"/>
      <c r="KJX3" s="353"/>
      <c r="KJY3" s="353"/>
      <c r="KJZ3" s="353"/>
      <c r="KKA3" s="353"/>
      <c r="KKB3" s="353"/>
      <c r="KKC3" s="353"/>
      <c r="KKD3" s="353"/>
      <c r="KKE3" s="353"/>
      <c r="KKF3" s="353"/>
      <c r="KKG3" s="353"/>
      <c r="KKH3" s="353"/>
      <c r="KKI3" s="353"/>
      <c r="KKJ3" s="353"/>
      <c r="KKK3" s="353"/>
      <c r="KKL3" s="353"/>
      <c r="KKM3" s="353"/>
      <c r="KKN3" s="353"/>
      <c r="KKO3" s="353"/>
      <c r="KKP3" s="353"/>
      <c r="KKQ3" s="353"/>
      <c r="KKR3" s="353"/>
      <c r="KKS3" s="353"/>
      <c r="KKT3" s="353"/>
      <c r="KKU3" s="353"/>
      <c r="KKV3" s="353"/>
      <c r="KKW3" s="353"/>
      <c r="KKX3" s="353"/>
      <c r="KKY3" s="353"/>
      <c r="KKZ3" s="353"/>
      <c r="KLA3" s="353"/>
      <c r="KLB3" s="353"/>
      <c r="KLC3" s="353"/>
      <c r="KLD3" s="353"/>
      <c r="KLE3" s="353"/>
      <c r="KLF3" s="353"/>
      <c r="KLG3" s="353"/>
      <c r="KLH3" s="353"/>
      <c r="KLI3" s="353"/>
      <c r="KLJ3" s="353"/>
      <c r="KLK3" s="353"/>
      <c r="KLL3" s="353"/>
      <c r="KLM3" s="353"/>
      <c r="KLN3" s="353"/>
      <c r="KLO3" s="353"/>
      <c r="KLP3" s="353"/>
      <c r="KLQ3" s="353"/>
      <c r="KLR3" s="353"/>
      <c r="KLS3" s="353"/>
      <c r="KLT3" s="353"/>
      <c r="KLU3" s="353"/>
      <c r="KLV3" s="353"/>
      <c r="KLW3" s="353"/>
      <c r="KLX3" s="353"/>
      <c r="KLY3" s="353"/>
      <c r="KLZ3" s="353"/>
      <c r="KMA3" s="353"/>
      <c r="KMB3" s="353"/>
      <c r="KMC3" s="353"/>
      <c r="KMD3" s="353"/>
      <c r="KME3" s="353"/>
      <c r="KMF3" s="353"/>
      <c r="KMG3" s="353"/>
      <c r="KMH3" s="353"/>
      <c r="KMI3" s="353"/>
      <c r="KMJ3" s="353"/>
      <c r="KMK3" s="353"/>
      <c r="KML3" s="353"/>
      <c r="KMM3" s="353"/>
      <c r="KMN3" s="353"/>
      <c r="KMO3" s="353"/>
      <c r="KMP3" s="353"/>
      <c r="KMQ3" s="353"/>
      <c r="KMR3" s="353"/>
      <c r="KMS3" s="353"/>
      <c r="KMT3" s="353"/>
      <c r="KMU3" s="353"/>
      <c r="KMV3" s="353"/>
      <c r="KMW3" s="353"/>
      <c r="KMX3" s="353"/>
      <c r="KMY3" s="353"/>
      <c r="KMZ3" s="353"/>
      <c r="KNA3" s="353"/>
      <c r="KNB3" s="353"/>
      <c r="KNC3" s="353"/>
      <c r="KND3" s="353"/>
      <c r="KNE3" s="353"/>
      <c r="KNF3" s="353"/>
      <c r="KNG3" s="353"/>
      <c r="KNH3" s="353"/>
      <c r="KNI3" s="353"/>
      <c r="KNJ3" s="353"/>
      <c r="KNK3" s="353"/>
      <c r="KNL3" s="353"/>
      <c r="KNM3" s="353"/>
      <c r="KNN3" s="353"/>
      <c r="KNO3" s="353"/>
      <c r="KNP3" s="353"/>
      <c r="KNQ3" s="353"/>
      <c r="KNR3" s="353"/>
      <c r="KNS3" s="353"/>
      <c r="KNT3" s="353"/>
      <c r="KNU3" s="353"/>
      <c r="KNV3" s="353"/>
      <c r="KNW3" s="353"/>
      <c r="KNX3" s="353"/>
      <c r="KNY3" s="353"/>
      <c r="KNZ3" s="353"/>
      <c r="KOA3" s="353"/>
      <c r="KOB3" s="353"/>
      <c r="KOC3" s="353"/>
      <c r="KOD3" s="353"/>
      <c r="KOE3" s="353"/>
      <c r="KOF3" s="353"/>
      <c r="KOG3" s="353"/>
      <c r="KOH3" s="353"/>
      <c r="KOI3" s="353"/>
      <c r="KOJ3" s="353"/>
      <c r="KOK3" s="353"/>
      <c r="KOL3" s="353"/>
      <c r="KOM3" s="353"/>
      <c r="KON3" s="353"/>
      <c r="KOO3" s="353"/>
      <c r="KOP3" s="353"/>
      <c r="KOQ3" s="353"/>
      <c r="KOR3" s="353"/>
      <c r="KOS3" s="353"/>
      <c r="KOT3" s="353"/>
      <c r="KOU3" s="353"/>
      <c r="KOV3" s="353"/>
      <c r="KOW3" s="353"/>
      <c r="KOX3" s="353"/>
      <c r="KOY3" s="353"/>
      <c r="KOZ3" s="353"/>
      <c r="KPA3" s="353"/>
      <c r="KPB3" s="353"/>
      <c r="KPC3" s="353"/>
      <c r="KPD3" s="353"/>
      <c r="KPE3" s="353"/>
      <c r="KPF3" s="353"/>
      <c r="KPG3" s="353"/>
      <c r="KPH3" s="353"/>
      <c r="KPI3" s="353"/>
      <c r="KPJ3" s="353"/>
      <c r="KPK3" s="353"/>
      <c r="KPL3" s="353"/>
      <c r="KPM3" s="353"/>
      <c r="KPN3" s="353"/>
      <c r="KPO3" s="353"/>
      <c r="KPP3" s="353"/>
      <c r="KPQ3" s="353"/>
      <c r="KPR3" s="353"/>
      <c r="KPS3" s="353"/>
      <c r="KPT3" s="353"/>
      <c r="KPU3" s="353"/>
      <c r="KPV3" s="353"/>
      <c r="KPW3" s="353"/>
      <c r="KPX3" s="353"/>
      <c r="KPY3" s="353"/>
      <c r="KPZ3" s="353"/>
      <c r="KQA3" s="353"/>
      <c r="KQB3" s="353"/>
      <c r="KQC3" s="353"/>
      <c r="KQD3" s="353"/>
      <c r="KQE3" s="353"/>
      <c r="KQF3" s="353"/>
      <c r="KQG3" s="353"/>
      <c r="KQH3" s="353"/>
      <c r="KQI3" s="353"/>
      <c r="KQJ3" s="353"/>
      <c r="KQK3" s="353"/>
      <c r="KQL3" s="353"/>
      <c r="KQM3" s="353"/>
      <c r="KQN3" s="353"/>
      <c r="KQO3" s="353"/>
      <c r="KQP3" s="353"/>
      <c r="KQQ3" s="353"/>
      <c r="KQR3" s="353"/>
      <c r="KQS3" s="353"/>
      <c r="KQT3" s="353"/>
      <c r="KQU3" s="353"/>
      <c r="KQV3" s="353"/>
      <c r="KQW3" s="353"/>
      <c r="KQX3" s="353"/>
      <c r="KQY3" s="353"/>
      <c r="KQZ3" s="353"/>
      <c r="KRA3" s="353"/>
      <c r="KRB3" s="353"/>
      <c r="KRC3" s="353"/>
      <c r="KRD3" s="353"/>
      <c r="KRE3" s="353"/>
      <c r="KRF3" s="353"/>
      <c r="KRG3" s="353"/>
      <c r="KRH3" s="353"/>
      <c r="KRI3" s="353"/>
      <c r="KRJ3" s="353"/>
      <c r="KRK3" s="353"/>
      <c r="KRL3" s="353"/>
      <c r="KRM3" s="353"/>
      <c r="KRN3" s="353"/>
      <c r="KRO3" s="353"/>
      <c r="KRP3" s="353"/>
      <c r="KRQ3" s="353"/>
      <c r="KRR3" s="353"/>
      <c r="KRS3" s="353"/>
      <c r="KRT3" s="353"/>
      <c r="KRU3" s="353"/>
      <c r="KRV3" s="353"/>
      <c r="KRW3" s="353"/>
      <c r="KRX3" s="353"/>
      <c r="KRY3" s="353"/>
      <c r="KRZ3" s="353"/>
      <c r="KSA3" s="353"/>
      <c r="KSB3" s="353"/>
      <c r="KSC3" s="353"/>
      <c r="KSD3" s="353"/>
      <c r="KSE3" s="353"/>
      <c r="KSF3" s="353"/>
      <c r="KSG3" s="353"/>
      <c r="KSH3" s="353"/>
      <c r="KSI3" s="353"/>
      <c r="KSJ3" s="353"/>
      <c r="KSK3" s="353"/>
      <c r="KSL3" s="353"/>
      <c r="KSM3" s="353"/>
      <c r="KSN3" s="353"/>
      <c r="KSO3" s="353"/>
      <c r="KSP3" s="353"/>
      <c r="KSQ3" s="353"/>
      <c r="KSR3" s="353"/>
      <c r="KSS3" s="353"/>
      <c r="KST3" s="353"/>
      <c r="KSU3" s="353"/>
      <c r="KSV3" s="353"/>
      <c r="KSW3" s="353"/>
      <c r="KSX3" s="353"/>
      <c r="KSY3" s="353"/>
      <c r="KSZ3" s="353"/>
      <c r="KTA3" s="353"/>
      <c r="KTB3" s="353"/>
      <c r="KTC3" s="353"/>
      <c r="KTD3" s="353"/>
      <c r="KTE3" s="353"/>
      <c r="KTF3" s="353"/>
      <c r="KTG3" s="353"/>
      <c r="KTH3" s="353"/>
      <c r="KTI3" s="353"/>
      <c r="KTJ3" s="353"/>
      <c r="KTK3" s="353"/>
      <c r="KTL3" s="353"/>
      <c r="KTM3" s="353"/>
      <c r="KTN3" s="353"/>
      <c r="KTO3" s="353"/>
      <c r="KTP3" s="353"/>
      <c r="KTQ3" s="353"/>
      <c r="KTR3" s="353"/>
      <c r="KTS3" s="353"/>
      <c r="KTT3" s="353"/>
      <c r="KTU3" s="353"/>
      <c r="KTV3" s="353"/>
      <c r="KTW3" s="353"/>
      <c r="KTX3" s="353"/>
      <c r="KTY3" s="353"/>
      <c r="KTZ3" s="353"/>
      <c r="KUA3" s="353"/>
      <c r="KUB3" s="353"/>
      <c r="KUC3" s="353"/>
      <c r="KUD3" s="353"/>
      <c r="KUE3" s="353"/>
      <c r="KUF3" s="353"/>
      <c r="KUG3" s="353"/>
      <c r="KUH3" s="353"/>
      <c r="KUI3" s="353"/>
      <c r="KUJ3" s="353"/>
      <c r="KUK3" s="353"/>
      <c r="KUL3" s="353"/>
      <c r="KUM3" s="353"/>
      <c r="KUN3" s="353"/>
      <c r="KUO3" s="353"/>
      <c r="KUP3" s="353"/>
      <c r="KUQ3" s="353"/>
      <c r="KUR3" s="353"/>
      <c r="KUS3" s="353"/>
      <c r="KUT3" s="353"/>
      <c r="KUU3" s="353"/>
      <c r="KUV3" s="353"/>
      <c r="KUW3" s="353"/>
      <c r="KUX3" s="353"/>
      <c r="KUY3" s="353"/>
      <c r="KUZ3" s="353"/>
      <c r="KVA3" s="353"/>
      <c r="KVB3" s="353"/>
      <c r="KVC3" s="353"/>
      <c r="KVD3" s="353"/>
      <c r="KVE3" s="353"/>
      <c r="KVF3" s="353"/>
      <c r="KVG3" s="353"/>
      <c r="KVH3" s="353"/>
      <c r="KVI3" s="353"/>
      <c r="KVJ3" s="353"/>
      <c r="KVK3" s="353"/>
      <c r="KVL3" s="353"/>
      <c r="KVM3" s="353"/>
      <c r="KVN3" s="353"/>
      <c r="KVO3" s="353"/>
      <c r="KVP3" s="353"/>
      <c r="KVQ3" s="353"/>
      <c r="KVR3" s="353"/>
      <c r="KVS3" s="353"/>
      <c r="KVT3" s="353"/>
      <c r="KVU3" s="353"/>
      <c r="KVV3" s="353"/>
      <c r="KVW3" s="353"/>
      <c r="KVX3" s="353"/>
      <c r="KVY3" s="353"/>
      <c r="KVZ3" s="353"/>
      <c r="KWA3" s="353"/>
      <c r="KWB3" s="353"/>
      <c r="KWC3" s="353"/>
      <c r="KWD3" s="353"/>
      <c r="KWE3" s="353"/>
      <c r="KWF3" s="353"/>
      <c r="KWG3" s="353"/>
      <c r="KWH3" s="353"/>
      <c r="KWI3" s="353"/>
      <c r="KWJ3" s="353"/>
      <c r="KWK3" s="353"/>
      <c r="KWL3" s="353"/>
      <c r="KWM3" s="353"/>
      <c r="KWN3" s="353"/>
      <c r="KWO3" s="353"/>
      <c r="KWP3" s="353"/>
      <c r="KWQ3" s="353"/>
      <c r="KWR3" s="353"/>
      <c r="KWS3" s="353"/>
      <c r="KWT3" s="353"/>
      <c r="KWU3" s="353"/>
      <c r="KWV3" s="353"/>
      <c r="KWW3" s="353"/>
      <c r="KWX3" s="353"/>
      <c r="KWY3" s="353"/>
      <c r="KWZ3" s="353"/>
      <c r="KXA3" s="353"/>
      <c r="KXB3" s="353"/>
      <c r="KXC3" s="353"/>
      <c r="KXD3" s="353"/>
      <c r="KXE3" s="353"/>
      <c r="KXF3" s="353"/>
      <c r="KXG3" s="353"/>
      <c r="KXH3" s="353"/>
      <c r="KXI3" s="353"/>
      <c r="KXJ3" s="353"/>
      <c r="KXK3" s="353"/>
      <c r="KXL3" s="353"/>
      <c r="KXM3" s="353"/>
      <c r="KXN3" s="353"/>
      <c r="KXO3" s="353"/>
      <c r="KXP3" s="353"/>
      <c r="KXQ3" s="353"/>
      <c r="KXR3" s="353"/>
      <c r="KXS3" s="353"/>
      <c r="KXT3" s="353"/>
      <c r="KXU3" s="353"/>
      <c r="KXV3" s="353"/>
      <c r="KXW3" s="353"/>
      <c r="KXX3" s="353"/>
      <c r="KXY3" s="353"/>
      <c r="KXZ3" s="353"/>
      <c r="KYA3" s="353"/>
      <c r="KYB3" s="353"/>
      <c r="KYC3" s="353"/>
      <c r="KYD3" s="353"/>
      <c r="KYE3" s="353"/>
      <c r="KYF3" s="353"/>
      <c r="KYG3" s="353"/>
      <c r="KYH3" s="353"/>
      <c r="KYI3" s="353"/>
      <c r="KYJ3" s="353"/>
      <c r="KYK3" s="353"/>
      <c r="KYL3" s="353"/>
      <c r="KYM3" s="353"/>
      <c r="KYN3" s="353"/>
      <c r="KYO3" s="353"/>
      <c r="KYP3" s="353"/>
      <c r="KYQ3" s="353"/>
      <c r="KYR3" s="353"/>
      <c r="KYS3" s="353"/>
      <c r="KYT3" s="353"/>
      <c r="KYU3" s="353"/>
      <c r="KYV3" s="353"/>
      <c r="KYW3" s="353"/>
      <c r="KYX3" s="353"/>
      <c r="KYY3" s="353"/>
      <c r="KYZ3" s="353"/>
      <c r="KZA3" s="353"/>
      <c r="KZB3" s="353"/>
      <c r="KZC3" s="353"/>
      <c r="KZD3" s="353"/>
      <c r="KZE3" s="353"/>
      <c r="KZF3" s="353"/>
      <c r="KZG3" s="353"/>
      <c r="KZH3" s="353"/>
      <c r="KZI3" s="353"/>
      <c r="KZJ3" s="353"/>
      <c r="KZK3" s="353"/>
      <c r="KZL3" s="353"/>
      <c r="KZM3" s="353"/>
      <c r="KZN3" s="353"/>
      <c r="KZO3" s="353"/>
      <c r="KZP3" s="353"/>
      <c r="KZQ3" s="353"/>
      <c r="KZR3" s="353"/>
      <c r="KZS3" s="353"/>
      <c r="KZT3" s="353"/>
      <c r="KZU3" s="353"/>
      <c r="KZV3" s="353"/>
      <c r="KZW3" s="353"/>
      <c r="KZX3" s="353"/>
      <c r="KZY3" s="353"/>
      <c r="KZZ3" s="353"/>
      <c r="LAA3" s="353"/>
      <c r="LAB3" s="353"/>
      <c r="LAC3" s="353"/>
      <c r="LAD3" s="353"/>
      <c r="LAE3" s="353"/>
      <c r="LAF3" s="353"/>
      <c r="LAG3" s="353"/>
      <c r="LAH3" s="353"/>
      <c r="LAI3" s="353"/>
      <c r="LAJ3" s="353"/>
      <c r="LAK3" s="353"/>
      <c r="LAL3" s="353"/>
      <c r="LAM3" s="353"/>
      <c r="LAN3" s="353"/>
      <c r="LAO3" s="353"/>
      <c r="LAP3" s="353"/>
      <c r="LAQ3" s="353"/>
      <c r="LAR3" s="353"/>
      <c r="LAS3" s="353"/>
      <c r="LAT3" s="353"/>
      <c r="LAU3" s="353"/>
      <c r="LAV3" s="353"/>
      <c r="LAW3" s="353"/>
      <c r="LAX3" s="353"/>
      <c r="LAY3" s="353"/>
      <c r="LAZ3" s="353"/>
      <c r="LBA3" s="353"/>
      <c r="LBB3" s="353"/>
      <c r="LBC3" s="353"/>
      <c r="LBD3" s="353"/>
      <c r="LBE3" s="353"/>
      <c r="LBF3" s="353"/>
      <c r="LBG3" s="353"/>
      <c r="LBH3" s="353"/>
      <c r="LBI3" s="353"/>
      <c r="LBJ3" s="353"/>
      <c r="LBK3" s="353"/>
      <c r="LBL3" s="353"/>
      <c r="LBM3" s="353"/>
      <c r="LBN3" s="353"/>
      <c r="LBO3" s="353"/>
      <c r="LBP3" s="353"/>
      <c r="LBQ3" s="353"/>
      <c r="LBR3" s="353"/>
      <c r="LBS3" s="353"/>
      <c r="LBT3" s="353"/>
      <c r="LBU3" s="353"/>
      <c r="LBV3" s="353"/>
      <c r="LBW3" s="353"/>
      <c r="LBX3" s="353"/>
      <c r="LBY3" s="353"/>
      <c r="LBZ3" s="353"/>
      <c r="LCA3" s="353"/>
      <c r="LCB3" s="353"/>
      <c r="LCC3" s="353"/>
      <c r="LCD3" s="353"/>
      <c r="LCE3" s="353"/>
      <c r="LCF3" s="353"/>
      <c r="LCG3" s="353"/>
      <c r="LCH3" s="353"/>
      <c r="LCI3" s="353"/>
      <c r="LCJ3" s="353"/>
      <c r="LCK3" s="353"/>
      <c r="LCL3" s="353"/>
      <c r="LCM3" s="353"/>
      <c r="LCN3" s="353"/>
      <c r="LCO3" s="353"/>
      <c r="LCP3" s="353"/>
      <c r="LCQ3" s="353"/>
      <c r="LCR3" s="353"/>
      <c r="LCS3" s="353"/>
      <c r="LCT3" s="353"/>
      <c r="LCU3" s="353"/>
      <c r="LCV3" s="353"/>
      <c r="LCW3" s="353"/>
      <c r="LCX3" s="353"/>
      <c r="LCY3" s="353"/>
      <c r="LCZ3" s="353"/>
      <c r="LDA3" s="353"/>
      <c r="LDB3" s="353"/>
      <c r="LDC3" s="353"/>
      <c r="LDD3" s="353"/>
      <c r="LDE3" s="353"/>
      <c r="LDF3" s="353"/>
      <c r="LDG3" s="353"/>
      <c r="LDH3" s="353"/>
      <c r="LDI3" s="353"/>
      <c r="LDJ3" s="353"/>
      <c r="LDK3" s="353"/>
      <c r="LDL3" s="353"/>
      <c r="LDM3" s="353"/>
      <c r="LDN3" s="353"/>
      <c r="LDO3" s="353"/>
      <c r="LDP3" s="353"/>
      <c r="LDQ3" s="353"/>
      <c r="LDR3" s="353"/>
      <c r="LDS3" s="353"/>
      <c r="LDT3" s="353"/>
      <c r="LDU3" s="353"/>
      <c r="LDV3" s="353"/>
      <c r="LDW3" s="353"/>
      <c r="LDX3" s="353"/>
      <c r="LDY3" s="353"/>
      <c r="LDZ3" s="353"/>
      <c r="LEA3" s="353"/>
      <c r="LEB3" s="353"/>
      <c r="LEC3" s="353"/>
      <c r="LED3" s="353"/>
      <c r="LEE3" s="353"/>
      <c r="LEF3" s="353"/>
      <c r="LEG3" s="353"/>
      <c r="LEH3" s="353"/>
      <c r="LEI3" s="353"/>
      <c r="LEJ3" s="353"/>
      <c r="LEK3" s="353"/>
      <c r="LEL3" s="353"/>
      <c r="LEM3" s="353"/>
      <c r="LEN3" s="353"/>
      <c r="LEO3" s="353"/>
      <c r="LEP3" s="353"/>
      <c r="LEQ3" s="353"/>
      <c r="LER3" s="353"/>
      <c r="LES3" s="353"/>
      <c r="LET3" s="353"/>
      <c r="LEU3" s="353"/>
      <c r="LEV3" s="353"/>
      <c r="LEW3" s="353"/>
      <c r="LEX3" s="353"/>
      <c r="LEY3" s="353"/>
      <c r="LEZ3" s="353"/>
      <c r="LFA3" s="353"/>
      <c r="LFB3" s="353"/>
      <c r="LFC3" s="353"/>
      <c r="LFD3" s="353"/>
      <c r="LFE3" s="353"/>
      <c r="LFF3" s="353"/>
      <c r="LFG3" s="353"/>
      <c r="LFH3" s="353"/>
      <c r="LFI3" s="353"/>
      <c r="LFJ3" s="353"/>
      <c r="LFK3" s="353"/>
      <c r="LFL3" s="353"/>
      <c r="LFM3" s="353"/>
      <c r="LFN3" s="353"/>
      <c r="LFO3" s="353"/>
      <c r="LFP3" s="353"/>
      <c r="LFQ3" s="353"/>
      <c r="LFR3" s="353"/>
      <c r="LFS3" s="353"/>
      <c r="LFT3" s="353"/>
      <c r="LFU3" s="353"/>
      <c r="LFV3" s="353"/>
      <c r="LFW3" s="353"/>
      <c r="LFX3" s="353"/>
      <c r="LFY3" s="353"/>
      <c r="LFZ3" s="353"/>
      <c r="LGA3" s="353"/>
      <c r="LGB3" s="353"/>
      <c r="LGC3" s="353"/>
      <c r="LGD3" s="353"/>
      <c r="LGE3" s="353"/>
      <c r="LGF3" s="353"/>
      <c r="LGG3" s="353"/>
      <c r="LGH3" s="353"/>
      <c r="LGI3" s="353"/>
      <c r="LGJ3" s="353"/>
      <c r="LGK3" s="353"/>
      <c r="LGL3" s="353"/>
      <c r="LGM3" s="353"/>
      <c r="LGN3" s="353"/>
      <c r="LGO3" s="353"/>
      <c r="LGP3" s="353"/>
      <c r="LGQ3" s="353"/>
      <c r="LGR3" s="353"/>
      <c r="LGS3" s="353"/>
      <c r="LGT3" s="353"/>
      <c r="LGU3" s="353"/>
      <c r="LGV3" s="353"/>
      <c r="LGW3" s="353"/>
      <c r="LGX3" s="353"/>
      <c r="LGY3" s="353"/>
      <c r="LGZ3" s="353"/>
      <c r="LHA3" s="353"/>
      <c r="LHB3" s="353"/>
      <c r="LHC3" s="353"/>
      <c r="LHD3" s="353"/>
      <c r="LHE3" s="353"/>
      <c r="LHF3" s="353"/>
      <c r="LHG3" s="353"/>
      <c r="LHH3" s="353"/>
      <c r="LHI3" s="353"/>
      <c r="LHJ3" s="353"/>
      <c r="LHK3" s="353"/>
      <c r="LHL3" s="353"/>
      <c r="LHM3" s="353"/>
      <c r="LHN3" s="353"/>
      <c r="LHO3" s="353"/>
      <c r="LHP3" s="353"/>
      <c r="LHQ3" s="353"/>
      <c r="LHR3" s="353"/>
      <c r="LHS3" s="353"/>
      <c r="LHT3" s="353"/>
      <c r="LHU3" s="353"/>
      <c r="LHV3" s="353"/>
      <c r="LHW3" s="353"/>
      <c r="LHX3" s="353"/>
      <c r="LHY3" s="353"/>
      <c r="LHZ3" s="353"/>
      <c r="LIA3" s="353"/>
      <c r="LIB3" s="353"/>
      <c r="LIC3" s="353"/>
      <c r="LID3" s="353"/>
      <c r="LIE3" s="353"/>
      <c r="LIF3" s="353"/>
      <c r="LIG3" s="353"/>
      <c r="LIH3" s="353"/>
      <c r="LII3" s="353"/>
      <c r="LIJ3" s="353"/>
      <c r="LIK3" s="353"/>
      <c r="LIL3" s="353"/>
      <c r="LIM3" s="353"/>
      <c r="LIN3" s="353"/>
      <c r="LIO3" s="353"/>
      <c r="LIP3" s="353"/>
      <c r="LIQ3" s="353"/>
      <c r="LIR3" s="353"/>
      <c r="LIS3" s="353"/>
      <c r="LIT3" s="353"/>
      <c r="LIU3" s="353"/>
      <c r="LIV3" s="353"/>
      <c r="LIW3" s="353"/>
      <c r="LIX3" s="353"/>
      <c r="LIY3" s="353"/>
      <c r="LIZ3" s="353"/>
      <c r="LJA3" s="353"/>
      <c r="LJB3" s="353"/>
      <c r="LJC3" s="353"/>
      <c r="LJD3" s="353"/>
      <c r="LJE3" s="353"/>
      <c r="LJF3" s="353"/>
      <c r="LJG3" s="353"/>
      <c r="LJH3" s="353"/>
      <c r="LJI3" s="353"/>
      <c r="LJJ3" s="353"/>
      <c r="LJK3" s="353"/>
      <c r="LJL3" s="353"/>
      <c r="LJM3" s="353"/>
      <c r="LJN3" s="353"/>
      <c r="LJO3" s="353"/>
      <c r="LJP3" s="353"/>
      <c r="LJQ3" s="353"/>
      <c r="LJR3" s="353"/>
      <c r="LJS3" s="353"/>
      <c r="LJT3" s="353"/>
      <c r="LJU3" s="353"/>
      <c r="LJV3" s="353"/>
      <c r="LJW3" s="353"/>
      <c r="LJX3" s="353"/>
      <c r="LJY3" s="353"/>
      <c r="LJZ3" s="353"/>
      <c r="LKA3" s="353"/>
      <c r="LKB3" s="353"/>
      <c r="LKC3" s="353"/>
      <c r="LKD3" s="353"/>
      <c r="LKE3" s="353"/>
      <c r="LKF3" s="353"/>
      <c r="LKG3" s="353"/>
      <c r="LKH3" s="353"/>
      <c r="LKI3" s="353"/>
      <c r="LKJ3" s="353"/>
      <c r="LKK3" s="353"/>
      <c r="LKL3" s="353"/>
      <c r="LKM3" s="353"/>
      <c r="LKN3" s="353"/>
      <c r="LKO3" s="353"/>
      <c r="LKP3" s="353"/>
      <c r="LKQ3" s="353"/>
      <c r="LKR3" s="353"/>
      <c r="LKS3" s="353"/>
      <c r="LKT3" s="353"/>
      <c r="LKU3" s="353"/>
      <c r="LKV3" s="353"/>
      <c r="LKW3" s="353"/>
      <c r="LKX3" s="353"/>
      <c r="LKY3" s="353"/>
      <c r="LKZ3" s="353"/>
      <c r="LLA3" s="353"/>
      <c r="LLB3" s="353"/>
      <c r="LLC3" s="353"/>
      <c r="LLD3" s="353"/>
      <c r="LLE3" s="353"/>
      <c r="LLF3" s="353"/>
      <c r="LLG3" s="353"/>
      <c r="LLH3" s="353"/>
      <c r="LLI3" s="353"/>
      <c r="LLJ3" s="353"/>
      <c r="LLK3" s="353"/>
      <c r="LLL3" s="353"/>
      <c r="LLM3" s="353"/>
      <c r="LLN3" s="353"/>
      <c r="LLO3" s="353"/>
      <c r="LLP3" s="353"/>
      <c r="LLQ3" s="353"/>
      <c r="LLR3" s="353"/>
      <c r="LLS3" s="353"/>
      <c r="LLT3" s="353"/>
      <c r="LLU3" s="353"/>
      <c r="LLV3" s="353"/>
      <c r="LLW3" s="353"/>
      <c r="LLX3" s="353"/>
      <c r="LLY3" s="353"/>
      <c r="LLZ3" s="353"/>
      <c r="LMA3" s="353"/>
      <c r="LMB3" s="353"/>
      <c r="LMC3" s="353"/>
      <c r="LMD3" s="353"/>
      <c r="LME3" s="353"/>
      <c r="LMF3" s="353"/>
      <c r="LMG3" s="353"/>
      <c r="LMH3" s="353"/>
      <c r="LMI3" s="353"/>
      <c r="LMJ3" s="353"/>
      <c r="LMK3" s="353"/>
      <c r="LML3" s="353"/>
      <c r="LMM3" s="353"/>
      <c r="LMN3" s="353"/>
      <c r="LMO3" s="353"/>
      <c r="LMP3" s="353"/>
      <c r="LMQ3" s="353"/>
      <c r="LMR3" s="353"/>
      <c r="LMS3" s="353"/>
      <c r="LMT3" s="353"/>
      <c r="LMU3" s="353"/>
      <c r="LMV3" s="353"/>
      <c r="LMW3" s="353"/>
      <c r="LMX3" s="353"/>
      <c r="LMY3" s="353"/>
      <c r="LMZ3" s="353"/>
      <c r="LNA3" s="353"/>
      <c r="LNB3" s="353"/>
      <c r="LNC3" s="353"/>
      <c r="LND3" s="353"/>
      <c r="LNE3" s="353"/>
      <c r="LNF3" s="353"/>
      <c r="LNG3" s="353"/>
      <c r="LNH3" s="353"/>
      <c r="LNI3" s="353"/>
      <c r="LNJ3" s="353"/>
      <c r="LNK3" s="353"/>
      <c r="LNL3" s="353"/>
      <c r="LNM3" s="353"/>
      <c r="LNN3" s="353"/>
      <c r="LNO3" s="353"/>
      <c r="LNP3" s="353"/>
      <c r="LNQ3" s="353"/>
      <c r="LNR3" s="353"/>
      <c r="LNS3" s="353"/>
      <c r="LNT3" s="353"/>
      <c r="LNU3" s="353"/>
      <c r="LNV3" s="353"/>
      <c r="LNW3" s="353"/>
      <c r="LNX3" s="353"/>
      <c r="LNY3" s="353"/>
      <c r="LNZ3" s="353"/>
      <c r="LOA3" s="353"/>
      <c r="LOB3" s="353"/>
      <c r="LOC3" s="353"/>
      <c r="LOD3" s="353"/>
      <c r="LOE3" s="353"/>
      <c r="LOF3" s="353"/>
      <c r="LOG3" s="353"/>
      <c r="LOH3" s="353"/>
      <c r="LOI3" s="353"/>
      <c r="LOJ3" s="353"/>
      <c r="LOK3" s="353"/>
      <c r="LOL3" s="353"/>
      <c r="LOM3" s="353"/>
      <c r="LON3" s="353"/>
      <c r="LOO3" s="353"/>
      <c r="LOP3" s="353"/>
      <c r="LOQ3" s="353"/>
      <c r="LOR3" s="353"/>
      <c r="LOS3" s="353"/>
      <c r="LOT3" s="353"/>
      <c r="LOU3" s="353"/>
      <c r="LOV3" s="353"/>
      <c r="LOW3" s="353"/>
      <c r="LOX3" s="353"/>
      <c r="LOY3" s="353"/>
      <c r="LOZ3" s="353"/>
      <c r="LPA3" s="353"/>
      <c r="LPB3" s="353"/>
      <c r="LPC3" s="353"/>
      <c r="LPD3" s="353"/>
      <c r="LPE3" s="353"/>
      <c r="LPF3" s="353"/>
      <c r="LPG3" s="353"/>
      <c r="LPH3" s="353"/>
      <c r="LPI3" s="353"/>
      <c r="LPJ3" s="353"/>
      <c r="LPK3" s="353"/>
      <c r="LPL3" s="353"/>
      <c r="LPM3" s="353"/>
      <c r="LPN3" s="353"/>
      <c r="LPO3" s="353"/>
      <c r="LPP3" s="353"/>
      <c r="LPQ3" s="353"/>
      <c r="LPR3" s="353"/>
      <c r="LPS3" s="353"/>
      <c r="LPT3" s="353"/>
      <c r="LPU3" s="353"/>
      <c r="LPV3" s="353"/>
      <c r="LPW3" s="353"/>
      <c r="LPX3" s="353"/>
      <c r="LPY3" s="353"/>
      <c r="LPZ3" s="353"/>
      <c r="LQA3" s="353"/>
      <c r="LQB3" s="353"/>
      <c r="LQC3" s="353"/>
      <c r="LQD3" s="353"/>
      <c r="LQE3" s="353"/>
      <c r="LQF3" s="353"/>
      <c r="LQG3" s="353"/>
      <c r="LQH3" s="353"/>
      <c r="LQI3" s="353"/>
      <c r="LQJ3" s="353"/>
      <c r="LQK3" s="353"/>
      <c r="LQL3" s="353"/>
      <c r="LQM3" s="353"/>
      <c r="LQN3" s="353"/>
      <c r="LQO3" s="353"/>
      <c r="LQP3" s="353"/>
      <c r="LQQ3" s="353"/>
      <c r="LQR3" s="353"/>
      <c r="LQS3" s="353"/>
      <c r="LQT3" s="353"/>
      <c r="LQU3" s="353"/>
      <c r="LQV3" s="353"/>
      <c r="LQW3" s="353"/>
      <c r="LQX3" s="353"/>
      <c r="LQY3" s="353"/>
      <c r="LQZ3" s="353"/>
      <c r="LRA3" s="353"/>
      <c r="LRB3" s="353"/>
      <c r="LRC3" s="353"/>
      <c r="LRD3" s="353"/>
      <c r="LRE3" s="353"/>
      <c r="LRF3" s="353"/>
      <c r="LRG3" s="353"/>
      <c r="LRH3" s="353"/>
      <c r="LRI3" s="353"/>
      <c r="LRJ3" s="353"/>
      <c r="LRK3" s="353"/>
      <c r="LRL3" s="353"/>
      <c r="LRM3" s="353"/>
      <c r="LRN3" s="353"/>
      <c r="LRO3" s="353"/>
      <c r="LRP3" s="353"/>
      <c r="LRQ3" s="353"/>
      <c r="LRR3" s="353"/>
      <c r="LRS3" s="353"/>
      <c r="LRT3" s="353"/>
      <c r="LRU3" s="353"/>
      <c r="LRV3" s="353"/>
      <c r="LRW3" s="353"/>
      <c r="LRX3" s="353"/>
      <c r="LRY3" s="353"/>
      <c r="LRZ3" s="353"/>
      <c r="LSA3" s="353"/>
      <c r="LSB3" s="353"/>
      <c r="LSC3" s="353"/>
      <c r="LSD3" s="353"/>
      <c r="LSE3" s="353"/>
      <c r="LSF3" s="353"/>
      <c r="LSG3" s="353"/>
      <c r="LSH3" s="353"/>
      <c r="LSI3" s="353"/>
      <c r="LSJ3" s="353"/>
      <c r="LSK3" s="353"/>
      <c r="LSL3" s="353"/>
      <c r="LSM3" s="353"/>
      <c r="LSN3" s="353"/>
      <c r="LSO3" s="353"/>
      <c r="LSP3" s="353"/>
      <c r="LSQ3" s="353"/>
      <c r="LSR3" s="353"/>
      <c r="LSS3" s="353"/>
      <c r="LST3" s="353"/>
      <c r="LSU3" s="353"/>
      <c r="LSV3" s="353"/>
      <c r="LSW3" s="353"/>
      <c r="LSX3" s="353"/>
      <c r="LSY3" s="353"/>
      <c r="LSZ3" s="353"/>
      <c r="LTA3" s="353"/>
      <c r="LTB3" s="353"/>
      <c r="LTC3" s="353"/>
      <c r="LTD3" s="353"/>
      <c r="LTE3" s="353"/>
      <c r="LTF3" s="353"/>
      <c r="LTG3" s="353"/>
      <c r="LTH3" s="353"/>
      <c r="LTI3" s="353"/>
      <c r="LTJ3" s="353"/>
      <c r="LTK3" s="353"/>
      <c r="LTL3" s="353"/>
      <c r="LTM3" s="353"/>
      <c r="LTN3" s="353"/>
      <c r="LTO3" s="353"/>
      <c r="LTP3" s="353"/>
      <c r="LTQ3" s="353"/>
      <c r="LTR3" s="353"/>
      <c r="LTS3" s="353"/>
      <c r="LTT3" s="353"/>
      <c r="LTU3" s="353"/>
      <c r="LTV3" s="353"/>
      <c r="LTW3" s="353"/>
      <c r="LTX3" s="353"/>
      <c r="LTY3" s="353"/>
      <c r="LTZ3" s="353"/>
      <c r="LUA3" s="353"/>
      <c r="LUB3" s="353"/>
      <c r="LUC3" s="353"/>
      <c r="LUD3" s="353"/>
      <c r="LUE3" s="353"/>
      <c r="LUF3" s="353"/>
      <c r="LUG3" s="353"/>
      <c r="LUH3" s="353"/>
      <c r="LUI3" s="353"/>
      <c r="LUJ3" s="353"/>
      <c r="LUK3" s="353"/>
      <c r="LUL3" s="353"/>
      <c r="LUM3" s="353"/>
      <c r="LUN3" s="353"/>
      <c r="LUO3" s="353"/>
      <c r="LUP3" s="353"/>
      <c r="LUQ3" s="353"/>
      <c r="LUR3" s="353"/>
      <c r="LUS3" s="353"/>
      <c r="LUT3" s="353"/>
      <c r="LUU3" s="353"/>
      <c r="LUV3" s="353"/>
      <c r="LUW3" s="353"/>
      <c r="LUX3" s="353"/>
      <c r="LUY3" s="353"/>
      <c r="LUZ3" s="353"/>
      <c r="LVA3" s="353"/>
      <c r="LVB3" s="353"/>
      <c r="LVC3" s="353"/>
      <c r="LVD3" s="353"/>
      <c r="LVE3" s="353"/>
      <c r="LVF3" s="353"/>
      <c r="LVG3" s="353"/>
      <c r="LVH3" s="353"/>
      <c r="LVI3" s="353"/>
      <c r="LVJ3" s="353"/>
      <c r="LVK3" s="353"/>
      <c r="LVL3" s="353"/>
      <c r="LVM3" s="353"/>
      <c r="LVN3" s="353"/>
      <c r="LVO3" s="353"/>
      <c r="LVP3" s="353"/>
      <c r="LVQ3" s="353"/>
      <c r="LVR3" s="353"/>
      <c r="LVS3" s="353"/>
      <c r="LVT3" s="353"/>
      <c r="LVU3" s="353"/>
      <c r="LVV3" s="353"/>
      <c r="LVW3" s="353"/>
      <c r="LVX3" s="353"/>
      <c r="LVY3" s="353"/>
      <c r="LVZ3" s="353"/>
      <c r="LWA3" s="353"/>
      <c r="LWB3" s="353"/>
      <c r="LWC3" s="353"/>
      <c r="LWD3" s="353"/>
      <c r="LWE3" s="353"/>
      <c r="LWF3" s="353"/>
      <c r="LWG3" s="353"/>
      <c r="LWH3" s="353"/>
      <c r="LWI3" s="353"/>
      <c r="LWJ3" s="353"/>
      <c r="LWK3" s="353"/>
      <c r="LWL3" s="353"/>
      <c r="LWM3" s="353"/>
      <c r="LWN3" s="353"/>
      <c r="LWO3" s="353"/>
      <c r="LWP3" s="353"/>
      <c r="LWQ3" s="353"/>
      <c r="LWR3" s="353"/>
      <c r="LWS3" s="353"/>
      <c r="LWT3" s="353"/>
      <c r="LWU3" s="353"/>
      <c r="LWV3" s="353"/>
      <c r="LWW3" s="353"/>
      <c r="LWX3" s="353"/>
      <c r="LWY3" s="353"/>
      <c r="LWZ3" s="353"/>
      <c r="LXA3" s="353"/>
      <c r="LXB3" s="353"/>
      <c r="LXC3" s="353"/>
      <c r="LXD3" s="353"/>
      <c r="LXE3" s="353"/>
      <c r="LXF3" s="353"/>
      <c r="LXG3" s="353"/>
      <c r="LXH3" s="353"/>
      <c r="LXI3" s="353"/>
      <c r="LXJ3" s="353"/>
      <c r="LXK3" s="353"/>
      <c r="LXL3" s="353"/>
      <c r="LXM3" s="353"/>
      <c r="LXN3" s="353"/>
      <c r="LXO3" s="353"/>
      <c r="LXP3" s="353"/>
      <c r="LXQ3" s="353"/>
      <c r="LXR3" s="353"/>
      <c r="LXS3" s="353"/>
      <c r="LXT3" s="353"/>
      <c r="LXU3" s="353"/>
      <c r="LXV3" s="353"/>
      <c r="LXW3" s="353"/>
      <c r="LXX3" s="353"/>
      <c r="LXY3" s="353"/>
      <c r="LXZ3" s="353"/>
      <c r="LYA3" s="353"/>
      <c r="LYB3" s="353"/>
      <c r="LYC3" s="353"/>
      <c r="LYD3" s="353"/>
      <c r="LYE3" s="353"/>
      <c r="LYF3" s="353"/>
      <c r="LYG3" s="353"/>
      <c r="LYH3" s="353"/>
      <c r="LYI3" s="353"/>
      <c r="LYJ3" s="353"/>
      <c r="LYK3" s="353"/>
      <c r="LYL3" s="353"/>
      <c r="LYM3" s="353"/>
      <c r="LYN3" s="353"/>
      <c r="LYO3" s="353"/>
      <c r="LYP3" s="353"/>
      <c r="LYQ3" s="353"/>
      <c r="LYR3" s="353"/>
      <c r="LYS3" s="353"/>
      <c r="LYT3" s="353"/>
      <c r="LYU3" s="353"/>
      <c r="LYV3" s="353"/>
      <c r="LYW3" s="353"/>
      <c r="LYX3" s="353"/>
      <c r="LYY3" s="353"/>
      <c r="LYZ3" s="353"/>
      <c r="LZA3" s="353"/>
      <c r="LZB3" s="353"/>
      <c r="LZC3" s="353"/>
      <c r="LZD3" s="353"/>
      <c r="LZE3" s="353"/>
      <c r="LZF3" s="353"/>
      <c r="LZG3" s="353"/>
      <c r="LZH3" s="353"/>
      <c r="LZI3" s="353"/>
      <c r="LZJ3" s="353"/>
      <c r="LZK3" s="353"/>
      <c r="LZL3" s="353"/>
      <c r="LZM3" s="353"/>
      <c r="LZN3" s="353"/>
      <c r="LZO3" s="353"/>
      <c r="LZP3" s="353"/>
      <c r="LZQ3" s="353"/>
      <c r="LZR3" s="353"/>
      <c r="LZS3" s="353"/>
      <c r="LZT3" s="353"/>
      <c r="LZU3" s="353"/>
      <c r="LZV3" s="353"/>
      <c r="LZW3" s="353"/>
      <c r="LZX3" s="353"/>
      <c r="LZY3" s="353"/>
      <c r="LZZ3" s="353"/>
      <c r="MAA3" s="353"/>
      <c r="MAB3" s="353"/>
      <c r="MAC3" s="353"/>
      <c r="MAD3" s="353"/>
      <c r="MAE3" s="353"/>
      <c r="MAF3" s="353"/>
      <c r="MAG3" s="353"/>
      <c r="MAH3" s="353"/>
      <c r="MAI3" s="353"/>
      <c r="MAJ3" s="353"/>
      <c r="MAK3" s="353"/>
      <c r="MAL3" s="353"/>
      <c r="MAM3" s="353"/>
      <c r="MAN3" s="353"/>
      <c r="MAO3" s="353"/>
      <c r="MAP3" s="353"/>
      <c r="MAQ3" s="353"/>
      <c r="MAR3" s="353"/>
      <c r="MAS3" s="353"/>
      <c r="MAT3" s="353"/>
      <c r="MAU3" s="353"/>
      <c r="MAV3" s="353"/>
      <c r="MAW3" s="353"/>
      <c r="MAX3" s="353"/>
      <c r="MAY3" s="353"/>
      <c r="MAZ3" s="353"/>
      <c r="MBA3" s="353"/>
      <c r="MBB3" s="353"/>
      <c r="MBC3" s="353"/>
      <c r="MBD3" s="353"/>
      <c r="MBE3" s="353"/>
      <c r="MBF3" s="353"/>
      <c r="MBG3" s="353"/>
      <c r="MBH3" s="353"/>
      <c r="MBI3" s="353"/>
      <c r="MBJ3" s="353"/>
      <c r="MBK3" s="353"/>
      <c r="MBL3" s="353"/>
      <c r="MBM3" s="353"/>
      <c r="MBN3" s="353"/>
      <c r="MBO3" s="353"/>
      <c r="MBP3" s="353"/>
      <c r="MBQ3" s="353"/>
      <c r="MBR3" s="353"/>
      <c r="MBS3" s="353"/>
      <c r="MBT3" s="353"/>
      <c r="MBU3" s="353"/>
      <c r="MBV3" s="353"/>
      <c r="MBW3" s="353"/>
      <c r="MBX3" s="353"/>
      <c r="MBY3" s="353"/>
      <c r="MBZ3" s="353"/>
      <c r="MCA3" s="353"/>
      <c r="MCB3" s="353"/>
      <c r="MCC3" s="353"/>
      <c r="MCD3" s="353"/>
      <c r="MCE3" s="353"/>
      <c r="MCF3" s="353"/>
      <c r="MCG3" s="353"/>
      <c r="MCH3" s="353"/>
      <c r="MCI3" s="353"/>
      <c r="MCJ3" s="353"/>
      <c r="MCK3" s="353"/>
      <c r="MCL3" s="353"/>
      <c r="MCM3" s="353"/>
      <c r="MCN3" s="353"/>
      <c r="MCO3" s="353"/>
      <c r="MCP3" s="353"/>
      <c r="MCQ3" s="353"/>
      <c r="MCR3" s="353"/>
      <c r="MCS3" s="353"/>
      <c r="MCT3" s="353"/>
      <c r="MCU3" s="353"/>
      <c r="MCV3" s="353"/>
      <c r="MCW3" s="353"/>
      <c r="MCX3" s="353"/>
      <c r="MCY3" s="353"/>
      <c r="MCZ3" s="353"/>
      <c r="MDA3" s="353"/>
      <c r="MDB3" s="353"/>
      <c r="MDC3" s="353"/>
      <c r="MDD3" s="353"/>
      <c r="MDE3" s="353"/>
      <c r="MDF3" s="353"/>
      <c r="MDG3" s="353"/>
      <c r="MDH3" s="353"/>
      <c r="MDI3" s="353"/>
      <c r="MDJ3" s="353"/>
      <c r="MDK3" s="353"/>
      <c r="MDL3" s="353"/>
      <c r="MDM3" s="353"/>
      <c r="MDN3" s="353"/>
      <c r="MDO3" s="353"/>
      <c r="MDP3" s="353"/>
      <c r="MDQ3" s="353"/>
      <c r="MDR3" s="353"/>
      <c r="MDS3" s="353"/>
      <c r="MDT3" s="353"/>
      <c r="MDU3" s="353"/>
      <c r="MDV3" s="353"/>
      <c r="MDW3" s="353"/>
      <c r="MDX3" s="353"/>
      <c r="MDY3" s="353"/>
      <c r="MDZ3" s="353"/>
      <c r="MEA3" s="353"/>
      <c r="MEB3" s="353"/>
      <c r="MEC3" s="353"/>
      <c r="MED3" s="353"/>
      <c r="MEE3" s="353"/>
      <c r="MEF3" s="353"/>
      <c r="MEG3" s="353"/>
      <c r="MEH3" s="353"/>
      <c r="MEI3" s="353"/>
      <c r="MEJ3" s="353"/>
      <c r="MEK3" s="353"/>
      <c r="MEL3" s="353"/>
      <c r="MEM3" s="353"/>
      <c r="MEN3" s="353"/>
      <c r="MEO3" s="353"/>
      <c r="MEP3" s="353"/>
      <c r="MEQ3" s="353"/>
      <c r="MER3" s="353"/>
      <c r="MES3" s="353"/>
      <c r="MET3" s="353"/>
      <c r="MEU3" s="353"/>
      <c r="MEV3" s="353"/>
      <c r="MEW3" s="353"/>
      <c r="MEX3" s="353"/>
      <c r="MEY3" s="353"/>
      <c r="MEZ3" s="353"/>
      <c r="MFA3" s="353"/>
      <c r="MFB3" s="353"/>
      <c r="MFC3" s="353"/>
      <c r="MFD3" s="353"/>
      <c r="MFE3" s="353"/>
      <c r="MFF3" s="353"/>
      <c r="MFG3" s="353"/>
      <c r="MFH3" s="353"/>
      <c r="MFI3" s="353"/>
      <c r="MFJ3" s="353"/>
      <c r="MFK3" s="353"/>
      <c r="MFL3" s="353"/>
      <c r="MFM3" s="353"/>
      <c r="MFN3" s="353"/>
      <c r="MFO3" s="353"/>
      <c r="MFP3" s="353"/>
      <c r="MFQ3" s="353"/>
      <c r="MFR3" s="353"/>
      <c r="MFS3" s="353"/>
      <c r="MFT3" s="353"/>
      <c r="MFU3" s="353"/>
      <c r="MFV3" s="353"/>
      <c r="MFW3" s="353"/>
      <c r="MFX3" s="353"/>
      <c r="MFY3" s="353"/>
      <c r="MFZ3" s="353"/>
      <c r="MGA3" s="353"/>
      <c r="MGB3" s="353"/>
      <c r="MGC3" s="353"/>
      <c r="MGD3" s="353"/>
      <c r="MGE3" s="353"/>
      <c r="MGF3" s="353"/>
      <c r="MGG3" s="353"/>
      <c r="MGH3" s="353"/>
      <c r="MGI3" s="353"/>
      <c r="MGJ3" s="353"/>
      <c r="MGK3" s="353"/>
      <c r="MGL3" s="353"/>
      <c r="MGM3" s="353"/>
      <c r="MGN3" s="353"/>
      <c r="MGO3" s="353"/>
      <c r="MGP3" s="353"/>
      <c r="MGQ3" s="353"/>
      <c r="MGR3" s="353"/>
      <c r="MGS3" s="353"/>
      <c r="MGT3" s="353"/>
      <c r="MGU3" s="353"/>
      <c r="MGV3" s="353"/>
      <c r="MGW3" s="353"/>
      <c r="MGX3" s="353"/>
      <c r="MGY3" s="353"/>
      <c r="MGZ3" s="353"/>
      <c r="MHA3" s="353"/>
      <c r="MHB3" s="353"/>
      <c r="MHC3" s="353"/>
      <c r="MHD3" s="353"/>
      <c r="MHE3" s="353"/>
      <c r="MHF3" s="353"/>
      <c r="MHG3" s="353"/>
      <c r="MHH3" s="353"/>
      <c r="MHI3" s="353"/>
      <c r="MHJ3" s="353"/>
      <c r="MHK3" s="353"/>
      <c r="MHL3" s="353"/>
      <c r="MHM3" s="353"/>
      <c r="MHN3" s="353"/>
      <c r="MHO3" s="353"/>
      <c r="MHP3" s="353"/>
      <c r="MHQ3" s="353"/>
      <c r="MHR3" s="353"/>
      <c r="MHS3" s="353"/>
      <c r="MHT3" s="353"/>
      <c r="MHU3" s="353"/>
      <c r="MHV3" s="353"/>
      <c r="MHW3" s="353"/>
      <c r="MHX3" s="353"/>
      <c r="MHY3" s="353"/>
      <c r="MHZ3" s="353"/>
      <c r="MIA3" s="353"/>
      <c r="MIB3" s="353"/>
      <c r="MIC3" s="353"/>
      <c r="MID3" s="353"/>
      <c r="MIE3" s="353"/>
      <c r="MIF3" s="353"/>
      <c r="MIG3" s="353"/>
      <c r="MIH3" s="353"/>
      <c r="MII3" s="353"/>
      <c r="MIJ3" s="353"/>
      <c r="MIK3" s="353"/>
      <c r="MIL3" s="353"/>
      <c r="MIM3" s="353"/>
      <c r="MIN3" s="353"/>
      <c r="MIO3" s="353"/>
      <c r="MIP3" s="353"/>
      <c r="MIQ3" s="353"/>
      <c r="MIR3" s="353"/>
      <c r="MIS3" s="353"/>
      <c r="MIT3" s="353"/>
      <c r="MIU3" s="353"/>
      <c r="MIV3" s="353"/>
      <c r="MIW3" s="353"/>
      <c r="MIX3" s="353"/>
      <c r="MIY3" s="353"/>
      <c r="MIZ3" s="353"/>
      <c r="MJA3" s="353"/>
      <c r="MJB3" s="353"/>
      <c r="MJC3" s="353"/>
      <c r="MJD3" s="353"/>
      <c r="MJE3" s="353"/>
      <c r="MJF3" s="353"/>
      <c r="MJG3" s="353"/>
      <c r="MJH3" s="353"/>
      <c r="MJI3" s="353"/>
      <c r="MJJ3" s="353"/>
      <c r="MJK3" s="353"/>
      <c r="MJL3" s="353"/>
      <c r="MJM3" s="353"/>
      <c r="MJN3" s="353"/>
      <c r="MJO3" s="353"/>
      <c r="MJP3" s="353"/>
      <c r="MJQ3" s="353"/>
      <c r="MJR3" s="353"/>
      <c r="MJS3" s="353"/>
      <c r="MJT3" s="353"/>
      <c r="MJU3" s="353"/>
      <c r="MJV3" s="353"/>
      <c r="MJW3" s="353"/>
      <c r="MJX3" s="353"/>
      <c r="MJY3" s="353"/>
      <c r="MJZ3" s="353"/>
      <c r="MKA3" s="353"/>
      <c r="MKB3" s="353"/>
      <c r="MKC3" s="353"/>
      <c r="MKD3" s="353"/>
      <c r="MKE3" s="353"/>
      <c r="MKF3" s="353"/>
      <c r="MKG3" s="353"/>
      <c r="MKH3" s="353"/>
      <c r="MKI3" s="353"/>
      <c r="MKJ3" s="353"/>
      <c r="MKK3" s="353"/>
      <c r="MKL3" s="353"/>
      <c r="MKM3" s="353"/>
      <c r="MKN3" s="353"/>
      <c r="MKO3" s="353"/>
      <c r="MKP3" s="353"/>
      <c r="MKQ3" s="353"/>
      <c r="MKR3" s="353"/>
      <c r="MKS3" s="353"/>
      <c r="MKT3" s="353"/>
      <c r="MKU3" s="353"/>
      <c r="MKV3" s="353"/>
      <c r="MKW3" s="353"/>
      <c r="MKX3" s="353"/>
      <c r="MKY3" s="353"/>
      <c r="MKZ3" s="353"/>
      <c r="MLA3" s="353"/>
      <c r="MLB3" s="353"/>
      <c r="MLC3" s="353"/>
      <c r="MLD3" s="353"/>
      <c r="MLE3" s="353"/>
      <c r="MLF3" s="353"/>
      <c r="MLG3" s="353"/>
      <c r="MLH3" s="353"/>
      <c r="MLI3" s="353"/>
      <c r="MLJ3" s="353"/>
      <c r="MLK3" s="353"/>
      <c r="MLL3" s="353"/>
      <c r="MLM3" s="353"/>
      <c r="MLN3" s="353"/>
      <c r="MLO3" s="353"/>
      <c r="MLP3" s="353"/>
      <c r="MLQ3" s="353"/>
      <c r="MLR3" s="353"/>
      <c r="MLS3" s="353"/>
      <c r="MLT3" s="353"/>
      <c r="MLU3" s="353"/>
      <c r="MLV3" s="353"/>
      <c r="MLW3" s="353"/>
      <c r="MLX3" s="353"/>
      <c r="MLY3" s="353"/>
      <c r="MLZ3" s="353"/>
      <c r="MMA3" s="353"/>
      <c r="MMB3" s="353"/>
      <c r="MMC3" s="353"/>
      <c r="MMD3" s="353"/>
      <c r="MME3" s="353"/>
      <c r="MMF3" s="353"/>
      <c r="MMG3" s="353"/>
      <c r="MMH3" s="353"/>
      <c r="MMI3" s="353"/>
      <c r="MMJ3" s="353"/>
      <c r="MMK3" s="353"/>
      <c r="MML3" s="353"/>
      <c r="MMM3" s="353"/>
      <c r="MMN3" s="353"/>
      <c r="MMO3" s="353"/>
      <c r="MMP3" s="353"/>
      <c r="MMQ3" s="353"/>
      <c r="MMR3" s="353"/>
      <c r="MMS3" s="353"/>
      <c r="MMT3" s="353"/>
      <c r="MMU3" s="353"/>
      <c r="MMV3" s="353"/>
      <c r="MMW3" s="353"/>
      <c r="MMX3" s="353"/>
      <c r="MMY3" s="353"/>
      <c r="MMZ3" s="353"/>
      <c r="MNA3" s="353"/>
      <c r="MNB3" s="353"/>
      <c r="MNC3" s="353"/>
      <c r="MND3" s="353"/>
      <c r="MNE3" s="353"/>
      <c r="MNF3" s="353"/>
      <c r="MNG3" s="353"/>
      <c r="MNH3" s="353"/>
      <c r="MNI3" s="353"/>
      <c r="MNJ3" s="353"/>
      <c r="MNK3" s="353"/>
      <c r="MNL3" s="353"/>
      <c r="MNM3" s="353"/>
      <c r="MNN3" s="353"/>
      <c r="MNO3" s="353"/>
      <c r="MNP3" s="353"/>
      <c r="MNQ3" s="353"/>
      <c r="MNR3" s="353"/>
      <c r="MNS3" s="353"/>
      <c r="MNT3" s="353"/>
      <c r="MNU3" s="353"/>
      <c r="MNV3" s="353"/>
      <c r="MNW3" s="353"/>
      <c r="MNX3" s="353"/>
      <c r="MNY3" s="353"/>
      <c r="MNZ3" s="353"/>
      <c r="MOA3" s="353"/>
      <c r="MOB3" s="353"/>
      <c r="MOC3" s="353"/>
      <c r="MOD3" s="353"/>
      <c r="MOE3" s="353"/>
      <c r="MOF3" s="353"/>
      <c r="MOG3" s="353"/>
      <c r="MOH3" s="353"/>
      <c r="MOI3" s="353"/>
      <c r="MOJ3" s="353"/>
      <c r="MOK3" s="353"/>
      <c r="MOL3" s="353"/>
      <c r="MOM3" s="353"/>
      <c r="MON3" s="353"/>
      <c r="MOO3" s="353"/>
      <c r="MOP3" s="353"/>
      <c r="MOQ3" s="353"/>
      <c r="MOR3" s="353"/>
      <c r="MOS3" s="353"/>
      <c r="MOT3" s="353"/>
      <c r="MOU3" s="353"/>
      <c r="MOV3" s="353"/>
      <c r="MOW3" s="353"/>
      <c r="MOX3" s="353"/>
      <c r="MOY3" s="353"/>
      <c r="MOZ3" s="353"/>
      <c r="MPA3" s="353"/>
      <c r="MPB3" s="353"/>
      <c r="MPC3" s="353"/>
      <c r="MPD3" s="353"/>
      <c r="MPE3" s="353"/>
      <c r="MPF3" s="353"/>
      <c r="MPG3" s="353"/>
      <c r="MPH3" s="353"/>
      <c r="MPI3" s="353"/>
      <c r="MPJ3" s="353"/>
      <c r="MPK3" s="353"/>
      <c r="MPL3" s="353"/>
      <c r="MPM3" s="353"/>
      <c r="MPN3" s="353"/>
      <c r="MPO3" s="353"/>
      <c r="MPP3" s="353"/>
      <c r="MPQ3" s="353"/>
      <c r="MPR3" s="353"/>
      <c r="MPS3" s="353"/>
      <c r="MPT3" s="353"/>
      <c r="MPU3" s="353"/>
      <c r="MPV3" s="353"/>
      <c r="MPW3" s="353"/>
      <c r="MPX3" s="353"/>
      <c r="MPY3" s="353"/>
      <c r="MPZ3" s="353"/>
      <c r="MQA3" s="353"/>
      <c r="MQB3" s="353"/>
      <c r="MQC3" s="353"/>
      <c r="MQD3" s="353"/>
      <c r="MQE3" s="353"/>
      <c r="MQF3" s="353"/>
      <c r="MQG3" s="353"/>
      <c r="MQH3" s="353"/>
      <c r="MQI3" s="353"/>
      <c r="MQJ3" s="353"/>
      <c r="MQK3" s="353"/>
      <c r="MQL3" s="353"/>
      <c r="MQM3" s="353"/>
      <c r="MQN3" s="353"/>
      <c r="MQO3" s="353"/>
      <c r="MQP3" s="353"/>
      <c r="MQQ3" s="353"/>
      <c r="MQR3" s="353"/>
      <c r="MQS3" s="353"/>
      <c r="MQT3" s="353"/>
      <c r="MQU3" s="353"/>
      <c r="MQV3" s="353"/>
      <c r="MQW3" s="353"/>
      <c r="MQX3" s="353"/>
      <c r="MQY3" s="353"/>
      <c r="MQZ3" s="353"/>
      <c r="MRA3" s="353"/>
      <c r="MRB3" s="353"/>
      <c r="MRC3" s="353"/>
      <c r="MRD3" s="353"/>
      <c r="MRE3" s="353"/>
      <c r="MRF3" s="353"/>
      <c r="MRG3" s="353"/>
      <c r="MRH3" s="353"/>
      <c r="MRI3" s="353"/>
      <c r="MRJ3" s="353"/>
      <c r="MRK3" s="353"/>
      <c r="MRL3" s="353"/>
      <c r="MRM3" s="353"/>
      <c r="MRN3" s="353"/>
      <c r="MRO3" s="353"/>
      <c r="MRP3" s="353"/>
      <c r="MRQ3" s="353"/>
      <c r="MRR3" s="353"/>
      <c r="MRS3" s="353"/>
      <c r="MRT3" s="353"/>
      <c r="MRU3" s="353"/>
      <c r="MRV3" s="353"/>
      <c r="MRW3" s="353"/>
      <c r="MRX3" s="353"/>
      <c r="MRY3" s="353"/>
      <c r="MRZ3" s="353"/>
      <c r="MSA3" s="353"/>
      <c r="MSB3" s="353"/>
      <c r="MSC3" s="353"/>
      <c r="MSD3" s="353"/>
      <c r="MSE3" s="353"/>
      <c r="MSF3" s="353"/>
      <c r="MSG3" s="353"/>
      <c r="MSH3" s="353"/>
      <c r="MSI3" s="353"/>
      <c r="MSJ3" s="353"/>
      <c r="MSK3" s="353"/>
      <c r="MSL3" s="353"/>
      <c r="MSM3" s="353"/>
      <c r="MSN3" s="353"/>
      <c r="MSO3" s="353"/>
      <c r="MSP3" s="353"/>
      <c r="MSQ3" s="353"/>
      <c r="MSR3" s="353"/>
      <c r="MSS3" s="353"/>
      <c r="MST3" s="353"/>
      <c r="MSU3" s="353"/>
      <c r="MSV3" s="353"/>
      <c r="MSW3" s="353"/>
      <c r="MSX3" s="353"/>
      <c r="MSY3" s="353"/>
      <c r="MSZ3" s="353"/>
      <c r="MTA3" s="353"/>
      <c r="MTB3" s="353"/>
      <c r="MTC3" s="353"/>
      <c r="MTD3" s="353"/>
      <c r="MTE3" s="353"/>
      <c r="MTF3" s="353"/>
      <c r="MTG3" s="353"/>
      <c r="MTH3" s="353"/>
      <c r="MTI3" s="353"/>
      <c r="MTJ3" s="353"/>
      <c r="MTK3" s="353"/>
      <c r="MTL3" s="353"/>
      <c r="MTM3" s="353"/>
      <c r="MTN3" s="353"/>
      <c r="MTO3" s="353"/>
      <c r="MTP3" s="353"/>
      <c r="MTQ3" s="353"/>
      <c r="MTR3" s="353"/>
      <c r="MTS3" s="353"/>
      <c r="MTT3" s="353"/>
      <c r="MTU3" s="353"/>
      <c r="MTV3" s="353"/>
      <c r="MTW3" s="353"/>
      <c r="MTX3" s="353"/>
      <c r="MTY3" s="353"/>
      <c r="MTZ3" s="353"/>
      <c r="MUA3" s="353"/>
      <c r="MUB3" s="353"/>
      <c r="MUC3" s="353"/>
      <c r="MUD3" s="353"/>
      <c r="MUE3" s="353"/>
      <c r="MUF3" s="353"/>
      <c r="MUG3" s="353"/>
      <c r="MUH3" s="353"/>
      <c r="MUI3" s="353"/>
      <c r="MUJ3" s="353"/>
      <c r="MUK3" s="353"/>
      <c r="MUL3" s="353"/>
      <c r="MUM3" s="353"/>
      <c r="MUN3" s="353"/>
      <c r="MUO3" s="353"/>
      <c r="MUP3" s="353"/>
      <c r="MUQ3" s="353"/>
      <c r="MUR3" s="353"/>
      <c r="MUS3" s="353"/>
      <c r="MUT3" s="353"/>
      <c r="MUU3" s="353"/>
      <c r="MUV3" s="353"/>
      <c r="MUW3" s="353"/>
      <c r="MUX3" s="353"/>
      <c r="MUY3" s="353"/>
      <c r="MUZ3" s="353"/>
      <c r="MVA3" s="353"/>
      <c r="MVB3" s="353"/>
      <c r="MVC3" s="353"/>
      <c r="MVD3" s="353"/>
      <c r="MVE3" s="353"/>
      <c r="MVF3" s="353"/>
      <c r="MVG3" s="353"/>
      <c r="MVH3" s="353"/>
      <c r="MVI3" s="353"/>
      <c r="MVJ3" s="353"/>
      <c r="MVK3" s="353"/>
      <c r="MVL3" s="353"/>
      <c r="MVM3" s="353"/>
      <c r="MVN3" s="353"/>
      <c r="MVO3" s="353"/>
      <c r="MVP3" s="353"/>
      <c r="MVQ3" s="353"/>
      <c r="MVR3" s="353"/>
      <c r="MVS3" s="353"/>
      <c r="MVT3" s="353"/>
      <c r="MVU3" s="353"/>
      <c r="MVV3" s="353"/>
      <c r="MVW3" s="353"/>
      <c r="MVX3" s="353"/>
      <c r="MVY3" s="353"/>
      <c r="MVZ3" s="353"/>
      <c r="MWA3" s="353"/>
      <c r="MWB3" s="353"/>
      <c r="MWC3" s="353"/>
      <c r="MWD3" s="353"/>
      <c r="MWE3" s="353"/>
      <c r="MWF3" s="353"/>
      <c r="MWG3" s="353"/>
      <c r="MWH3" s="353"/>
      <c r="MWI3" s="353"/>
      <c r="MWJ3" s="353"/>
      <c r="MWK3" s="353"/>
      <c r="MWL3" s="353"/>
      <c r="MWM3" s="353"/>
      <c r="MWN3" s="353"/>
      <c r="MWO3" s="353"/>
      <c r="MWP3" s="353"/>
      <c r="MWQ3" s="353"/>
      <c r="MWR3" s="353"/>
      <c r="MWS3" s="353"/>
      <c r="MWT3" s="353"/>
      <c r="MWU3" s="353"/>
      <c r="MWV3" s="353"/>
      <c r="MWW3" s="353"/>
      <c r="MWX3" s="353"/>
      <c r="MWY3" s="353"/>
      <c r="MWZ3" s="353"/>
      <c r="MXA3" s="353"/>
      <c r="MXB3" s="353"/>
      <c r="MXC3" s="353"/>
      <c r="MXD3" s="353"/>
      <c r="MXE3" s="353"/>
      <c r="MXF3" s="353"/>
      <c r="MXG3" s="353"/>
      <c r="MXH3" s="353"/>
      <c r="MXI3" s="353"/>
      <c r="MXJ3" s="353"/>
      <c r="MXK3" s="353"/>
      <c r="MXL3" s="353"/>
      <c r="MXM3" s="353"/>
      <c r="MXN3" s="353"/>
      <c r="MXO3" s="353"/>
      <c r="MXP3" s="353"/>
      <c r="MXQ3" s="353"/>
      <c r="MXR3" s="353"/>
      <c r="MXS3" s="353"/>
      <c r="MXT3" s="353"/>
      <c r="MXU3" s="353"/>
      <c r="MXV3" s="353"/>
      <c r="MXW3" s="353"/>
      <c r="MXX3" s="353"/>
      <c r="MXY3" s="353"/>
      <c r="MXZ3" s="353"/>
      <c r="MYA3" s="353"/>
      <c r="MYB3" s="353"/>
      <c r="MYC3" s="353"/>
      <c r="MYD3" s="353"/>
      <c r="MYE3" s="353"/>
      <c r="MYF3" s="353"/>
      <c r="MYG3" s="353"/>
      <c r="MYH3" s="353"/>
      <c r="MYI3" s="353"/>
      <c r="MYJ3" s="353"/>
      <c r="MYK3" s="353"/>
      <c r="MYL3" s="353"/>
      <c r="MYM3" s="353"/>
      <c r="MYN3" s="353"/>
      <c r="MYO3" s="353"/>
      <c r="MYP3" s="353"/>
      <c r="MYQ3" s="353"/>
      <c r="MYR3" s="353"/>
      <c r="MYS3" s="353"/>
      <c r="MYT3" s="353"/>
      <c r="MYU3" s="353"/>
      <c r="MYV3" s="353"/>
      <c r="MYW3" s="353"/>
      <c r="MYX3" s="353"/>
      <c r="MYY3" s="353"/>
      <c r="MYZ3" s="353"/>
      <c r="MZA3" s="353"/>
      <c r="MZB3" s="353"/>
      <c r="MZC3" s="353"/>
      <c r="MZD3" s="353"/>
      <c r="MZE3" s="353"/>
      <c r="MZF3" s="353"/>
      <c r="MZG3" s="353"/>
      <c r="MZH3" s="353"/>
      <c r="MZI3" s="353"/>
      <c r="MZJ3" s="353"/>
      <c r="MZK3" s="353"/>
      <c r="MZL3" s="353"/>
      <c r="MZM3" s="353"/>
      <c r="MZN3" s="353"/>
      <c r="MZO3" s="353"/>
      <c r="MZP3" s="353"/>
      <c r="MZQ3" s="353"/>
      <c r="MZR3" s="353"/>
      <c r="MZS3" s="353"/>
      <c r="MZT3" s="353"/>
      <c r="MZU3" s="353"/>
      <c r="MZV3" s="353"/>
      <c r="MZW3" s="353"/>
      <c r="MZX3" s="353"/>
      <c r="MZY3" s="353"/>
      <c r="MZZ3" s="353"/>
      <c r="NAA3" s="353"/>
      <c r="NAB3" s="353"/>
      <c r="NAC3" s="353"/>
      <c r="NAD3" s="353"/>
      <c r="NAE3" s="353"/>
      <c r="NAF3" s="353"/>
      <c r="NAG3" s="353"/>
      <c r="NAH3" s="353"/>
      <c r="NAI3" s="353"/>
      <c r="NAJ3" s="353"/>
      <c r="NAK3" s="353"/>
      <c r="NAL3" s="353"/>
      <c r="NAM3" s="353"/>
      <c r="NAN3" s="353"/>
      <c r="NAO3" s="353"/>
      <c r="NAP3" s="353"/>
      <c r="NAQ3" s="353"/>
      <c r="NAR3" s="353"/>
      <c r="NAS3" s="353"/>
      <c r="NAT3" s="353"/>
      <c r="NAU3" s="353"/>
      <c r="NAV3" s="353"/>
      <c r="NAW3" s="353"/>
      <c r="NAX3" s="353"/>
      <c r="NAY3" s="353"/>
      <c r="NAZ3" s="353"/>
      <c r="NBA3" s="353"/>
      <c r="NBB3" s="353"/>
      <c r="NBC3" s="353"/>
      <c r="NBD3" s="353"/>
      <c r="NBE3" s="353"/>
      <c r="NBF3" s="353"/>
      <c r="NBG3" s="353"/>
      <c r="NBH3" s="353"/>
      <c r="NBI3" s="353"/>
      <c r="NBJ3" s="353"/>
      <c r="NBK3" s="353"/>
      <c r="NBL3" s="353"/>
      <c r="NBM3" s="353"/>
      <c r="NBN3" s="353"/>
      <c r="NBO3" s="353"/>
      <c r="NBP3" s="353"/>
      <c r="NBQ3" s="353"/>
      <c r="NBR3" s="353"/>
      <c r="NBS3" s="353"/>
      <c r="NBT3" s="353"/>
      <c r="NBU3" s="353"/>
      <c r="NBV3" s="353"/>
      <c r="NBW3" s="353"/>
      <c r="NBX3" s="353"/>
      <c r="NBY3" s="353"/>
      <c r="NBZ3" s="353"/>
      <c r="NCA3" s="353"/>
      <c r="NCB3" s="353"/>
      <c r="NCC3" s="353"/>
      <c r="NCD3" s="353"/>
      <c r="NCE3" s="353"/>
      <c r="NCF3" s="353"/>
      <c r="NCG3" s="353"/>
      <c r="NCH3" s="353"/>
      <c r="NCI3" s="353"/>
      <c r="NCJ3" s="353"/>
      <c r="NCK3" s="353"/>
      <c r="NCL3" s="353"/>
      <c r="NCM3" s="353"/>
      <c r="NCN3" s="353"/>
      <c r="NCO3" s="353"/>
      <c r="NCP3" s="353"/>
      <c r="NCQ3" s="353"/>
      <c r="NCR3" s="353"/>
      <c r="NCS3" s="353"/>
      <c r="NCT3" s="353"/>
      <c r="NCU3" s="353"/>
      <c r="NCV3" s="353"/>
      <c r="NCW3" s="353"/>
      <c r="NCX3" s="353"/>
      <c r="NCY3" s="353"/>
      <c r="NCZ3" s="353"/>
      <c r="NDA3" s="353"/>
      <c r="NDB3" s="353"/>
      <c r="NDC3" s="353"/>
      <c r="NDD3" s="353"/>
      <c r="NDE3" s="353"/>
      <c r="NDF3" s="353"/>
      <c r="NDG3" s="353"/>
      <c r="NDH3" s="353"/>
      <c r="NDI3" s="353"/>
      <c r="NDJ3" s="353"/>
      <c r="NDK3" s="353"/>
      <c r="NDL3" s="353"/>
      <c r="NDM3" s="353"/>
      <c r="NDN3" s="353"/>
      <c r="NDO3" s="353"/>
      <c r="NDP3" s="353"/>
      <c r="NDQ3" s="353"/>
      <c r="NDR3" s="353"/>
      <c r="NDS3" s="353"/>
      <c r="NDT3" s="353"/>
      <c r="NDU3" s="353"/>
      <c r="NDV3" s="353"/>
      <c r="NDW3" s="353"/>
      <c r="NDX3" s="353"/>
      <c r="NDY3" s="353"/>
      <c r="NDZ3" s="353"/>
      <c r="NEA3" s="353"/>
      <c r="NEB3" s="353"/>
      <c r="NEC3" s="353"/>
      <c r="NED3" s="353"/>
      <c r="NEE3" s="353"/>
      <c r="NEF3" s="353"/>
      <c r="NEG3" s="353"/>
      <c r="NEH3" s="353"/>
      <c r="NEI3" s="353"/>
      <c r="NEJ3" s="353"/>
      <c r="NEK3" s="353"/>
      <c r="NEL3" s="353"/>
      <c r="NEM3" s="353"/>
      <c r="NEN3" s="353"/>
      <c r="NEO3" s="353"/>
      <c r="NEP3" s="353"/>
      <c r="NEQ3" s="353"/>
      <c r="NER3" s="353"/>
      <c r="NES3" s="353"/>
      <c r="NET3" s="353"/>
      <c r="NEU3" s="353"/>
      <c r="NEV3" s="353"/>
      <c r="NEW3" s="353"/>
      <c r="NEX3" s="353"/>
      <c r="NEY3" s="353"/>
      <c r="NEZ3" s="353"/>
      <c r="NFA3" s="353"/>
      <c r="NFB3" s="353"/>
      <c r="NFC3" s="353"/>
      <c r="NFD3" s="353"/>
      <c r="NFE3" s="353"/>
      <c r="NFF3" s="353"/>
      <c r="NFG3" s="353"/>
      <c r="NFH3" s="353"/>
      <c r="NFI3" s="353"/>
      <c r="NFJ3" s="353"/>
      <c r="NFK3" s="353"/>
      <c r="NFL3" s="353"/>
      <c r="NFM3" s="353"/>
      <c r="NFN3" s="353"/>
      <c r="NFO3" s="353"/>
      <c r="NFP3" s="353"/>
      <c r="NFQ3" s="353"/>
      <c r="NFR3" s="353"/>
      <c r="NFS3" s="353"/>
      <c r="NFT3" s="353"/>
      <c r="NFU3" s="353"/>
      <c r="NFV3" s="353"/>
      <c r="NFW3" s="353"/>
      <c r="NFX3" s="353"/>
      <c r="NFY3" s="353"/>
      <c r="NFZ3" s="353"/>
      <c r="NGA3" s="353"/>
      <c r="NGB3" s="353"/>
      <c r="NGC3" s="353"/>
      <c r="NGD3" s="353"/>
      <c r="NGE3" s="353"/>
      <c r="NGF3" s="353"/>
      <c r="NGG3" s="353"/>
      <c r="NGH3" s="353"/>
      <c r="NGI3" s="353"/>
      <c r="NGJ3" s="353"/>
      <c r="NGK3" s="353"/>
      <c r="NGL3" s="353"/>
      <c r="NGM3" s="353"/>
      <c r="NGN3" s="353"/>
      <c r="NGO3" s="353"/>
      <c r="NGP3" s="353"/>
      <c r="NGQ3" s="353"/>
      <c r="NGR3" s="353"/>
      <c r="NGS3" s="353"/>
      <c r="NGT3" s="353"/>
      <c r="NGU3" s="353"/>
      <c r="NGV3" s="353"/>
      <c r="NGW3" s="353"/>
      <c r="NGX3" s="353"/>
      <c r="NGY3" s="353"/>
      <c r="NGZ3" s="353"/>
      <c r="NHA3" s="353"/>
      <c r="NHB3" s="353"/>
      <c r="NHC3" s="353"/>
      <c r="NHD3" s="353"/>
      <c r="NHE3" s="353"/>
      <c r="NHF3" s="353"/>
      <c r="NHG3" s="353"/>
      <c r="NHH3" s="353"/>
      <c r="NHI3" s="353"/>
      <c r="NHJ3" s="353"/>
      <c r="NHK3" s="353"/>
      <c r="NHL3" s="353"/>
      <c r="NHM3" s="353"/>
      <c r="NHN3" s="353"/>
      <c r="NHO3" s="353"/>
      <c r="NHP3" s="353"/>
      <c r="NHQ3" s="353"/>
      <c r="NHR3" s="353"/>
      <c r="NHS3" s="353"/>
      <c r="NHT3" s="353"/>
      <c r="NHU3" s="353"/>
      <c r="NHV3" s="353"/>
      <c r="NHW3" s="353"/>
      <c r="NHX3" s="353"/>
      <c r="NHY3" s="353"/>
      <c r="NHZ3" s="353"/>
      <c r="NIA3" s="353"/>
      <c r="NIB3" s="353"/>
      <c r="NIC3" s="353"/>
      <c r="NID3" s="353"/>
      <c r="NIE3" s="353"/>
      <c r="NIF3" s="353"/>
      <c r="NIG3" s="353"/>
      <c r="NIH3" s="353"/>
      <c r="NII3" s="353"/>
      <c r="NIJ3" s="353"/>
      <c r="NIK3" s="353"/>
      <c r="NIL3" s="353"/>
      <c r="NIM3" s="353"/>
      <c r="NIN3" s="353"/>
      <c r="NIO3" s="353"/>
      <c r="NIP3" s="353"/>
      <c r="NIQ3" s="353"/>
      <c r="NIR3" s="353"/>
      <c r="NIS3" s="353"/>
      <c r="NIT3" s="353"/>
      <c r="NIU3" s="353"/>
      <c r="NIV3" s="353"/>
      <c r="NIW3" s="353"/>
      <c r="NIX3" s="353"/>
      <c r="NIY3" s="353"/>
      <c r="NIZ3" s="353"/>
      <c r="NJA3" s="353"/>
      <c r="NJB3" s="353"/>
      <c r="NJC3" s="353"/>
      <c r="NJD3" s="353"/>
      <c r="NJE3" s="353"/>
      <c r="NJF3" s="353"/>
      <c r="NJG3" s="353"/>
      <c r="NJH3" s="353"/>
      <c r="NJI3" s="353"/>
      <c r="NJJ3" s="353"/>
      <c r="NJK3" s="353"/>
      <c r="NJL3" s="353"/>
      <c r="NJM3" s="353"/>
      <c r="NJN3" s="353"/>
      <c r="NJO3" s="353"/>
      <c r="NJP3" s="353"/>
      <c r="NJQ3" s="353"/>
      <c r="NJR3" s="353"/>
      <c r="NJS3" s="353"/>
      <c r="NJT3" s="353"/>
      <c r="NJU3" s="353"/>
      <c r="NJV3" s="353"/>
      <c r="NJW3" s="353"/>
      <c r="NJX3" s="353"/>
      <c r="NJY3" s="353"/>
      <c r="NJZ3" s="353"/>
      <c r="NKA3" s="353"/>
      <c r="NKB3" s="353"/>
      <c r="NKC3" s="353"/>
      <c r="NKD3" s="353"/>
      <c r="NKE3" s="353"/>
      <c r="NKF3" s="353"/>
      <c r="NKG3" s="353"/>
      <c r="NKH3" s="353"/>
      <c r="NKI3" s="353"/>
      <c r="NKJ3" s="353"/>
      <c r="NKK3" s="353"/>
      <c r="NKL3" s="353"/>
      <c r="NKM3" s="353"/>
      <c r="NKN3" s="353"/>
      <c r="NKO3" s="353"/>
      <c r="NKP3" s="353"/>
      <c r="NKQ3" s="353"/>
      <c r="NKR3" s="353"/>
      <c r="NKS3" s="353"/>
      <c r="NKT3" s="353"/>
      <c r="NKU3" s="353"/>
      <c r="NKV3" s="353"/>
      <c r="NKW3" s="353"/>
      <c r="NKX3" s="353"/>
      <c r="NKY3" s="353"/>
      <c r="NKZ3" s="353"/>
      <c r="NLA3" s="353"/>
      <c r="NLB3" s="353"/>
      <c r="NLC3" s="353"/>
      <c r="NLD3" s="353"/>
      <c r="NLE3" s="353"/>
      <c r="NLF3" s="353"/>
      <c r="NLG3" s="353"/>
      <c r="NLH3" s="353"/>
      <c r="NLI3" s="353"/>
      <c r="NLJ3" s="353"/>
      <c r="NLK3" s="353"/>
      <c r="NLL3" s="353"/>
      <c r="NLM3" s="353"/>
      <c r="NLN3" s="353"/>
      <c r="NLO3" s="353"/>
      <c r="NLP3" s="353"/>
      <c r="NLQ3" s="353"/>
      <c r="NLR3" s="353"/>
      <c r="NLS3" s="353"/>
      <c r="NLT3" s="353"/>
      <c r="NLU3" s="353"/>
      <c r="NLV3" s="353"/>
      <c r="NLW3" s="353"/>
      <c r="NLX3" s="353"/>
      <c r="NLY3" s="353"/>
      <c r="NLZ3" s="353"/>
      <c r="NMA3" s="353"/>
      <c r="NMB3" s="353"/>
      <c r="NMC3" s="353"/>
      <c r="NMD3" s="353"/>
      <c r="NME3" s="353"/>
      <c r="NMF3" s="353"/>
      <c r="NMG3" s="353"/>
      <c r="NMH3" s="353"/>
      <c r="NMI3" s="353"/>
      <c r="NMJ3" s="353"/>
      <c r="NMK3" s="353"/>
      <c r="NML3" s="353"/>
      <c r="NMM3" s="353"/>
      <c r="NMN3" s="353"/>
      <c r="NMO3" s="353"/>
      <c r="NMP3" s="353"/>
      <c r="NMQ3" s="353"/>
      <c r="NMR3" s="353"/>
      <c r="NMS3" s="353"/>
      <c r="NMT3" s="353"/>
      <c r="NMU3" s="353"/>
      <c r="NMV3" s="353"/>
      <c r="NMW3" s="353"/>
      <c r="NMX3" s="353"/>
      <c r="NMY3" s="353"/>
      <c r="NMZ3" s="353"/>
      <c r="NNA3" s="353"/>
      <c r="NNB3" s="353"/>
      <c r="NNC3" s="353"/>
      <c r="NND3" s="353"/>
      <c r="NNE3" s="353"/>
      <c r="NNF3" s="353"/>
      <c r="NNG3" s="353"/>
      <c r="NNH3" s="353"/>
      <c r="NNI3" s="353"/>
      <c r="NNJ3" s="353"/>
      <c r="NNK3" s="353"/>
      <c r="NNL3" s="353"/>
      <c r="NNM3" s="353"/>
      <c r="NNN3" s="353"/>
      <c r="NNO3" s="353"/>
      <c r="NNP3" s="353"/>
      <c r="NNQ3" s="353"/>
      <c r="NNR3" s="353"/>
      <c r="NNS3" s="353"/>
      <c r="NNT3" s="353"/>
      <c r="NNU3" s="353"/>
      <c r="NNV3" s="353"/>
      <c r="NNW3" s="353"/>
      <c r="NNX3" s="353"/>
      <c r="NNY3" s="353"/>
      <c r="NNZ3" s="353"/>
      <c r="NOA3" s="353"/>
      <c r="NOB3" s="353"/>
      <c r="NOC3" s="353"/>
      <c r="NOD3" s="353"/>
      <c r="NOE3" s="353"/>
      <c r="NOF3" s="353"/>
      <c r="NOG3" s="353"/>
      <c r="NOH3" s="353"/>
      <c r="NOI3" s="353"/>
      <c r="NOJ3" s="353"/>
      <c r="NOK3" s="353"/>
      <c r="NOL3" s="353"/>
      <c r="NOM3" s="353"/>
      <c r="NON3" s="353"/>
      <c r="NOO3" s="353"/>
      <c r="NOP3" s="353"/>
      <c r="NOQ3" s="353"/>
      <c r="NOR3" s="353"/>
      <c r="NOS3" s="353"/>
      <c r="NOT3" s="353"/>
      <c r="NOU3" s="353"/>
      <c r="NOV3" s="353"/>
      <c r="NOW3" s="353"/>
      <c r="NOX3" s="353"/>
      <c r="NOY3" s="353"/>
      <c r="NOZ3" s="353"/>
      <c r="NPA3" s="353"/>
      <c r="NPB3" s="353"/>
      <c r="NPC3" s="353"/>
      <c r="NPD3" s="353"/>
      <c r="NPE3" s="353"/>
      <c r="NPF3" s="353"/>
      <c r="NPG3" s="353"/>
      <c r="NPH3" s="353"/>
      <c r="NPI3" s="353"/>
      <c r="NPJ3" s="353"/>
      <c r="NPK3" s="353"/>
      <c r="NPL3" s="353"/>
      <c r="NPM3" s="353"/>
      <c r="NPN3" s="353"/>
      <c r="NPO3" s="353"/>
      <c r="NPP3" s="353"/>
      <c r="NPQ3" s="353"/>
      <c r="NPR3" s="353"/>
      <c r="NPS3" s="353"/>
      <c r="NPT3" s="353"/>
      <c r="NPU3" s="353"/>
      <c r="NPV3" s="353"/>
      <c r="NPW3" s="353"/>
      <c r="NPX3" s="353"/>
      <c r="NPY3" s="353"/>
      <c r="NPZ3" s="353"/>
      <c r="NQA3" s="353"/>
      <c r="NQB3" s="353"/>
      <c r="NQC3" s="353"/>
      <c r="NQD3" s="353"/>
      <c r="NQE3" s="353"/>
      <c r="NQF3" s="353"/>
      <c r="NQG3" s="353"/>
      <c r="NQH3" s="353"/>
      <c r="NQI3" s="353"/>
      <c r="NQJ3" s="353"/>
      <c r="NQK3" s="353"/>
      <c r="NQL3" s="353"/>
      <c r="NQM3" s="353"/>
      <c r="NQN3" s="353"/>
      <c r="NQO3" s="353"/>
      <c r="NQP3" s="353"/>
      <c r="NQQ3" s="353"/>
      <c r="NQR3" s="353"/>
      <c r="NQS3" s="353"/>
      <c r="NQT3" s="353"/>
      <c r="NQU3" s="353"/>
      <c r="NQV3" s="353"/>
      <c r="NQW3" s="353"/>
      <c r="NQX3" s="353"/>
      <c r="NQY3" s="353"/>
      <c r="NQZ3" s="353"/>
      <c r="NRA3" s="353"/>
      <c r="NRB3" s="353"/>
      <c r="NRC3" s="353"/>
      <c r="NRD3" s="353"/>
      <c r="NRE3" s="353"/>
      <c r="NRF3" s="353"/>
      <c r="NRG3" s="353"/>
      <c r="NRH3" s="353"/>
      <c r="NRI3" s="353"/>
      <c r="NRJ3" s="353"/>
      <c r="NRK3" s="353"/>
      <c r="NRL3" s="353"/>
      <c r="NRM3" s="353"/>
      <c r="NRN3" s="353"/>
      <c r="NRO3" s="353"/>
      <c r="NRP3" s="353"/>
      <c r="NRQ3" s="353"/>
      <c r="NRR3" s="353"/>
      <c r="NRS3" s="353"/>
      <c r="NRT3" s="353"/>
      <c r="NRU3" s="353"/>
      <c r="NRV3" s="353"/>
      <c r="NRW3" s="353"/>
      <c r="NRX3" s="353"/>
      <c r="NRY3" s="353"/>
      <c r="NRZ3" s="353"/>
      <c r="NSA3" s="353"/>
      <c r="NSB3" s="353"/>
      <c r="NSC3" s="353"/>
      <c r="NSD3" s="353"/>
      <c r="NSE3" s="353"/>
      <c r="NSF3" s="353"/>
      <c r="NSG3" s="353"/>
      <c r="NSH3" s="353"/>
      <c r="NSI3" s="353"/>
      <c r="NSJ3" s="353"/>
      <c r="NSK3" s="353"/>
      <c r="NSL3" s="353"/>
      <c r="NSM3" s="353"/>
      <c r="NSN3" s="353"/>
      <c r="NSO3" s="353"/>
      <c r="NSP3" s="353"/>
      <c r="NSQ3" s="353"/>
      <c r="NSR3" s="353"/>
      <c r="NSS3" s="353"/>
      <c r="NST3" s="353"/>
      <c r="NSU3" s="353"/>
      <c r="NSV3" s="353"/>
      <c r="NSW3" s="353"/>
      <c r="NSX3" s="353"/>
      <c r="NSY3" s="353"/>
      <c r="NSZ3" s="353"/>
      <c r="NTA3" s="353"/>
      <c r="NTB3" s="353"/>
      <c r="NTC3" s="353"/>
      <c r="NTD3" s="353"/>
      <c r="NTE3" s="353"/>
      <c r="NTF3" s="353"/>
      <c r="NTG3" s="353"/>
      <c r="NTH3" s="353"/>
      <c r="NTI3" s="353"/>
      <c r="NTJ3" s="353"/>
      <c r="NTK3" s="353"/>
      <c r="NTL3" s="353"/>
      <c r="NTM3" s="353"/>
      <c r="NTN3" s="353"/>
      <c r="NTO3" s="353"/>
      <c r="NTP3" s="353"/>
      <c r="NTQ3" s="353"/>
      <c r="NTR3" s="353"/>
      <c r="NTS3" s="353"/>
      <c r="NTT3" s="353"/>
      <c r="NTU3" s="353"/>
      <c r="NTV3" s="353"/>
      <c r="NTW3" s="353"/>
      <c r="NTX3" s="353"/>
      <c r="NTY3" s="353"/>
      <c r="NTZ3" s="353"/>
      <c r="NUA3" s="353"/>
      <c r="NUB3" s="353"/>
      <c r="NUC3" s="353"/>
      <c r="NUD3" s="353"/>
      <c r="NUE3" s="353"/>
      <c r="NUF3" s="353"/>
      <c r="NUG3" s="353"/>
      <c r="NUH3" s="353"/>
      <c r="NUI3" s="353"/>
      <c r="NUJ3" s="353"/>
      <c r="NUK3" s="353"/>
      <c r="NUL3" s="353"/>
      <c r="NUM3" s="353"/>
      <c r="NUN3" s="353"/>
      <c r="NUO3" s="353"/>
      <c r="NUP3" s="353"/>
      <c r="NUQ3" s="353"/>
      <c r="NUR3" s="353"/>
      <c r="NUS3" s="353"/>
      <c r="NUT3" s="353"/>
      <c r="NUU3" s="353"/>
      <c r="NUV3" s="353"/>
      <c r="NUW3" s="353"/>
      <c r="NUX3" s="353"/>
      <c r="NUY3" s="353"/>
      <c r="NUZ3" s="353"/>
      <c r="NVA3" s="353"/>
      <c r="NVB3" s="353"/>
      <c r="NVC3" s="353"/>
      <c r="NVD3" s="353"/>
      <c r="NVE3" s="353"/>
      <c r="NVF3" s="353"/>
      <c r="NVG3" s="353"/>
      <c r="NVH3" s="353"/>
      <c r="NVI3" s="353"/>
      <c r="NVJ3" s="353"/>
      <c r="NVK3" s="353"/>
      <c r="NVL3" s="353"/>
      <c r="NVM3" s="353"/>
      <c r="NVN3" s="353"/>
      <c r="NVO3" s="353"/>
      <c r="NVP3" s="353"/>
      <c r="NVQ3" s="353"/>
      <c r="NVR3" s="353"/>
      <c r="NVS3" s="353"/>
      <c r="NVT3" s="353"/>
      <c r="NVU3" s="353"/>
      <c r="NVV3" s="353"/>
      <c r="NVW3" s="353"/>
      <c r="NVX3" s="353"/>
      <c r="NVY3" s="353"/>
      <c r="NVZ3" s="353"/>
      <c r="NWA3" s="353"/>
      <c r="NWB3" s="353"/>
      <c r="NWC3" s="353"/>
      <c r="NWD3" s="353"/>
      <c r="NWE3" s="353"/>
      <c r="NWF3" s="353"/>
      <c r="NWG3" s="353"/>
      <c r="NWH3" s="353"/>
      <c r="NWI3" s="353"/>
      <c r="NWJ3" s="353"/>
      <c r="NWK3" s="353"/>
      <c r="NWL3" s="353"/>
      <c r="NWM3" s="353"/>
      <c r="NWN3" s="353"/>
      <c r="NWO3" s="353"/>
      <c r="NWP3" s="353"/>
      <c r="NWQ3" s="353"/>
      <c r="NWR3" s="353"/>
      <c r="NWS3" s="353"/>
      <c r="NWT3" s="353"/>
      <c r="NWU3" s="353"/>
      <c r="NWV3" s="353"/>
      <c r="NWW3" s="353"/>
      <c r="NWX3" s="353"/>
      <c r="NWY3" s="353"/>
      <c r="NWZ3" s="353"/>
      <c r="NXA3" s="353"/>
      <c r="NXB3" s="353"/>
      <c r="NXC3" s="353"/>
      <c r="NXD3" s="353"/>
      <c r="NXE3" s="353"/>
      <c r="NXF3" s="353"/>
      <c r="NXG3" s="353"/>
      <c r="NXH3" s="353"/>
      <c r="NXI3" s="353"/>
      <c r="NXJ3" s="353"/>
      <c r="NXK3" s="353"/>
      <c r="NXL3" s="353"/>
      <c r="NXM3" s="353"/>
      <c r="NXN3" s="353"/>
      <c r="NXO3" s="353"/>
      <c r="NXP3" s="353"/>
      <c r="NXQ3" s="353"/>
      <c r="NXR3" s="353"/>
      <c r="NXS3" s="353"/>
      <c r="NXT3" s="353"/>
      <c r="NXU3" s="353"/>
      <c r="NXV3" s="353"/>
      <c r="NXW3" s="353"/>
      <c r="NXX3" s="353"/>
      <c r="NXY3" s="353"/>
      <c r="NXZ3" s="353"/>
      <c r="NYA3" s="353"/>
      <c r="NYB3" s="353"/>
      <c r="NYC3" s="353"/>
      <c r="NYD3" s="353"/>
      <c r="NYE3" s="353"/>
      <c r="NYF3" s="353"/>
      <c r="NYG3" s="353"/>
      <c r="NYH3" s="353"/>
      <c r="NYI3" s="353"/>
      <c r="NYJ3" s="353"/>
      <c r="NYK3" s="353"/>
      <c r="NYL3" s="353"/>
      <c r="NYM3" s="353"/>
      <c r="NYN3" s="353"/>
      <c r="NYO3" s="353"/>
      <c r="NYP3" s="353"/>
      <c r="NYQ3" s="353"/>
      <c r="NYR3" s="353"/>
      <c r="NYS3" s="353"/>
      <c r="NYT3" s="353"/>
      <c r="NYU3" s="353"/>
      <c r="NYV3" s="353"/>
      <c r="NYW3" s="353"/>
      <c r="NYX3" s="353"/>
      <c r="NYY3" s="353"/>
      <c r="NYZ3" s="353"/>
      <c r="NZA3" s="353"/>
      <c r="NZB3" s="353"/>
      <c r="NZC3" s="353"/>
      <c r="NZD3" s="353"/>
      <c r="NZE3" s="353"/>
      <c r="NZF3" s="353"/>
      <c r="NZG3" s="353"/>
      <c r="NZH3" s="353"/>
      <c r="NZI3" s="353"/>
      <c r="NZJ3" s="353"/>
      <c r="NZK3" s="353"/>
      <c r="NZL3" s="353"/>
      <c r="NZM3" s="353"/>
      <c r="NZN3" s="353"/>
      <c r="NZO3" s="353"/>
      <c r="NZP3" s="353"/>
      <c r="NZQ3" s="353"/>
      <c r="NZR3" s="353"/>
      <c r="NZS3" s="353"/>
      <c r="NZT3" s="353"/>
      <c r="NZU3" s="353"/>
      <c r="NZV3" s="353"/>
      <c r="NZW3" s="353"/>
      <c r="NZX3" s="353"/>
      <c r="NZY3" s="353"/>
      <c r="NZZ3" s="353"/>
      <c r="OAA3" s="353"/>
      <c r="OAB3" s="353"/>
      <c r="OAC3" s="353"/>
      <c r="OAD3" s="353"/>
      <c r="OAE3" s="353"/>
      <c r="OAF3" s="353"/>
      <c r="OAG3" s="353"/>
      <c r="OAH3" s="353"/>
      <c r="OAI3" s="353"/>
      <c r="OAJ3" s="353"/>
      <c r="OAK3" s="353"/>
      <c r="OAL3" s="353"/>
      <c r="OAM3" s="353"/>
      <c r="OAN3" s="353"/>
      <c r="OAO3" s="353"/>
      <c r="OAP3" s="353"/>
      <c r="OAQ3" s="353"/>
      <c r="OAR3" s="353"/>
      <c r="OAS3" s="353"/>
      <c r="OAT3" s="353"/>
      <c r="OAU3" s="353"/>
      <c r="OAV3" s="353"/>
      <c r="OAW3" s="353"/>
      <c r="OAX3" s="353"/>
      <c r="OAY3" s="353"/>
      <c r="OAZ3" s="353"/>
      <c r="OBA3" s="353"/>
      <c r="OBB3" s="353"/>
      <c r="OBC3" s="353"/>
      <c r="OBD3" s="353"/>
      <c r="OBE3" s="353"/>
      <c r="OBF3" s="353"/>
      <c r="OBG3" s="353"/>
      <c r="OBH3" s="353"/>
      <c r="OBI3" s="353"/>
      <c r="OBJ3" s="353"/>
      <c r="OBK3" s="353"/>
      <c r="OBL3" s="353"/>
      <c r="OBM3" s="353"/>
      <c r="OBN3" s="353"/>
      <c r="OBO3" s="353"/>
      <c r="OBP3" s="353"/>
      <c r="OBQ3" s="353"/>
      <c r="OBR3" s="353"/>
      <c r="OBS3" s="353"/>
      <c r="OBT3" s="353"/>
      <c r="OBU3" s="353"/>
      <c r="OBV3" s="353"/>
      <c r="OBW3" s="353"/>
      <c r="OBX3" s="353"/>
      <c r="OBY3" s="353"/>
      <c r="OBZ3" s="353"/>
      <c r="OCA3" s="353"/>
      <c r="OCB3" s="353"/>
      <c r="OCC3" s="353"/>
      <c r="OCD3" s="353"/>
      <c r="OCE3" s="353"/>
      <c r="OCF3" s="353"/>
      <c r="OCG3" s="353"/>
      <c r="OCH3" s="353"/>
      <c r="OCI3" s="353"/>
      <c r="OCJ3" s="353"/>
      <c r="OCK3" s="353"/>
      <c r="OCL3" s="353"/>
      <c r="OCM3" s="353"/>
      <c r="OCN3" s="353"/>
      <c r="OCO3" s="353"/>
      <c r="OCP3" s="353"/>
      <c r="OCQ3" s="353"/>
      <c r="OCR3" s="353"/>
      <c r="OCS3" s="353"/>
      <c r="OCT3" s="353"/>
      <c r="OCU3" s="353"/>
      <c r="OCV3" s="353"/>
      <c r="OCW3" s="353"/>
      <c r="OCX3" s="353"/>
      <c r="OCY3" s="353"/>
      <c r="OCZ3" s="353"/>
      <c r="ODA3" s="353"/>
      <c r="ODB3" s="353"/>
      <c r="ODC3" s="353"/>
      <c r="ODD3" s="353"/>
      <c r="ODE3" s="353"/>
      <c r="ODF3" s="353"/>
      <c r="ODG3" s="353"/>
      <c r="ODH3" s="353"/>
      <c r="ODI3" s="353"/>
      <c r="ODJ3" s="353"/>
      <c r="ODK3" s="353"/>
      <c r="ODL3" s="353"/>
      <c r="ODM3" s="353"/>
      <c r="ODN3" s="353"/>
      <c r="ODO3" s="353"/>
      <c r="ODP3" s="353"/>
      <c r="ODQ3" s="353"/>
      <c r="ODR3" s="353"/>
      <c r="ODS3" s="353"/>
      <c r="ODT3" s="353"/>
      <c r="ODU3" s="353"/>
      <c r="ODV3" s="353"/>
      <c r="ODW3" s="353"/>
      <c r="ODX3" s="353"/>
      <c r="ODY3" s="353"/>
      <c r="ODZ3" s="353"/>
      <c r="OEA3" s="353"/>
      <c r="OEB3" s="353"/>
      <c r="OEC3" s="353"/>
      <c r="OED3" s="353"/>
      <c r="OEE3" s="353"/>
      <c r="OEF3" s="353"/>
      <c r="OEG3" s="353"/>
      <c r="OEH3" s="353"/>
      <c r="OEI3" s="353"/>
      <c r="OEJ3" s="353"/>
      <c r="OEK3" s="353"/>
      <c r="OEL3" s="353"/>
      <c r="OEM3" s="353"/>
      <c r="OEN3" s="353"/>
      <c r="OEO3" s="353"/>
      <c r="OEP3" s="353"/>
      <c r="OEQ3" s="353"/>
      <c r="OER3" s="353"/>
      <c r="OES3" s="353"/>
      <c r="OET3" s="353"/>
      <c r="OEU3" s="353"/>
      <c r="OEV3" s="353"/>
      <c r="OEW3" s="353"/>
      <c r="OEX3" s="353"/>
      <c r="OEY3" s="353"/>
      <c r="OEZ3" s="353"/>
      <c r="OFA3" s="353"/>
      <c r="OFB3" s="353"/>
      <c r="OFC3" s="353"/>
      <c r="OFD3" s="353"/>
      <c r="OFE3" s="353"/>
      <c r="OFF3" s="353"/>
      <c r="OFG3" s="353"/>
      <c r="OFH3" s="353"/>
      <c r="OFI3" s="353"/>
      <c r="OFJ3" s="353"/>
      <c r="OFK3" s="353"/>
      <c r="OFL3" s="353"/>
      <c r="OFM3" s="353"/>
      <c r="OFN3" s="353"/>
      <c r="OFO3" s="353"/>
      <c r="OFP3" s="353"/>
      <c r="OFQ3" s="353"/>
      <c r="OFR3" s="353"/>
      <c r="OFS3" s="353"/>
      <c r="OFT3" s="353"/>
      <c r="OFU3" s="353"/>
      <c r="OFV3" s="353"/>
      <c r="OFW3" s="353"/>
      <c r="OFX3" s="353"/>
      <c r="OFY3" s="353"/>
      <c r="OFZ3" s="353"/>
      <c r="OGA3" s="353"/>
      <c r="OGB3" s="353"/>
      <c r="OGC3" s="353"/>
      <c r="OGD3" s="353"/>
      <c r="OGE3" s="353"/>
      <c r="OGF3" s="353"/>
      <c r="OGG3" s="353"/>
      <c r="OGH3" s="353"/>
      <c r="OGI3" s="353"/>
      <c r="OGJ3" s="353"/>
      <c r="OGK3" s="353"/>
      <c r="OGL3" s="353"/>
      <c r="OGM3" s="353"/>
      <c r="OGN3" s="353"/>
      <c r="OGO3" s="353"/>
      <c r="OGP3" s="353"/>
      <c r="OGQ3" s="353"/>
      <c r="OGR3" s="353"/>
      <c r="OGS3" s="353"/>
      <c r="OGT3" s="353"/>
      <c r="OGU3" s="353"/>
      <c r="OGV3" s="353"/>
      <c r="OGW3" s="353"/>
      <c r="OGX3" s="353"/>
      <c r="OGY3" s="353"/>
      <c r="OGZ3" s="353"/>
      <c r="OHA3" s="353"/>
      <c r="OHB3" s="353"/>
      <c r="OHC3" s="353"/>
      <c r="OHD3" s="353"/>
      <c r="OHE3" s="353"/>
      <c r="OHF3" s="353"/>
      <c r="OHG3" s="353"/>
      <c r="OHH3" s="353"/>
      <c r="OHI3" s="353"/>
      <c r="OHJ3" s="353"/>
      <c r="OHK3" s="353"/>
      <c r="OHL3" s="353"/>
      <c r="OHM3" s="353"/>
      <c r="OHN3" s="353"/>
      <c r="OHO3" s="353"/>
      <c r="OHP3" s="353"/>
      <c r="OHQ3" s="353"/>
      <c r="OHR3" s="353"/>
      <c r="OHS3" s="353"/>
      <c r="OHT3" s="353"/>
      <c r="OHU3" s="353"/>
      <c r="OHV3" s="353"/>
      <c r="OHW3" s="353"/>
      <c r="OHX3" s="353"/>
      <c r="OHY3" s="353"/>
      <c r="OHZ3" s="353"/>
      <c r="OIA3" s="353"/>
      <c r="OIB3" s="353"/>
      <c r="OIC3" s="353"/>
      <c r="OID3" s="353"/>
      <c r="OIE3" s="353"/>
      <c r="OIF3" s="353"/>
      <c r="OIG3" s="353"/>
      <c r="OIH3" s="353"/>
      <c r="OII3" s="353"/>
      <c r="OIJ3" s="353"/>
      <c r="OIK3" s="353"/>
      <c r="OIL3" s="353"/>
      <c r="OIM3" s="353"/>
      <c r="OIN3" s="353"/>
      <c r="OIO3" s="353"/>
      <c r="OIP3" s="353"/>
      <c r="OIQ3" s="353"/>
      <c r="OIR3" s="353"/>
      <c r="OIS3" s="353"/>
      <c r="OIT3" s="353"/>
      <c r="OIU3" s="353"/>
      <c r="OIV3" s="353"/>
      <c r="OIW3" s="353"/>
      <c r="OIX3" s="353"/>
      <c r="OIY3" s="353"/>
      <c r="OIZ3" s="353"/>
      <c r="OJA3" s="353"/>
      <c r="OJB3" s="353"/>
      <c r="OJC3" s="353"/>
      <c r="OJD3" s="353"/>
      <c r="OJE3" s="353"/>
      <c r="OJF3" s="353"/>
      <c r="OJG3" s="353"/>
      <c r="OJH3" s="353"/>
      <c r="OJI3" s="353"/>
      <c r="OJJ3" s="353"/>
      <c r="OJK3" s="353"/>
      <c r="OJL3" s="353"/>
      <c r="OJM3" s="353"/>
      <c r="OJN3" s="353"/>
      <c r="OJO3" s="353"/>
      <c r="OJP3" s="353"/>
      <c r="OJQ3" s="353"/>
      <c r="OJR3" s="353"/>
      <c r="OJS3" s="353"/>
      <c r="OJT3" s="353"/>
      <c r="OJU3" s="353"/>
      <c r="OJV3" s="353"/>
      <c r="OJW3" s="353"/>
      <c r="OJX3" s="353"/>
      <c r="OJY3" s="353"/>
      <c r="OJZ3" s="353"/>
      <c r="OKA3" s="353"/>
      <c r="OKB3" s="353"/>
      <c r="OKC3" s="353"/>
      <c r="OKD3" s="353"/>
      <c r="OKE3" s="353"/>
      <c r="OKF3" s="353"/>
      <c r="OKG3" s="353"/>
      <c r="OKH3" s="353"/>
      <c r="OKI3" s="353"/>
      <c r="OKJ3" s="353"/>
      <c r="OKK3" s="353"/>
      <c r="OKL3" s="353"/>
      <c r="OKM3" s="353"/>
      <c r="OKN3" s="353"/>
      <c r="OKO3" s="353"/>
      <c r="OKP3" s="353"/>
      <c r="OKQ3" s="353"/>
      <c r="OKR3" s="353"/>
      <c r="OKS3" s="353"/>
      <c r="OKT3" s="353"/>
      <c r="OKU3" s="353"/>
      <c r="OKV3" s="353"/>
      <c r="OKW3" s="353"/>
      <c r="OKX3" s="353"/>
      <c r="OKY3" s="353"/>
      <c r="OKZ3" s="353"/>
      <c r="OLA3" s="353"/>
      <c r="OLB3" s="353"/>
      <c r="OLC3" s="353"/>
      <c r="OLD3" s="353"/>
      <c r="OLE3" s="353"/>
      <c r="OLF3" s="353"/>
      <c r="OLG3" s="353"/>
      <c r="OLH3" s="353"/>
      <c r="OLI3" s="353"/>
      <c r="OLJ3" s="353"/>
      <c r="OLK3" s="353"/>
      <c r="OLL3" s="353"/>
      <c r="OLM3" s="353"/>
      <c r="OLN3" s="353"/>
      <c r="OLO3" s="353"/>
      <c r="OLP3" s="353"/>
      <c r="OLQ3" s="353"/>
      <c r="OLR3" s="353"/>
      <c r="OLS3" s="353"/>
      <c r="OLT3" s="353"/>
      <c r="OLU3" s="353"/>
      <c r="OLV3" s="353"/>
      <c r="OLW3" s="353"/>
      <c r="OLX3" s="353"/>
      <c r="OLY3" s="353"/>
      <c r="OLZ3" s="353"/>
      <c r="OMA3" s="353"/>
      <c r="OMB3" s="353"/>
      <c r="OMC3" s="353"/>
      <c r="OMD3" s="353"/>
      <c r="OME3" s="353"/>
      <c r="OMF3" s="353"/>
      <c r="OMG3" s="353"/>
      <c r="OMH3" s="353"/>
      <c r="OMI3" s="353"/>
      <c r="OMJ3" s="353"/>
      <c r="OMK3" s="353"/>
      <c r="OML3" s="353"/>
      <c r="OMM3" s="353"/>
      <c r="OMN3" s="353"/>
      <c r="OMO3" s="353"/>
      <c r="OMP3" s="353"/>
      <c r="OMQ3" s="353"/>
      <c r="OMR3" s="353"/>
      <c r="OMS3" s="353"/>
      <c r="OMT3" s="353"/>
      <c r="OMU3" s="353"/>
      <c r="OMV3" s="353"/>
      <c r="OMW3" s="353"/>
      <c r="OMX3" s="353"/>
      <c r="OMY3" s="353"/>
      <c r="OMZ3" s="353"/>
      <c r="ONA3" s="353"/>
      <c r="ONB3" s="353"/>
      <c r="ONC3" s="353"/>
      <c r="OND3" s="353"/>
      <c r="ONE3" s="353"/>
      <c r="ONF3" s="353"/>
      <c r="ONG3" s="353"/>
      <c r="ONH3" s="353"/>
      <c r="ONI3" s="353"/>
      <c r="ONJ3" s="353"/>
      <c r="ONK3" s="353"/>
      <c r="ONL3" s="353"/>
      <c r="ONM3" s="353"/>
      <c r="ONN3" s="353"/>
      <c r="ONO3" s="353"/>
      <c r="ONP3" s="353"/>
      <c r="ONQ3" s="353"/>
      <c r="ONR3" s="353"/>
      <c r="ONS3" s="353"/>
      <c r="ONT3" s="353"/>
      <c r="ONU3" s="353"/>
      <c r="ONV3" s="353"/>
      <c r="ONW3" s="353"/>
      <c r="ONX3" s="353"/>
      <c r="ONY3" s="353"/>
      <c r="ONZ3" s="353"/>
      <c r="OOA3" s="353"/>
      <c r="OOB3" s="353"/>
      <c r="OOC3" s="353"/>
      <c r="OOD3" s="353"/>
      <c r="OOE3" s="353"/>
      <c r="OOF3" s="353"/>
      <c r="OOG3" s="353"/>
      <c r="OOH3" s="353"/>
      <c r="OOI3" s="353"/>
      <c r="OOJ3" s="353"/>
      <c r="OOK3" s="353"/>
      <c r="OOL3" s="353"/>
      <c r="OOM3" s="353"/>
      <c r="OON3" s="353"/>
      <c r="OOO3" s="353"/>
      <c r="OOP3" s="353"/>
      <c r="OOQ3" s="353"/>
      <c r="OOR3" s="353"/>
      <c r="OOS3" s="353"/>
      <c r="OOT3" s="353"/>
      <c r="OOU3" s="353"/>
      <c r="OOV3" s="353"/>
      <c r="OOW3" s="353"/>
      <c r="OOX3" s="353"/>
      <c r="OOY3" s="353"/>
      <c r="OOZ3" s="353"/>
      <c r="OPA3" s="353"/>
      <c r="OPB3" s="353"/>
      <c r="OPC3" s="353"/>
      <c r="OPD3" s="353"/>
      <c r="OPE3" s="353"/>
      <c r="OPF3" s="353"/>
      <c r="OPG3" s="353"/>
      <c r="OPH3" s="353"/>
      <c r="OPI3" s="353"/>
      <c r="OPJ3" s="353"/>
      <c r="OPK3" s="353"/>
      <c r="OPL3" s="353"/>
      <c r="OPM3" s="353"/>
      <c r="OPN3" s="353"/>
      <c r="OPO3" s="353"/>
      <c r="OPP3" s="353"/>
      <c r="OPQ3" s="353"/>
      <c r="OPR3" s="353"/>
      <c r="OPS3" s="353"/>
      <c r="OPT3" s="353"/>
      <c r="OPU3" s="353"/>
      <c r="OPV3" s="353"/>
      <c r="OPW3" s="353"/>
      <c r="OPX3" s="353"/>
      <c r="OPY3" s="353"/>
      <c r="OPZ3" s="353"/>
      <c r="OQA3" s="353"/>
      <c r="OQB3" s="353"/>
      <c r="OQC3" s="353"/>
      <c r="OQD3" s="353"/>
      <c r="OQE3" s="353"/>
      <c r="OQF3" s="353"/>
      <c r="OQG3" s="353"/>
      <c r="OQH3" s="353"/>
      <c r="OQI3" s="353"/>
      <c r="OQJ3" s="353"/>
      <c r="OQK3" s="353"/>
      <c r="OQL3" s="353"/>
      <c r="OQM3" s="353"/>
      <c r="OQN3" s="353"/>
      <c r="OQO3" s="353"/>
      <c r="OQP3" s="353"/>
      <c r="OQQ3" s="353"/>
      <c r="OQR3" s="353"/>
      <c r="OQS3" s="353"/>
      <c r="OQT3" s="353"/>
      <c r="OQU3" s="353"/>
      <c r="OQV3" s="353"/>
      <c r="OQW3" s="353"/>
      <c r="OQX3" s="353"/>
      <c r="OQY3" s="353"/>
      <c r="OQZ3" s="353"/>
      <c r="ORA3" s="353"/>
      <c r="ORB3" s="353"/>
      <c r="ORC3" s="353"/>
      <c r="ORD3" s="353"/>
      <c r="ORE3" s="353"/>
      <c r="ORF3" s="353"/>
      <c r="ORG3" s="353"/>
      <c r="ORH3" s="353"/>
      <c r="ORI3" s="353"/>
      <c r="ORJ3" s="353"/>
      <c r="ORK3" s="353"/>
      <c r="ORL3" s="353"/>
      <c r="ORM3" s="353"/>
      <c r="ORN3" s="353"/>
      <c r="ORO3" s="353"/>
      <c r="ORP3" s="353"/>
      <c r="ORQ3" s="353"/>
      <c r="ORR3" s="353"/>
      <c r="ORS3" s="353"/>
      <c r="ORT3" s="353"/>
      <c r="ORU3" s="353"/>
      <c r="ORV3" s="353"/>
      <c r="ORW3" s="353"/>
      <c r="ORX3" s="353"/>
      <c r="ORY3" s="353"/>
      <c r="ORZ3" s="353"/>
      <c r="OSA3" s="353"/>
      <c r="OSB3" s="353"/>
      <c r="OSC3" s="353"/>
      <c r="OSD3" s="353"/>
      <c r="OSE3" s="353"/>
      <c r="OSF3" s="353"/>
      <c r="OSG3" s="353"/>
      <c r="OSH3" s="353"/>
      <c r="OSI3" s="353"/>
      <c r="OSJ3" s="353"/>
      <c r="OSK3" s="353"/>
      <c r="OSL3" s="353"/>
      <c r="OSM3" s="353"/>
      <c r="OSN3" s="353"/>
      <c r="OSO3" s="353"/>
      <c r="OSP3" s="353"/>
      <c r="OSQ3" s="353"/>
      <c r="OSR3" s="353"/>
      <c r="OSS3" s="353"/>
      <c r="OST3" s="353"/>
      <c r="OSU3" s="353"/>
      <c r="OSV3" s="353"/>
      <c r="OSW3" s="353"/>
      <c r="OSX3" s="353"/>
      <c r="OSY3" s="353"/>
      <c r="OSZ3" s="353"/>
      <c r="OTA3" s="353"/>
      <c r="OTB3" s="353"/>
      <c r="OTC3" s="353"/>
      <c r="OTD3" s="353"/>
      <c r="OTE3" s="353"/>
      <c r="OTF3" s="353"/>
      <c r="OTG3" s="353"/>
      <c r="OTH3" s="353"/>
      <c r="OTI3" s="353"/>
      <c r="OTJ3" s="353"/>
      <c r="OTK3" s="353"/>
      <c r="OTL3" s="353"/>
      <c r="OTM3" s="353"/>
      <c r="OTN3" s="353"/>
      <c r="OTO3" s="353"/>
      <c r="OTP3" s="353"/>
      <c r="OTQ3" s="353"/>
      <c r="OTR3" s="353"/>
      <c r="OTS3" s="353"/>
      <c r="OTT3" s="353"/>
      <c r="OTU3" s="353"/>
      <c r="OTV3" s="353"/>
      <c r="OTW3" s="353"/>
      <c r="OTX3" s="353"/>
      <c r="OTY3" s="353"/>
      <c r="OTZ3" s="353"/>
      <c r="OUA3" s="353"/>
      <c r="OUB3" s="353"/>
      <c r="OUC3" s="353"/>
      <c r="OUD3" s="353"/>
      <c r="OUE3" s="353"/>
      <c r="OUF3" s="353"/>
      <c r="OUG3" s="353"/>
      <c r="OUH3" s="353"/>
      <c r="OUI3" s="353"/>
      <c r="OUJ3" s="353"/>
      <c r="OUK3" s="353"/>
      <c r="OUL3" s="353"/>
      <c r="OUM3" s="353"/>
      <c r="OUN3" s="353"/>
      <c r="OUO3" s="353"/>
      <c r="OUP3" s="353"/>
      <c r="OUQ3" s="353"/>
      <c r="OUR3" s="353"/>
      <c r="OUS3" s="353"/>
      <c r="OUT3" s="353"/>
      <c r="OUU3" s="353"/>
      <c r="OUV3" s="353"/>
      <c r="OUW3" s="353"/>
      <c r="OUX3" s="353"/>
      <c r="OUY3" s="353"/>
      <c r="OUZ3" s="353"/>
      <c r="OVA3" s="353"/>
      <c r="OVB3" s="353"/>
      <c r="OVC3" s="353"/>
      <c r="OVD3" s="353"/>
      <c r="OVE3" s="353"/>
      <c r="OVF3" s="353"/>
      <c r="OVG3" s="353"/>
      <c r="OVH3" s="353"/>
      <c r="OVI3" s="353"/>
      <c r="OVJ3" s="353"/>
      <c r="OVK3" s="353"/>
      <c r="OVL3" s="353"/>
      <c r="OVM3" s="353"/>
      <c r="OVN3" s="353"/>
      <c r="OVO3" s="353"/>
      <c r="OVP3" s="353"/>
      <c r="OVQ3" s="353"/>
      <c r="OVR3" s="353"/>
      <c r="OVS3" s="353"/>
      <c r="OVT3" s="353"/>
      <c r="OVU3" s="353"/>
      <c r="OVV3" s="353"/>
      <c r="OVW3" s="353"/>
      <c r="OVX3" s="353"/>
      <c r="OVY3" s="353"/>
      <c r="OVZ3" s="353"/>
      <c r="OWA3" s="353"/>
      <c r="OWB3" s="353"/>
      <c r="OWC3" s="353"/>
      <c r="OWD3" s="353"/>
      <c r="OWE3" s="353"/>
      <c r="OWF3" s="353"/>
      <c r="OWG3" s="353"/>
      <c r="OWH3" s="353"/>
      <c r="OWI3" s="353"/>
      <c r="OWJ3" s="353"/>
      <c r="OWK3" s="353"/>
      <c r="OWL3" s="353"/>
      <c r="OWM3" s="353"/>
      <c r="OWN3" s="353"/>
      <c r="OWO3" s="353"/>
      <c r="OWP3" s="353"/>
      <c r="OWQ3" s="353"/>
      <c r="OWR3" s="353"/>
      <c r="OWS3" s="353"/>
      <c r="OWT3" s="353"/>
      <c r="OWU3" s="353"/>
      <c r="OWV3" s="353"/>
      <c r="OWW3" s="353"/>
      <c r="OWX3" s="353"/>
      <c r="OWY3" s="353"/>
      <c r="OWZ3" s="353"/>
      <c r="OXA3" s="353"/>
      <c r="OXB3" s="353"/>
      <c r="OXC3" s="353"/>
      <c r="OXD3" s="353"/>
      <c r="OXE3" s="353"/>
      <c r="OXF3" s="353"/>
      <c r="OXG3" s="353"/>
      <c r="OXH3" s="353"/>
      <c r="OXI3" s="353"/>
      <c r="OXJ3" s="353"/>
      <c r="OXK3" s="353"/>
      <c r="OXL3" s="353"/>
      <c r="OXM3" s="353"/>
      <c r="OXN3" s="353"/>
      <c r="OXO3" s="353"/>
      <c r="OXP3" s="353"/>
      <c r="OXQ3" s="353"/>
      <c r="OXR3" s="353"/>
      <c r="OXS3" s="353"/>
      <c r="OXT3" s="353"/>
      <c r="OXU3" s="353"/>
      <c r="OXV3" s="353"/>
      <c r="OXW3" s="353"/>
      <c r="OXX3" s="353"/>
      <c r="OXY3" s="353"/>
      <c r="OXZ3" s="353"/>
      <c r="OYA3" s="353"/>
      <c r="OYB3" s="353"/>
      <c r="OYC3" s="353"/>
      <c r="OYD3" s="353"/>
      <c r="OYE3" s="353"/>
      <c r="OYF3" s="353"/>
      <c r="OYG3" s="353"/>
      <c r="OYH3" s="353"/>
      <c r="OYI3" s="353"/>
      <c r="OYJ3" s="353"/>
      <c r="OYK3" s="353"/>
      <c r="OYL3" s="353"/>
      <c r="OYM3" s="353"/>
      <c r="OYN3" s="353"/>
      <c r="OYO3" s="353"/>
      <c r="OYP3" s="353"/>
      <c r="OYQ3" s="353"/>
      <c r="OYR3" s="353"/>
      <c r="OYS3" s="353"/>
      <c r="OYT3" s="353"/>
      <c r="OYU3" s="353"/>
      <c r="OYV3" s="353"/>
      <c r="OYW3" s="353"/>
      <c r="OYX3" s="353"/>
      <c r="OYY3" s="353"/>
      <c r="OYZ3" s="353"/>
      <c r="OZA3" s="353"/>
      <c r="OZB3" s="353"/>
      <c r="OZC3" s="353"/>
      <c r="OZD3" s="353"/>
      <c r="OZE3" s="353"/>
      <c r="OZF3" s="353"/>
      <c r="OZG3" s="353"/>
      <c r="OZH3" s="353"/>
      <c r="OZI3" s="353"/>
      <c r="OZJ3" s="353"/>
      <c r="OZK3" s="353"/>
      <c r="OZL3" s="353"/>
      <c r="OZM3" s="353"/>
      <c r="OZN3" s="353"/>
      <c r="OZO3" s="353"/>
      <c r="OZP3" s="353"/>
      <c r="OZQ3" s="353"/>
      <c r="OZR3" s="353"/>
      <c r="OZS3" s="353"/>
      <c r="OZT3" s="353"/>
      <c r="OZU3" s="353"/>
      <c r="OZV3" s="353"/>
      <c r="OZW3" s="353"/>
      <c r="OZX3" s="353"/>
      <c r="OZY3" s="353"/>
      <c r="OZZ3" s="353"/>
      <c r="PAA3" s="353"/>
      <c r="PAB3" s="353"/>
      <c r="PAC3" s="353"/>
      <c r="PAD3" s="353"/>
      <c r="PAE3" s="353"/>
      <c r="PAF3" s="353"/>
      <c r="PAG3" s="353"/>
      <c r="PAH3" s="353"/>
      <c r="PAI3" s="353"/>
      <c r="PAJ3" s="353"/>
      <c r="PAK3" s="353"/>
      <c r="PAL3" s="353"/>
      <c r="PAM3" s="353"/>
      <c r="PAN3" s="353"/>
      <c r="PAO3" s="353"/>
      <c r="PAP3" s="353"/>
      <c r="PAQ3" s="353"/>
      <c r="PAR3" s="353"/>
      <c r="PAS3" s="353"/>
      <c r="PAT3" s="353"/>
      <c r="PAU3" s="353"/>
      <c r="PAV3" s="353"/>
      <c r="PAW3" s="353"/>
      <c r="PAX3" s="353"/>
      <c r="PAY3" s="353"/>
      <c r="PAZ3" s="353"/>
      <c r="PBA3" s="353"/>
      <c r="PBB3" s="353"/>
      <c r="PBC3" s="353"/>
      <c r="PBD3" s="353"/>
      <c r="PBE3" s="353"/>
      <c r="PBF3" s="353"/>
      <c r="PBG3" s="353"/>
      <c r="PBH3" s="353"/>
      <c r="PBI3" s="353"/>
      <c r="PBJ3" s="353"/>
      <c r="PBK3" s="353"/>
      <c r="PBL3" s="353"/>
      <c r="PBM3" s="353"/>
      <c r="PBN3" s="353"/>
      <c r="PBO3" s="353"/>
      <c r="PBP3" s="353"/>
      <c r="PBQ3" s="353"/>
      <c r="PBR3" s="353"/>
      <c r="PBS3" s="353"/>
      <c r="PBT3" s="353"/>
      <c r="PBU3" s="353"/>
      <c r="PBV3" s="353"/>
      <c r="PBW3" s="353"/>
      <c r="PBX3" s="353"/>
      <c r="PBY3" s="353"/>
      <c r="PBZ3" s="353"/>
      <c r="PCA3" s="353"/>
      <c r="PCB3" s="353"/>
      <c r="PCC3" s="353"/>
      <c r="PCD3" s="353"/>
      <c r="PCE3" s="353"/>
      <c r="PCF3" s="353"/>
      <c r="PCG3" s="353"/>
      <c r="PCH3" s="353"/>
      <c r="PCI3" s="353"/>
      <c r="PCJ3" s="353"/>
      <c r="PCK3" s="353"/>
      <c r="PCL3" s="353"/>
      <c r="PCM3" s="353"/>
      <c r="PCN3" s="353"/>
      <c r="PCO3" s="353"/>
      <c r="PCP3" s="353"/>
      <c r="PCQ3" s="353"/>
      <c r="PCR3" s="353"/>
      <c r="PCS3" s="353"/>
      <c r="PCT3" s="353"/>
      <c r="PCU3" s="353"/>
      <c r="PCV3" s="353"/>
      <c r="PCW3" s="353"/>
      <c r="PCX3" s="353"/>
      <c r="PCY3" s="353"/>
      <c r="PCZ3" s="353"/>
      <c r="PDA3" s="353"/>
      <c r="PDB3" s="353"/>
      <c r="PDC3" s="353"/>
      <c r="PDD3" s="353"/>
      <c r="PDE3" s="353"/>
      <c r="PDF3" s="353"/>
      <c r="PDG3" s="353"/>
      <c r="PDH3" s="353"/>
      <c r="PDI3" s="353"/>
      <c r="PDJ3" s="353"/>
      <c r="PDK3" s="353"/>
      <c r="PDL3" s="353"/>
      <c r="PDM3" s="353"/>
      <c r="PDN3" s="353"/>
      <c r="PDO3" s="353"/>
      <c r="PDP3" s="353"/>
      <c r="PDQ3" s="353"/>
      <c r="PDR3" s="353"/>
      <c r="PDS3" s="353"/>
      <c r="PDT3" s="353"/>
      <c r="PDU3" s="353"/>
      <c r="PDV3" s="353"/>
      <c r="PDW3" s="353"/>
      <c r="PDX3" s="353"/>
      <c r="PDY3" s="353"/>
      <c r="PDZ3" s="353"/>
      <c r="PEA3" s="353"/>
      <c r="PEB3" s="353"/>
      <c r="PEC3" s="353"/>
      <c r="PED3" s="353"/>
      <c r="PEE3" s="353"/>
      <c r="PEF3" s="353"/>
      <c r="PEG3" s="353"/>
      <c r="PEH3" s="353"/>
      <c r="PEI3" s="353"/>
      <c r="PEJ3" s="353"/>
      <c r="PEK3" s="353"/>
      <c r="PEL3" s="353"/>
      <c r="PEM3" s="353"/>
      <c r="PEN3" s="353"/>
      <c r="PEO3" s="353"/>
      <c r="PEP3" s="353"/>
      <c r="PEQ3" s="353"/>
      <c r="PER3" s="353"/>
      <c r="PES3" s="353"/>
      <c r="PET3" s="353"/>
      <c r="PEU3" s="353"/>
      <c r="PEV3" s="353"/>
      <c r="PEW3" s="353"/>
      <c r="PEX3" s="353"/>
      <c r="PEY3" s="353"/>
      <c r="PEZ3" s="353"/>
      <c r="PFA3" s="353"/>
      <c r="PFB3" s="353"/>
      <c r="PFC3" s="353"/>
      <c r="PFD3" s="353"/>
      <c r="PFE3" s="353"/>
      <c r="PFF3" s="353"/>
      <c r="PFG3" s="353"/>
      <c r="PFH3" s="353"/>
      <c r="PFI3" s="353"/>
      <c r="PFJ3" s="353"/>
      <c r="PFK3" s="353"/>
      <c r="PFL3" s="353"/>
      <c r="PFM3" s="353"/>
      <c r="PFN3" s="353"/>
      <c r="PFO3" s="353"/>
      <c r="PFP3" s="353"/>
      <c r="PFQ3" s="353"/>
      <c r="PFR3" s="353"/>
      <c r="PFS3" s="353"/>
      <c r="PFT3" s="353"/>
      <c r="PFU3" s="353"/>
      <c r="PFV3" s="353"/>
      <c r="PFW3" s="353"/>
      <c r="PFX3" s="353"/>
      <c r="PFY3" s="353"/>
      <c r="PFZ3" s="353"/>
      <c r="PGA3" s="353"/>
      <c r="PGB3" s="353"/>
      <c r="PGC3" s="353"/>
      <c r="PGD3" s="353"/>
      <c r="PGE3" s="353"/>
      <c r="PGF3" s="353"/>
      <c r="PGG3" s="353"/>
      <c r="PGH3" s="353"/>
      <c r="PGI3" s="353"/>
      <c r="PGJ3" s="353"/>
      <c r="PGK3" s="353"/>
      <c r="PGL3" s="353"/>
      <c r="PGM3" s="353"/>
      <c r="PGN3" s="353"/>
      <c r="PGO3" s="353"/>
      <c r="PGP3" s="353"/>
      <c r="PGQ3" s="353"/>
      <c r="PGR3" s="353"/>
      <c r="PGS3" s="353"/>
      <c r="PGT3" s="353"/>
      <c r="PGU3" s="353"/>
      <c r="PGV3" s="353"/>
      <c r="PGW3" s="353"/>
      <c r="PGX3" s="353"/>
      <c r="PGY3" s="353"/>
      <c r="PGZ3" s="353"/>
      <c r="PHA3" s="353"/>
      <c r="PHB3" s="353"/>
      <c r="PHC3" s="353"/>
      <c r="PHD3" s="353"/>
      <c r="PHE3" s="353"/>
      <c r="PHF3" s="353"/>
      <c r="PHG3" s="353"/>
      <c r="PHH3" s="353"/>
      <c r="PHI3" s="353"/>
      <c r="PHJ3" s="353"/>
      <c r="PHK3" s="353"/>
      <c r="PHL3" s="353"/>
      <c r="PHM3" s="353"/>
      <c r="PHN3" s="353"/>
      <c r="PHO3" s="353"/>
      <c r="PHP3" s="353"/>
      <c r="PHQ3" s="353"/>
      <c r="PHR3" s="353"/>
      <c r="PHS3" s="353"/>
      <c r="PHT3" s="353"/>
      <c r="PHU3" s="353"/>
      <c r="PHV3" s="353"/>
      <c r="PHW3" s="353"/>
      <c r="PHX3" s="353"/>
      <c r="PHY3" s="353"/>
      <c r="PHZ3" s="353"/>
      <c r="PIA3" s="353"/>
      <c r="PIB3" s="353"/>
      <c r="PIC3" s="353"/>
      <c r="PID3" s="353"/>
      <c r="PIE3" s="353"/>
      <c r="PIF3" s="353"/>
      <c r="PIG3" s="353"/>
      <c r="PIH3" s="353"/>
      <c r="PII3" s="353"/>
      <c r="PIJ3" s="353"/>
      <c r="PIK3" s="353"/>
      <c r="PIL3" s="353"/>
      <c r="PIM3" s="353"/>
      <c r="PIN3" s="353"/>
      <c r="PIO3" s="353"/>
      <c r="PIP3" s="353"/>
      <c r="PIQ3" s="353"/>
      <c r="PIR3" s="353"/>
      <c r="PIS3" s="353"/>
      <c r="PIT3" s="353"/>
      <c r="PIU3" s="353"/>
      <c r="PIV3" s="353"/>
      <c r="PIW3" s="353"/>
      <c r="PIX3" s="353"/>
      <c r="PIY3" s="353"/>
      <c r="PIZ3" s="353"/>
      <c r="PJA3" s="353"/>
      <c r="PJB3" s="353"/>
      <c r="PJC3" s="353"/>
      <c r="PJD3" s="353"/>
      <c r="PJE3" s="353"/>
      <c r="PJF3" s="353"/>
      <c r="PJG3" s="353"/>
      <c r="PJH3" s="353"/>
      <c r="PJI3" s="353"/>
      <c r="PJJ3" s="353"/>
      <c r="PJK3" s="353"/>
      <c r="PJL3" s="353"/>
      <c r="PJM3" s="353"/>
      <c r="PJN3" s="353"/>
      <c r="PJO3" s="353"/>
      <c r="PJP3" s="353"/>
      <c r="PJQ3" s="353"/>
      <c r="PJR3" s="353"/>
      <c r="PJS3" s="353"/>
      <c r="PJT3" s="353"/>
      <c r="PJU3" s="353"/>
      <c r="PJV3" s="353"/>
      <c r="PJW3" s="353"/>
      <c r="PJX3" s="353"/>
      <c r="PJY3" s="353"/>
      <c r="PJZ3" s="353"/>
      <c r="PKA3" s="353"/>
      <c r="PKB3" s="353"/>
      <c r="PKC3" s="353"/>
      <c r="PKD3" s="353"/>
      <c r="PKE3" s="353"/>
      <c r="PKF3" s="353"/>
      <c r="PKG3" s="353"/>
      <c r="PKH3" s="353"/>
      <c r="PKI3" s="353"/>
      <c r="PKJ3" s="353"/>
      <c r="PKK3" s="353"/>
      <c r="PKL3" s="353"/>
      <c r="PKM3" s="353"/>
      <c r="PKN3" s="353"/>
      <c r="PKO3" s="353"/>
      <c r="PKP3" s="353"/>
      <c r="PKQ3" s="353"/>
      <c r="PKR3" s="353"/>
      <c r="PKS3" s="353"/>
      <c r="PKT3" s="353"/>
      <c r="PKU3" s="353"/>
      <c r="PKV3" s="353"/>
      <c r="PKW3" s="353"/>
      <c r="PKX3" s="353"/>
      <c r="PKY3" s="353"/>
      <c r="PKZ3" s="353"/>
      <c r="PLA3" s="353"/>
      <c r="PLB3" s="353"/>
      <c r="PLC3" s="353"/>
      <c r="PLD3" s="353"/>
      <c r="PLE3" s="353"/>
      <c r="PLF3" s="353"/>
      <c r="PLG3" s="353"/>
      <c r="PLH3" s="353"/>
      <c r="PLI3" s="353"/>
      <c r="PLJ3" s="353"/>
      <c r="PLK3" s="353"/>
      <c r="PLL3" s="353"/>
      <c r="PLM3" s="353"/>
      <c r="PLN3" s="353"/>
      <c r="PLO3" s="353"/>
      <c r="PLP3" s="353"/>
      <c r="PLQ3" s="353"/>
      <c r="PLR3" s="353"/>
      <c r="PLS3" s="353"/>
      <c r="PLT3" s="353"/>
      <c r="PLU3" s="353"/>
      <c r="PLV3" s="353"/>
      <c r="PLW3" s="353"/>
      <c r="PLX3" s="353"/>
      <c r="PLY3" s="353"/>
      <c r="PLZ3" s="353"/>
      <c r="PMA3" s="353"/>
      <c r="PMB3" s="353"/>
      <c r="PMC3" s="353"/>
      <c r="PMD3" s="353"/>
      <c r="PME3" s="353"/>
      <c r="PMF3" s="353"/>
      <c r="PMG3" s="353"/>
      <c r="PMH3" s="353"/>
      <c r="PMI3" s="353"/>
      <c r="PMJ3" s="353"/>
      <c r="PMK3" s="353"/>
      <c r="PML3" s="353"/>
      <c r="PMM3" s="353"/>
      <c r="PMN3" s="353"/>
      <c r="PMO3" s="353"/>
      <c r="PMP3" s="353"/>
      <c r="PMQ3" s="353"/>
      <c r="PMR3" s="353"/>
      <c r="PMS3" s="353"/>
      <c r="PMT3" s="353"/>
      <c r="PMU3" s="353"/>
      <c r="PMV3" s="353"/>
      <c r="PMW3" s="353"/>
      <c r="PMX3" s="353"/>
      <c r="PMY3" s="353"/>
      <c r="PMZ3" s="353"/>
      <c r="PNA3" s="353"/>
      <c r="PNB3" s="353"/>
      <c r="PNC3" s="353"/>
      <c r="PND3" s="353"/>
      <c r="PNE3" s="353"/>
      <c r="PNF3" s="353"/>
      <c r="PNG3" s="353"/>
      <c r="PNH3" s="353"/>
      <c r="PNI3" s="353"/>
      <c r="PNJ3" s="353"/>
      <c r="PNK3" s="353"/>
      <c r="PNL3" s="353"/>
      <c r="PNM3" s="353"/>
      <c r="PNN3" s="353"/>
      <c r="PNO3" s="353"/>
      <c r="PNP3" s="353"/>
      <c r="PNQ3" s="353"/>
      <c r="PNR3" s="353"/>
      <c r="PNS3" s="353"/>
      <c r="PNT3" s="353"/>
      <c r="PNU3" s="353"/>
      <c r="PNV3" s="353"/>
      <c r="PNW3" s="353"/>
      <c r="PNX3" s="353"/>
      <c r="PNY3" s="353"/>
      <c r="PNZ3" s="353"/>
      <c r="POA3" s="353"/>
      <c r="POB3" s="353"/>
      <c r="POC3" s="353"/>
      <c r="POD3" s="353"/>
      <c r="POE3" s="353"/>
      <c r="POF3" s="353"/>
      <c r="POG3" s="353"/>
      <c r="POH3" s="353"/>
      <c r="POI3" s="353"/>
      <c r="POJ3" s="353"/>
      <c r="POK3" s="353"/>
      <c r="POL3" s="353"/>
      <c r="POM3" s="353"/>
      <c r="PON3" s="353"/>
      <c r="POO3" s="353"/>
      <c r="POP3" s="353"/>
      <c r="POQ3" s="353"/>
      <c r="POR3" s="353"/>
      <c r="POS3" s="353"/>
      <c r="POT3" s="353"/>
      <c r="POU3" s="353"/>
      <c r="POV3" s="353"/>
      <c r="POW3" s="353"/>
      <c r="POX3" s="353"/>
      <c r="POY3" s="353"/>
      <c r="POZ3" s="353"/>
      <c r="PPA3" s="353"/>
      <c r="PPB3" s="353"/>
      <c r="PPC3" s="353"/>
      <c r="PPD3" s="353"/>
      <c r="PPE3" s="353"/>
      <c r="PPF3" s="353"/>
      <c r="PPG3" s="353"/>
      <c r="PPH3" s="353"/>
      <c r="PPI3" s="353"/>
      <c r="PPJ3" s="353"/>
      <c r="PPK3" s="353"/>
      <c r="PPL3" s="353"/>
      <c r="PPM3" s="353"/>
      <c r="PPN3" s="353"/>
      <c r="PPO3" s="353"/>
      <c r="PPP3" s="353"/>
      <c r="PPQ3" s="353"/>
      <c r="PPR3" s="353"/>
      <c r="PPS3" s="353"/>
      <c r="PPT3" s="353"/>
      <c r="PPU3" s="353"/>
      <c r="PPV3" s="353"/>
      <c r="PPW3" s="353"/>
      <c r="PPX3" s="353"/>
      <c r="PPY3" s="353"/>
      <c r="PPZ3" s="353"/>
      <c r="PQA3" s="353"/>
      <c r="PQB3" s="353"/>
      <c r="PQC3" s="353"/>
      <c r="PQD3" s="353"/>
      <c r="PQE3" s="353"/>
      <c r="PQF3" s="353"/>
      <c r="PQG3" s="353"/>
      <c r="PQH3" s="353"/>
      <c r="PQI3" s="353"/>
      <c r="PQJ3" s="353"/>
      <c r="PQK3" s="353"/>
      <c r="PQL3" s="353"/>
      <c r="PQM3" s="353"/>
      <c r="PQN3" s="353"/>
      <c r="PQO3" s="353"/>
      <c r="PQP3" s="353"/>
      <c r="PQQ3" s="353"/>
      <c r="PQR3" s="353"/>
      <c r="PQS3" s="353"/>
      <c r="PQT3" s="353"/>
      <c r="PQU3" s="353"/>
      <c r="PQV3" s="353"/>
      <c r="PQW3" s="353"/>
      <c r="PQX3" s="353"/>
      <c r="PQY3" s="353"/>
      <c r="PQZ3" s="353"/>
      <c r="PRA3" s="353"/>
      <c r="PRB3" s="353"/>
      <c r="PRC3" s="353"/>
      <c r="PRD3" s="353"/>
      <c r="PRE3" s="353"/>
      <c r="PRF3" s="353"/>
      <c r="PRG3" s="353"/>
      <c r="PRH3" s="353"/>
      <c r="PRI3" s="353"/>
      <c r="PRJ3" s="353"/>
      <c r="PRK3" s="353"/>
      <c r="PRL3" s="353"/>
      <c r="PRM3" s="353"/>
      <c r="PRN3" s="353"/>
      <c r="PRO3" s="353"/>
      <c r="PRP3" s="353"/>
      <c r="PRQ3" s="353"/>
      <c r="PRR3" s="353"/>
      <c r="PRS3" s="353"/>
      <c r="PRT3" s="353"/>
      <c r="PRU3" s="353"/>
      <c r="PRV3" s="353"/>
      <c r="PRW3" s="353"/>
      <c r="PRX3" s="353"/>
      <c r="PRY3" s="353"/>
      <c r="PRZ3" s="353"/>
      <c r="PSA3" s="353"/>
      <c r="PSB3" s="353"/>
      <c r="PSC3" s="353"/>
      <c r="PSD3" s="353"/>
      <c r="PSE3" s="353"/>
      <c r="PSF3" s="353"/>
      <c r="PSG3" s="353"/>
      <c r="PSH3" s="353"/>
      <c r="PSI3" s="353"/>
      <c r="PSJ3" s="353"/>
      <c r="PSK3" s="353"/>
      <c r="PSL3" s="353"/>
      <c r="PSM3" s="353"/>
      <c r="PSN3" s="353"/>
      <c r="PSO3" s="353"/>
      <c r="PSP3" s="353"/>
      <c r="PSQ3" s="353"/>
      <c r="PSR3" s="353"/>
      <c r="PSS3" s="353"/>
      <c r="PST3" s="353"/>
      <c r="PSU3" s="353"/>
      <c r="PSV3" s="353"/>
      <c r="PSW3" s="353"/>
      <c r="PSX3" s="353"/>
      <c r="PSY3" s="353"/>
      <c r="PSZ3" s="353"/>
      <c r="PTA3" s="353"/>
      <c r="PTB3" s="353"/>
      <c r="PTC3" s="353"/>
      <c r="PTD3" s="353"/>
      <c r="PTE3" s="353"/>
      <c r="PTF3" s="353"/>
      <c r="PTG3" s="353"/>
      <c r="PTH3" s="353"/>
      <c r="PTI3" s="353"/>
      <c r="PTJ3" s="353"/>
      <c r="PTK3" s="353"/>
      <c r="PTL3" s="353"/>
      <c r="PTM3" s="353"/>
      <c r="PTN3" s="353"/>
      <c r="PTO3" s="353"/>
      <c r="PTP3" s="353"/>
      <c r="PTQ3" s="353"/>
      <c r="PTR3" s="353"/>
      <c r="PTS3" s="353"/>
      <c r="PTT3" s="353"/>
      <c r="PTU3" s="353"/>
      <c r="PTV3" s="353"/>
      <c r="PTW3" s="353"/>
      <c r="PTX3" s="353"/>
      <c r="PTY3" s="353"/>
      <c r="PTZ3" s="353"/>
      <c r="PUA3" s="353"/>
      <c r="PUB3" s="353"/>
      <c r="PUC3" s="353"/>
      <c r="PUD3" s="353"/>
      <c r="PUE3" s="353"/>
      <c r="PUF3" s="353"/>
      <c r="PUG3" s="353"/>
      <c r="PUH3" s="353"/>
      <c r="PUI3" s="353"/>
      <c r="PUJ3" s="353"/>
      <c r="PUK3" s="353"/>
      <c r="PUL3" s="353"/>
      <c r="PUM3" s="353"/>
      <c r="PUN3" s="353"/>
      <c r="PUO3" s="353"/>
      <c r="PUP3" s="353"/>
      <c r="PUQ3" s="353"/>
      <c r="PUR3" s="353"/>
      <c r="PUS3" s="353"/>
      <c r="PUT3" s="353"/>
      <c r="PUU3" s="353"/>
      <c r="PUV3" s="353"/>
      <c r="PUW3" s="353"/>
      <c r="PUX3" s="353"/>
      <c r="PUY3" s="353"/>
      <c r="PUZ3" s="353"/>
      <c r="PVA3" s="353"/>
      <c r="PVB3" s="353"/>
      <c r="PVC3" s="353"/>
      <c r="PVD3" s="353"/>
      <c r="PVE3" s="353"/>
      <c r="PVF3" s="353"/>
      <c r="PVG3" s="353"/>
      <c r="PVH3" s="353"/>
      <c r="PVI3" s="353"/>
      <c r="PVJ3" s="353"/>
      <c r="PVK3" s="353"/>
      <c r="PVL3" s="353"/>
      <c r="PVM3" s="353"/>
      <c r="PVN3" s="353"/>
      <c r="PVO3" s="353"/>
      <c r="PVP3" s="353"/>
      <c r="PVQ3" s="353"/>
      <c r="PVR3" s="353"/>
      <c r="PVS3" s="353"/>
      <c r="PVT3" s="353"/>
      <c r="PVU3" s="353"/>
      <c r="PVV3" s="353"/>
      <c r="PVW3" s="353"/>
      <c r="PVX3" s="353"/>
      <c r="PVY3" s="353"/>
      <c r="PVZ3" s="353"/>
      <c r="PWA3" s="353"/>
      <c r="PWB3" s="353"/>
      <c r="PWC3" s="353"/>
      <c r="PWD3" s="353"/>
      <c r="PWE3" s="353"/>
      <c r="PWF3" s="353"/>
      <c r="PWG3" s="353"/>
      <c r="PWH3" s="353"/>
      <c r="PWI3" s="353"/>
      <c r="PWJ3" s="353"/>
      <c r="PWK3" s="353"/>
      <c r="PWL3" s="353"/>
      <c r="PWM3" s="353"/>
      <c r="PWN3" s="353"/>
      <c r="PWO3" s="353"/>
      <c r="PWP3" s="353"/>
      <c r="PWQ3" s="353"/>
      <c r="PWR3" s="353"/>
      <c r="PWS3" s="353"/>
      <c r="PWT3" s="353"/>
      <c r="PWU3" s="353"/>
      <c r="PWV3" s="353"/>
      <c r="PWW3" s="353"/>
      <c r="PWX3" s="353"/>
      <c r="PWY3" s="353"/>
      <c r="PWZ3" s="353"/>
      <c r="PXA3" s="353"/>
      <c r="PXB3" s="353"/>
      <c r="PXC3" s="353"/>
      <c r="PXD3" s="353"/>
      <c r="PXE3" s="353"/>
      <c r="PXF3" s="353"/>
      <c r="PXG3" s="353"/>
      <c r="PXH3" s="353"/>
      <c r="PXI3" s="353"/>
      <c r="PXJ3" s="353"/>
      <c r="PXK3" s="353"/>
      <c r="PXL3" s="353"/>
      <c r="PXM3" s="353"/>
      <c r="PXN3" s="353"/>
      <c r="PXO3" s="353"/>
      <c r="PXP3" s="353"/>
      <c r="PXQ3" s="353"/>
      <c r="PXR3" s="353"/>
      <c r="PXS3" s="353"/>
      <c r="PXT3" s="353"/>
      <c r="PXU3" s="353"/>
      <c r="PXV3" s="353"/>
      <c r="PXW3" s="353"/>
      <c r="PXX3" s="353"/>
      <c r="PXY3" s="353"/>
      <c r="PXZ3" s="353"/>
      <c r="PYA3" s="353"/>
      <c r="PYB3" s="353"/>
      <c r="PYC3" s="353"/>
      <c r="PYD3" s="353"/>
      <c r="PYE3" s="353"/>
      <c r="PYF3" s="353"/>
      <c r="PYG3" s="353"/>
      <c r="PYH3" s="353"/>
      <c r="PYI3" s="353"/>
      <c r="PYJ3" s="353"/>
      <c r="PYK3" s="353"/>
      <c r="PYL3" s="353"/>
      <c r="PYM3" s="353"/>
      <c r="PYN3" s="353"/>
      <c r="PYO3" s="353"/>
      <c r="PYP3" s="353"/>
      <c r="PYQ3" s="353"/>
      <c r="PYR3" s="353"/>
      <c r="PYS3" s="353"/>
      <c r="PYT3" s="353"/>
      <c r="PYU3" s="353"/>
      <c r="PYV3" s="353"/>
      <c r="PYW3" s="353"/>
      <c r="PYX3" s="353"/>
      <c r="PYY3" s="353"/>
      <c r="PYZ3" s="353"/>
      <c r="PZA3" s="353"/>
      <c r="PZB3" s="353"/>
      <c r="PZC3" s="353"/>
      <c r="PZD3" s="353"/>
      <c r="PZE3" s="353"/>
      <c r="PZF3" s="353"/>
      <c r="PZG3" s="353"/>
      <c r="PZH3" s="353"/>
      <c r="PZI3" s="353"/>
      <c r="PZJ3" s="353"/>
      <c r="PZK3" s="353"/>
      <c r="PZL3" s="353"/>
      <c r="PZM3" s="353"/>
      <c r="PZN3" s="353"/>
      <c r="PZO3" s="353"/>
      <c r="PZP3" s="353"/>
      <c r="PZQ3" s="353"/>
      <c r="PZR3" s="353"/>
      <c r="PZS3" s="353"/>
      <c r="PZT3" s="353"/>
      <c r="PZU3" s="353"/>
      <c r="PZV3" s="353"/>
      <c r="PZW3" s="353"/>
      <c r="PZX3" s="353"/>
      <c r="PZY3" s="353"/>
      <c r="PZZ3" s="353"/>
      <c r="QAA3" s="353"/>
      <c r="QAB3" s="353"/>
      <c r="QAC3" s="353"/>
      <c r="QAD3" s="353"/>
      <c r="QAE3" s="353"/>
      <c r="QAF3" s="353"/>
      <c r="QAG3" s="353"/>
      <c r="QAH3" s="353"/>
      <c r="QAI3" s="353"/>
      <c r="QAJ3" s="353"/>
      <c r="QAK3" s="353"/>
      <c r="QAL3" s="353"/>
      <c r="QAM3" s="353"/>
      <c r="QAN3" s="353"/>
      <c r="QAO3" s="353"/>
      <c r="QAP3" s="353"/>
      <c r="QAQ3" s="353"/>
      <c r="QAR3" s="353"/>
      <c r="QAS3" s="353"/>
      <c r="QAT3" s="353"/>
      <c r="QAU3" s="353"/>
      <c r="QAV3" s="353"/>
      <c r="QAW3" s="353"/>
      <c r="QAX3" s="353"/>
      <c r="QAY3" s="353"/>
      <c r="QAZ3" s="353"/>
      <c r="QBA3" s="353"/>
      <c r="QBB3" s="353"/>
      <c r="QBC3" s="353"/>
      <c r="QBD3" s="353"/>
      <c r="QBE3" s="353"/>
      <c r="QBF3" s="353"/>
      <c r="QBG3" s="353"/>
      <c r="QBH3" s="353"/>
      <c r="QBI3" s="353"/>
      <c r="QBJ3" s="353"/>
      <c r="QBK3" s="353"/>
      <c r="QBL3" s="353"/>
      <c r="QBM3" s="353"/>
      <c r="QBN3" s="353"/>
      <c r="QBO3" s="353"/>
      <c r="QBP3" s="353"/>
      <c r="QBQ3" s="353"/>
      <c r="QBR3" s="353"/>
      <c r="QBS3" s="353"/>
      <c r="QBT3" s="353"/>
      <c r="QBU3" s="353"/>
      <c r="QBV3" s="353"/>
      <c r="QBW3" s="353"/>
      <c r="QBX3" s="353"/>
      <c r="QBY3" s="353"/>
      <c r="QBZ3" s="353"/>
      <c r="QCA3" s="353"/>
      <c r="QCB3" s="353"/>
      <c r="QCC3" s="353"/>
      <c r="QCD3" s="353"/>
      <c r="QCE3" s="353"/>
      <c r="QCF3" s="353"/>
      <c r="QCG3" s="353"/>
      <c r="QCH3" s="353"/>
      <c r="QCI3" s="353"/>
      <c r="QCJ3" s="353"/>
      <c r="QCK3" s="353"/>
      <c r="QCL3" s="353"/>
      <c r="QCM3" s="353"/>
      <c r="QCN3" s="353"/>
      <c r="QCO3" s="353"/>
      <c r="QCP3" s="353"/>
      <c r="QCQ3" s="353"/>
      <c r="QCR3" s="353"/>
      <c r="QCS3" s="353"/>
      <c r="QCT3" s="353"/>
      <c r="QCU3" s="353"/>
      <c r="QCV3" s="353"/>
      <c r="QCW3" s="353"/>
      <c r="QCX3" s="353"/>
      <c r="QCY3" s="353"/>
      <c r="QCZ3" s="353"/>
      <c r="QDA3" s="353"/>
      <c r="QDB3" s="353"/>
      <c r="QDC3" s="353"/>
      <c r="QDD3" s="353"/>
      <c r="QDE3" s="353"/>
      <c r="QDF3" s="353"/>
      <c r="QDG3" s="353"/>
      <c r="QDH3" s="353"/>
      <c r="QDI3" s="353"/>
      <c r="QDJ3" s="353"/>
      <c r="QDK3" s="353"/>
      <c r="QDL3" s="353"/>
      <c r="QDM3" s="353"/>
      <c r="QDN3" s="353"/>
      <c r="QDO3" s="353"/>
      <c r="QDP3" s="353"/>
      <c r="QDQ3" s="353"/>
      <c r="QDR3" s="353"/>
      <c r="QDS3" s="353"/>
      <c r="QDT3" s="353"/>
      <c r="QDU3" s="353"/>
      <c r="QDV3" s="353"/>
      <c r="QDW3" s="353"/>
      <c r="QDX3" s="353"/>
      <c r="QDY3" s="353"/>
      <c r="QDZ3" s="353"/>
      <c r="QEA3" s="353"/>
      <c r="QEB3" s="353"/>
      <c r="QEC3" s="353"/>
      <c r="QED3" s="353"/>
      <c r="QEE3" s="353"/>
      <c r="QEF3" s="353"/>
      <c r="QEG3" s="353"/>
      <c r="QEH3" s="353"/>
      <c r="QEI3" s="353"/>
      <c r="QEJ3" s="353"/>
      <c r="QEK3" s="353"/>
      <c r="QEL3" s="353"/>
      <c r="QEM3" s="353"/>
      <c r="QEN3" s="353"/>
      <c r="QEO3" s="353"/>
      <c r="QEP3" s="353"/>
      <c r="QEQ3" s="353"/>
      <c r="QER3" s="353"/>
      <c r="QES3" s="353"/>
      <c r="QET3" s="353"/>
      <c r="QEU3" s="353"/>
      <c r="QEV3" s="353"/>
      <c r="QEW3" s="353"/>
      <c r="QEX3" s="353"/>
      <c r="QEY3" s="353"/>
      <c r="QEZ3" s="353"/>
      <c r="QFA3" s="353"/>
      <c r="QFB3" s="353"/>
      <c r="QFC3" s="353"/>
      <c r="QFD3" s="353"/>
      <c r="QFE3" s="353"/>
      <c r="QFF3" s="353"/>
      <c r="QFG3" s="353"/>
      <c r="QFH3" s="353"/>
      <c r="QFI3" s="353"/>
      <c r="QFJ3" s="353"/>
      <c r="QFK3" s="353"/>
      <c r="QFL3" s="353"/>
      <c r="QFM3" s="353"/>
      <c r="QFN3" s="353"/>
      <c r="QFO3" s="353"/>
      <c r="QFP3" s="353"/>
      <c r="QFQ3" s="353"/>
      <c r="QFR3" s="353"/>
      <c r="QFS3" s="353"/>
      <c r="QFT3" s="353"/>
      <c r="QFU3" s="353"/>
      <c r="QFV3" s="353"/>
      <c r="QFW3" s="353"/>
      <c r="QFX3" s="353"/>
      <c r="QFY3" s="353"/>
      <c r="QFZ3" s="353"/>
      <c r="QGA3" s="353"/>
      <c r="QGB3" s="353"/>
      <c r="QGC3" s="353"/>
      <c r="QGD3" s="353"/>
      <c r="QGE3" s="353"/>
      <c r="QGF3" s="353"/>
      <c r="QGG3" s="353"/>
      <c r="QGH3" s="353"/>
      <c r="QGI3" s="353"/>
      <c r="QGJ3" s="353"/>
      <c r="QGK3" s="353"/>
      <c r="QGL3" s="353"/>
      <c r="QGM3" s="353"/>
      <c r="QGN3" s="353"/>
      <c r="QGO3" s="353"/>
      <c r="QGP3" s="353"/>
      <c r="QGQ3" s="353"/>
      <c r="QGR3" s="353"/>
      <c r="QGS3" s="353"/>
      <c r="QGT3" s="353"/>
      <c r="QGU3" s="353"/>
      <c r="QGV3" s="353"/>
      <c r="QGW3" s="353"/>
      <c r="QGX3" s="353"/>
      <c r="QGY3" s="353"/>
      <c r="QGZ3" s="353"/>
      <c r="QHA3" s="353"/>
      <c r="QHB3" s="353"/>
      <c r="QHC3" s="353"/>
      <c r="QHD3" s="353"/>
      <c r="QHE3" s="353"/>
      <c r="QHF3" s="353"/>
      <c r="QHG3" s="353"/>
      <c r="QHH3" s="353"/>
      <c r="QHI3" s="353"/>
      <c r="QHJ3" s="353"/>
      <c r="QHK3" s="353"/>
      <c r="QHL3" s="353"/>
      <c r="QHM3" s="353"/>
      <c r="QHN3" s="353"/>
      <c r="QHO3" s="353"/>
      <c r="QHP3" s="353"/>
      <c r="QHQ3" s="353"/>
      <c r="QHR3" s="353"/>
      <c r="QHS3" s="353"/>
      <c r="QHT3" s="353"/>
      <c r="QHU3" s="353"/>
      <c r="QHV3" s="353"/>
      <c r="QHW3" s="353"/>
      <c r="QHX3" s="353"/>
      <c r="QHY3" s="353"/>
      <c r="QHZ3" s="353"/>
      <c r="QIA3" s="353"/>
      <c r="QIB3" s="353"/>
      <c r="QIC3" s="353"/>
      <c r="QID3" s="353"/>
      <c r="QIE3" s="353"/>
      <c r="QIF3" s="353"/>
      <c r="QIG3" s="353"/>
      <c r="QIH3" s="353"/>
      <c r="QII3" s="353"/>
      <c r="QIJ3" s="353"/>
      <c r="QIK3" s="353"/>
      <c r="QIL3" s="353"/>
      <c r="QIM3" s="353"/>
      <c r="QIN3" s="353"/>
      <c r="QIO3" s="353"/>
      <c r="QIP3" s="353"/>
      <c r="QIQ3" s="353"/>
      <c r="QIR3" s="353"/>
      <c r="QIS3" s="353"/>
      <c r="QIT3" s="353"/>
      <c r="QIU3" s="353"/>
      <c r="QIV3" s="353"/>
      <c r="QIW3" s="353"/>
      <c r="QIX3" s="353"/>
      <c r="QIY3" s="353"/>
      <c r="QIZ3" s="353"/>
      <c r="QJA3" s="353"/>
      <c r="QJB3" s="353"/>
      <c r="QJC3" s="353"/>
      <c r="QJD3" s="353"/>
      <c r="QJE3" s="353"/>
      <c r="QJF3" s="353"/>
      <c r="QJG3" s="353"/>
      <c r="QJH3" s="353"/>
      <c r="QJI3" s="353"/>
      <c r="QJJ3" s="353"/>
      <c r="QJK3" s="353"/>
      <c r="QJL3" s="353"/>
      <c r="QJM3" s="353"/>
      <c r="QJN3" s="353"/>
      <c r="QJO3" s="353"/>
      <c r="QJP3" s="353"/>
      <c r="QJQ3" s="353"/>
      <c r="QJR3" s="353"/>
      <c r="QJS3" s="353"/>
      <c r="QJT3" s="353"/>
      <c r="QJU3" s="353"/>
      <c r="QJV3" s="353"/>
      <c r="QJW3" s="353"/>
      <c r="QJX3" s="353"/>
      <c r="QJY3" s="353"/>
      <c r="QJZ3" s="353"/>
      <c r="QKA3" s="353"/>
      <c r="QKB3" s="353"/>
      <c r="QKC3" s="353"/>
      <c r="QKD3" s="353"/>
      <c r="QKE3" s="353"/>
      <c r="QKF3" s="353"/>
      <c r="QKG3" s="353"/>
      <c r="QKH3" s="353"/>
      <c r="QKI3" s="353"/>
      <c r="QKJ3" s="353"/>
      <c r="QKK3" s="353"/>
      <c r="QKL3" s="353"/>
      <c r="QKM3" s="353"/>
      <c r="QKN3" s="353"/>
      <c r="QKO3" s="353"/>
      <c r="QKP3" s="353"/>
      <c r="QKQ3" s="353"/>
      <c r="QKR3" s="353"/>
      <c r="QKS3" s="353"/>
      <c r="QKT3" s="353"/>
      <c r="QKU3" s="353"/>
      <c r="QKV3" s="353"/>
      <c r="QKW3" s="353"/>
      <c r="QKX3" s="353"/>
      <c r="QKY3" s="353"/>
      <c r="QKZ3" s="353"/>
      <c r="QLA3" s="353"/>
      <c r="QLB3" s="353"/>
      <c r="QLC3" s="353"/>
      <c r="QLD3" s="353"/>
      <c r="QLE3" s="353"/>
      <c r="QLF3" s="353"/>
      <c r="QLG3" s="353"/>
      <c r="QLH3" s="353"/>
      <c r="QLI3" s="353"/>
      <c r="QLJ3" s="353"/>
      <c r="QLK3" s="353"/>
      <c r="QLL3" s="353"/>
      <c r="QLM3" s="353"/>
      <c r="QLN3" s="353"/>
      <c r="QLO3" s="353"/>
      <c r="QLP3" s="353"/>
      <c r="QLQ3" s="353"/>
      <c r="QLR3" s="353"/>
      <c r="QLS3" s="353"/>
      <c r="QLT3" s="353"/>
      <c r="QLU3" s="353"/>
      <c r="QLV3" s="353"/>
      <c r="QLW3" s="353"/>
      <c r="QLX3" s="353"/>
      <c r="QLY3" s="353"/>
      <c r="QLZ3" s="353"/>
      <c r="QMA3" s="353"/>
      <c r="QMB3" s="353"/>
      <c r="QMC3" s="353"/>
      <c r="QMD3" s="353"/>
      <c r="QME3" s="353"/>
      <c r="QMF3" s="353"/>
      <c r="QMG3" s="353"/>
      <c r="QMH3" s="353"/>
      <c r="QMI3" s="353"/>
      <c r="QMJ3" s="353"/>
      <c r="QMK3" s="353"/>
      <c r="QML3" s="353"/>
      <c r="QMM3" s="353"/>
      <c r="QMN3" s="353"/>
      <c r="QMO3" s="353"/>
      <c r="QMP3" s="353"/>
      <c r="QMQ3" s="353"/>
      <c r="QMR3" s="353"/>
      <c r="QMS3" s="353"/>
      <c r="QMT3" s="353"/>
      <c r="QMU3" s="353"/>
      <c r="QMV3" s="353"/>
      <c r="QMW3" s="353"/>
      <c r="QMX3" s="353"/>
      <c r="QMY3" s="353"/>
      <c r="QMZ3" s="353"/>
      <c r="QNA3" s="353"/>
      <c r="QNB3" s="353"/>
      <c r="QNC3" s="353"/>
      <c r="QND3" s="353"/>
      <c r="QNE3" s="353"/>
      <c r="QNF3" s="353"/>
      <c r="QNG3" s="353"/>
      <c r="QNH3" s="353"/>
      <c r="QNI3" s="353"/>
      <c r="QNJ3" s="353"/>
      <c r="QNK3" s="353"/>
      <c r="QNL3" s="353"/>
      <c r="QNM3" s="353"/>
      <c r="QNN3" s="353"/>
      <c r="QNO3" s="353"/>
      <c r="QNP3" s="353"/>
      <c r="QNQ3" s="353"/>
      <c r="QNR3" s="353"/>
      <c r="QNS3" s="353"/>
      <c r="QNT3" s="353"/>
      <c r="QNU3" s="353"/>
      <c r="QNV3" s="353"/>
      <c r="QNW3" s="353"/>
      <c r="QNX3" s="353"/>
      <c r="QNY3" s="353"/>
      <c r="QNZ3" s="353"/>
      <c r="QOA3" s="353"/>
      <c r="QOB3" s="353"/>
      <c r="QOC3" s="353"/>
      <c r="QOD3" s="353"/>
      <c r="QOE3" s="353"/>
      <c r="QOF3" s="353"/>
      <c r="QOG3" s="353"/>
      <c r="QOH3" s="353"/>
      <c r="QOI3" s="353"/>
      <c r="QOJ3" s="353"/>
      <c r="QOK3" s="353"/>
      <c r="QOL3" s="353"/>
      <c r="QOM3" s="353"/>
      <c r="QON3" s="353"/>
      <c r="QOO3" s="353"/>
      <c r="QOP3" s="353"/>
      <c r="QOQ3" s="353"/>
      <c r="QOR3" s="353"/>
      <c r="QOS3" s="353"/>
      <c r="QOT3" s="353"/>
      <c r="QOU3" s="353"/>
      <c r="QOV3" s="353"/>
      <c r="QOW3" s="353"/>
      <c r="QOX3" s="353"/>
      <c r="QOY3" s="353"/>
      <c r="QOZ3" s="353"/>
      <c r="QPA3" s="353"/>
      <c r="QPB3" s="353"/>
      <c r="QPC3" s="353"/>
      <c r="QPD3" s="353"/>
      <c r="QPE3" s="353"/>
      <c r="QPF3" s="353"/>
      <c r="QPG3" s="353"/>
      <c r="QPH3" s="353"/>
      <c r="QPI3" s="353"/>
      <c r="QPJ3" s="353"/>
      <c r="QPK3" s="353"/>
      <c r="QPL3" s="353"/>
      <c r="QPM3" s="353"/>
      <c r="QPN3" s="353"/>
      <c r="QPO3" s="353"/>
      <c r="QPP3" s="353"/>
      <c r="QPQ3" s="353"/>
      <c r="QPR3" s="353"/>
      <c r="QPS3" s="353"/>
      <c r="QPT3" s="353"/>
      <c r="QPU3" s="353"/>
      <c r="QPV3" s="353"/>
      <c r="QPW3" s="353"/>
      <c r="QPX3" s="353"/>
      <c r="QPY3" s="353"/>
      <c r="QPZ3" s="353"/>
      <c r="QQA3" s="353"/>
      <c r="QQB3" s="353"/>
      <c r="QQC3" s="353"/>
      <c r="QQD3" s="353"/>
      <c r="QQE3" s="353"/>
      <c r="QQF3" s="353"/>
      <c r="QQG3" s="353"/>
      <c r="QQH3" s="353"/>
      <c r="QQI3" s="353"/>
      <c r="QQJ3" s="353"/>
      <c r="QQK3" s="353"/>
      <c r="QQL3" s="353"/>
      <c r="QQM3" s="353"/>
      <c r="QQN3" s="353"/>
      <c r="QQO3" s="353"/>
      <c r="QQP3" s="353"/>
      <c r="QQQ3" s="353"/>
      <c r="QQR3" s="353"/>
      <c r="QQS3" s="353"/>
      <c r="QQT3" s="353"/>
      <c r="QQU3" s="353"/>
      <c r="QQV3" s="353"/>
      <c r="QQW3" s="353"/>
      <c r="QQX3" s="353"/>
      <c r="QQY3" s="353"/>
      <c r="QQZ3" s="353"/>
      <c r="QRA3" s="353"/>
      <c r="QRB3" s="353"/>
      <c r="QRC3" s="353"/>
      <c r="QRD3" s="353"/>
      <c r="QRE3" s="353"/>
      <c r="QRF3" s="353"/>
      <c r="QRG3" s="353"/>
      <c r="QRH3" s="353"/>
      <c r="QRI3" s="353"/>
      <c r="QRJ3" s="353"/>
      <c r="QRK3" s="353"/>
      <c r="QRL3" s="353"/>
      <c r="QRM3" s="353"/>
      <c r="QRN3" s="353"/>
      <c r="QRO3" s="353"/>
      <c r="QRP3" s="353"/>
      <c r="QRQ3" s="353"/>
      <c r="QRR3" s="353"/>
      <c r="QRS3" s="353"/>
      <c r="QRT3" s="353"/>
      <c r="QRU3" s="353"/>
      <c r="QRV3" s="353"/>
      <c r="QRW3" s="353"/>
      <c r="QRX3" s="353"/>
      <c r="QRY3" s="353"/>
      <c r="QRZ3" s="353"/>
      <c r="QSA3" s="353"/>
      <c r="QSB3" s="353"/>
      <c r="QSC3" s="353"/>
      <c r="QSD3" s="353"/>
      <c r="QSE3" s="353"/>
      <c r="QSF3" s="353"/>
      <c r="QSG3" s="353"/>
      <c r="QSH3" s="353"/>
      <c r="QSI3" s="353"/>
      <c r="QSJ3" s="353"/>
      <c r="QSK3" s="353"/>
      <c r="QSL3" s="353"/>
      <c r="QSM3" s="353"/>
      <c r="QSN3" s="353"/>
      <c r="QSO3" s="353"/>
      <c r="QSP3" s="353"/>
      <c r="QSQ3" s="353"/>
      <c r="QSR3" s="353"/>
      <c r="QSS3" s="353"/>
      <c r="QST3" s="353"/>
      <c r="QSU3" s="353"/>
      <c r="QSV3" s="353"/>
      <c r="QSW3" s="353"/>
      <c r="QSX3" s="353"/>
      <c r="QSY3" s="353"/>
      <c r="QSZ3" s="353"/>
      <c r="QTA3" s="353"/>
      <c r="QTB3" s="353"/>
      <c r="QTC3" s="353"/>
      <c r="QTD3" s="353"/>
      <c r="QTE3" s="353"/>
      <c r="QTF3" s="353"/>
      <c r="QTG3" s="353"/>
      <c r="QTH3" s="353"/>
      <c r="QTI3" s="353"/>
      <c r="QTJ3" s="353"/>
      <c r="QTK3" s="353"/>
      <c r="QTL3" s="353"/>
      <c r="QTM3" s="353"/>
      <c r="QTN3" s="353"/>
      <c r="QTO3" s="353"/>
      <c r="QTP3" s="353"/>
      <c r="QTQ3" s="353"/>
      <c r="QTR3" s="353"/>
      <c r="QTS3" s="353"/>
      <c r="QTT3" s="353"/>
      <c r="QTU3" s="353"/>
      <c r="QTV3" s="353"/>
      <c r="QTW3" s="353"/>
      <c r="QTX3" s="353"/>
      <c r="QTY3" s="353"/>
      <c r="QTZ3" s="353"/>
      <c r="QUA3" s="353"/>
      <c r="QUB3" s="353"/>
      <c r="QUC3" s="353"/>
      <c r="QUD3" s="353"/>
      <c r="QUE3" s="353"/>
      <c r="QUF3" s="353"/>
      <c r="QUG3" s="353"/>
      <c r="QUH3" s="353"/>
      <c r="QUI3" s="353"/>
      <c r="QUJ3" s="353"/>
      <c r="QUK3" s="353"/>
      <c r="QUL3" s="353"/>
      <c r="QUM3" s="353"/>
      <c r="QUN3" s="353"/>
      <c r="QUO3" s="353"/>
      <c r="QUP3" s="353"/>
      <c r="QUQ3" s="353"/>
      <c r="QUR3" s="353"/>
      <c r="QUS3" s="353"/>
      <c r="QUT3" s="353"/>
      <c r="QUU3" s="353"/>
      <c r="QUV3" s="353"/>
      <c r="QUW3" s="353"/>
      <c r="QUX3" s="353"/>
      <c r="QUY3" s="353"/>
      <c r="QUZ3" s="353"/>
      <c r="QVA3" s="353"/>
      <c r="QVB3" s="353"/>
      <c r="QVC3" s="353"/>
      <c r="QVD3" s="353"/>
      <c r="QVE3" s="353"/>
      <c r="QVF3" s="353"/>
      <c r="QVG3" s="353"/>
      <c r="QVH3" s="353"/>
      <c r="QVI3" s="353"/>
      <c r="QVJ3" s="353"/>
      <c r="QVK3" s="353"/>
      <c r="QVL3" s="353"/>
      <c r="QVM3" s="353"/>
      <c r="QVN3" s="353"/>
      <c r="QVO3" s="353"/>
      <c r="QVP3" s="353"/>
      <c r="QVQ3" s="353"/>
      <c r="QVR3" s="353"/>
      <c r="QVS3" s="353"/>
      <c r="QVT3" s="353"/>
      <c r="QVU3" s="353"/>
      <c r="QVV3" s="353"/>
      <c r="QVW3" s="353"/>
      <c r="QVX3" s="353"/>
      <c r="QVY3" s="353"/>
      <c r="QVZ3" s="353"/>
      <c r="QWA3" s="353"/>
      <c r="QWB3" s="353"/>
      <c r="QWC3" s="353"/>
      <c r="QWD3" s="353"/>
      <c r="QWE3" s="353"/>
      <c r="QWF3" s="353"/>
      <c r="QWG3" s="353"/>
      <c r="QWH3" s="353"/>
      <c r="QWI3" s="353"/>
      <c r="QWJ3" s="353"/>
      <c r="QWK3" s="353"/>
      <c r="QWL3" s="353"/>
      <c r="QWM3" s="353"/>
      <c r="QWN3" s="353"/>
      <c r="QWO3" s="353"/>
      <c r="QWP3" s="353"/>
      <c r="QWQ3" s="353"/>
      <c r="QWR3" s="353"/>
      <c r="QWS3" s="353"/>
      <c r="QWT3" s="353"/>
      <c r="QWU3" s="353"/>
      <c r="QWV3" s="353"/>
      <c r="QWW3" s="353"/>
      <c r="QWX3" s="353"/>
      <c r="QWY3" s="353"/>
      <c r="QWZ3" s="353"/>
      <c r="QXA3" s="353"/>
      <c r="QXB3" s="353"/>
      <c r="QXC3" s="353"/>
      <c r="QXD3" s="353"/>
      <c r="QXE3" s="353"/>
      <c r="QXF3" s="353"/>
      <c r="QXG3" s="353"/>
      <c r="QXH3" s="353"/>
      <c r="QXI3" s="353"/>
      <c r="QXJ3" s="353"/>
      <c r="QXK3" s="353"/>
      <c r="QXL3" s="353"/>
      <c r="QXM3" s="353"/>
      <c r="QXN3" s="353"/>
      <c r="QXO3" s="353"/>
      <c r="QXP3" s="353"/>
      <c r="QXQ3" s="353"/>
      <c r="QXR3" s="353"/>
      <c r="QXS3" s="353"/>
      <c r="QXT3" s="353"/>
      <c r="QXU3" s="353"/>
      <c r="QXV3" s="353"/>
      <c r="QXW3" s="353"/>
      <c r="QXX3" s="353"/>
      <c r="QXY3" s="353"/>
      <c r="QXZ3" s="353"/>
      <c r="QYA3" s="353"/>
      <c r="QYB3" s="353"/>
      <c r="QYC3" s="353"/>
      <c r="QYD3" s="353"/>
      <c r="QYE3" s="353"/>
      <c r="QYF3" s="353"/>
      <c r="QYG3" s="353"/>
      <c r="QYH3" s="353"/>
      <c r="QYI3" s="353"/>
      <c r="QYJ3" s="353"/>
      <c r="QYK3" s="353"/>
      <c r="QYL3" s="353"/>
      <c r="QYM3" s="353"/>
      <c r="QYN3" s="353"/>
      <c r="QYO3" s="353"/>
      <c r="QYP3" s="353"/>
      <c r="QYQ3" s="353"/>
      <c r="QYR3" s="353"/>
      <c r="QYS3" s="353"/>
      <c r="QYT3" s="353"/>
      <c r="QYU3" s="353"/>
      <c r="QYV3" s="353"/>
      <c r="QYW3" s="353"/>
      <c r="QYX3" s="353"/>
      <c r="QYY3" s="353"/>
      <c r="QYZ3" s="353"/>
      <c r="QZA3" s="353"/>
      <c r="QZB3" s="353"/>
      <c r="QZC3" s="353"/>
      <c r="QZD3" s="353"/>
      <c r="QZE3" s="353"/>
      <c r="QZF3" s="353"/>
      <c r="QZG3" s="353"/>
      <c r="QZH3" s="353"/>
      <c r="QZI3" s="353"/>
      <c r="QZJ3" s="353"/>
      <c r="QZK3" s="353"/>
      <c r="QZL3" s="353"/>
      <c r="QZM3" s="353"/>
      <c r="QZN3" s="353"/>
      <c r="QZO3" s="353"/>
      <c r="QZP3" s="353"/>
      <c r="QZQ3" s="353"/>
      <c r="QZR3" s="353"/>
      <c r="QZS3" s="353"/>
      <c r="QZT3" s="353"/>
      <c r="QZU3" s="353"/>
      <c r="QZV3" s="353"/>
      <c r="QZW3" s="353"/>
      <c r="QZX3" s="353"/>
      <c r="QZY3" s="353"/>
      <c r="QZZ3" s="353"/>
      <c r="RAA3" s="353"/>
      <c r="RAB3" s="353"/>
      <c r="RAC3" s="353"/>
      <c r="RAD3" s="353"/>
      <c r="RAE3" s="353"/>
      <c r="RAF3" s="353"/>
      <c r="RAG3" s="353"/>
      <c r="RAH3" s="353"/>
      <c r="RAI3" s="353"/>
      <c r="RAJ3" s="353"/>
      <c r="RAK3" s="353"/>
      <c r="RAL3" s="353"/>
      <c r="RAM3" s="353"/>
      <c r="RAN3" s="353"/>
      <c r="RAO3" s="353"/>
      <c r="RAP3" s="353"/>
      <c r="RAQ3" s="353"/>
      <c r="RAR3" s="353"/>
      <c r="RAS3" s="353"/>
      <c r="RAT3" s="353"/>
      <c r="RAU3" s="353"/>
      <c r="RAV3" s="353"/>
      <c r="RAW3" s="353"/>
      <c r="RAX3" s="353"/>
      <c r="RAY3" s="353"/>
      <c r="RAZ3" s="353"/>
      <c r="RBA3" s="353"/>
      <c r="RBB3" s="353"/>
      <c r="RBC3" s="353"/>
      <c r="RBD3" s="353"/>
      <c r="RBE3" s="353"/>
      <c r="RBF3" s="353"/>
      <c r="RBG3" s="353"/>
      <c r="RBH3" s="353"/>
      <c r="RBI3" s="353"/>
      <c r="RBJ3" s="353"/>
      <c r="RBK3" s="353"/>
      <c r="RBL3" s="353"/>
      <c r="RBM3" s="353"/>
      <c r="RBN3" s="353"/>
      <c r="RBO3" s="353"/>
      <c r="RBP3" s="353"/>
      <c r="RBQ3" s="353"/>
      <c r="RBR3" s="353"/>
      <c r="RBS3" s="353"/>
      <c r="RBT3" s="353"/>
      <c r="RBU3" s="353"/>
      <c r="RBV3" s="353"/>
      <c r="RBW3" s="353"/>
      <c r="RBX3" s="353"/>
      <c r="RBY3" s="353"/>
      <c r="RBZ3" s="353"/>
      <c r="RCA3" s="353"/>
      <c r="RCB3" s="353"/>
      <c r="RCC3" s="353"/>
      <c r="RCD3" s="353"/>
      <c r="RCE3" s="353"/>
      <c r="RCF3" s="353"/>
      <c r="RCG3" s="353"/>
      <c r="RCH3" s="353"/>
      <c r="RCI3" s="353"/>
      <c r="RCJ3" s="353"/>
      <c r="RCK3" s="353"/>
      <c r="RCL3" s="353"/>
      <c r="RCM3" s="353"/>
      <c r="RCN3" s="353"/>
      <c r="RCO3" s="353"/>
      <c r="RCP3" s="353"/>
      <c r="RCQ3" s="353"/>
      <c r="RCR3" s="353"/>
      <c r="RCS3" s="353"/>
      <c r="RCT3" s="353"/>
      <c r="RCU3" s="353"/>
      <c r="RCV3" s="353"/>
      <c r="RCW3" s="353"/>
      <c r="RCX3" s="353"/>
      <c r="RCY3" s="353"/>
      <c r="RCZ3" s="353"/>
      <c r="RDA3" s="353"/>
      <c r="RDB3" s="353"/>
      <c r="RDC3" s="353"/>
      <c r="RDD3" s="353"/>
      <c r="RDE3" s="353"/>
      <c r="RDF3" s="353"/>
      <c r="RDG3" s="353"/>
      <c r="RDH3" s="353"/>
      <c r="RDI3" s="353"/>
      <c r="RDJ3" s="353"/>
      <c r="RDK3" s="353"/>
      <c r="RDL3" s="353"/>
      <c r="RDM3" s="353"/>
      <c r="RDN3" s="353"/>
      <c r="RDO3" s="353"/>
      <c r="RDP3" s="353"/>
      <c r="RDQ3" s="353"/>
      <c r="RDR3" s="353"/>
      <c r="RDS3" s="353"/>
      <c r="RDT3" s="353"/>
      <c r="RDU3" s="353"/>
      <c r="RDV3" s="353"/>
      <c r="RDW3" s="353"/>
      <c r="RDX3" s="353"/>
      <c r="RDY3" s="353"/>
      <c r="RDZ3" s="353"/>
      <c r="REA3" s="353"/>
      <c r="REB3" s="353"/>
      <c r="REC3" s="353"/>
      <c r="RED3" s="353"/>
      <c r="REE3" s="353"/>
      <c r="REF3" s="353"/>
      <c r="REG3" s="353"/>
      <c r="REH3" s="353"/>
      <c r="REI3" s="353"/>
      <c r="REJ3" s="353"/>
      <c r="REK3" s="353"/>
      <c r="REL3" s="353"/>
      <c r="REM3" s="353"/>
      <c r="REN3" s="353"/>
      <c r="REO3" s="353"/>
      <c r="REP3" s="353"/>
      <c r="REQ3" s="353"/>
      <c r="RER3" s="353"/>
      <c r="RES3" s="353"/>
      <c r="RET3" s="353"/>
      <c r="REU3" s="353"/>
      <c r="REV3" s="353"/>
      <c r="REW3" s="353"/>
      <c r="REX3" s="353"/>
      <c r="REY3" s="353"/>
      <c r="REZ3" s="353"/>
      <c r="RFA3" s="353"/>
      <c r="RFB3" s="353"/>
      <c r="RFC3" s="353"/>
      <c r="RFD3" s="353"/>
      <c r="RFE3" s="353"/>
      <c r="RFF3" s="353"/>
      <c r="RFG3" s="353"/>
      <c r="RFH3" s="353"/>
      <c r="RFI3" s="353"/>
      <c r="RFJ3" s="353"/>
      <c r="RFK3" s="353"/>
      <c r="RFL3" s="353"/>
      <c r="RFM3" s="353"/>
      <c r="RFN3" s="353"/>
      <c r="RFO3" s="353"/>
      <c r="RFP3" s="353"/>
      <c r="RFQ3" s="353"/>
      <c r="RFR3" s="353"/>
      <c r="RFS3" s="353"/>
      <c r="RFT3" s="353"/>
      <c r="RFU3" s="353"/>
      <c r="RFV3" s="353"/>
      <c r="RFW3" s="353"/>
      <c r="RFX3" s="353"/>
      <c r="RFY3" s="353"/>
      <c r="RFZ3" s="353"/>
      <c r="RGA3" s="353"/>
      <c r="RGB3" s="353"/>
      <c r="RGC3" s="353"/>
      <c r="RGD3" s="353"/>
      <c r="RGE3" s="353"/>
      <c r="RGF3" s="353"/>
      <c r="RGG3" s="353"/>
      <c r="RGH3" s="353"/>
      <c r="RGI3" s="353"/>
      <c r="RGJ3" s="353"/>
      <c r="RGK3" s="353"/>
      <c r="RGL3" s="353"/>
      <c r="RGM3" s="353"/>
      <c r="RGN3" s="353"/>
      <c r="RGO3" s="353"/>
      <c r="RGP3" s="353"/>
      <c r="RGQ3" s="353"/>
      <c r="RGR3" s="353"/>
      <c r="RGS3" s="353"/>
      <c r="RGT3" s="353"/>
      <c r="RGU3" s="353"/>
      <c r="RGV3" s="353"/>
      <c r="RGW3" s="353"/>
      <c r="RGX3" s="353"/>
      <c r="RGY3" s="353"/>
      <c r="RGZ3" s="353"/>
      <c r="RHA3" s="353"/>
      <c r="RHB3" s="353"/>
      <c r="RHC3" s="353"/>
      <c r="RHD3" s="353"/>
      <c r="RHE3" s="353"/>
      <c r="RHF3" s="353"/>
      <c r="RHG3" s="353"/>
      <c r="RHH3" s="353"/>
      <c r="RHI3" s="353"/>
      <c r="RHJ3" s="353"/>
      <c r="RHK3" s="353"/>
      <c r="RHL3" s="353"/>
      <c r="RHM3" s="353"/>
      <c r="RHN3" s="353"/>
      <c r="RHO3" s="353"/>
      <c r="RHP3" s="353"/>
      <c r="RHQ3" s="353"/>
      <c r="RHR3" s="353"/>
      <c r="RHS3" s="353"/>
      <c r="RHT3" s="353"/>
      <c r="RHU3" s="353"/>
      <c r="RHV3" s="353"/>
      <c r="RHW3" s="353"/>
      <c r="RHX3" s="353"/>
      <c r="RHY3" s="353"/>
      <c r="RHZ3" s="353"/>
      <c r="RIA3" s="353"/>
      <c r="RIB3" s="353"/>
      <c r="RIC3" s="353"/>
      <c r="RID3" s="353"/>
      <c r="RIE3" s="353"/>
      <c r="RIF3" s="353"/>
      <c r="RIG3" s="353"/>
      <c r="RIH3" s="353"/>
      <c r="RII3" s="353"/>
      <c r="RIJ3" s="353"/>
      <c r="RIK3" s="353"/>
      <c r="RIL3" s="353"/>
      <c r="RIM3" s="353"/>
      <c r="RIN3" s="353"/>
      <c r="RIO3" s="353"/>
      <c r="RIP3" s="353"/>
      <c r="RIQ3" s="353"/>
      <c r="RIR3" s="353"/>
      <c r="RIS3" s="353"/>
      <c r="RIT3" s="353"/>
      <c r="RIU3" s="353"/>
      <c r="RIV3" s="353"/>
      <c r="RIW3" s="353"/>
      <c r="RIX3" s="353"/>
      <c r="RIY3" s="353"/>
      <c r="RIZ3" s="353"/>
      <c r="RJA3" s="353"/>
      <c r="RJB3" s="353"/>
      <c r="RJC3" s="353"/>
      <c r="RJD3" s="353"/>
      <c r="RJE3" s="353"/>
      <c r="RJF3" s="353"/>
      <c r="RJG3" s="353"/>
      <c r="RJH3" s="353"/>
      <c r="RJI3" s="353"/>
      <c r="RJJ3" s="353"/>
      <c r="RJK3" s="353"/>
      <c r="RJL3" s="353"/>
      <c r="RJM3" s="353"/>
      <c r="RJN3" s="353"/>
      <c r="RJO3" s="353"/>
      <c r="RJP3" s="353"/>
      <c r="RJQ3" s="353"/>
      <c r="RJR3" s="353"/>
      <c r="RJS3" s="353"/>
      <c r="RJT3" s="353"/>
      <c r="RJU3" s="353"/>
      <c r="RJV3" s="353"/>
      <c r="RJW3" s="353"/>
      <c r="RJX3" s="353"/>
      <c r="RJY3" s="353"/>
      <c r="RJZ3" s="353"/>
      <c r="RKA3" s="353"/>
      <c r="RKB3" s="353"/>
      <c r="RKC3" s="353"/>
      <c r="RKD3" s="353"/>
      <c r="RKE3" s="353"/>
      <c r="RKF3" s="353"/>
      <c r="RKG3" s="353"/>
      <c r="RKH3" s="353"/>
      <c r="RKI3" s="353"/>
      <c r="RKJ3" s="353"/>
      <c r="RKK3" s="353"/>
      <c r="RKL3" s="353"/>
      <c r="RKM3" s="353"/>
      <c r="RKN3" s="353"/>
      <c r="RKO3" s="353"/>
      <c r="RKP3" s="353"/>
      <c r="RKQ3" s="353"/>
      <c r="RKR3" s="353"/>
      <c r="RKS3" s="353"/>
      <c r="RKT3" s="353"/>
      <c r="RKU3" s="353"/>
      <c r="RKV3" s="353"/>
      <c r="RKW3" s="353"/>
      <c r="RKX3" s="353"/>
      <c r="RKY3" s="353"/>
      <c r="RKZ3" s="353"/>
      <c r="RLA3" s="353"/>
      <c r="RLB3" s="353"/>
      <c r="RLC3" s="353"/>
      <c r="RLD3" s="353"/>
      <c r="RLE3" s="353"/>
      <c r="RLF3" s="353"/>
      <c r="RLG3" s="353"/>
      <c r="RLH3" s="353"/>
      <c r="RLI3" s="353"/>
      <c r="RLJ3" s="353"/>
      <c r="RLK3" s="353"/>
      <c r="RLL3" s="353"/>
      <c r="RLM3" s="353"/>
      <c r="RLN3" s="353"/>
      <c r="RLO3" s="353"/>
      <c r="RLP3" s="353"/>
      <c r="RLQ3" s="353"/>
      <c r="RLR3" s="353"/>
      <c r="RLS3" s="353"/>
      <c r="RLT3" s="353"/>
      <c r="RLU3" s="353"/>
      <c r="RLV3" s="353"/>
      <c r="RLW3" s="353"/>
      <c r="RLX3" s="353"/>
      <c r="RLY3" s="353"/>
      <c r="RLZ3" s="353"/>
      <c r="RMA3" s="353"/>
      <c r="RMB3" s="353"/>
      <c r="RMC3" s="353"/>
      <c r="RMD3" s="353"/>
      <c r="RME3" s="353"/>
      <c r="RMF3" s="353"/>
      <c r="RMG3" s="353"/>
      <c r="RMH3" s="353"/>
      <c r="RMI3" s="353"/>
      <c r="RMJ3" s="353"/>
      <c r="RMK3" s="353"/>
      <c r="RML3" s="353"/>
      <c r="RMM3" s="353"/>
      <c r="RMN3" s="353"/>
      <c r="RMO3" s="353"/>
      <c r="RMP3" s="353"/>
      <c r="RMQ3" s="353"/>
      <c r="RMR3" s="353"/>
      <c r="RMS3" s="353"/>
      <c r="RMT3" s="353"/>
      <c r="RMU3" s="353"/>
      <c r="RMV3" s="353"/>
      <c r="RMW3" s="353"/>
      <c r="RMX3" s="353"/>
      <c r="RMY3" s="353"/>
      <c r="RMZ3" s="353"/>
      <c r="RNA3" s="353"/>
      <c r="RNB3" s="353"/>
      <c r="RNC3" s="353"/>
      <c r="RND3" s="353"/>
      <c r="RNE3" s="353"/>
      <c r="RNF3" s="353"/>
      <c r="RNG3" s="353"/>
      <c r="RNH3" s="353"/>
      <c r="RNI3" s="353"/>
      <c r="RNJ3" s="353"/>
      <c r="RNK3" s="353"/>
      <c r="RNL3" s="353"/>
      <c r="RNM3" s="353"/>
      <c r="RNN3" s="353"/>
      <c r="RNO3" s="353"/>
      <c r="RNP3" s="353"/>
      <c r="RNQ3" s="353"/>
      <c r="RNR3" s="353"/>
      <c r="RNS3" s="353"/>
      <c r="RNT3" s="353"/>
      <c r="RNU3" s="353"/>
      <c r="RNV3" s="353"/>
      <c r="RNW3" s="353"/>
      <c r="RNX3" s="353"/>
      <c r="RNY3" s="353"/>
      <c r="RNZ3" s="353"/>
      <c r="ROA3" s="353"/>
      <c r="ROB3" s="353"/>
      <c r="ROC3" s="353"/>
      <c r="ROD3" s="353"/>
      <c r="ROE3" s="353"/>
      <c r="ROF3" s="353"/>
      <c r="ROG3" s="353"/>
      <c r="ROH3" s="353"/>
      <c r="ROI3" s="353"/>
      <c r="ROJ3" s="353"/>
      <c r="ROK3" s="353"/>
      <c r="ROL3" s="353"/>
      <c r="ROM3" s="353"/>
      <c r="RON3" s="353"/>
      <c r="ROO3" s="353"/>
      <c r="ROP3" s="353"/>
      <c r="ROQ3" s="353"/>
      <c r="ROR3" s="353"/>
      <c r="ROS3" s="353"/>
      <c r="ROT3" s="353"/>
      <c r="ROU3" s="353"/>
      <c r="ROV3" s="353"/>
      <c r="ROW3" s="353"/>
      <c r="ROX3" s="353"/>
      <c r="ROY3" s="353"/>
      <c r="ROZ3" s="353"/>
      <c r="RPA3" s="353"/>
      <c r="RPB3" s="353"/>
      <c r="RPC3" s="353"/>
      <c r="RPD3" s="353"/>
      <c r="RPE3" s="353"/>
      <c r="RPF3" s="353"/>
      <c r="RPG3" s="353"/>
      <c r="RPH3" s="353"/>
      <c r="RPI3" s="353"/>
      <c r="RPJ3" s="353"/>
      <c r="RPK3" s="353"/>
      <c r="RPL3" s="353"/>
      <c r="RPM3" s="353"/>
      <c r="RPN3" s="353"/>
      <c r="RPO3" s="353"/>
      <c r="RPP3" s="353"/>
      <c r="RPQ3" s="353"/>
      <c r="RPR3" s="353"/>
      <c r="RPS3" s="353"/>
      <c r="RPT3" s="353"/>
      <c r="RPU3" s="353"/>
      <c r="RPV3" s="353"/>
      <c r="RPW3" s="353"/>
      <c r="RPX3" s="353"/>
      <c r="RPY3" s="353"/>
      <c r="RPZ3" s="353"/>
      <c r="RQA3" s="353"/>
      <c r="RQB3" s="353"/>
      <c r="RQC3" s="353"/>
      <c r="RQD3" s="353"/>
      <c r="RQE3" s="353"/>
      <c r="RQF3" s="353"/>
      <c r="RQG3" s="353"/>
      <c r="RQH3" s="353"/>
      <c r="RQI3" s="353"/>
      <c r="RQJ3" s="353"/>
      <c r="RQK3" s="353"/>
      <c r="RQL3" s="353"/>
      <c r="RQM3" s="353"/>
      <c r="RQN3" s="353"/>
      <c r="RQO3" s="353"/>
      <c r="RQP3" s="353"/>
      <c r="RQQ3" s="353"/>
      <c r="RQR3" s="353"/>
      <c r="RQS3" s="353"/>
      <c r="RQT3" s="353"/>
      <c r="RQU3" s="353"/>
      <c r="RQV3" s="353"/>
      <c r="RQW3" s="353"/>
      <c r="RQX3" s="353"/>
      <c r="RQY3" s="353"/>
      <c r="RQZ3" s="353"/>
      <c r="RRA3" s="353"/>
      <c r="RRB3" s="353"/>
      <c r="RRC3" s="353"/>
      <c r="RRD3" s="353"/>
      <c r="RRE3" s="353"/>
      <c r="RRF3" s="353"/>
      <c r="RRG3" s="353"/>
      <c r="RRH3" s="353"/>
      <c r="RRI3" s="353"/>
      <c r="RRJ3" s="353"/>
      <c r="RRK3" s="353"/>
      <c r="RRL3" s="353"/>
      <c r="RRM3" s="353"/>
      <c r="RRN3" s="353"/>
      <c r="RRO3" s="353"/>
      <c r="RRP3" s="353"/>
      <c r="RRQ3" s="353"/>
      <c r="RRR3" s="353"/>
      <c r="RRS3" s="353"/>
      <c r="RRT3" s="353"/>
      <c r="RRU3" s="353"/>
      <c r="RRV3" s="353"/>
      <c r="RRW3" s="353"/>
      <c r="RRX3" s="353"/>
      <c r="RRY3" s="353"/>
      <c r="RRZ3" s="353"/>
      <c r="RSA3" s="353"/>
      <c r="RSB3" s="353"/>
      <c r="RSC3" s="353"/>
      <c r="RSD3" s="353"/>
      <c r="RSE3" s="353"/>
      <c r="RSF3" s="353"/>
      <c r="RSG3" s="353"/>
      <c r="RSH3" s="353"/>
      <c r="RSI3" s="353"/>
      <c r="RSJ3" s="353"/>
      <c r="RSK3" s="353"/>
      <c r="RSL3" s="353"/>
      <c r="RSM3" s="353"/>
      <c r="RSN3" s="353"/>
      <c r="RSO3" s="353"/>
      <c r="RSP3" s="353"/>
      <c r="RSQ3" s="353"/>
      <c r="RSR3" s="353"/>
      <c r="RSS3" s="353"/>
      <c r="RST3" s="353"/>
      <c r="RSU3" s="353"/>
      <c r="RSV3" s="353"/>
      <c r="RSW3" s="353"/>
      <c r="RSX3" s="353"/>
      <c r="RSY3" s="353"/>
      <c r="RSZ3" s="353"/>
      <c r="RTA3" s="353"/>
      <c r="RTB3" s="353"/>
      <c r="RTC3" s="353"/>
      <c r="RTD3" s="353"/>
      <c r="RTE3" s="353"/>
      <c r="RTF3" s="353"/>
      <c r="RTG3" s="353"/>
      <c r="RTH3" s="353"/>
      <c r="RTI3" s="353"/>
      <c r="RTJ3" s="353"/>
      <c r="RTK3" s="353"/>
      <c r="RTL3" s="353"/>
      <c r="RTM3" s="353"/>
      <c r="RTN3" s="353"/>
      <c r="RTO3" s="353"/>
      <c r="RTP3" s="353"/>
      <c r="RTQ3" s="353"/>
      <c r="RTR3" s="353"/>
      <c r="RTS3" s="353"/>
      <c r="RTT3" s="353"/>
      <c r="RTU3" s="353"/>
      <c r="RTV3" s="353"/>
      <c r="RTW3" s="353"/>
      <c r="RTX3" s="353"/>
      <c r="RTY3" s="353"/>
      <c r="RTZ3" s="353"/>
      <c r="RUA3" s="353"/>
      <c r="RUB3" s="353"/>
      <c r="RUC3" s="353"/>
      <c r="RUD3" s="353"/>
      <c r="RUE3" s="353"/>
      <c r="RUF3" s="353"/>
      <c r="RUG3" s="353"/>
      <c r="RUH3" s="353"/>
      <c r="RUI3" s="353"/>
      <c r="RUJ3" s="353"/>
      <c r="RUK3" s="353"/>
      <c r="RUL3" s="353"/>
      <c r="RUM3" s="353"/>
      <c r="RUN3" s="353"/>
      <c r="RUO3" s="353"/>
      <c r="RUP3" s="353"/>
      <c r="RUQ3" s="353"/>
      <c r="RUR3" s="353"/>
      <c r="RUS3" s="353"/>
      <c r="RUT3" s="353"/>
      <c r="RUU3" s="353"/>
      <c r="RUV3" s="353"/>
      <c r="RUW3" s="353"/>
      <c r="RUX3" s="353"/>
      <c r="RUY3" s="353"/>
      <c r="RUZ3" s="353"/>
      <c r="RVA3" s="353"/>
      <c r="RVB3" s="353"/>
      <c r="RVC3" s="353"/>
      <c r="RVD3" s="353"/>
      <c r="RVE3" s="353"/>
      <c r="RVF3" s="353"/>
      <c r="RVG3" s="353"/>
      <c r="RVH3" s="353"/>
      <c r="RVI3" s="353"/>
      <c r="RVJ3" s="353"/>
      <c r="RVK3" s="353"/>
      <c r="RVL3" s="353"/>
      <c r="RVM3" s="353"/>
      <c r="RVN3" s="353"/>
      <c r="RVO3" s="353"/>
      <c r="RVP3" s="353"/>
      <c r="RVQ3" s="353"/>
      <c r="RVR3" s="353"/>
      <c r="RVS3" s="353"/>
      <c r="RVT3" s="353"/>
      <c r="RVU3" s="353"/>
      <c r="RVV3" s="353"/>
      <c r="RVW3" s="353"/>
      <c r="RVX3" s="353"/>
      <c r="RVY3" s="353"/>
      <c r="RVZ3" s="353"/>
      <c r="RWA3" s="353"/>
      <c r="RWB3" s="353"/>
      <c r="RWC3" s="353"/>
      <c r="RWD3" s="353"/>
      <c r="RWE3" s="353"/>
      <c r="RWF3" s="353"/>
      <c r="RWG3" s="353"/>
      <c r="RWH3" s="353"/>
      <c r="RWI3" s="353"/>
      <c r="RWJ3" s="353"/>
      <c r="RWK3" s="353"/>
      <c r="RWL3" s="353"/>
      <c r="RWM3" s="353"/>
      <c r="RWN3" s="353"/>
      <c r="RWO3" s="353"/>
      <c r="RWP3" s="353"/>
      <c r="RWQ3" s="353"/>
      <c r="RWR3" s="353"/>
      <c r="RWS3" s="353"/>
      <c r="RWT3" s="353"/>
      <c r="RWU3" s="353"/>
      <c r="RWV3" s="353"/>
      <c r="RWW3" s="353"/>
      <c r="RWX3" s="353"/>
      <c r="RWY3" s="353"/>
      <c r="RWZ3" s="353"/>
      <c r="RXA3" s="353"/>
      <c r="RXB3" s="353"/>
      <c r="RXC3" s="353"/>
      <c r="RXD3" s="353"/>
      <c r="RXE3" s="353"/>
      <c r="RXF3" s="353"/>
      <c r="RXG3" s="353"/>
      <c r="RXH3" s="353"/>
      <c r="RXI3" s="353"/>
      <c r="RXJ3" s="353"/>
      <c r="RXK3" s="353"/>
      <c r="RXL3" s="353"/>
      <c r="RXM3" s="353"/>
      <c r="RXN3" s="353"/>
      <c r="RXO3" s="353"/>
      <c r="RXP3" s="353"/>
      <c r="RXQ3" s="353"/>
      <c r="RXR3" s="353"/>
      <c r="RXS3" s="353"/>
      <c r="RXT3" s="353"/>
      <c r="RXU3" s="353"/>
      <c r="RXV3" s="353"/>
      <c r="RXW3" s="353"/>
      <c r="RXX3" s="353"/>
      <c r="RXY3" s="353"/>
      <c r="RXZ3" s="353"/>
      <c r="RYA3" s="353"/>
      <c r="RYB3" s="353"/>
      <c r="RYC3" s="353"/>
      <c r="RYD3" s="353"/>
      <c r="RYE3" s="353"/>
      <c r="RYF3" s="353"/>
      <c r="RYG3" s="353"/>
      <c r="RYH3" s="353"/>
      <c r="RYI3" s="353"/>
      <c r="RYJ3" s="353"/>
      <c r="RYK3" s="353"/>
      <c r="RYL3" s="353"/>
      <c r="RYM3" s="353"/>
      <c r="RYN3" s="353"/>
      <c r="RYO3" s="353"/>
      <c r="RYP3" s="353"/>
      <c r="RYQ3" s="353"/>
      <c r="RYR3" s="353"/>
      <c r="RYS3" s="353"/>
      <c r="RYT3" s="353"/>
      <c r="RYU3" s="353"/>
      <c r="RYV3" s="353"/>
      <c r="RYW3" s="353"/>
      <c r="RYX3" s="353"/>
      <c r="RYY3" s="353"/>
      <c r="RYZ3" s="353"/>
      <c r="RZA3" s="353"/>
      <c r="RZB3" s="353"/>
      <c r="RZC3" s="353"/>
      <c r="RZD3" s="353"/>
      <c r="RZE3" s="353"/>
      <c r="RZF3" s="353"/>
      <c r="RZG3" s="353"/>
      <c r="RZH3" s="353"/>
      <c r="RZI3" s="353"/>
      <c r="RZJ3" s="353"/>
      <c r="RZK3" s="353"/>
      <c r="RZL3" s="353"/>
      <c r="RZM3" s="353"/>
      <c r="RZN3" s="353"/>
      <c r="RZO3" s="353"/>
      <c r="RZP3" s="353"/>
      <c r="RZQ3" s="353"/>
      <c r="RZR3" s="353"/>
      <c r="RZS3" s="353"/>
      <c r="RZT3" s="353"/>
      <c r="RZU3" s="353"/>
      <c r="RZV3" s="353"/>
      <c r="RZW3" s="353"/>
      <c r="RZX3" s="353"/>
      <c r="RZY3" s="353"/>
      <c r="RZZ3" s="353"/>
      <c r="SAA3" s="353"/>
      <c r="SAB3" s="353"/>
      <c r="SAC3" s="353"/>
      <c r="SAD3" s="353"/>
      <c r="SAE3" s="353"/>
      <c r="SAF3" s="353"/>
      <c r="SAG3" s="353"/>
      <c r="SAH3" s="353"/>
      <c r="SAI3" s="353"/>
      <c r="SAJ3" s="353"/>
      <c r="SAK3" s="353"/>
      <c r="SAL3" s="353"/>
      <c r="SAM3" s="353"/>
      <c r="SAN3" s="353"/>
      <c r="SAO3" s="353"/>
      <c r="SAP3" s="353"/>
      <c r="SAQ3" s="353"/>
      <c r="SAR3" s="353"/>
      <c r="SAS3" s="353"/>
      <c r="SAT3" s="353"/>
      <c r="SAU3" s="353"/>
      <c r="SAV3" s="353"/>
      <c r="SAW3" s="353"/>
      <c r="SAX3" s="353"/>
      <c r="SAY3" s="353"/>
      <c r="SAZ3" s="353"/>
      <c r="SBA3" s="353"/>
      <c r="SBB3" s="353"/>
      <c r="SBC3" s="353"/>
      <c r="SBD3" s="353"/>
      <c r="SBE3" s="353"/>
      <c r="SBF3" s="353"/>
      <c r="SBG3" s="353"/>
      <c r="SBH3" s="353"/>
      <c r="SBI3" s="353"/>
      <c r="SBJ3" s="353"/>
      <c r="SBK3" s="353"/>
      <c r="SBL3" s="353"/>
      <c r="SBM3" s="353"/>
      <c r="SBN3" s="353"/>
      <c r="SBO3" s="353"/>
      <c r="SBP3" s="353"/>
      <c r="SBQ3" s="353"/>
      <c r="SBR3" s="353"/>
      <c r="SBS3" s="353"/>
      <c r="SBT3" s="353"/>
      <c r="SBU3" s="353"/>
      <c r="SBV3" s="353"/>
      <c r="SBW3" s="353"/>
      <c r="SBX3" s="353"/>
      <c r="SBY3" s="353"/>
      <c r="SBZ3" s="353"/>
      <c r="SCA3" s="353"/>
      <c r="SCB3" s="353"/>
      <c r="SCC3" s="353"/>
      <c r="SCD3" s="353"/>
      <c r="SCE3" s="353"/>
      <c r="SCF3" s="353"/>
      <c r="SCG3" s="353"/>
      <c r="SCH3" s="353"/>
      <c r="SCI3" s="353"/>
      <c r="SCJ3" s="353"/>
      <c r="SCK3" s="353"/>
      <c r="SCL3" s="353"/>
      <c r="SCM3" s="353"/>
      <c r="SCN3" s="353"/>
      <c r="SCO3" s="353"/>
      <c r="SCP3" s="353"/>
      <c r="SCQ3" s="353"/>
      <c r="SCR3" s="353"/>
      <c r="SCS3" s="353"/>
      <c r="SCT3" s="353"/>
      <c r="SCU3" s="353"/>
      <c r="SCV3" s="353"/>
      <c r="SCW3" s="353"/>
      <c r="SCX3" s="353"/>
      <c r="SCY3" s="353"/>
      <c r="SCZ3" s="353"/>
      <c r="SDA3" s="353"/>
      <c r="SDB3" s="353"/>
      <c r="SDC3" s="353"/>
      <c r="SDD3" s="353"/>
      <c r="SDE3" s="353"/>
      <c r="SDF3" s="353"/>
      <c r="SDG3" s="353"/>
      <c r="SDH3" s="353"/>
      <c r="SDI3" s="353"/>
      <c r="SDJ3" s="353"/>
      <c r="SDK3" s="353"/>
      <c r="SDL3" s="353"/>
      <c r="SDM3" s="353"/>
      <c r="SDN3" s="353"/>
      <c r="SDO3" s="353"/>
      <c r="SDP3" s="353"/>
      <c r="SDQ3" s="353"/>
      <c r="SDR3" s="353"/>
      <c r="SDS3" s="353"/>
      <c r="SDT3" s="353"/>
      <c r="SDU3" s="353"/>
      <c r="SDV3" s="353"/>
      <c r="SDW3" s="353"/>
      <c r="SDX3" s="353"/>
      <c r="SDY3" s="353"/>
      <c r="SDZ3" s="353"/>
      <c r="SEA3" s="353"/>
      <c r="SEB3" s="353"/>
      <c r="SEC3" s="353"/>
      <c r="SED3" s="353"/>
      <c r="SEE3" s="353"/>
      <c r="SEF3" s="353"/>
      <c r="SEG3" s="353"/>
      <c r="SEH3" s="353"/>
      <c r="SEI3" s="353"/>
      <c r="SEJ3" s="353"/>
      <c r="SEK3" s="353"/>
      <c r="SEL3" s="353"/>
      <c r="SEM3" s="353"/>
      <c r="SEN3" s="353"/>
      <c r="SEO3" s="353"/>
      <c r="SEP3" s="353"/>
      <c r="SEQ3" s="353"/>
      <c r="SER3" s="353"/>
      <c r="SES3" s="353"/>
      <c r="SET3" s="353"/>
      <c r="SEU3" s="353"/>
      <c r="SEV3" s="353"/>
      <c r="SEW3" s="353"/>
      <c r="SEX3" s="353"/>
      <c r="SEY3" s="353"/>
      <c r="SEZ3" s="353"/>
      <c r="SFA3" s="353"/>
      <c r="SFB3" s="353"/>
      <c r="SFC3" s="353"/>
      <c r="SFD3" s="353"/>
      <c r="SFE3" s="353"/>
      <c r="SFF3" s="353"/>
      <c r="SFG3" s="353"/>
      <c r="SFH3" s="353"/>
      <c r="SFI3" s="353"/>
      <c r="SFJ3" s="353"/>
      <c r="SFK3" s="353"/>
      <c r="SFL3" s="353"/>
      <c r="SFM3" s="353"/>
      <c r="SFN3" s="353"/>
      <c r="SFO3" s="353"/>
      <c r="SFP3" s="353"/>
      <c r="SFQ3" s="353"/>
      <c r="SFR3" s="353"/>
      <c r="SFS3" s="353"/>
      <c r="SFT3" s="353"/>
      <c r="SFU3" s="353"/>
      <c r="SFV3" s="353"/>
      <c r="SFW3" s="353"/>
      <c r="SFX3" s="353"/>
      <c r="SFY3" s="353"/>
      <c r="SFZ3" s="353"/>
      <c r="SGA3" s="353"/>
      <c r="SGB3" s="353"/>
      <c r="SGC3" s="353"/>
      <c r="SGD3" s="353"/>
      <c r="SGE3" s="353"/>
      <c r="SGF3" s="353"/>
      <c r="SGG3" s="353"/>
      <c r="SGH3" s="353"/>
      <c r="SGI3" s="353"/>
      <c r="SGJ3" s="353"/>
      <c r="SGK3" s="353"/>
      <c r="SGL3" s="353"/>
      <c r="SGM3" s="353"/>
      <c r="SGN3" s="353"/>
      <c r="SGO3" s="353"/>
      <c r="SGP3" s="353"/>
      <c r="SGQ3" s="353"/>
      <c r="SGR3" s="353"/>
      <c r="SGS3" s="353"/>
      <c r="SGT3" s="353"/>
      <c r="SGU3" s="353"/>
      <c r="SGV3" s="353"/>
      <c r="SGW3" s="353"/>
      <c r="SGX3" s="353"/>
      <c r="SGY3" s="353"/>
      <c r="SGZ3" s="353"/>
      <c r="SHA3" s="353"/>
      <c r="SHB3" s="353"/>
      <c r="SHC3" s="353"/>
      <c r="SHD3" s="353"/>
      <c r="SHE3" s="353"/>
      <c r="SHF3" s="353"/>
      <c r="SHG3" s="353"/>
      <c r="SHH3" s="353"/>
      <c r="SHI3" s="353"/>
      <c r="SHJ3" s="353"/>
      <c r="SHK3" s="353"/>
      <c r="SHL3" s="353"/>
      <c r="SHM3" s="353"/>
      <c r="SHN3" s="353"/>
      <c r="SHO3" s="353"/>
      <c r="SHP3" s="353"/>
      <c r="SHQ3" s="353"/>
      <c r="SHR3" s="353"/>
      <c r="SHS3" s="353"/>
      <c r="SHT3" s="353"/>
      <c r="SHU3" s="353"/>
      <c r="SHV3" s="353"/>
      <c r="SHW3" s="353"/>
      <c r="SHX3" s="353"/>
      <c r="SHY3" s="353"/>
      <c r="SHZ3" s="353"/>
      <c r="SIA3" s="353"/>
      <c r="SIB3" s="353"/>
      <c r="SIC3" s="353"/>
      <c r="SID3" s="353"/>
      <c r="SIE3" s="353"/>
      <c r="SIF3" s="353"/>
      <c r="SIG3" s="353"/>
      <c r="SIH3" s="353"/>
      <c r="SII3" s="353"/>
      <c r="SIJ3" s="353"/>
      <c r="SIK3" s="353"/>
      <c r="SIL3" s="353"/>
      <c r="SIM3" s="353"/>
      <c r="SIN3" s="353"/>
      <c r="SIO3" s="353"/>
      <c r="SIP3" s="353"/>
      <c r="SIQ3" s="353"/>
      <c r="SIR3" s="353"/>
      <c r="SIS3" s="353"/>
      <c r="SIT3" s="353"/>
      <c r="SIU3" s="353"/>
      <c r="SIV3" s="353"/>
      <c r="SIW3" s="353"/>
      <c r="SIX3" s="353"/>
      <c r="SIY3" s="353"/>
      <c r="SIZ3" s="353"/>
      <c r="SJA3" s="353"/>
      <c r="SJB3" s="353"/>
      <c r="SJC3" s="353"/>
      <c r="SJD3" s="353"/>
      <c r="SJE3" s="353"/>
      <c r="SJF3" s="353"/>
      <c r="SJG3" s="353"/>
      <c r="SJH3" s="353"/>
      <c r="SJI3" s="353"/>
      <c r="SJJ3" s="353"/>
      <c r="SJK3" s="353"/>
      <c r="SJL3" s="353"/>
      <c r="SJM3" s="353"/>
      <c r="SJN3" s="353"/>
      <c r="SJO3" s="353"/>
      <c r="SJP3" s="353"/>
      <c r="SJQ3" s="353"/>
      <c r="SJR3" s="353"/>
      <c r="SJS3" s="353"/>
      <c r="SJT3" s="353"/>
      <c r="SJU3" s="353"/>
      <c r="SJV3" s="353"/>
      <c r="SJW3" s="353"/>
      <c r="SJX3" s="353"/>
      <c r="SJY3" s="353"/>
      <c r="SJZ3" s="353"/>
      <c r="SKA3" s="353"/>
      <c r="SKB3" s="353"/>
      <c r="SKC3" s="353"/>
      <c r="SKD3" s="353"/>
      <c r="SKE3" s="353"/>
      <c r="SKF3" s="353"/>
      <c r="SKG3" s="353"/>
      <c r="SKH3" s="353"/>
      <c r="SKI3" s="353"/>
      <c r="SKJ3" s="353"/>
      <c r="SKK3" s="353"/>
      <c r="SKL3" s="353"/>
      <c r="SKM3" s="353"/>
      <c r="SKN3" s="353"/>
      <c r="SKO3" s="353"/>
      <c r="SKP3" s="353"/>
      <c r="SKQ3" s="353"/>
      <c r="SKR3" s="353"/>
      <c r="SKS3" s="353"/>
      <c r="SKT3" s="353"/>
      <c r="SKU3" s="353"/>
      <c r="SKV3" s="353"/>
      <c r="SKW3" s="353"/>
      <c r="SKX3" s="353"/>
      <c r="SKY3" s="353"/>
      <c r="SKZ3" s="353"/>
      <c r="SLA3" s="353"/>
      <c r="SLB3" s="353"/>
      <c r="SLC3" s="353"/>
      <c r="SLD3" s="353"/>
      <c r="SLE3" s="353"/>
      <c r="SLF3" s="353"/>
      <c r="SLG3" s="353"/>
      <c r="SLH3" s="353"/>
      <c r="SLI3" s="353"/>
      <c r="SLJ3" s="353"/>
      <c r="SLK3" s="353"/>
      <c r="SLL3" s="353"/>
      <c r="SLM3" s="353"/>
      <c r="SLN3" s="353"/>
      <c r="SLO3" s="353"/>
      <c r="SLP3" s="353"/>
      <c r="SLQ3" s="353"/>
      <c r="SLR3" s="353"/>
      <c r="SLS3" s="353"/>
      <c r="SLT3" s="353"/>
      <c r="SLU3" s="353"/>
      <c r="SLV3" s="353"/>
      <c r="SLW3" s="353"/>
      <c r="SLX3" s="353"/>
      <c r="SLY3" s="353"/>
      <c r="SLZ3" s="353"/>
      <c r="SMA3" s="353"/>
      <c r="SMB3" s="353"/>
      <c r="SMC3" s="353"/>
      <c r="SMD3" s="353"/>
      <c r="SME3" s="353"/>
      <c r="SMF3" s="353"/>
      <c r="SMG3" s="353"/>
      <c r="SMH3" s="353"/>
      <c r="SMI3" s="353"/>
      <c r="SMJ3" s="353"/>
      <c r="SMK3" s="353"/>
      <c r="SML3" s="353"/>
      <c r="SMM3" s="353"/>
      <c r="SMN3" s="353"/>
      <c r="SMO3" s="353"/>
      <c r="SMP3" s="353"/>
      <c r="SMQ3" s="353"/>
      <c r="SMR3" s="353"/>
      <c r="SMS3" s="353"/>
      <c r="SMT3" s="353"/>
      <c r="SMU3" s="353"/>
      <c r="SMV3" s="353"/>
      <c r="SMW3" s="353"/>
      <c r="SMX3" s="353"/>
      <c r="SMY3" s="353"/>
      <c r="SMZ3" s="353"/>
      <c r="SNA3" s="353"/>
      <c r="SNB3" s="353"/>
      <c r="SNC3" s="353"/>
      <c r="SND3" s="353"/>
      <c r="SNE3" s="353"/>
      <c r="SNF3" s="353"/>
      <c r="SNG3" s="353"/>
      <c r="SNH3" s="353"/>
      <c r="SNI3" s="353"/>
      <c r="SNJ3" s="353"/>
      <c r="SNK3" s="353"/>
      <c r="SNL3" s="353"/>
      <c r="SNM3" s="353"/>
      <c r="SNN3" s="353"/>
      <c r="SNO3" s="353"/>
      <c r="SNP3" s="353"/>
      <c r="SNQ3" s="353"/>
      <c r="SNR3" s="353"/>
      <c r="SNS3" s="353"/>
      <c r="SNT3" s="353"/>
      <c r="SNU3" s="353"/>
      <c r="SNV3" s="353"/>
      <c r="SNW3" s="353"/>
      <c r="SNX3" s="353"/>
      <c r="SNY3" s="353"/>
      <c r="SNZ3" s="353"/>
      <c r="SOA3" s="353"/>
      <c r="SOB3" s="353"/>
      <c r="SOC3" s="353"/>
      <c r="SOD3" s="353"/>
      <c r="SOE3" s="353"/>
      <c r="SOF3" s="353"/>
      <c r="SOG3" s="353"/>
      <c r="SOH3" s="353"/>
      <c r="SOI3" s="353"/>
      <c r="SOJ3" s="353"/>
      <c r="SOK3" s="353"/>
      <c r="SOL3" s="353"/>
      <c r="SOM3" s="353"/>
      <c r="SON3" s="353"/>
      <c r="SOO3" s="353"/>
      <c r="SOP3" s="353"/>
      <c r="SOQ3" s="353"/>
      <c r="SOR3" s="353"/>
      <c r="SOS3" s="353"/>
      <c r="SOT3" s="353"/>
      <c r="SOU3" s="353"/>
      <c r="SOV3" s="353"/>
      <c r="SOW3" s="353"/>
      <c r="SOX3" s="353"/>
      <c r="SOY3" s="353"/>
      <c r="SOZ3" s="353"/>
      <c r="SPA3" s="353"/>
      <c r="SPB3" s="353"/>
      <c r="SPC3" s="353"/>
      <c r="SPD3" s="353"/>
      <c r="SPE3" s="353"/>
      <c r="SPF3" s="353"/>
      <c r="SPG3" s="353"/>
      <c r="SPH3" s="353"/>
      <c r="SPI3" s="353"/>
      <c r="SPJ3" s="353"/>
      <c r="SPK3" s="353"/>
      <c r="SPL3" s="353"/>
      <c r="SPM3" s="353"/>
      <c r="SPN3" s="353"/>
      <c r="SPO3" s="353"/>
      <c r="SPP3" s="353"/>
      <c r="SPQ3" s="353"/>
      <c r="SPR3" s="353"/>
      <c r="SPS3" s="353"/>
      <c r="SPT3" s="353"/>
      <c r="SPU3" s="353"/>
      <c r="SPV3" s="353"/>
      <c r="SPW3" s="353"/>
      <c r="SPX3" s="353"/>
      <c r="SPY3" s="353"/>
      <c r="SPZ3" s="353"/>
      <c r="SQA3" s="353"/>
      <c r="SQB3" s="353"/>
      <c r="SQC3" s="353"/>
      <c r="SQD3" s="353"/>
      <c r="SQE3" s="353"/>
      <c r="SQF3" s="353"/>
      <c r="SQG3" s="353"/>
      <c r="SQH3" s="353"/>
      <c r="SQI3" s="353"/>
      <c r="SQJ3" s="353"/>
      <c r="SQK3" s="353"/>
      <c r="SQL3" s="353"/>
      <c r="SQM3" s="353"/>
      <c r="SQN3" s="353"/>
      <c r="SQO3" s="353"/>
      <c r="SQP3" s="353"/>
      <c r="SQQ3" s="353"/>
      <c r="SQR3" s="353"/>
      <c r="SQS3" s="353"/>
      <c r="SQT3" s="353"/>
      <c r="SQU3" s="353"/>
      <c r="SQV3" s="353"/>
      <c r="SQW3" s="353"/>
      <c r="SQX3" s="353"/>
      <c r="SQY3" s="353"/>
      <c r="SQZ3" s="353"/>
      <c r="SRA3" s="353"/>
      <c r="SRB3" s="353"/>
      <c r="SRC3" s="353"/>
      <c r="SRD3" s="353"/>
      <c r="SRE3" s="353"/>
      <c r="SRF3" s="353"/>
      <c r="SRG3" s="353"/>
      <c r="SRH3" s="353"/>
      <c r="SRI3" s="353"/>
      <c r="SRJ3" s="353"/>
      <c r="SRK3" s="353"/>
      <c r="SRL3" s="353"/>
      <c r="SRM3" s="353"/>
      <c r="SRN3" s="353"/>
      <c r="SRO3" s="353"/>
      <c r="SRP3" s="353"/>
      <c r="SRQ3" s="353"/>
      <c r="SRR3" s="353"/>
      <c r="SRS3" s="353"/>
      <c r="SRT3" s="353"/>
      <c r="SRU3" s="353"/>
      <c r="SRV3" s="353"/>
      <c r="SRW3" s="353"/>
      <c r="SRX3" s="353"/>
      <c r="SRY3" s="353"/>
      <c r="SRZ3" s="353"/>
      <c r="SSA3" s="353"/>
      <c r="SSB3" s="353"/>
      <c r="SSC3" s="353"/>
      <c r="SSD3" s="353"/>
      <c r="SSE3" s="353"/>
      <c r="SSF3" s="353"/>
      <c r="SSG3" s="353"/>
      <c r="SSH3" s="353"/>
      <c r="SSI3" s="353"/>
      <c r="SSJ3" s="353"/>
      <c r="SSK3" s="353"/>
      <c r="SSL3" s="353"/>
      <c r="SSM3" s="353"/>
      <c r="SSN3" s="353"/>
      <c r="SSO3" s="353"/>
      <c r="SSP3" s="353"/>
      <c r="SSQ3" s="353"/>
      <c r="SSR3" s="353"/>
      <c r="SSS3" s="353"/>
      <c r="SST3" s="353"/>
      <c r="SSU3" s="353"/>
      <c r="SSV3" s="353"/>
      <c r="SSW3" s="353"/>
      <c r="SSX3" s="353"/>
      <c r="SSY3" s="353"/>
      <c r="SSZ3" s="353"/>
      <c r="STA3" s="353"/>
      <c r="STB3" s="353"/>
      <c r="STC3" s="353"/>
      <c r="STD3" s="353"/>
      <c r="STE3" s="353"/>
      <c r="STF3" s="353"/>
      <c r="STG3" s="353"/>
      <c r="STH3" s="353"/>
      <c r="STI3" s="353"/>
      <c r="STJ3" s="353"/>
      <c r="STK3" s="353"/>
      <c r="STL3" s="353"/>
      <c r="STM3" s="353"/>
      <c r="STN3" s="353"/>
      <c r="STO3" s="353"/>
      <c r="STP3" s="353"/>
      <c r="STQ3" s="353"/>
      <c r="STR3" s="353"/>
      <c r="STS3" s="353"/>
      <c r="STT3" s="353"/>
      <c r="STU3" s="353"/>
      <c r="STV3" s="353"/>
      <c r="STW3" s="353"/>
      <c r="STX3" s="353"/>
      <c r="STY3" s="353"/>
      <c r="STZ3" s="353"/>
      <c r="SUA3" s="353"/>
      <c r="SUB3" s="353"/>
      <c r="SUC3" s="353"/>
      <c r="SUD3" s="353"/>
      <c r="SUE3" s="353"/>
      <c r="SUF3" s="353"/>
      <c r="SUG3" s="353"/>
      <c r="SUH3" s="353"/>
      <c r="SUI3" s="353"/>
      <c r="SUJ3" s="353"/>
      <c r="SUK3" s="353"/>
      <c r="SUL3" s="353"/>
      <c r="SUM3" s="353"/>
      <c r="SUN3" s="353"/>
      <c r="SUO3" s="353"/>
      <c r="SUP3" s="353"/>
      <c r="SUQ3" s="353"/>
      <c r="SUR3" s="353"/>
      <c r="SUS3" s="353"/>
      <c r="SUT3" s="353"/>
      <c r="SUU3" s="353"/>
      <c r="SUV3" s="353"/>
      <c r="SUW3" s="353"/>
      <c r="SUX3" s="353"/>
      <c r="SUY3" s="353"/>
      <c r="SUZ3" s="353"/>
      <c r="SVA3" s="353"/>
      <c r="SVB3" s="353"/>
      <c r="SVC3" s="353"/>
      <c r="SVD3" s="353"/>
      <c r="SVE3" s="353"/>
      <c r="SVF3" s="353"/>
      <c r="SVG3" s="353"/>
      <c r="SVH3" s="353"/>
      <c r="SVI3" s="353"/>
      <c r="SVJ3" s="353"/>
      <c r="SVK3" s="353"/>
      <c r="SVL3" s="353"/>
      <c r="SVM3" s="353"/>
      <c r="SVN3" s="353"/>
      <c r="SVO3" s="353"/>
      <c r="SVP3" s="353"/>
      <c r="SVQ3" s="353"/>
      <c r="SVR3" s="353"/>
      <c r="SVS3" s="353"/>
      <c r="SVT3" s="353"/>
      <c r="SVU3" s="353"/>
      <c r="SVV3" s="353"/>
      <c r="SVW3" s="353"/>
      <c r="SVX3" s="353"/>
      <c r="SVY3" s="353"/>
      <c r="SVZ3" s="353"/>
      <c r="SWA3" s="353"/>
      <c r="SWB3" s="353"/>
      <c r="SWC3" s="353"/>
      <c r="SWD3" s="353"/>
      <c r="SWE3" s="353"/>
      <c r="SWF3" s="353"/>
      <c r="SWG3" s="353"/>
      <c r="SWH3" s="353"/>
      <c r="SWI3" s="353"/>
      <c r="SWJ3" s="353"/>
      <c r="SWK3" s="353"/>
      <c r="SWL3" s="353"/>
      <c r="SWM3" s="353"/>
      <c r="SWN3" s="353"/>
      <c r="SWO3" s="353"/>
      <c r="SWP3" s="353"/>
      <c r="SWQ3" s="353"/>
      <c r="SWR3" s="353"/>
      <c r="SWS3" s="353"/>
      <c r="SWT3" s="353"/>
      <c r="SWU3" s="353"/>
      <c r="SWV3" s="353"/>
      <c r="SWW3" s="353"/>
      <c r="SWX3" s="353"/>
      <c r="SWY3" s="353"/>
      <c r="SWZ3" s="353"/>
      <c r="SXA3" s="353"/>
      <c r="SXB3" s="353"/>
      <c r="SXC3" s="353"/>
      <c r="SXD3" s="353"/>
      <c r="SXE3" s="353"/>
      <c r="SXF3" s="353"/>
      <c r="SXG3" s="353"/>
      <c r="SXH3" s="353"/>
      <c r="SXI3" s="353"/>
      <c r="SXJ3" s="353"/>
      <c r="SXK3" s="353"/>
      <c r="SXL3" s="353"/>
      <c r="SXM3" s="353"/>
      <c r="SXN3" s="353"/>
      <c r="SXO3" s="353"/>
      <c r="SXP3" s="353"/>
      <c r="SXQ3" s="353"/>
      <c r="SXR3" s="353"/>
      <c r="SXS3" s="353"/>
      <c r="SXT3" s="353"/>
      <c r="SXU3" s="353"/>
      <c r="SXV3" s="353"/>
      <c r="SXW3" s="353"/>
      <c r="SXX3" s="353"/>
      <c r="SXY3" s="353"/>
      <c r="SXZ3" s="353"/>
      <c r="SYA3" s="353"/>
      <c r="SYB3" s="353"/>
      <c r="SYC3" s="353"/>
      <c r="SYD3" s="353"/>
      <c r="SYE3" s="353"/>
      <c r="SYF3" s="353"/>
      <c r="SYG3" s="353"/>
      <c r="SYH3" s="353"/>
      <c r="SYI3" s="353"/>
      <c r="SYJ3" s="353"/>
      <c r="SYK3" s="353"/>
      <c r="SYL3" s="353"/>
      <c r="SYM3" s="353"/>
      <c r="SYN3" s="353"/>
      <c r="SYO3" s="353"/>
      <c r="SYP3" s="353"/>
      <c r="SYQ3" s="353"/>
      <c r="SYR3" s="353"/>
      <c r="SYS3" s="353"/>
      <c r="SYT3" s="353"/>
      <c r="SYU3" s="353"/>
      <c r="SYV3" s="353"/>
      <c r="SYW3" s="353"/>
      <c r="SYX3" s="353"/>
      <c r="SYY3" s="353"/>
      <c r="SYZ3" s="353"/>
      <c r="SZA3" s="353"/>
      <c r="SZB3" s="353"/>
      <c r="SZC3" s="353"/>
      <c r="SZD3" s="353"/>
      <c r="SZE3" s="353"/>
      <c r="SZF3" s="353"/>
      <c r="SZG3" s="353"/>
      <c r="SZH3" s="353"/>
      <c r="SZI3" s="353"/>
      <c r="SZJ3" s="353"/>
      <c r="SZK3" s="353"/>
      <c r="SZL3" s="353"/>
      <c r="SZM3" s="353"/>
      <c r="SZN3" s="353"/>
      <c r="SZO3" s="353"/>
      <c r="SZP3" s="353"/>
      <c r="SZQ3" s="353"/>
      <c r="SZR3" s="353"/>
      <c r="SZS3" s="353"/>
      <c r="SZT3" s="353"/>
      <c r="SZU3" s="353"/>
      <c r="SZV3" s="353"/>
      <c r="SZW3" s="353"/>
      <c r="SZX3" s="353"/>
      <c r="SZY3" s="353"/>
      <c r="SZZ3" s="353"/>
      <c r="TAA3" s="353"/>
      <c r="TAB3" s="353"/>
      <c r="TAC3" s="353"/>
      <c r="TAD3" s="353"/>
      <c r="TAE3" s="353"/>
      <c r="TAF3" s="353"/>
      <c r="TAG3" s="353"/>
      <c r="TAH3" s="353"/>
      <c r="TAI3" s="353"/>
      <c r="TAJ3" s="353"/>
      <c r="TAK3" s="353"/>
      <c r="TAL3" s="353"/>
      <c r="TAM3" s="353"/>
      <c r="TAN3" s="353"/>
      <c r="TAO3" s="353"/>
      <c r="TAP3" s="353"/>
      <c r="TAQ3" s="353"/>
      <c r="TAR3" s="353"/>
      <c r="TAS3" s="353"/>
      <c r="TAT3" s="353"/>
      <c r="TAU3" s="353"/>
      <c r="TAV3" s="353"/>
      <c r="TAW3" s="353"/>
      <c r="TAX3" s="353"/>
      <c r="TAY3" s="353"/>
      <c r="TAZ3" s="353"/>
      <c r="TBA3" s="353"/>
      <c r="TBB3" s="353"/>
      <c r="TBC3" s="353"/>
      <c r="TBD3" s="353"/>
      <c r="TBE3" s="353"/>
      <c r="TBF3" s="353"/>
      <c r="TBG3" s="353"/>
      <c r="TBH3" s="353"/>
      <c r="TBI3" s="353"/>
      <c r="TBJ3" s="353"/>
      <c r="TBK3" s="353"/>
      <c r="TBL3" s="353"/>
      <c r="TBM3" s="353"/>
      <c r="TBN3" s="353"/>
      <c r="TBO3" s="353"/>
      <c r="TBP3" s="353"/>
      <c r="TBQ3" s="353"/>
      <c r="TBR3" s="353"/>
      <c r="TBS3" s="353"/>
      <c r="TBT3" s="353"/>
      <c r="TBU3" s="353"/>
      <c r="TBV3" s="353"/>
      <c r="TBW3" s="353"/>
      <c r="TBX3" s="353"/>
      <c r="TBY3" s="353"/>
      <c r="TBZ3" s="353"/>
      <c r="TCA3" s="353"/>
      <c r="TCB3" s="353"/>
      <c r="TCC3" s="353"/>
      <c r="TCD3" s="353"/>
      <c r="TCE3" s="353"/>
      <c r="TCF3" s="353"/>
      <c r="TCG3" s="353"/>
      <c r="TCH3" s="353"/>
      <c r="TCI3" s="353"/>
      <c r="TCJ3" s="353"/>
      <c r="TCK3" s="353"/>
      <c r="TCL3" s="353"/>
      <c r="TCM3" s="353"/>
      <c r="TCN3" s="353"/>
      <c r="TCO3" s="353"/>
      <c r="TCP3" s="353"/>
      <c r="TCQ3" s="353"/>
      <c r="TCR3" s="353"/>
      <c r="TCS3" s="353"/>
      <c r="TCT3" s="353"/>
      <c r="TCU3" s="353"/>
      <c r="TCV3" s="353"/>
      <c r="TCW3" s="353"/>
      <c r="TCX3" s="353"/>
      <c r="TCY3" s="353"/>
      <c r="TCZ3" s="353"/>
      <c r="TDA3" s="353"/>
      <c r="TDB3" s="353"/>
      <c r="TDC3" s="353"/>
      <c r="TDD3" s="353"/>
      <c r="TDE3" s="353"/>
      <c r="TDF3" s="353"/>
      <c r="TDG3" s="353"/>
      <c r="TDH3" s="353"/>
      <c r="TDI3" s="353"/>
      <c r="TDJ3" s="353"/>
      <c r="TDK3" s="353"/>
      <c r="TDL3" s="353"/>
      <c r="TDM3" s="353"/>
      <c r="TDN3" s="353"/>
      <c r="TDO3" s="353"/>
      <c r="TDP3" s="353"/>
      <c r="TDQ3" s="353"/>
      <c r="TDR3" s="353"/>
      <c r="TDS3" s="353"/>
      <c r="TDT3" s="353"/>
      <c r="TDU3" s="353"/>
      <c r="TDV3" s="353"/>
      <c r="TDW3" s="353"/>
      <c r="TDX3" s="353"/>
      <c r="TDY3" s="353"/>
      <c r="TDZ3" s="353"/>
      <c r="TEA3" s="353"/>
      <c r="TEB3" s="353"/>
      <c r="TEC3" s="353"/>
      <c r="TED3" s="353"/>
      <c r="TEE3" s="353"/>
      <c r="TEF3" s="353"/>
      <c r="TEG3" s="353"/>
      <c r="TEH3" s="353"/>
      <c r="TEI3" s="353"/>
      <c r="TEJ3" s="353"/>
      <c r="TEK3" s="353"/>
      <c r="TEL3" s="353"/>
      <c r="TEM3" s="353"/>
      <c r="TEN3" s="353"/>
      <c r="TEO3" s="353"/>
      <c r="TEP3" s="353"/>
      <c r="TEQ3" s="353"/>
      <c r="TER3" s="353"/>
      <c r="TES3" s="353"/>
      <c r="TET3" s="353"/>
      <c r="TEU3" s="353"/>
      <c r="TEV3" s="353"/>
      <c r="TEW3" s="353"/>
      <c r="TEX3" s="353"/>
      <c r="TEY3" s="353"/>
      <c r="TEZ3" s="353"/>
      <c r="TFA3" s="353"/>
      <c r="TFB3" s="353"/>
      <c r="TFC3" s="353"/>
      <c r="TFD3" s="353"/>
      <c r="TFE3" s="353"/>
      <c r="TFF3" s="353"/>
      <c r="TFG3" s="353"/>
      <c r="TFH3" s="353"/>
      <c r="TFI3" s="353"/>
      <c r="TFJ3" s="353"/>
      <c r="TFK3" s="353"/>
      <c r="TFL3" s="353"/>
      <c r="TFM3" s="353"/>
      <c r="TFN3" s="353"/>
      <c r="TFO3" s="353"/>
      <c r="TFP3" s="353"/>
      <c r="TFQ3" s="353"/>
      <c r="TFR3" s="353"/>
      <c r="TFS3" s="353"/>
      <c r="TFT3" s="353"/>
      <c r="TFU3" s="353"/>
      <c r="TFV3" s="353"/>
      <c r="TFW3" s="353"/>
      <c r="TFX3" s="353"/>
      <c r="TFY3" s="353"/>
      <c r="TFZ3" s="353"/>
      <c r="TGA3" s="353"/>
      <c r="TGB3" s="353"/>
      <c r="TGC3" s="353"/>
      <c r="TGD3" s="353"/>
      <c r="TGE3" s="353"/>
      <c r="TGF3" s="353"/>
      <c r="TGG3" s="353"/>
      <c r="TGH3" s="353"/>
      <c r="TGI3" s="353"/>
      <c r="TGJ3" s="353"/>
      <c r="TGK3" s="353"/>
      <c r="TGL3" s="353"/>
      <c r="TGM3" s="353"/>
      <c r="TGN3" s="353"/>
      <c r="TGO3" s="353"/>
      <c r="TGP3" s="353"/>
      <c r="TGQ3" s="353"/>
      <c r="TGR3" s="353"/>
      <c r="TGS3" s="353"/>
      <c r="TGT3" s="353"/>
      <c r="TGU3" s="353"/>
      <c r="TGV3" s="353"/>
      <c r="TGW3" s="353"/>
      <c r="TGX3" s="353"/>
      <c r="TGY3" s="353"/>
      <c r="TGZ3" s="353"/>
      <c r="THA3" s="353"/>
      <c r="THB3" s="353"/>
      <c r="THC3" s="353"/>
      <c r="THD3" s="353"/>
      <c r="THE3" s="353"/>
      <c r="THF3" s="353"/>
      <c r="THG3" s="353"/>
      <c r="THH3" s="353"/>
      <c r="THI3" s="353"/>
      <c r="THJ3" s="353"/>
      <c r="THK3" s="353"/>
      <c r="THL3" s="353"/>
      <c r="THM3" s="353"/>
      <c r="THN3" s="353"/>
      <c r="THO3" s="353"/>
      <c r="THP3" s="353"/>
      <c r="THQ3" s="353"/>
      <c r="THR3" s="353"/>
      <c r="THS3" s="353"/>
      <c r="THT3" s="353"/>
      <c r="THU3" s="353"/>
      <c r="THV3" s="353"/>
      <c r="THW3" s="353"/>
      <c r="THX3" s="353"/>
      <c r="THY3" s="353"/>
      <c r="THZ3" s="353"/>
      <c r="TIA3" s="353"/>
      <c r="TIB3" s="353"/>
      <c r="TIC3" s="353"/>
      <c r="TID3" s="353"/>
      <c r="TIE3" s="353"/>
      <c r="TIF3" s="353"/>
      <c r="TIG3" s="353"/>
      <c r="TIH3" s="353"/>
      <c r="TII3" s="353"/>
      <c r="TIJ3" s="353"/>
      <c r="TIK3" s="353"/>
      <c r="TIL3" s="353"/>
      <c r="TIM3" s="353"/>
      <c r="TIN3" s="353"/>
      <c r="TIO3" s="353"/>
      <c r="TIP3" s="353"/>
      <c r="TIQ3" s="353"/>
      <c r="TIR3" s="353"/>
      <c r="TIS3" s="353"/>
      <c r="TIT3" s="353"/>
      <c r="TIU3" s="353"/>
      <c r="TIV3" s="353"/>
      <c r="TIW3" s="353"/>
      <c r="TIX3" s="353"/>
      <c r="TIY3" s="353"/>
      <c r="TIZ3" s="353"/>
      <c r="TJA3" s="353"/>
      <c r="TJB3" s="353"/>
      <c r="TJC3" s="353"/>
      <c r="TJD3" s="353"/>
      <c r="TJE3" s="353"/>
      <c r="TJF3" s="353"/>
      <c r="TJG3" s="353"/>
      <c r="TJH3" s="353"/>
      <c r="TJI3" s="353"/>
      <c r="TJJ3" s="353"/>
      <c r="TJK3" s="353"/>
      <c r="TJL3" s="353"/>
      <c r="TJM3" s="353"/>
      <c r="TJN3" s="353"/>
      <c r="TJO3" s="353"/>
      <c r="TJP3" s="353"/>
      <c r="TJQ3" s="353"/>
      <c r="TJR3" s="353"/>
      <c r="TJS3" s="353"/>
      <c r="TJT3" s="353"/>
      <c r="TJU3" s="353"/>
      <c r="TJV3" s="353"/>
      <c r="TJW3" s="353"/>
      <c r="TJX3" s="353"/>
      <c r="TJY3" s="353"/>
      <c r="TJZ3" s="353"/>
      <c r="TKA3" s="353"/>
      <c r="TKB3" s="353"/>
      <c r="TKC3" s="353"/>
      <c r="TKD3" s="353"/>
      <c r="TKE3" s="353"/>
      <c r="TKF3" s="353"/>
      <c r="TKG3" s="353"/>
      <c r="TKH3" s="353"/>
      <c r="TKI3" s="353"/>
      <c r="TKJ3" s="353"/>
      <c r="TKK3" s="353"/>
      <c r="TKL3" s="353"/>
      <c r="TKM3" s="353"/>
      <c r="TKN3" s="353"/>
      <c r="TKO3" s="353"/>
      <c r="TKP3" s="353"/>
      <c r="TKQ3" s="353"/>
      <c r="TKR3" s="353"/>
      <c r="TKS3" s="353"/>
      <c r="TKT3" s="353"/>
      <c r="TKU3" s="353"/>
      <c r="TKV3" s="353"/>
      <c r="TKW3" s="353"/>
      <c r="TKX3" s="353"/>
      <c r="TKY3" s="353"/>
      <c r="TKZ3" s="353"/>
      <c r="TLA3" s="353"/>
      <c r="TLB3" s="353"/>
      <c r="TLC3" s="353"/>
      <c r="TLD3" s="353"/>
      <c r="TLE3" s="353"/>
      <c r="TLF3" s="353"/>
      <c r="TLG3" s="353"/>
      <c r="TLH3" s="353"/>
      <c r="TLI3" s="353"/>
      <c r="TLJ3" s="353"/>
      <c r="TLK3" s="353"/>
      <c r="TLL3" s="353"/>
      <c r="TLM3" s="353"/>
      <c r="TLN3" s="353"/>
      <c r="TLO3" s="353"/>
      <c r="TLP3" s="353"/>
      <c r="TLQ3" s="353"/>
      <c r="TLR3" s="353"/>
      <c r="TLS3" s="353"/>
      <c r="TLT3" s="353"/>
      <c r="TLU3" s="353"/>
      <c r="TLV3" s="353"/>
      <c r="TLW3" s="353"/>
      <c r="TLX3" s="353"/>
      <c r="TLY3" s="353"/>
      <c r="TLZ3" s="353"/>
      <c r="TMA3" s="353"/>
      <c r="TMB3" s="353"/>
      <c r="TMC3" s="353"/>
      <c r="TMD3" s="353"/>
      <c r="TME3" s="353"/>
      <c r="TMF3" s="353"/>
      <c r="TMG3" s="353"/>
      <c r="TMH3" s="353"/>
      <c r="TMI3" s="353"/>
      <c r="TMJ3" s="353"/>
      <c r="TMK3" s="353"/>
      <c r="TML3" s="353"/>
      <c r="TMM3" s="353"/>
      <c r="TMN3" s="353"/>
      <c r="TMO3" s="353"/>
      <c r="TMP3" s="353"/>
      <c r="TMQ3" s="353"/>
      <c r="TMR3" s="353"/>
      <c r="TMS3" s="353"/>
      <c r="TMT3" s="353"/>
      <c r="TMU3" s="353"/>
      <c r="TMV3" s="353"/>
      <c r="TMW3" s="353"/>
      <c r="TMX3" s="353"/>
      <c r="TMY3" s="353"/>
      <c r="TMZ3" s="353"/>
      <c r="TNA3" s="353"/>
      <c r="TNB3" s="353"/>
      <c r="TNC3" s="353"/>
      <c r="TND3" s="353"/>
      <c r="TNE3" s="353"/>
      <c r="TNF3" s="353"/>
      <c r="TNG3" s="353"/>
      <c r="TNH3" s="353"/>
      <c r="TNI3" s="353"/>
      <c r="TNJ3" s="353"/>
      <c r="TNK3" s="353"/>
      <c r="TNL3" s="353"/>
      <c r="TNM3" s="353"/>
      <c r="TNN3" s="353"/>
      <c r="TNO3" s="353"/>
      <c r="TNP3" s="353"/>
      <c r="TNQ3" s="353"/>
      <c r="TNR3" s="353"/>
      <c r="TNS3" s="353"/>
      <c r="TNT3" s="353"/>
      <c r="TNU3" s="353"/>
      <c r="TNV3" s="353"/>
      <c r="TNW3" s="353"/>
      <c r="TNX3" s="353"/>
      <c r="TNY3" s="353"/>
      <c r="TNZ3" s="353"/>
      <c r="TOA3" s="353"/>
      <c r="TOB3" s="353"/>
      <c r="TOC3" s="353"/>
      <c r="TOD3" s="353"/>
      <c r="TOE3" s="353"/>
      <c r="TOF3" s="353"/>
      <c r="TOG3" s="353"/>
      <c r="TOH3" s="353"/>
      <c r="TOI3" s="353"/>
      <c r="TOJ3" s="353"/>
      <c r="TOK3" s="353"/>
      <c r="TOL3" s="353"/>
      <c r="TOM3" s="353"/>
      <c r="TON3" s="353"/>
      <c r="TOO3" s="353"/>
      <c r="TOP3" s="353"/>
      <c r="TOQ3" s="353"/>
      <c r="TOR3" s="353"/>
      <c r="TOS3" s="353"/>
      <c r="TOT3" s="353"/>
      <c r="TOU3" s="353"/>
      <c r="TOV3" s="353"/>
      <c r="TOW3" s="353"/>
      <c r="TOX3" s="353"/>
      <c r="TOY3" s="353"/>
      <c r="TOZ3" s="353"/>
      <c r="TPA3" s="353"/>
      <c r="TPB3" s="353"/>
      <c r="TPC3" s="353"/>
      <c r="TPD3" s="353"/>
      <c r="TPE3" s="353"/>
      <c r="TPF3" s="353"/>
      <c r="TPG3" s="353"/>
      <c r="TPH3" s="353"/>
      <c r="TPI3" s="353"/>
      <c r="TPJ3" s="353"/>
      <c r="TPK3" s="353"/>
      <c r="TPL3" s="353"/>
      <c r="TPM3" s="353"/>
      <c r="TPN3" s="353"/>
      <c r="TPO3" s="353"/>
      <c r="TPP3" s="353"/>
      <c r="TPQ3" s="353"/>
      <c r="TPR3" s="353"/>
      <c r="TPS3" s="353"/>
      <c r="TPT3" s="353"/>
      <c r="TPU3" s="353"/>
      <c r="TPV3" s="353"/>
      <c r="TPW3" s="353"/>
      <c r="TPX3" s="353"/>
      <c r="TPY3" s="353"/>
      <c r="TPZ3" s="353"/>
      <c r="TQA3" s="353"/>
      <c r="TQB3" s="353"/>
      <c r="TQC3" s="353"/>
      <c r="TQD3" s="353"/>
      <c r="TQE3" s="353"/>
      <c r="TQF3" s="353"/>
      <c r="TQG3" s="353"/>
      <c r="TQH3" s="353"/>
      <c r="TQI3" s="353"/>
      <c r="TQJ3" s="353"/>
      <c r="TQK3" s="353"/>
      <c r="TQL3" s="353"/>
      <c r="TQM3" s="353"/>
      <c r="TQN3" s="353"/>
      <c r="TQO3" s="353"/>
      <c r="TQP3" s="353"/>
      <c r="TQQ3" s="353"/>
      <c r="TQR3" s="353"/>
      <c r="TQS3" s="353"/>
      <c r="TQT3" s="353"/>
      <c r="TQU3" s="353"/>
      <c r="TQV3" s="353"/>
      <c r="TQW3" s="353"/>
      <c r="TQX3" s="353"/>
      <c r="TQY3" s="353"/>
      <c r="TQZ3" s="353"/>
      <c r="TRA3" s="353"/>
      <c r="TRB3" s="353"/>
      <c r="TRC3" s="353"/>
      <c r="TRD3" s="353"/>
      <c r="TRE3" s="353"/>
      <c r="TRF3" s="353"/>
      <c r="TRG3" s="353"/>
      <c r="TRH3" s="353"/>
      <c r="TRI3" s="353"/>
      <c r="TRJ3" s="353"/>
      <c r="TRK3" s="353"/>
      <c r="TRL3" s="353"/>
      <c r="TRM3" s="353"/>
      <c r="TRN3" s="353"/>
      <c r="TRO3" s="353"/>
      <c r="TRP3" s="353"/>
      <c r="TRQ3" s="353"/>
      <c r="TRR3" s="353"/>
      <c r="TRS3" s="353"/>
      <c r="TRT3" s="353"/>
      <c r="TRU3" s="353"/>
      <c r="TRV3" s="353"/>
      <c r="TRW3" s="353"/>
      <c r="TRX3" s="353"/>
      <c r="TRY3" s="353"/>
      <c r="TRZ3" s="353"/>
      <c r="TSA3" s="353"/>
      <c r="TSB3" s="353"/>
      <c r="TSC3" s="353"/>
      <c r="TSD3" s="353"/>
      <c r="TSE3" s="353"/>
      <c r="TSF3" s="353"/>
      <c r="TSG3" s="353"/>
      <c r="TSH3" s="353"/>
      <c r="TSI3" s="353"/>
      <c r="TSJ3" s="353"/>
      <c r="TSK3" s="353"/>
      <c r="TSL3" s="353"/>
      <c r="TSM3" s="353"/>
      <c r="TSN3" s="353"/>
      <c r="TSO3" s="353"/>
      <c r="TSP3" s="353"/>
      <c r="TSQ3" s="353"/>
      <c r="TSR3" s="353"/>
      <c r="TSS3" s="353"/>
      <c r="TST3" s="353"/>
      <c r="TSU3" s="353"/>
      <c r="TSV3" s="353"/>
      <c r="TSW3" s="353"/>
      <c r="TSX3" s="353"/>
      <c r="TSY3" s="353"/>
      <c r="TSZ3" s="353"/>
      <c r="TTA3" s="353"/>
      <c r="TTB3" s="353"/>
      <c r="TTC3" s="353"/>
      <c r="TTD3" s="353"/>
      <c r="TTE3" s="353"/>
      <c r="TTF3" s="353"/>
      <c r="TTG3" s="353"/>
      <c r="TTH3" s="353"/>
      <c r="TTI3" s="353"/>
      <c r="TTJ3" s="353"/>
      <c r="TTK3" s="353"/>
      <c r="TTL3" s="353"/>
      <c r="TTM3" s="353"/>
      <c r="TTN3" s="353"/>
      <c r="TTO3" s="353"/>
      <c r="TTP3" s="353"/>
      <c r="TTQ3" s="353"/>
      <c r="TTR3" s="353"/>
      <c r="TTS3" s="353"/>
      <c r="TTT3" s="353"/>
      <c r="TTU3" s="353"/>
      <c r="TTV3" s="353"/>
      <c r="TTW3" s="353"/>
      <c r="TTX3" s="353"/>
      <c r="TTY3" s="353"/>
      <c r="TTZ3" s="353"/>
      <c r="TUA3" s="353"/>
      <c r="TUB3" s="353"/>
      <c r="TUC3" s="353"/>
      <c r="TUD3" s="353"/>
      <c r="TUE3" s="353"/>
      <c r="TUF3" s="353"/>
      <c r="TUG3" s="353"/>
      <c r="TUH3" s="353"/>
      <c r="TUI3" s="353"/>
      <c r="TUJ3" s="353"/>
      <c r="TUK3" s="353"/>
      <c r="TUL3" s="353"/>
      <c r="TUM3" s="353"/>
      <c r="TUN3" s="353"/>
      <c r="TUO3" s="353"/>
      <c r="TUP3" s="353"/>
      <c r="TUQ3" s="353"/>
      <c r="TUR3" s="353"/>
      <c r="TUS3" s="353"/>
      <c r="TUT3" s="353"/>
      <c r="TUU3" s="353"/>
      <c r="TUV3" s="353"/>
      <c r="TUW3" s="353"/>
      <c r="TUX3" s="353"/>
      <c r="TUY3" s="353"/>
      <c r="TUZ3" s="353"/>
      <c r="TVA3" s="353"/>
      <c r="TVB3" s="353"/>
      <c r="TVC3" s="353"/>
      <c r="TVD3" s="353"/>
      <c r="TVE3" s="353"/>
      <c r="TVF3" s="353"/>
      <c r="TVG3" s="353"/>
      <c r="TVH3" s="353"/>
      <c r="TVI3" s="353"/>
      <c r="TVJ3" s="353"/>
      <c r="TVK3" s="353"/>
      <c r="TVL3" s="353"/>
      <c r="TVM3" s="353"/>
      <c r="TVN3" s="353"/>
      <c r="TVO3" s="353"/>
      <c r="TVP3" s="353"/>
      <c r="TVQ3" s="353"/>
      <c r="TVR3" s="353"/>
      <c r="TVS3" s="353"/>
      <c r="TVT3" s="353"/>
      <c r="TVU3" s="353"/>
      <c r="TVV3" s="353"/>
      <c r="TVW3" s="353"/>
      <c r="TVX3" s="353"/>
      <c r="TVY3" s="353"/>
      <c r="TVZ3" s="353"/>
      <c r="TWA3" s="353"/>
      <c r="TWB3" s="353"/>
      <c r="TWC3" s="353"/>
      <c r="TWD3" s="353"/>
      <c r="TWE3" s="353"/>
      <c r="TWF3" s="353"/>
      <c r="TWG3" s="353"/>
      <c r="TWH3" s="353"/>
      <c r="TWI3" s="353"/>
      <c r="TWJ3" s="353"/>
      <c r="TWK3" s="353"/>
      <c r="TWL3" s="353"/>
      <c r="TWM3" s="353"/>
      <c r="TWN3" s="353"/>
      <c r="TWO3" s="353"/>
      <c r="TWP3" s="353"/>
      <c r="TWQ3" s="353"/>
      <c r="TWR3" s="353"/>
      <c r="TWS3" s="353"/>
      <c r="TWT3" s="353"/>
      <c r="TWU3" s="353"/>
      <c r="TWV3" s="353"/>
      <c r="TWW3" s="353"/>
      <c r="TWX3" s="353"/>
      <c r="TWY3" s="353"/>
      <c r="TWZ3" s="353"/>
      <c r="TXA3" s="353"/>
      <c r="TXB3" s="353"/>
      <c r="TXC3" s="353"/>
      <c r="TXD3" s="353"/>
      <c r="TXE3" s="353"/>
      <c r="TXF3" s="353"/>
      <c r="TXG3" s="353"/>
      <c r="TXH3" s="353"/>
      <c r="TXI3" s="353"/>
      <c r="TXJ3" s="353"/>
      <c r="TXK3" s="353"/>
      <c r="TXL3" s="353"/>
      <c r="TXM3" s="353"/>
      <c r="TXN3" s="353"/>
      <c r="TXO3" s="353"/>
      <c r="TXP3" s="353"/>
      <c r="TXQ3" s="353"/>
      <c r="TXR3" s="353"/>
      <c r="TXS3" s="353"/>
      <c r="TXT3" s="353"/>
      <c r="TXU3" s="353"/>
      <c r="TXV3" s="353"/>
      <c r="TXW3" s="353"/>
      <c r="TXX3" s="353"/>
      <c r="TXY3" s="353"/>
      <c r="TXZ3" s="353"/>
      <c r="TYA3" s="353"/>
      <c r="TYB3" s="353"/>
      <c r="TYC3" s="353"/>
      <c r="TYD3" s="353"/>
      <c r="TYE3" s="353"/>
      <c r="TYF3" s="353"/>
      <c r="TYG3" s="353"/>
      <c r="TYH3" s="353"/>
      <c r="TYI3" s="353"/>
      <c r="TYJ3" s="353"/>
      <c r="TYK3" s="353"/>
      <c r="TYL3" s="353"/>
      <c r="TYM3" s="353"/>
      <c r="TYN3" s="353"/>
      <c r="TYO3" s="353"/>
      <c r="TYP3" s="353"/>
      <c r="TYQ3" s="353"/>
      <c r="TYR3" s="353"/>
      <c r="TYS3" s="353"/>
      <c r="TYT3" s="353"/>
      <c r="TYU3" s="353"/>
      <c r="TYV3" s="353"/>
      <c r="TYW3" s="353"/>
      <c r="TYX3" s="353"/>
      <c r="TYY3" s="353"/>
      <c r="TYZ3" s="353"/>
      <c r="TZA3" s="353"/>
      <c r="TZB3" s="353"/>
      <c r="TZC3" s="353"/>
      <c r="TZD3" s="353"/>
      <c r="TZE3" s="353"/>
      <c r="TZF3" s="353"/>
      <c r="TZG3" s="353"/>
      <c r="TZH3" s="353"/>
      <c r="TZI3" s="353"/>
      <c r="TZJ3" s="353"/>
      <c r="TZK3" s="353"/>
      <c r="TZL3" s="353"/>
      <c r="TZM3" s="353"/>
      <c r="TZN3" s="353"/>
      <c r="TZO3" s="353"/>
      <c r="TZP3" s="353"/>
      <c r="TZQ3" s="353"/>
      <c r="TZR3" s="353"/>
      <c r="TZS3" s="353"/>
      <c r="TZT3" s="353"/>
      <c r="TZU3" s="353"/>
      <c r="TZV3" s="353"/>
      <c r="TZW3" s="353"/>
      <c r="TZX3" s="353"/>
      <c r="TZY3" s="353"/>
      <c r="TZZ3" s="353"/>
      <c r="UAA3" s="353"/>
      <c r="UAB3" s="353"/>
      <c r="UAC3" s="353"/>
      <c r="UAD3" s="353"/>
      <c r="UAE3" s="353"/>
      <c r="UAF3" s="353"/>
      <c r="UAG3" s="353"/>
      <c r="UAH3" s="353"/>
      <c r="UAI3" s="353"/>
      <c r="UAJ3" s="353"/>
      <c r="UAK3" s="353"/>
      <c r="UAL3" s="353"/>
      <c r="UAM3" s="353"/>
      <c r="UAN3" s="353"/>
      <c r="UAO3" s="353"/>
      <c r="UAP3" s="353"/>
      <c r="UAQ3" s="353"/>
      <c r="UAR3" s="353"/>
      <c r="UAS3" s="353"/>
      <c r="UAT3" s="353"/>
      <c r="UAU3" s="353"/>
      <c r="UAV3" s="353"/>
      <c r="UAW3" s="353"/>
      <c r="UAX3" s="353"/>
      <c r="UAY3" s="353"/>
      <c r="UAZ3" s="353"/>
      <c r="UBA3" s="353"/>
      <c r="UBB3" s="353"/>
      <c r="UBC3" s="353"/>
      <c r="UBD3" s="353"/>
      <c r="UBE3" s="353"/>
      <c r="UBF3" s="353"/>
      <c r="UBG3" s="353"/>
      <c r="UBH3" s="353"/>
      <c r="UBI3" s="353"/>
      <c r="UBJ3" s="353"/>
      <c r="UBK3" s="353"/>
      <c r="UBL3" s="353"/>
      <c r="UBM3" s="353"/>
      <c r="UBN3" s="353"/>
      <c r="UBO3" s="353"/>
      <c r="UBP3" s="353"/>
      <c r="UBQ3" s="353"/>
      <c r="UBR3" s="353"/>
      <c r="UBS3" s="353"/>
      <c r="UBT3" s="353"/>
      <c r="UBU3" s="353"/>
      <c r="UBV3" s="353"/>
      <c r="UBW3" s="353"/>
      <c r="UBX3" s="353"/>
      <c r="UBY3" s="353"/>
      <c r="UBZ3" s="353"/>
      <c r="UCA3" s="353"/>
      <c r="UCB3" s="353"/>
      <c r="UCC3" s="353"/>
      <c r="UCD3" s="353"/>
      <c r="UCE3" s="353"/>
      <c r="UCF3" s="353"/>
      <c r="UCG3" s="353"/>
      <c r="UCH3" s="353"/>
      <c r="UCI3" s="353"/>
      <c r="UCJ3" s="353"/>
      <c r="UCK3" s="353"/>
      <c r="UCL3" s="353"/>
      <c r="UCM3" s="353"/>
      <c r="UCN3" s="353"/>
      <c r="UCO3" s="353"/>
      <c r="UCP3" s="353"/>
      <c r="UCQ3" s="353"/>
      <c r="UCR3" s="353"/>
      <c r="UCS3" s="353"/>
      <c r="UCT3" s="353"/>
      <c r="UCU3" s="353"/>
      <c r="UCV3" s="353"/>
      <c r="UCW3" s="353"/>
      <c r="UCX3" s="353"/>
      <c r="UCY3" s="353"/>
      <c r="UCZ3" s="353"/>
      <c r="UDA3" s="353"/>
      <c r="UDB3" s="353"/>
      <c r="UDC3" s="353"/>
      <c r="UDD3" s="353"/>
      <c r="UDE3" s="353"/>
      <c r="UDF3" s="353"/>
      <c r="UDG3" s="353"/>
      <c r="UDH3" s="353"/>
      <c r="UDI3" s="353"/>
      <c r="UDJ3" s="353"/>
      <c r="UDK3" s="353"/>
      <c r="UDL3" s="353"/>
      <c r="UDM3" s="353"/>
      <c r="UDN3" s="353"/>
      <c r="UDO3" s="353"/>
      <c r="UDP3" s="353"/>
      <c r="UDQ3" s="353"/>
      <c r="UDR3" s="353"/>
      <c r="UDS3" s="353"/>
      <c r="UDT3" s="353"/>
      <c r="UDU3" s="353"/>
      <c r="UDV3" s="353"/>
      <c r="UDW3" s="353"/>
      <c r="UDX3" s="353"/>
      <c r="UDY3" s="353"/>
      <c r="UDZ3" s="353"/>
      <c r="UEA3" s="353"/>
      <c r="UEB3" s="353"/>
      <c r="UEC3" s="353"/>
      <c r="UED3" s="353"/>
      <c r="UEE3" s="353"/>
      <c r="UEF3" s="353"/>
      <c r="UEG3" s="353"/>
      <c r="UEH3" s="353"/>
      <c r="UEI3" s="353"/>
      <c r="UEJ3" s="353"/>
      <c r="UEK3" s="353"/>
      <c r="UEL3" s="353"/>
      <c r="UEM3" s="353"/>
      <c r="UEN3" s="353"/>
      <c r="UEO3" s="353"/>
      <c r="UEP3" s="353"/>
      <c r="UEQ3" s="353"/>
      <c r="UER3" s="353"/>
      <c r="UES3" s="353"/>
      <c r="UET3" s="353"/>
      <c r="UEU3" s="353"/>
      <c r="UEV3" s="353"/>
      <c r="UEW3" s="353"/>
      <c r="UEX3" s="353"/>
      <c r="UEY3" s="353"/>
      <c r="UEZ3" s="353"/>
      <c r="UFA3" s="353"/>
      <c r="UFB3" s="353"/>
      <c r="UFC3" s="353"/>
      <c r="UFD3" s="353"/>
      <c r="UFE3" s="353"/>
      <c r="UFF3" s="353"/>
      <c r="UFG3" s="353"/>
      <c r="UFH3" s="353"/>
      <c r="UFI3" s="353"/>
      <c r="UFJ3" s="353"/>
      <c r="UFK3" s="353"/>
      <c r="UFL3" s="353"/>
      <c r="UFM3" s="353"/>
      <c r="UFN3" s="353"/>
      <c r="UFO3" s="353"/>
      <c r="UFP3" s="353"/>
      <c r="UFQ3" s="353"/>
      <c r="UFR3" s="353"/>
      <c r="UFS3" s="353"/>
      <c r="UFT3" s="353"/>
      <c r="UFU3" s="353"/>
      <c r="UFV3" s="353"/>
      <c r="UFW3" s="353"/>
      <c r="UFX3" s="353"/>
      <c r="UFY3" s="353"/>
      <c r="UFZ3" s="353"/>
      <c r="UGA3" s="353"/>
      <c r="UGB3" s="353"/>
      <c r="UGC3" s="353"/>
      <c r="UGD3" s="353"/>
      <c r="UGE3" s="353"/>
      <c r="UGF3" s="353"/>
      <c r="UGG3" s="353"/>
      <c r="UGH3" s="353"/>
      <c r="UGI3" s="353"/>
      <c r="UGJ3" s="353"/>
      <c r="UGK3" s="353"/>
      <c r="UGL3" s="353"/>
      <c r="UGM3" s="353"/>
      <c r="UGN3" s="353"/>
      <c r="UGO3" s="353"/>
      <c r="UGP3" s="353"/>
      <c r="UGQ3" s="353"/>
      <c r="UGR3" s="353"/>
      <c r="UGS3" s="353"/>
      <c r="UGT3" s="353"/>
      <c r="UGU3" s="353"/>
      <c r="UGV3" s="353"/>
      <c r="UGW3" s="353"/>
      <c r="UGX3" s="353"/>
      <c r="UGY3" s="353"/>
      <c r="UGZ3" s="353"/>
      <c r="UHA3" s="353"/>
      <c r="UHB3" s="353"/>
      <c r="UHC3" s="353"/>
      <c r="UHD3" s="353"/>
      <c r="UHE3" s="353"/>
      <c r="UHF3" s="353"/>
      <c r="UHG3" s="353"/>
      <c r="UHH3" s="353"/>
      <c r="UHI3" s="353"/>
      <c r="UHJ3" s="353"/>
      <c r="UHK3" s="353"/>
      <c r="UHL3" s="353"/>
      <c r="UHM3" s="353"/>
      <c r="UHN3" s="353"/>
      <c r="UHO3" s="353"/>
      <c r="UHP3" s="353"/>
      <c r="UHQ3" s="353"/>
      <c r="UHR3" s="353"/>
      <c r="UHS3" s="353"/>
      <c r="UHT3" s="353"/>
      <c r="UHU3" s="353"/>
      <c r="UHV3" s="353"/>
      <c r="UHW3" s="353"/>
      <c r="UHX3" s="353"/>
      <c r="UHY3" s="353"/>
      <c r="UHZ3" s="353"/>
      <c r="UIA3" s="353"/>
      <c r="UIB3" s="353"/>
      <c r="UIC3" s="353"/>
      <c r="UID3" s="353"/>
      <c r="UIE3" s="353"/>
      <c r="UIF3" s="353"/>
      <c r="UIG3" s="353"/>
      <c r="UIH3" s="353"/>
      <c r="UII3" s="353"/>
      <c r="UIJ3" s="353"/>
      <c r="UIK3" s="353"/>
      <c r="UIL3" s="353"/>
      <c r="UIM3" s="353"/>
      <c r="UIN3" s="353"/>
      <c r="UIO3" s="353"/>
      <c r="UIP3" s="353"/>
      <c r="UIQ3" s="353"/>
      <c r="UIR3" s="353"/>
      <c r="UIS3" s="353"/>
      <c r="UIT3" s="353"/>
      <c r="UIU3" s="353"/>
      <c r="UIV3" s="353"/>
      <c r="UIW3" s="353"/>
      <c r="UIX3" s="353"/>
      <c r="UIY3" s="353"/>
      <c r="UIZ3" s="353"/>
      <c r="UJA3" s="353"/>
      <c r="UJB3" s="353"/>
      <c r="UJC3" s="353"/>
      <c r="UJD3" s="353"/>
      <c r="UJE3" s="353"/>
      <c r="UJF3" s="353"/>
      <c r="UJG3" s="353"/>
      <c r="UJH3" s="353"/>
      <c r="UJI3" s="353"/>
      <c r="UJJ3" s="353"/>
      <c r="UJK3" s="353"/>
      <c r="UJL3" s="353"/>
      <c r="UJM3" s="353"/>
      <c r="UJN3" s="353"/>
      <c r="UJO3" s="353"/>
      <c r="UJP3" s="353"/>
      <c r="UJQ3" s="353"/>
      <c r="UJR3" s="353"/>
      <c r="UJS3" s="353"/>
      <c r="UJT3" s="353"/>
      <c r="UJU3" s="353"/>
      <c r="UJV3" s="353"/>
      <c r="UJW3" s="353"/>
      <c r="UJX3" s="353"/>
      <c r="UJY3" s="353"/>
      <c r="UJZ3" s="353"/>
      <c r="UKA3" s="353"/>
      <c r="UKB3" s="353"/>
      <c r="UKC3" s="353"/>
      <c r="UKD3" s="353"/>
      <c r="UKE3" s="353"/>
      <c r="UKF3" s="353"/>
      <c r="UKG3" s="353"/>
      <c r="UKH3" s="353"/>
      <c r="UKI3" s="353"/>
      <c r="UKJ3" s="353"/>
      <c r="UKK3" s="353"/>
      <c r="UKL3" s="353"/>
      <c r="UKM3" s="353"/>
      <c r="UKN3" s="353"/>
      <c r="UKO3" s="353"/>
      <c r="UKP3" s="353"/>
      <c r="UKQ3" s="353"/>
      <c r="UKR3" s="353"/>
      <c r="UKS3" s="353"/>
      <c r="UKT3" s="353"/>
      <c r="UKU3" s="353"/>
      <c r="UKV3" s="353"/>
      <c r="UKW3" s="353"/>
      <c r="UKX3" s="353"/>
      <c r="UKY3" s="353"/>
      <c r="UKZ3" s="353"/>
      <c r="ULA3" s="353"/>
      <c r="ULB3" s="353"/>
      <c r="ULC3" s="353"/>
      <c r="ULD3" s="353"/>
      <c r="ULE3" s="353"/>
      <c r="ULF3" s="353"/>
      <c r="ULG3" s="353"/>
      <c r="ULH3" s="353"/>
      <c r="ULI3" s="353"/>
      <c r="ULJ3" s="353"/>
      <c r="ULK3" s="353"/>
      <c r="ULL3" s="353"/>
      <c r="ULM3" s="353"/>
      <c r="ULN3" s="353"/>
      <c r="ULO3" s="353"/>
      <c r="ULP3" s="353"/>
      <c r="ULQ3" s="353"/>
      <c r="ULR3" s="353"/>
      <c r="ULS3" s="353"/>
      <c r="ULT3" s="353"/>
      <c r="ULU3" s="353"/>
      <c r="ULV3" s="353"/>
      <c r="ULW3" s="353"/>
      <c r="ULX3" s="353"/>
      <c r="ULY3" s="353"/>
      <c r="ULZ3" s="353"/>
      <c r="UMA3" s="353"/>
      <c r="UMB3" s="353"/>
      <c r="UMC3" s="353"/>
      <c r="UMD3" s="353"/>
      <c r="UME3" s="353"/>
      <c r="UMF3" s="353"/>
      <c r="UMG3" s="353"/>
      <c r="UMH3" s="353"/>
      <c r="UMI3" s="353"/>
      <c r="UMJ3" s="353"/>
      <c r="UMK3" s="353"/>
      <c r="UML3" s="353"/>
      <c r="UMM3" s="353"/>
      <c r="UMN3" s="353"/>
      <c r="UMO3" s="353"/>
      <c r="UMP3" s="353"/>
      <c r="UMQ3" s="353"/>
      <c r="UMR3" s="353"/>
      <c r="UMS3" s="353"/>
      <c r="UMT3" s="353"/>
      <c r="UMU3" s="353"/>
      <c r="UMV3" s="353"/>
      <c r="UMW3" s="353"/>
      <c r="UMX3" s="353"/>
      <c r="UMY3" s="353"/>
      <c r="UMZ3" s="353"/>
      <c r="UNA3" s="353"/>
      <c r="UNB3" s="353"/>
      <c r="UNC3" s="353"/>
      <c r="UND3" s="353"/>
      <c r="UNE3" s="353"/>
      <c r="UNF3" s="353"/>
      <c r="UNG3" s="353"/>
      <c r="UNH3" s="353"/>
      <c r="UNI3" s="353"/>
      <c r="UNJ3" s="353"/>
      <c r="UNK3" s="353"/>
      <c r="UNL3" s="353"/>
      <c r="UNM3" s="353"/>
      <c r="UNN3" s="353"/>
      <c r="UNO3" s="353"/>
      <c r="UNP3" s="353"/>
      <c r="UNQ3" s="353"/>
      <c r="UNR3" s="353"/>
      <c r="UNS3" s="353"/>
      <c r="UNT3" s="353"/>
      <c r="UNU3" s="353"/>
      <c r="UNV3" s="353"/>
      <c r="UNW3" s="353"/>
      <c r="UNX3" s="353"/>
      <c r="UNY3" s="353"/>
      <c r="UNZ3" s="353"/>
      <c r="UOA3" s="353"/>
      <c r="UOB3" s="353"/>
      <c r="UOC3" s="353"/>
      <c r="UOD3" s="353"/>
      <c r="UOE3" s="353"/>
      <c r="UOF3" s="353"/>
      <c r="UOG3" s="353"/>
      <c r="UOH3" s="353"/>
      <c r="UOI3" s="353"/>
      <c r="UOJ3" s="353"/>
      <c r="UOK3" s="353"/>
      <c r="UOL3" s="353"/>
      <c r="UOM3" s="353"/>
      <c r="UON3" s="353"/>
      <c r="UOO3" s="353"/>
      <c r="UOP3" s="353"/>
      <c r="UOQ3" s="353"/>
      <c r="UOR3" s="353"/>
      <c r="UOS3" s="353"/>
      <c r="UOT3" s="353"/>
      <c r="UOU3" s="353"/>
      <c r="UOV3" s="353"/>
      <c r="UOW3" s="353"/>
      <c r="UOX3" s="353"/>
      <c r="UOY3" s="353"/>
      <c r="UOZ3" s="353"/>
      <c r="UPA3" s="353"/>
      <c r="UPB3" s="353"/>
      <c r="UPC3" s="353"/>
      <c r="UPD3" s="353"/>
      <c r="UPE3" s="353"/>
      <c r="UPF3" s="353"/>
      <c r="UPG3" s="353"/>
      <c r="UPH3" s="353"/>
      <c r="UPI3" s="353"/>
      <c r="UPJ3" s="353"/>
      <c r="UPK3" s="353"/>
      <c r="UPL3" s="353"/>
      <c r="UPM3" s="353"/>
      <c r="UPN3" s="353"/>
      <c r="UPO3" s="353"/>
      <c r="UPP3" s="353"/>
      <c r="UPQ3" s="353"/>
      <c r="UPR3" s="353"/>
      <c r="UPS3" s="353"/>
      <c r="UPT3" s="353"/>
      <c r="UPU3" s="353"/>
      <c r="UPV3" s="353"/>
      <c r="UPW3" s="353"/>
      <c r="UPX3" s="353"/>
      <c r="UPY3" s="353"/>
      <c r="UPZ3" s="353"/>
      <c r="UQA3" s="353"/>
      <c r="UQB3" s="353"/>
      <c r="UQC3" s="353"/>
      <c r="UQD3" s="353"/>
      <c r="UQE3" s="353"/>
      <c r="UQF3" s="353"/>
      <c r="UQG3" s="353"/>
      <c r="UQH3" s="353"/>
      <c r="UQI3" s="353"/>
      <c r="UQJ3" s="353"/>
      <c r="UQK3" s="353"/>
      <c r="UQL3" s="353"/>
      <c r="UQM3" s="353"/>
      <c r="UQN3" s="353"/>
      <c r="UQO3" s="353"/>
      <c r="UQP3" s="353"/>
      <c r="UQQ3" s="353"/>
      <c r="UQR3" s="353"/>
      <c r="UQS3" s="353"/>
      <c r="UQT3" s="353"/>
      <c r="UQU3" s="353"/>
      <c r="UQV3" s="353"/>
      <c r="UQW3" s="353"/>
      <c r="UQX3" s="353"/>
      <c r="UQY3" s="353"/>
      <c r="UQZ3" s="353"/>
      <c r="URA3" s="353"/>
      <c r="URB3" s="353"/>
      <c r="URC3" s="353"/>
      <c r="URD3" s="353"/>
      <c r="URE3" s="353"/>
      <c r="URF3" s="353"/>
      <c r="URG3" s="353"/>
      <c r="URH3" s="353"/>
      <c r="URI3" s="353"/>
      <c r="URJ3" s="353"/>
      <c r="URK3" s="353"/>
      <c r="URL3" s="353"/>
      <c r="URM3" s="353"/>
      <c r="URN3" s="353"/>
      <c r="URO3" s="353"/>
      <c r="URP3" s="353"/>
      <c r="URQ3" s="353"/>
      <c r="URR3" s="353"/>
      <c r="URS3" s="353"/>
      <c r="URT3" s="353"/>
      <c r="URU3" s="353"/>
      <c r="URV3" s="353"/>
      <c r="URW3" s="353"/>
      <c r="URX3" s="353"/>
      <c r="URY3" s="353"/>
      <c r="URZ3" s="353"/>
      <c r="USA3" s="353"/>
      <c r="USB3" s="353"/>
      <c r="USC3" s="353"/>
      <c r="USD3" s="353"/>
      <c r="USE3" s="353"/>
      <c r="USF3" s="353"/>
      <c r="USG3" s="353"/>
      <c r="USH3" s="353"/>
      <c r="USI3" s="353"/>
      <c r="USJ3" s="353"/>
      <c r="USK3" s="353"/>
      <c r="USL3" s="353"/>
      <c r="USM3" s="353"/>
      <c r="USN3" s="353"/>
      <c r="USO3" s="353"/>
      <c r="USP3" s="353"/>
      <c r="USQ3" s="353"/>
      <c r="USR3" s="353"/>
      <c r="USS3" s="353"/>
      <c r="UST3" s="353"/>
      <c r="USU3" s="353"/>
      <c r="USV3" s="353"/>
      <c r="USW3" s="353"/>
      <c r="USX3" s="353"/>
      <c r="USY3" s="353"/>
      <c r="USZ3" s="353"/>
      <c r="UTA3" s="353"/>
      <c r="UTB3" s="353"/>
      <c r="UTC3" s="353"/>
      <c r="UTD3" s="353"/>
      <c r="UTE3" s="353"/>
      <c r="UTF3" s="353"/>
      <c r="UTG3" s="353"/>
      <c r="UTH3" s="353"/>
      <c r="UTI3" s="353"/>
      <c r="UTJ3" s="353"/>
      <c r="UTK3" s="353"/>
      <c r="UTL3" s="353"/>
      <c r="UTM3" s="353"/>
      <c r="UTN3" s="353"/>
      <c r="UTO3" s="353"/>
      <c r="UTP3" s="353"/>
      <c r="UTQ3" s="353"/>
      <c r="UTR3" s="353"/>
      <c r="UTS3" s="353"/>
      <c r="UTT3" s="353"/>
      <c r="UTU3" s="353"/>
      <c r="UTV3" s="353"/>
      <c r="UTW3" s="353"/>
      <c r="UTX3" s="353"/>
      <c r="UTY3" s="353"/>
      <c r="UTZ3" s="353"/>
      <c r="UUA3" s="353"/>
      <c r="UUB3" s="353"/>
      <c r="UUC3" s="353"/>
      <c r="UUD3" s="353"/>
      <c r="UUE3" s="353"/>
      <c r="UUF3" s="353"/>
      <c r="UUG3" s="353"/>
      <c r="UUH3" s="353"/>
      <c r="UUI3" s="353"/>
      <c r="UUJ3" s="353"/>
      <c r="UUK3" s="353"/>
      <c r="UUL3" s="353"/>
      <c r="UUM3" s="353"/>
      <c r="UUN3" s="353"/>
      <c r="UUO3" s="353"/>
      <c r="UUP3" s="353"/>
      <c r="UUQ3" s="353"/>
      <c r="UUR3" s="353"/>
      <c r="UUS3" s="353"/>
      <c r="UUT3" s="353"/>
      <c r="UUU3" s="353"/>
      <c r="UUV3" s="353"/>
      <c r="UUW3" s="353"/>
      <c r="UUX3" s="353"/>
      <c r="UUY3" s="353"/>
      <c r="UUZ3" s="353"/>
      <c r="UVA3" s="353"/>
      <c r="UVB3" s="353"/>
      <c r="UVC3" s="353"/>
      <c r="UVD3" s="353"/>
      <c r="UVE3" s="353"/>
      <c r="UVF3" s="353"/>
      <c r="UVG3" s="353"/>
      <c r="UVH3" s="353"/>
      <c r="UVI3" s="353"/>
      <c r="UVJ3" s="353"/>
      <c r="UVK3" s="353"/>
      <c r="UVL3" s="353"/>
      <c r="UVM3" s="353"/>
      <c r="UVN3" s="353"/>
      <c r="UVO3" s="353"/>
      <c r="UVP3" s="353"/>
      <c r="UVQ3" s="353"/>
      <c r="UVR3" s="353"/>
      <c r="UVS3" s="353"/>
      <c r="UVT3" s="353"/>
      <c r="UVU3" s="353"/>
      <c r="UVV3" s="353"/>
      <c r="UVW3" s="353"/>
      <c r="UVX3" s="353"/>
      <c r="UVY3" s="353"/>
      <c r="UVZ3" s="353"/>
      <c r="UWA3" s="353"/>
      <c r="UWB3" s="353"/>
      <c r="UWC3" s="353"/>
      <c r="UWD3" s="353"/>
      <c r="UWE3" s="353"/>
      <c r="UWF3" s="353"/>
      <c r="UWG3" s="353"/>
      <c r="UWH3" s="353"/>
      <c r="UWI3" s="353"/>
      <c r="UWJ3" s="353"/>
      <c r="UWK3" s="353"/>
      <c r="UWL3" s="353"/>
      <c r="UWM3" s="353"/>
      <c r="UWN3" s="353"/>
      <c r="UWO3" s="353"/>
      <c r="UWP3" s="353"/>
      <c r="UWQ3" s="353"/>
      <c r="UWR3" s="353"/>
      <c r="UWS3" s="353"/>
      <c r="UWT3" s="353"/>
      <c r="UWU3" s="353"/>
      <c r="UWV3" s="353"/>
      <c r="UWW3" s="353"/>
      <c r="UWX3" s="353"/>
      <c r="UWY3" s="353"/>
      <c r="UWZ3" s="353"/>
      <c r="UXA3" s="353"/>
      <c r="UXB3" s="353"/>
      <c r="UXC3" s="353"/>
      <c r="UXD3" s="353"/>
      <c r="UXE3" s="353"/>
      <c r="UXF3" s="353"/>
      <c r="UXG3" s="353"/>
      <c r="UXH3" s="353"/>
      <c r="UXI3" s="353"/>
      <c r="UXJ3" s="353"/>
      <c r="UXK3" s="353"/>
      <c r="UXL3" s="353"/>
      <c r="UXM3" s="353"/>
      <c r="UXN3" s="353"/>
      <c r="UXO3" s="353"/>
      <c r="UXP3" s="353"/>
      <c r="UXQ3" s="353"/>
      <c r="UXR3" s="353"/>
      <c r="UXS3" s="353"/>
      <c r="UXT3" s="353"/>
      <c r="UXU3" s="353"/>
      <c r="UXV3" s="353"/>
      <c r="UXW3" s="353"/>
      <c r="UXX3" s="353"/>
      <c r="UXY3" s="353"/>
      <c r="UXZ3" s="353"/>
      <c r="UYA3" s="353"/>
      <c r="UYB3" s="353"/>
      <c r="UYC3" s="353"/>
      <c r="UYD3" s="353"/>
      <c r="UYE3" s="353"/>
      <c r="UYF3" s="353"/>
      <c r="UYG3" s="353"/>
      <c r="UYH3" s="353"/>
      <c r="UYI3" s="353"/>
      <c r="UYJ3" s="353"/>
      <c r="UYK3" s="353"/>
      <c r="UYL3" s="353"/>
      <c r="UYM3" s="353"/>
      <c r="UYN3" s="353"/>
      <c r="UYO3" s="353"/>
      <c r="UYP3" s="353"/>
      <c r="UYQ3" s="353"/>
      <c r="UYR3" s="353"/>
      <c r="UYS3" s="353"/>
      <c r="UYT3" s="353"/>
      <c r="UYU3" s="353"/>
      <c r="UYV3" s="353"/>
      <c r="UYW3" s="353"/>
      <c r="UYX3" s="353"/>
      <c r="UYY3" s="353"/>
      <c r="UYZ3" s="353"/>
      <c r="UZA3" s="353"/>
      <c r="UZB3" s="353"/>
      <c r="UZC3" s="353"/>
      <c r="UZD3" s="353"/>
      <c r="UZE3" s="353"/>
      <c r="UZF3" s="353"/>
      <c r="UZG3" s="353"/>
      <c r="UZH3" s="353"/>
      <c r="UZI3" s="353"/>
      <c r="UZJ3" s="353"/>
      <c r="UZK3" s="353"/>
      <c r="UZL3" s="353"/>
      <c r="UZM3" s="353"/>
      <c r="UZN3" s="353"/>
      <c r="UZO3" s="353"/>
      <c r="UZP3" s="353"/>
      <c r="UZQ3" s="353"/>
      <c r="UZR3" s="353"/>
      <c r="UZS3" s="353"/>
      <c r="UZT3" s="353"/>
      <c r="UZU3" s="353"/>
      <c r="UZV3" s="353"/>
      <c r="UZW3" s="353"/>
      <c r="UZX3" s="353"/>
      <c r="UZY3" s="353"/>
      <c r="UZZ3" s="353"/>
      <c r="VAA3" s="353"/>
      <c r="VAB3" s="353"/>
      <c r="VAC3" s="353"/>
      <c r="VAD3" s="353"/>
      <c r="VAE3" s="353"/>
      <c r="VAF3" s="353"/>
      <c r="VAG3" s="353"/>
      <c r="VAH3" s="353"/>
      <c r="VAI3" s="353"/>
      <c r="VAJ3" s="353"/>
      <c r="VAK3" s="353"/>
      <c r="VAL3" s="353"/>
      <c r="VAM3" s="353"/>
      <c r="VAN3" s="353"/>
      <c r="VAO3" s="353"/>
      <c r="VAP3" s="353"/>
      <c r="VAQ3" s="353"/>
      <c r="VAR3" s="353"/>
      <c r="VAS3" s="353"/>
      <c r="VAT3" s="353"/>
      <c r="VAU3" s="353"/>
      <c r="VAV3" s="353"/>
      <c r="VAW3" s="353"/>
      <c r="VAX3" s="353"/>
      <c r="VAY3" s="353"/>
      <c r="VAZ3" s="353"/>
      <c r="VBA3" s="353"/>
      <c r="VBB3" s="353"/>
      <c r="VBC3" s="353"/>
      <c r="VBD3" s="353"/>
      <c r="VBE3" s="353"/>
      <c r="VBF3" s="353"/>
      <c r="VBG3" s="353"/>
      <c r="VBH3" s="353"/>
      <c r="VBI3" s="353"/>
      <c r="VBJ3" s="353"/>
      <c r="VBK3" s="353"/>
      <c r="VBL3" s="353"/>
      <c r="VBM3" s="353"/>
      <c r="VBN3" s="353"/>
      <c r="VBO3" s="353"/>
      <c r="VBP3" s="353"/>
      <c r="VBQ3" s="353"/>
      <c r="VBR3" s="353"/>
      <c r="VBS3" s="353"/>
      <c r="VBT3" s="353"/>
      <c r="VBU3" s="353"/>
      <c r="VBV3" s="353"/>
      <c r="VBW3" s="353"/>
      <c r="VBX3" s="353"/>
      <c r="VBY3" s="353"/>
      <c r="VBZ3" s="353"/>
      <c r="VCA3" s="353"/>
      <c r="VCB3" s="353"/>
      <c r="VCC3" s="353"/>
      <c r="VCD3" s="353"/>
      <c r="VCE3" s="353"/>
      <c r="VCF3" s="353"/>
      <c r="VCG3" s="353"/>
      <c r="VCH3" s="353"/>
      <c r="VCI3" s="353"/>
      <c r="VCJ3" s="353"/>
      <c r="VCK3" s="353"/>
      <c r="VCL3" s="353"/>
      <c r="VCM3" s="353"/>
      <c r="VCN3" s="353"/>
      <c r="VCO3" s="353"/>
      <c r="VCP3" s="353"/>
      <c r="VCQ3" s="353"/>
      <c r="VCR3" s="353"/>
      <c r="VCS3" s="353"/>
      <c r="VCT3" s="353"/>
      <c r="VCU3" s="353"/>
      <c r="VCV3" s="353"/>
      <c r="VCW3" s="353"/>
      <c r="VCX3" s="353"/>
      <c r="VCY3" s="353"/>
      <c r="VCZ3" s="353"/>
      <c r="VDA3" s="353"/>
      <c r="VDB3" s="353"/>
      <c r="VDC3" s="353"/>
      <c r="VDD3" s="353"/>
      <c r="VDE3" s="353"/>
      <c r="VDF3" s="353"/>
      <c r="VDG3" s="353"/>
      <c r="VDH3" s="353"/>
      <c r="VDI3" s="353"/>
      <c r="VDJ3" s="353"/>
      <c r="VDK3" s="353"/>
      <c r="VDL3" s="353"/>
      <c r="VDM3" s="353"/>
      <c r="VDN3" s="353"/>
      <c r="VDO3" s="353"/>
      <c r="VDP3" s="353"/>
      <c r="VDQ3" s="353"/>
      <c r="VDR3" s="353"/>
      <c r="VDS3" s="353"/>
      <c r="VDT3" s="353"/>
      <c r="VDU3" s="353"/>
      <c r="VDV3" s="353"/>
      <c r="VDW3" s="353"/>
      <c r="VDX3" s="353"/>
      <c r="VDY3" s="353"/>
      <c r="VDZ3" s="353"/>
      <c r="VEA3" s="353"/>
      <c r="VEB3" s="353"/>
      <c r="VEC3" s="353"/>
      <c r="VED3" s="353"/>
      <c r="VEE3" s="353"/>
      <c r="VEF3" s="353"/>
      <c r="VEG3" s="353"/>
      <c r="VEH3" s="353"/>
      <c r="VEI3" s="353"/>
      <c r="VEJ3" s="353"/>
      <c r="VEK3" s="353"/>
      <c r="VEL3" s="353"/>
      <c r="VEM3" s="353"/>
      <c r="VEN3" s="353"/>
      <c r="VEO3" s="353"/>
      <c r="VEP3" s="353"/>
      <c r="VEQ3" s="353"/>
      <c r="VER3" s="353"/>
      <c r="VES3" s="353"/>
      <c r="VET3" s="353"/>
      <c r="VEU3" s="353"/>
      <c r="VEV3" s="353"/>
      <c r="VEW3" s="353"/>
      <c r="VEX3" s="353"/>
      <c r="VEY3" s="353"/>
      <c r="VEZ3" s="353"/>
      <c r="VFA3" s="353"/>
      <c r="VFB3" s="353"/>
      <c r="VFC3" s="353"/>
      <c r="VFD3" s="353"/>
      <c r="VFE3" s="353"/>
      <c r="VFF3" s="353"/>
      <c r="VFG3" s="353"/>
      <c r="VFH3" s="353"/>
      <c r="VFI3" s="353"/>
      <c r="VFJ3" s="353"/>
      <c r="VFK3" s="353"/>
      <c r="VFL3" s="353"/>
      <c r="VFM3" s="353"/>
      <c r="VFN3" s="353"/>
      <c r="VFO3" s="353"/>
      <c r="VFP3" s="353"/>
      <c r="VFQ3" s="353"/>
      <c r="VFR3" s="353"/>
      <c r="VFS3" s="353"/>
      <c r="VFT3" s="353"/>
      <c r="VFU3" s="353"/>
      <c r="VFV3" s="353"/>
      <c r="VFW3" s="353"/>
      <c r="VFX3" s="353"/>
      <c r="VFY3" s="353"/>
      <c r="VFZ3" s="353"/>
      <c r="VGA3" s="353"/>
      <c r="VGB3" s="353"/>
      <c r="VGC3" s="353"/>
      <c r="VGD3" s="353"/>
      <c r="VGE3" s="353"/>
      <c r="VGF3" s="353"/>
      <c r="VGG3" s="353"/>
      <c r="VGH3" s="353"/>
      <c r="VGI3" s="353"/>
      <c r="VGJ3" s="353"/>
      <c r="VGK3" s="353"/>
      <c r="VGL3" s="353"/>
      <c r="VGM3" s="353"/>
      <c r="VGN3" s="353"/>
      <c r="VGO3" s="353"/>
      <c r="VGP3" s="353"/>
      <c r="VGQ3" s="353"/>
      <c r="VGR3" s="353"/>
      <c r="VGS3" s="353"/>
      <c r="VGT3" s="353"/>
      <c r="VGU3" s="353"/>
      <c r="VGV3" s="353"/>
      <c r="VGW3" s="353"/>
      <c r="VGX3" s="353"/>
      <c r="VGY3" s="353"/>
      <c r="VGZ3" s="353"/>
      <c r="VHA3" s="353"/>
      <c r="VHB3" s="353"/>
      <c r="VHC3" s="353"/>
      <c r="VHD3" s="353"/>
      <c r="VHE3" s="353"/>
      <c r="VHF3" s="353"/>
      <c r="VHG3" s="353"/>
      <c r="VHH3" s="353"/>
      <c r="VHI3" s="353"/>
      <c r="VHJ3" s="353"/>
      <c r="VHK3" s="353"/>
      <c r="VHL3" s="353"/>
      <c r="VHM3" s="353"/>
      <c r="VHN3" s="353"/>
      <c r="VHO3" s="353"/>
      <c r="VHP3" s="353"/>
      <c r="VHQ3" s="353"/>
      <c r="VHR3" s="353"/>
      <c r="VHS3" s="353"/>
      <c r="VHT3" s="353"/>
      <c r="VHU3" s="353"/>
      <c r="VHV3" s="353"/>
      <c r="VHW3" s="353"/>
      <c r="VHX3" s="353"/>
      <c r="VHY3" s="353"/>
      <c r="VHZ3" s="353"/>
      <c r="VIA3" s="353"/>
      <c r="VIB3" s="353"/>
      <c r="VIC3" s="353"/>
      <c r="VID3" s="353"/>
      <c r="VIE3" s="353"/>
      <c r="VIF3" s="353"/>
      <c r="VIG3" s="353"/>
      <c r="VIH3" s="353"/>
      <c r="VII3" s="353"/>
      <c r="VIJ3" s="353"/>
      <c r="VIK3" s="353"/>
      <c r="VIL3" s="353"/>
      <c r="VIM3" s="353"/>
      <c r="VIN3" s="353"/>
      <c r="VIO3" s="353"/>
      <c r="VIP3" s="353"/>
      <c r="VIQ3" s="353"/>
      <c r="VIR3" s="353"/>
      <c r="VIS3" s="353"/>
      <c r="VIT3" s="353"/>
      <c r="VIU3" s="353"/>
      <c r="VIV3" s="353"/>
      <c r="VIW3" s="353"/>
      <c r="VIX3" s="353"/>
      <c r="VIY3" s="353"/>
      <c r="VIZ3" s="353"/>
      <c r="VJA3" s="353"/>
      <c r="VJB3" s="353"/>
      <c r="VJC3" s="353"/>
      <c r="VJD3" s="353"/>
      <c r="VJE3" s="353"/>
      <c r="VJF3" s="353"/>
      <c r="VJG3" s="353"/>
      <c r="VJH3" s="353"/>
      <c r="VJI3" s="353"/>
      <c r="VJJ3" s="353"/>
      <c r="VJK3" s="353"/>
      <c r="VJL3" s="353"/>
      <c r="VJM3" s="353"/>
      <c r="VJN3" s="353"/>
      <c r="VJO3" s="353"/>
      <c r="VJP3" s="353"/>
      <c r="VJQ3" s="353"/>
      <c r="VJR3" s="353"/>
      <c r="VJS3" s="353"/>
      <c r="VJT3" s="353"/>
      <c r="VJU3" s="353"/>
      <c r="VJV3" s="353"/>
      <c r="VJW3" s="353"/>
      <c r="VJX3" s="353"/>
      <c r="VJY3" s="353"/>
      <c r="VJZ3" s="353"/>
      <c r="VKA3" s="353"/>
      <c r="VKB3" s="353"/>
      <c r="VKC3" s="353"/>
      <c r="VKD3" s="353"/>
      <c r="VKE3" s="353"/>
      <c r="VKF3" s="353"/>
      <c r="VKG3" s="353"/>
      <c r="VKH3" s="353"/>
      <c r="VKI3" s="353"/>
      <c r="VKJ3" s="353"/>
      <c r="VKK3" s="353"/>
      <c r="VKL3" s="353"/>
      <c r="VKM3" s="353"/>
      <c r="VKN3" s="353"/>
      <c r="VKO3" s="353"/>
      <c r="VKP3" s="353"/>
      <c r="VKQ3" s="353"/>
      <c r="VKR3" s="353"/>
      <c r="VKS3" s="353"/>
      <c r="VKT3" s="353"/>
      <c r="VKU3" s="353"/>
      <c r="VKV3" s="353"/>
      <c r="VKW3" s="353"/>
      <c r="VKX3" s="353"/>
      <c r="VKY3" s="353"/>
      <c r="VKZ3" s="353"/>
      <c r="VLA3" s="353"/>
      <c r="VLB3" s="353"/>
      <c r="VLC3" s="353"/>
      <c r="VLD3" s="353"/>
      <c r="VLE3" s="353"/>
      <c r="VLF3" s="353"/>
      <c r="VLG3" s="353"/>
      <c r="VLH3" s="353"/>
      <c r="VLI3" s="353"/>
      <c r="VLJ3" s="353"/>
      <c r="VLK3" s="353"/>
      <c r="VLL3" s="353"/>
      <c r="VLM3" s="353"/>
      <c r="VLN3" s="353"/>
      <c r="VLO3" s="353"/>
      <c r="VLP3" s="353"/>
      <c r="VLQ3" s="353"/>
      <c r="VLR3" s="353"/>
      <c r="VLS3" s="353"/>
      <c r="VLT3" s="353"/>
      <c r="VLU3" s="353"/>
      <c r="VLV3" s="353"/>
      <c r="VLW3" s="353"/>
      <c r="VLX3" s="353"/>
      <c r="VLY3" s="353"/>
      <c r="VLZ3" s="353"/>
      <c r="VMA3" s="353"/>
      <c r="VMB3" s="353"/>
      <c r="VMC3" s="353"/>
      <c r="VMD3" s="353"/>
      <c r="VME3" s="353"/>
      <c r="VMF3" s="353"/>
      <c r="VMG3" s="353"/>
      <c r="VMH3" s="353"/>
      <c r="VMI3" s="353"/>
      <c r="VMJ3" s="353"/>
      <c r="VMK3" s="353"/>
      <c r="VML3" s="353"/>
      <c r="VMM3" s="353"/>
      <c r="VMN3" s="353"/>
      <c r="VMO3" s="353"/>
      <c r="VMP3" s="353"/>
      <c r="VMQ3" s="353"/>
      <c r="VMR3" s="353"/>
      <c r="VMS3" s="353"/>
      <c r="VMT3" s="353"/>
      <c r="VMU3" s="353"/>
      <c r="VMV3" s="353"/>
      <c r="VMW3" s="353"/>
      <c r="VMX3" s="353"/>
      <c r="VMY3" s="353"/>
      <c r="VMZ3" s="353"/>
      <c r="VNA3" s="353"/>
      <c r="VNB3" s="353"/>
      <c r="VNC3" s="353"/>
      <c r="VND3" s="353"/>
      <c r="VNE3" s="353"/>
      <c r="VNF3" s="353"/>
      <c r="VNG3" s="353"/>
      <c r="VNH3" s="353"/>
      <c r="VNI3" s="353"/>
      <c r="VNJ3" s="353"/>
      <c r="VNK3" s="353"/>
      <c r="VNL3" s="353"/>
      <c r="VNM3" s="353"/>
      <c r="VNN3" s="353"/>
      <c r="VNO3" s="353"/>
      <c r="VNP3" s="353"/>
      <c r="VNQ3" s="353"/>
      <c r="VNR3" s="353"/>
      <c r="VNS3" s="353"/>
      <c r="VNT3" s="353"/>
      <c r="VNU3" s="353"/>
      <c r="VNV3" s="353"/>
      <c r="VNW3" s="353"/>
      <c r="VNX3" s="353"/>
      <c r="VNY3" s="353"/>
      <c r="VNZ3" s="353"/>
      <c r="VOA3" s="353"/>
      <c r="VOB3" s="353"/>
      <c r="VOC3" s="353"/>
      <c r="VOD3" s="353"/>
      <c r="VOE3" s="353"/>
      <c r="VOF3" s="353"/>
      <c r="VOG3" s="353"/>
      <c r="VOH3" s="353"/>
      <c r="VOI3" s="353"/>
      <c r="VOJ3" s="353"/>
      <c r="VOK3" s="353"/>
      <c r="VOL3" s="353"/>
      <c r="VOM3" s="353"/>
      <c r="VON3" s="353"/>
      <c r="VOO3" s="353"/>
      <c r="VOP3" s="353"/>
      <c r="VOQ3" s="353"/>
      <c r="VOR3" s="353"/>
      <c r="VOS3" s="353"/>
      <c r="VOT3" s="353"/>
      <c r="VOU3" s="353"/>
      <c r="VOV3" s="353"/>
      <c r="VOW3" s="353"/>
      <c r="VOX3" s="353"/>
      <c r="VOY3" s="353"/>
      <c r="VOZ3" s="353"/>
      <c r="VPA3" s="353"/>
      <c r="VPB3" s="353"/>
      <c r="VPC3" s="353"/>
      <c r="VPD3" s="353"/>
      <c r="VPE3" s="353"/>
      <c r="VPF3" s="353"/>
      <c r="VPG3" s="353"/>
      <c r="VPH3" s="353"/>
      <c r="VPI3" s="353"/>
      <c r="VPJ3" s="353"/>
      <c r="VPK3" s="353"/>
      <c r="VPL3" s="353"/>
      <c r="VPM3" s="353"/>
      <c r="VPN3" s="353"/>
      <c r="VPO3" s="353"/>
      <c r="VPP3" s="353"/>
      <c r="VPQ3" s="353"/>
      <c r="VPR3" s="353"/>
      <c r="VPS3" s="353"/>
      <c r="VPT3" s="353"/>
      <c r="VPU3" s="353"/>
      <c r="VPV3" s="353"/>
      <c r="VPW3" s="353"/>
      <c r="VPX3" s="353"/>
      <c r="VPY3" s="353"/>
      <c r="VPZ3" s="353"/>
      <c r="VQA3" s="353"/>
      <c r="VQB3" s="353"/>
      <c r="VQC3" s="353"/>
      <c r="VQD3" s="353"/>
      <c r="VQE3" s="353"/>
      <c r="VQF3" s="353"/>
      <c r="VQG3" s="353"/>
      <c r="VQH3" s="353"/>
      <c r="VQI3" s="353"/>
      <c r="VQJ3" s="353"/>
      <c r="VQK3" s="353"/>
      <c r="VQL3" s="353"/>
      <c r="VQM3" s="353"/>
      <c r="VQN3" s="353"/>
      <c r="VQO3" s="353"/>
      <c r="VQP3" s="353"/>
      <c r="VQQ3" s="353"/>
      <c r="VQR3" s="353"/>
      <c r="VQS3" s="353"/>
      <c r="VQT3" s="353"/>
      <c r="VQU3" s="353"/>
      <c r="VQV3" s="353"/>
      <c r="VQW3" s="353"/>
      <c r="VQX3" s="353"/>
      <c r="VQY3" s="353"/>
      <c r="VQZ3" s="353"/>
      <c r="VRA3" s="353"/>
      <c r="VRB3" s="353"/>
      <c r="VRC3" s="353"/>
      <c r="VRD3" s="353"/>
      <c r="VRE3" s="353"/>
      <c r="VRF3" s="353"/>
      <c r="VRG3" s="353"/>
      <c r="VRH3" s="353"/>
      <c r="VRI3" s="353"/>
      <c r="VRJ3" s="353"/>
      <c r="VRK3" s="353"/>
      <c r="VRL3" s="353"/>
      <c r="VRM3" s="353"/>
      <c r="VRN3" s="353"/>
      <c r="VRO3" s="353"/>
      <c r="VRP3" s="353"/>
      <c r="VRQ3" s="353"/>
      <c r="VRR3" s="353"/>
      <c r="VRS3" s="353"/>
      <c r="VRT3" s="353"/>
      <c r="VRU3" s="353"/>
      <c r="VRV3" s="353"/>
      <c r="VRW3" s="353"/>
      <c r="VRX3" s="353"/>
      <c r="VRY3" s="353"/>
      <c r="VRZ3" s="353"/>
      <c r="VSA3" s="353"/>
      <c r="VSB3" s="353"/>
      <c r="VSC3" s="353"/>
      <c r="VSD3" s="353"/>
      <c r="VSE3" s="353"/>
      <c r="VSF3" s="353"/>
      <c r="VSG3" s="353"/>
      <c r="VSH3" s="353"/>
      <c r="VSI3" s="353"/>
      <c r="VSJ3" s="353"/>
      <c r="VSK3" s="353"/>
      <c r="VSL3" s="353"/>
      <c r="VSM3" s="353"/>
      <c r="VSN3" s="353"/>
      <c r="VSO3" s="353"/>
      <c r="VSP3" s="353"/>
      <c r="VSQ3" s="353"/>
      <c r="VSR3" s="353"/>
      <c r="VSS3" s="353"/>
      <c r="VST3" s="353"/>
      <c r="VSU3" s="353"/>
      <c r="VSV3" s="353"/>
      <c r="VSW3" s="353"/>
      <c r="VSX3" s="353"/>
      <c r="VSY3" s="353"/>
      <c r="VSZ3" s="353"/>
      <c r="VTA3" s="353"/>
      <c r="VTB3" s="353"/>
      <c r="VTC3" s="353"/>
      <c r="VTD3" s="353"/>
      <c r="VTE3" s="353"/>
      <c r="VTF3" s="353"/>
      <c r="VTG3" s="353"/>
      <c r="VTH3" s="353"/>
      <c r="VTI3" s="353"/>
      <c r="VTJ3" s="353"/>
      <c r="VTK3" s="353"/>
      <c r="VTL3" s="353"/>
      <c r="VTM3" s="353"/>
      <c r="VTN3" s="353"/>
      <c r="VTO3" s="353"/>
      <c r="VTP3" s="353"/>
      <c r="VTQ3" s="353"/>
      <c r="VTR3" s="353"/>
      <c r="VTS3" s="353"/>
      <c r="VTT3" s="353"/>
      <c r="VTU3" s="353"/>
      <c r="VTV3" s="353"/>
      <c r="VTW3" s="353"/>
      <c r="VTX3" s="353"/>
      <c r="VTY3" s="353"/>
      <c r="VTZ3" s="353"/>
      <c r="VUA3" s="353"/>
      <c r="VUB3" s="353"/>
      <c r="VUC3" s="353"/>
      <c r="VUD3" s="353"/>
      <c r="VUE3" s="353"/>
      <c r="VUF3" s="353"/>
      <c r="VUG3" s="353"/>
      <c r="VUH3" s="353"/>
      <c r="VUI3" s="353"/>
      <c r="VUJ3" s="353"/>
      <c r="VUK3" s="353"/>
      <c r="VUL3" s="353"/>
      <c r="VUM3" s="353"/>
      <c r="VUN3" s="353"/>
      <c r="VUO3" s="353"/>
      <c r="VUP3" s="353"/>
      <c r="VUQ3" s="353"/>
      <c r="VUR3" s="353"/>
      <c r="VUS3" s="353"/>
      <c r="VUT3" s="353"/>
      <c r="VUU3" s="353"/>
      <c r="VUV3" s="353"/>
      <c r="VUW3" s="353"/>
      <c r="VUX3" s="353"/>
      <c r="VUY3" s="353"/>
      <c r="VUZ3" s="353"/>
      <c r="VVA3" s="353"/>
      <c r="VVB3" s="353"/>
      <c r="VVC3" s="353"/>
      <c r="VVD3" s="353"/>
      <c r="VVE3" s="353"/>
      <c r="VVF3" s="353"/>
      <c r="VVG3" s="353"/>
      <c r="VVH3" s="353"/>
      <c r="VVI3" s="353"/>
      <c r="VVJ3" s="353"/>
      <c r="VVK3" s="353"/>
      <c r="VVL3" s="353"/>
      <c r="VVM3" s="353"/>
      <c r="VVN3" s="353"/>
      <c r="VVO3" s="353"/>
      <c r="VVP3" s="353"/>
      <c r="VVQ3" s="353"/>
      <c r="VVR3" s="353"/>
      <c r="VVS3" s="353"/>
      <c r="VVT3" s="353"/>
      <c r="VVU3" s="353"/>
      <c r="VVV3" s="353"/>
      <c r="VVW3" s="353"/>
      <c r="VVX3" s="353"/>
      <c r="VVY3" s="353"/>
      <c r="VVZ3" s="353"/>
      <c r="VWA3" s="353"/>
      <c r="VWB3" s="353"/>
      <c r="VWC3" s="353"/>
      <c r="VWD3" s="353"/>
      <c r="VWE3" s="353"/>
      <c r="VWF3" s="353"/>
      <c r="VWG3" s="353"/>
      <c r="VWH3" s="353"/>
      <c r="VWI3" s="353"/>
      <c r="VWJ3" s="353"/>
      <c r="VWK3" s="353"/>
      <c r="VWL3" s="353"/>
      <c r="VWM3" s="353"/>
      <c r="VWN3" s="353"/>
      <c r="VWO3" s="353"/>
      <c r="VWP3" s="353"/>
      <c r="VWQ3" s="353"/>
      <c r="VWR3" s="353"/>
      <c r="VWS3" s="353"/>
      <c r="VWT3" s="353"/>
      <c r="VWU3" s="353"/>
      <c r="VWV3" s="353"/>
      <c r="VWW3" s="353"/>
      <c r="VWX3" s="353"/>
      <c r="VWY3" s="353"/>
      <c r="VWZ3" s="353"/>
      <c r="VXA3" s="353"/>
      <c r="VXB3" s="353"/>
      <c r="VXC3" s="353"/>
      <c r="VXD3" s="353"/>
      <c r="VXE3" s="353"/>
      <c r="VXF3" s="353"/>
      <c r="VXG3" s="353"/>
      <c r="VXH3" s="353"/>
      <c r="VXI3" s="353"/>
      <c r="VXJ3" s="353"/>
      <c r="VXK3" s="353"/>
      <c r="VXL3" s="353"/>
      <c r="VXM3" s="353"/>
      <c r="VXN3" s="353"/>
      <c r="VXO3" s="353"/>
      <c r="VXP3" s="353"/>
      <c r="VXQ3" s="353"/>
      <c r="VXR3" s="353"/>
      <c r="VXS3" s="353"/>
      <c r="VXT3" s="353"/>
      <c r="VXU3" s="353"/>
      <c r="VXV3" s="353"/>
      <c r="VXW3" s="353"/>
      <c r="VXX3" s="353"/>
      <c r="VXY3" s="353"/>
      <c r="VXZ3" s="353"/>
      <c r="VYA3" s="353"/>
      <c r="VYB3" s="353"/>
      <c r="VYC3" s="353"/>
      <c r="VYD3" s="353"/>
      <c r="VYE3" s="353"/>
      <c r="VYF3" s="353"/>
      <c r="VYG3" s="353"/>
      <c r="VYH3" s="353"/>
      <c r="VYI3" s="353"/>
      <c r="VYJ3" s="353"/>
      <c r="VYK3" s="353"/>
      <c r="VYL3" s="353"/>
      <c r="VYM3" s="353"/>
      <c r="VYN3" s="353"/>
      <c r="VYO3" s="353"/>
      <c r="VYP3" s="353"/>
      <c r="VYQ3" s="353"/>
      <c r="VYR3" s="353"/>
      <c r="VYS3" s="353"/>
      <c r="VYT3" s="353"/>
      <c r="VYU3" s="353"/>
      <c r="VYV3" s="353"/>
      <c r="VYW3" s="353"/>
      <c r="VYX3" s="353"/>
      <c r="VYY3" s="353"/>
      <c r="VYZ3" s="353"/>
      <c r="VZA3" s="353"/>
      <c r="VZB3" s="353"/>
      <c r="VZC3" s="353"/>
      <c r="VZD3" s="353"/>
      <c r="VZE3" s="353"/>
      <c r="VZF3" s="353"/>
      <c r="VZG3" s="353"/>
      <c r="VZH3" s="353"/>
      <c r="VZI3" s="353"/>
      <c r="VZJ3" s="353"/>
      <c r="VZK3" s="353"/>
      <c r="VZL3" s="353"/>
      <c r="VZM3" s="353"/>
      <c r="VZN3" s="353"/>
      <c r="VZO3" s="353"/>
      <c r="VZP3" s="353"/>
      <c r="VZQ3" s="353"/>
      <c r="VZR3" s="353"/>
      <c r="VZS3" s="353"/>
      <c r="VZT3" s="353"/>
      <c r="VZU3" s="353"/>
      <c r="VZV3" s="353"/>
      <c r="VZW3" s="353"/>
      <c r="VZX3" s="353"/>
      <c r="VZY3" s="353"/>
      <c r="VZZ3" s="353"/>
      <c r="WAA3" s="353"/>
      <c r="WAB3" s="353"/>
      <c r="WAC3" s="353"/>
      <c r="WAD3" s="353"/>
      <c r="WAE3" s="353"/>
      <c r="WAF3" s="353"/>
      <c r="WAG3" s="353"/>
      <c r="WAH3" s="353"/>
      <c r="WAI3" s="353"/>
      <c r="WAJ3" s="353"/>
      <c r="WAK3" s="353"/>
      <c r="WAL3" s="353"/>
      <c r="WAM3" s="353"/>
      <c r="WAN3" s="353"/>
      <c r="WAO3" s="353"/>
      <c r="WAP3" s="353"/>
      <c r="WAQ3" s="353"/>
      <c r="WAR3" s="353"/>
      <c r="WAS3" s="353"/>
      <c r="WAT3" s="353"/>
      <c r="WAU3" s="353"/>
      <c r="WAV3" s="353"/>
      <c r="WAW3" s="353"/>
      <c r="WAX3" s="353"/>
      <c r="WAY3" s="353"/>
      <c r="WAZ3" s="353"/>
      <c r="WBA3" s="353"/>
      <c r="WBB3" s="353"/>
      <c r="WBC3" s="353"/>
      <c r="WBD3" s="353"/>
      <c r="WBE3" s="353"/>
      <c r="WBF3" s="353"/>
      <c r="WBG3" s="353"/>
      <c r="WBH3" s="353"/>
      <c r="WBI3" s="353"/>
      <c r="WBJ3" s="353"/>
      <c r="WBK3" s="353"/>
      <c r="WBL3" s="353"/>
      <c r="WBM3" s="353"/>
      <c r="WBN3" s="353"/>
      <c r="WBO3" s="353"/>
      <c r="WBP3" s="353"/>
      <c r="WBQ3" s="353"/>
      <c r="WBR3" s="353"/>
      <c r="WBS3" s="353"/>
      <c r="WBT3" s="353"/>
      <c r="WBU3" s="353"/>
      <c r="WBV3" s="353"/>
      <c r="WBW3" s="353"/>
      <c r="WBX3" s="353"/>
      <c r="WBY3" s="353"/>
      <c r="WBZ3" s="353"/>
      <c r="WCA3" s="353"/>
      <c r="WCB3" s="353"/>
      <c r="WCC3" s="353"/>
      <c r="WCD3" s="353"/>
      <c r="WCE3" s="353"/>
      <c r="WCF3" s="353"/>
      <c r="WCG3" s="353"/>
      <c r="WCH3" s="353"/>
      <c r="WCI3" s="353"/>
      <c r="WCJ3" s="353"/>
      <c r="WCK3" s="353"/>
      <c r="WCL3" s="353"/>
      <c r="WCM3" s="353"/>
      <c r="WCN3" s="353"/>
      <c r="WCO3" s="353"/>
      <c r="WCP3" s="353"/>
      <c r="WCQ3" s="353"/>
      <c r="WCR3" s="353"/>
      <c r="WCS3" s="353"/>
      <c r="WCT3" s="353"/>
      <c r="WCU3" s="353"/>
      <c r="WCV3" s="353"/>
      <c r="WCW3" s="353"/>
      <c r="WCX3" s="353"/>
      <c r="WCY3" s="353"/>
      <c r="WCZ3" s="353"/>
      <c r="WDA3" s="353"/>
      <c r="WDB3" s="353"/>
      <c r="WDC3" s="353"/>
      <c r="WDD3" s="353"/>
      <c r="WDE3" s="353"/>
      <c r="WDF3" s="353"/>
      <c r="WDG3" s="353"/>
      <c r="WDH3" s="353"/>
      <c r="WDI3" s="353"/>
      <c r="WDJ3" s="353"/>
      <c r="WDK3" s="353"/>
      <c r="WDL3" s="353"/>
      <c r="WDM3" s="353"/>
      <c r="WDN3" s="353"/>
      <c r="WDO3" s="353"/>
      <c r="WDP3" s="353"/>
      <c r="WDQ3" s="353"/>
      <c r="WDR3" s="353"/>
      <c r="WDS3" s="353"/>
      <c r="WDT3" s="353"/>
      <c r="WDU3" s="353"/>
      <c r="WDV3" s="353"/>
      <c r="WDW3" s="353"/>
      <c r="WDX3" s="353"/>
      <c r="WDY3" s="353"/>
      <c r="WDZ3" s="353"/>
      <c r="WEA3" s="353"/>
      <c r="WEB3" s="353"/>
      <c r="WEC3" s="353"/>
      <c r="WED3" s="353"/>
      <c r="WEE3" s="353"/>
      <c r="WEF3" s="353"/>
      <c r="WEG3" s="353"/>
      <c r="WEH3" s="353"/>
      <c r="WEI3" s="353"/>
      <c r="WEJ3" s="353"/>
      <c r="WEK3" s="353"/>
      <c r="WEL3" s="353"/>
      <c r="WEM3" s="353"/>
      <c r="WEN3" s="353"/>
      <c r="WEO3" s="353"/>
      <c r="WEP3" s="353"/>
      <c r="WEQ3" s="353"/>
      <c r="WER3" s="353"/>
      <c r="WES3" s="353"/>
      <c r="WET3" s="353"/>
      <c r="WEU3" s="353"/>
      <c r="WEV3" s="353"/>
      <c r="WEW3" s="353"/>
      <c r="WEX3" s="353"/>
      <c r="WEY3" s="353"/>
      <c r="WEZ3" s="353"/>
      <c r="WFA3" s="353"/>
      <c r="WFB3" s="353"/>
      <c r="WFC3" s="353"/>
      <c r="WFD3" s="353"/>
      <c r="WFE3" s="353"/>
      <c r="WFF3" s="353"/>
      <c r="WFG3" s="353"/>
      <c r="WFH3" s="353"/>
      <c r="WFI3" s="353"/>
      <c r="WFJ3" s="353"/>
      <c r="WFK3" s="353"/>
      <c r="WFL3" s="353"/>
      <c r="WFM3" s="353"/>
      <c r="WFN3" s="353"/>
      <c r="WFO3" s="353"/>
      <c r="WFP3" s="353"/>
      <c r="WFQ3" s="353"/>
      <c r="WFR3" s="353"/>
      <c r="WFS3" s="353"/>
      <c r="WFT3" s="353"/>
      <c r="WFU3" s="353"/>
      <c r="WFV3" s="353"/>
      <c r="WFW3" s="353"/>
      <c r="WFX3" s="353"/>
      <c r="WFY3" s="353"/>
      <c r="WFZ3" s="353"/>
      <c r="WGA3" s="353"/>
      <c r="WGB3" s="353"/>
      <c r="WGC3" s="353"/>
      <c r="WGD3" s="353"/>
      <c r="WGE3" s="353"/>
      <c r="WGF3" s="353"/>
      <c r="WGG3" s="353"/>
      <c r="WGH3" s="353"/>
      <c r="WGI3" s="353"/>
      <c r="WGJ3" s="353"/>
      <c r="WGK3" s="353"/>
      <c r="WGL3" s="353"/>
      <c r="WGM3" s="353"/>
      <c r="WGN3" s="353"/>
      <c r="WGO3" s="353"/>
      <c r="WGP3" s="353"/>
      <c r="WGQ3" s="353"/>
      <c r="WGR3" s="353"/>
      <c r="WGS3" s="353"/>
      <c r="WGT3" s="353"/>
      <c r="WGU3" s="353"/>
      <c r="WGV3" s="353"/>
      <c r="WGW3" s="353"/>
      <c r="WGX3" s="353"/>
      <c r="WGY3" s="353"/>
      <c r="WGZ3" s="353"/>
      <c r="WHA3" s="353"/>
      <c r="WHB3" s="353"/>
      <c r="WHC3" s="353"/>
      <c r="WHD3" s="353"/>
      <c r="WHE3" s="353"/>
      <c r="WHF3" s="353"/>
      <c r="WHG3" s="353"/>
      <c r="WHH3" s="353"/>
      <c r="WHI3" s="353"/>
      <c r="WHJ3" s="353"/>
      <c r="WHK3" s="353"/>
      <c r="WHL3" s="353"/>
      <c r="WHM3" s="353"/>
      <c r="WHN3" s="353"/>
      <c r="WHO3" s="353"/>
      <c r="WHP3" s="353"/>
      <c r="WHQ3" s="353"/>
      <c r="WHR3" s="353"/>
      <c r="WHS3" s="353"/>
      <c r="WHT3" s="353"/>
      <c r="WHU3" s="353"/>
      <c r="WHV3" s="353"/>
      <c r="WHW3" s="353"/>
      <c r="WHX3" s="353"/>
      <c r="WHY3" s="353"/>
      <c r="WHZ3" s="353"/>
      <c r="WIA3" s="353"/>
      <c r="WIB3" s="353"/>
      <c r="WIC3" s="353"/>
      <c r="WID3" s="353"/>
      <c r="WIE3" s="353"/>
      <c r="WIF3" s="353"/>
      <c r="WIG3" s="353"/>
      <c r="WIH3" s="353"/>
      <c r="WII3" s="353"/>
      <c r="WIJ3" s="353"/>
      <c r="WIK3" s="353"/>
      <c r="WIL3" s="353"/>
      <c r="WIM3" s="353"/>
      <c r="WIN3" s="353"/>
      <c r="WIO3" s="353"/>
      <c r="WIP3" s="353"/>
      <c r="WIQ3" s="353"/>
      <c r="WIR3" s="353"/>
      <c r="WIS3" s="353"/>
      <c r="WIT3" s="353"/>
      <c r="WIU3" s="353"/>
      <c r="WIV3" s="353"/>
      <c r="WIW3" s="353"/>
      <c r="WIX3" s="353"/>
      <c r="WIY3" s="353"/>
      <c r="WIZ3" s="353"/>
      <c r="WJA3" s="353"/>
      <c r="WJB3" s="353"/>
      <c r="WJC3" s="353"/>
      <c r="WJD3" s="353"/>
      <c r="WJE3" s="353"/>
      <c r="WJF3" s="353"/>
      <c r="WJG3" s="353"/>
      <c r="WJH3" s="353"/>
      <c r="WJI3" s="353"/>
      <c r="WJJ3" s="353"/>
      <c r="WJK3" s="353"/>
      <c r="WJL3" s="353"/>
      <c r="WJM3" s="353"/>
      <c r="WJN3" s="353"/>
      <c r="WJO3" s="353"/>
      <c r="WJP3" s="353"/>
      <c r="WJQ3" s="353"/>
      <c r="WJR3" s="353"/>
      <c r="WJS3" s="353"/>
      <c r="WJT3" s="353"/>
      <c r="WJU3" s="353"/>
      <c r="WJV3" s="353"/>
      <c r="WJW3" s="353"/>
      <c r="WJX3" s="353"/>
      <c r="WJY3" s="353"/>
      <c r="WJZ3" s="353"/>
      <c r="WKA3" s="353"/>
      <c r="WKB3" s="353"/>
      <c r="WKC3" s="353"/>
      <c r="WKD3" s="353"/>
      <c r="WKE3" s="353"/>
      <c r="WKF3" s="353"/>
      <c r="WKG3" s="353"/>
      <c r="WKH3" s="353"/>
      <c r="WKI3" s="353"/>
      <c r="WKJ3" s="353"/>
      <c r="WKK3" s="353"/>
      <c r="WKL3" s="353"/>
      <c r="WKM3" s="353"/>
      <c r="WKN3" s="353"/>
      <c r="WKO3" s="353"/>
      <c r="WKP3" s="353"/>
      <c r="WKQ3" s="353"/>
      <c r="WKR3" s="353"/>
      <c r="WKS3" s="353"/>
      <c r="WKT3" s="353"/>
      <c r="WKU3" s="353"/>
      <c r="WKV3" s="353"/>
      <c r="WKW3" s="353"/>
      <c r="WKX3" s="353"/>
      <c r="WKY3" s="353"/>
      <c r="WKZ3" s="353"/>
      <c r="WLA3" s="353"/>
      <c r="WLB3" s="353"/>
      <c r="WLC3" s="353"/>
      <c r="WLD3" s="353"/>
      <c r="WLE3" s="353"/>
      <c r="WLF3" s="353"/>
      <c r="WLG3" s="353"/>
      <c r="WLH3" s="353"/>
      <c r="WLI3" s="353"/>
      <c r="WLJ3" s="353"/>
      <c r="WLK3" s="353"/>
      <c r="WLL3" s="353"/>
      <c r="WLM3" s="353"/>
      <c r="WLN3" s="353"/>
      <c r="WLO3" s="353"/>
      <c r="WLP3" s="353"/>
      <c r="WLQ3" s="353"/>
      <c r="WLR3" s="353"/>
      <c r="WLS3" s="353"/>
      <c r="WLT3" s="353"/>
      <c r="WLU3" s="353"/>
      <c r="WLV3" s="353"/>
      <c r="WLW3" s="353"/>
      <c r="WLX3" s="353"/>
      <c r="WLY3" s="353"/>
      <c r="WLZ3" s="353"/>
      <c r="WMA3" s="353"/>
      <c r="WMB3" s="353"/>
      <c r="WMC3" s="353"/>
      <c r="WMD3" s="353"/>
      <c r="WME3" s="353"/>
      <c r="WMF3" s="353"/>
      <c r="WMG3" s="353"/>
      <c r="WMH3" s="353"/>
      <c r="WMI3" s="353"/>
      <c r="WMJ3" s="353"/>
      <c r="WMK3" s="353"/>
      <c r="WML3" s="353"/>
      <c r="WMM3" s="353"/>
      <c r="WMN3" s="353"/>
      <c r="WMO3" s="353"/>
      <c r="WMP3" s="353"/>
      <c r="WMQ3" s="353"/>
      <c r="WMR3" s="353"/>
      <c r="WMS3" s="353"/>
      <c r="WMT3" s="353"/>
      <c r="WMU3" s="353"/>
      <c r="WMV3" s="353"/>
      <c r="WMW3" s="353"/>
      <c r="WMX3" s="353"/>
      <c r="WMY3" s="353"/>
      <c r="WMZ3" s="353"/>
      <c r="WNA3" s="353"/>
      <c r="WNB3" s="353"/>
      <c r="WNC3" s="353"/>
      <c r="WND3" s="353"/>
      <c r="WNE3" s="353"/>
      <c r="WNF3" s="353"/>
      <c r="WNG3" s="353"/>
      <c r="WNH3" s="353"/>
      <c r="WNI3" s="353"/>
      <c r="WNJ3" s="353"/>
      <c r="WNK3" s="353"/>
      <c r="WNL3" s="353"/>
      <c r="WNM3" s="353"/>
      <c r="WNN3" s="353"/>
      <c r="WNO3" s="353"/>
      <c r="WNP3" s="353"/>
      <c r="WNQ3" s="353"/>
      <c r="WNR3" s="353"/>
      <c r="WNS3" s="353"/>
      <c r="WNT3" s="353"/>
      <c r="WNU3" s="353"/>
      <c r="WNV3" s="353"/>
      <c r="WNW3" s="353"/>
      <c r="WNX3" s="353"/>
      <c r="WNY3" s="353"/>
      <c r="WNZ3" s="353"/>
      <c r="WOA3" s="353"/>
      <c r="WOB3" s="353"/>
      <c r="WOC3" s="353"/>
      <c r="WOD3" s="353"/>
      <c r="WOE3" s="353"/>
      <c r="WOF3" s="353"/>
      <c r="WOG3" s="353"/>
      <c r="WOH3" s="353"/>
      <c r="WOI3" s="353"/>
      <c r="WOJ3" s="353"/>
      <c r="WOK3" s="353"/>
      <c r="WOL3" s="353"/>
      <c r="WOM3" s="353"/>
      <c r="WON3" s="353"/>
      <c r="WOO3" s="353"/>
      <c r="WOP3" s="353"/>
      <c r="WOQ3" s="353"/>
      <c r="WOR3" s="353"/>
      <c r="WOS3" s="353"/>
      <c r="WOT3" s="353"/>
      <c r="WOU3" s="353"/>
      <c r="WOV3" s="353"/>
      <c r="WOW3" s="353"/>
      <c r="WOX3" s="353"/>
      <c r="WOY3" s="353"/>
      <c r="WOZ3" s="353"/>
      <c r="WPA3" s="353"/>
      <c r="WPB3" s="353"/>
      <c r="WPC3" s="353"/>
      <c r="WPD3" s="353"/>
      <c r="WPE3" s="353"/>
      <c r="WPF3" s="353"/>
      <c r="WPG3" s="353"/>
      <c r="WPH3" s="353"/>
      <c r="WPI3" s="353"/>
      <c r="WPJ3" s="353"/>
      <c r="WPK3" s="353"/>
      <c r="WPL3" s="353"/>
      <c r="WPM3" s="353"/>
      <c r="WPN3" s="353"/>
      <c r="WPO3" s="353"/>
      <c r="WPP3" s="353"/>
      <c r="WPQ3" s="353"/>
      <c r="WPR3" s="353"/>
      <c r="WPS3" s="353"/>
      <c r="WPT3" s="353"/>
      <c r="WPU3" s="353"/>
      <c r="WPV3" s="353"/>
      <c r="WPW3" s="353"/>
      <c r="WPX3" s="353"/>
      <c r="WPY3" s="353"/>
      <c r="WPZ3" s="353"/>
      <c r="WQA3" s="353"/>
      <c r="WQB3" s="353"/>
      <c r="WQC3" s="353"/>
      <c r="WQD3" s="353"/>
      <c r="WQE3" s="353"/>
      <c r="WQF3" s="353"/>
      <c r="WQG3" s="353"/>
      <c r="WQH3" s="353"/>
      <c r="WQI3" s="353"/>
      <c r="WQJ3" s="353"/>
      <c r="WQK3" s="353"/>
      <c r="WQL3" s="353"/>
      <c r="WQM3" s="353"/>
      <c r="WQN3" s="353"/>
      <c r="WQO3" s="353"/>
      <c r="WQP3" s="353"/>
      <c r="WQQ3" s="353"/>
      <c r="WQR3" s="353"/>
      <c r="WQS3" s="353"/>
      <c r="WQT3" s="353"/>
      <c r="WQU3" s="353"/>
      <c r="WQV3" s="353"/>
      <c r="WQW3" s="353"/>
      <c r="WQX3" s="353"/>
      <c r="WQY3" s="353"/>
      <c r="WQZ3" s="353"/>
      <c r="WRA3" s="353"/>
      <c r="WRB3" s="353"/>
      <c r="WRC3" s="353"/>
      <c r="WRD3" s="353"/>
      <c r="WRE3" s="353"/>
      <c r="WRF3" s="353"/>
      <c r="WRG3" s="353"/>
      <c r="WRH3" s="353"/>
      <c r="WRI3" s="353"/>
      <c r="WRJ3" s="353"/>
      <c r="WRK3" s="353"/>
      <c r="WRL3" s="353"/>
      <c r="WRM3" s="353"/>
      <c r="WRN3" s="353"/>
      <c r="WRO3" s="353"/>
      <c r="WRP3" s="353"/>
      <c r="WRQ3" s="353"/>
      <c r="WRR3" s="353"/>
      <c r="WRS3" s="353"/>
      <c r="WRT3" s="353"/>
      <c r="WRU3" s="353"/>
      <c r="WRV3" s="353"/>
      <c r="WRW3" s="353"/>
      <c r="WRX3" s="353"/>
      <c r="WRY3" s="353"/>
      <c r="WRZ3" s="353"/>
      <c r="WSA3" s="353"/>
      <c r="WSB3" s="353"/>
      <c r="WSC3" s="353"/>
      <c r="WSD3" s="353"/>
      <c r="WSE3" s="353"/>
      <c r="WSF3" s="353"/>
      <c r="WSG3" s="353"/>
      <c r="WSH3" s="353"/>
      <c r="WSI3" s="353"/>
      <c r="WSJ3" s="353"/>
      <c r="WSK3" s="353"/>
      <c r="WSL3" s="353"/>
      <c r="WSM3" s="353"/>
      <c r="WSN3" s="353"/>
      <c r="WSO3" s="353"/>
      <c r="WSP3" s="353"/>
      <c r="WSQ3" s="353"/>
      <c r="WSR3" s="353"/>
      <c r="WSS3" s="353"/>
      <c r="WST3" s="353"/>
      <c r="WSU3" s="353"/>
      <c r="WSV3" s="353"/>
      <c r="WSW3" s="353"/>
      <c r="WSX3" s="353"/>
      <c r="WSY3" s="353"/>
      <c r="WSZ3" s="353"/>
      <c r="WTA3" s="353"/>
      <c r="WTB3" s="353"/>
      <c r="WTC3" s="353"/>
      <c r="WTD3" s="353"/>
      <c r="WTE3" s="353"/>
      <c r="WTF3" s="353"/>
      <c r="WTG3" s="353"/>
      <c r="WTH3" s="353"/>
      <c r="WTI3" s="353"/>
      <c r="WTJ3" s="353"/>
      <c r="WTK3" s="353"/>
      <c r="WTL3" s="353"/>
      <c r="WTM3" s="353"/>
      <c r="WTN3" s="353"/>
      <c r="WTO3" s="353"/>
      <c r="WTP3" s="353"/>
      <c r="WTQ3" s="353"/>
      <c r="WTR3" s="353"/>
      <c r="WTS3" s="353"/>
      <c r="WTT3" s="353"/>
      <c r="WTU3" s="353"/>
      <c r="WTV3" s="353"/>
      <c r="WTW3" s="353"/>
      <c r="WTX3" s="353"/>
      <c r="WTY3" s="353"/>
      <c r="WTZ3" s="353"/>
      <c r="WUA3" s="353"/>
      <c r="WUB3" s="353"/>
      <c r="WUC3" s="353"/>
      <c r="WUD3" s="353"/>
      <c r="WUE3" s="353"/>
      <c r="WUF3" s="353"/>
      <c r="WUG3" s="353"/>
      <c r="WUH3" s="353"/>
      <c r="WUI3" s="353"/>
      <c r="WUJ3" s="353"/>
      <c r="WUK3" s="353"/>
      <c r="WUL3" s="353"/>
      <c r="WUM3" s="353"/>
      <c r="WUN3" s="353"/>
      <c r="WUO3" s="353"/>
      <c r="WUP3" s="353"/>
      <c r="WUQ3" s="353"/>
      <c r="WUR3" s="353"/>
      <c r="WUS3" s="353"/>
      <c r="WUT3" s="353"/>
      <c r="WUU3" s="353"/>
      <c r="WUV3" s="353"/>
      <c r="WUW3" s="353"/>
      <c r="WUX3" s="353"/>
      <c r="WUY3" s="353"/>
      <c r="WUZ3" s="353"/>
      <c r="WVA3" s="353"/>
      <c r="WVB3" s="353"/>
      <c r="WVC3" s="353"/>
      <c r="WVD3" s="353"/>
      <c r="WVE3" s="353"/>
      <c r="WVF3" s="353"/>
      <c r="WVG3" s="353"/>
      <c r="WVH3" s="353"/>
      <c r="WVI3" s="353"/>
      <c r="WVJ3" s="353"/>
      <c r="WVK3" s="353"/>
      <c r="WVL3" s="353"/>
      <c r="WVM3" s="353"/>
      <c r="WVN3" s="353"/>
      <c r="WVO3" s="353"/>
      <c r="WVP3" s="353"/>
      <c r="WVQ3" s="353"/>
      <c r="WVR3" s="353"/>
      <c r="WVS3" s="353"/>
      <c r="WVT3" s="353"/>
      <c r="WVU3" s="353"/>
      <c r="WVV3" s="353"/>
      <c r="WVW3" s="353"/>
      <c r="WVX3" s="353"/>
      <c r="WVY3" s="353"/>
      <c r="WVZ3" s="353"/>
      <c r="WWA3" s="353"/>
      <c r="WWB3" s="353"/>
      <c r="WWC3" s="353"/>
      <c r="WWD3" s="353"/>
      <c r="WWE3" s="353"/>
      <c r="WWF3" s="353"/>
      <c r="WWG3" s="353"/>
      <c r="WWH3" s="353"/>
      <c r="WWI3" s="353"/>
      <c r="WWJ3" s="353"/>
      <c r="WWK3" s="353"/>
      <c r="WWL3" s="353"/>
      <c r="WWM3" s="353"/>
      <c r="WWN3" s="353"/>
      <c r="WWO3" s="353"/>
      <c r="WWP3" s="353"/>
      <c r="WWQ3" s="353"/>
      <c r="WWR3" s="353"/>
      <c r="WWS3" s="353"/>
      <c r="WWT3" s="353"/>
      <c r="WWU3" s="353"/>
      <c r="WWV3" s="353"/>
      <c r="WWW3" s="353"/>
      <c r="WWX3" s="353"/>
      <c r="WWY3" s="353"/>
      <c r="WWZ3" s="353"/>
      <c r="WXA3" s="353"/>
      <c r="WXB3" s="353"/>
      <c r="WXC3" s="353"/>
      <c r="WXD3" s="353"/>
      <c r="WXE3" s="353"/>
      <c r="WXF3" s="353"/>
      <c r="WXG3" s="353"/>
      <c r="WXH3" s="353"/>
      <c r="WXI3" s="353"/>
      <c r="WXJ3" s="353"/>
      <c r="WXK3" s="353"/>
      <c r="WXL3" s="353"/>
      <c r="WXM3" s="353"/>
      <c r="WXN3" s="353"/>
      <c r="WXO3" s="353"/>
      <c r="WXP3" s="353"/>
      <c r="WXQ3" s="353"/>
      <c r="WXR3" s="353"/>
      <c r="WXS3" s="353"/>
      <c r="WXT3" s="353"/>
      <c r="WXU3" s="353"/>
      <c r="WXV3" s="353"/>
      <c r="WXW3" s="353"/>
      <c r="WXX3" s="353"/>
      <c r="WXY3" s="353"/>
      <c r="WXZ3" s="353"/>
      <c r="WYA3" s="353"/>
      <c r="WYB3" s="353"/>
      <c r="WYC3" s="353"/>
      <c r="WYD3" s="353"/>
      <c r="WYE3" s="353"/>
      <c r="WYF3" s="353"/>
      <c r="WYG3" s="353"/>
      <c r="WYH3" s="353"/>
      <c r="WYI3" s="353"/>
      <c r="WYJ3" s="353"/>
      <c r="WYK3" s="353"/>
      <c r="WYL3" s="353"/>
      <c r="WYM3" s="353"/>
      <c r="WYN3" s="353"/>
      <c r="WYO3" s="353"/>
      <c r="WYP3" s="353"/>
      <c r="WYQ3" s="353"/>
      <c r="WYR3" s="353"/>
      <c r="WYS3" s="353"/>
      <c r="WYT3" s="353"/>
      <c r="WYU3" s="353"/>
      <c r="WYV3" s="353"/>
      <c r="WYW3" s="353"/>
      <c r="WYX3" s="353"/>
      <c r="WYY3" s="353"/>
      <c r="WYZ3" s="353"/>
      <c r="WZA3" s="353"/>
      <c r="WZB3" s="353"/>
      <c r="WZC3" s="353"/>
      <c r="WZD3" s="353"/>
      <c r="WZE3" s="353"/>
      <c r="WZF3" s="353"/>
      <c r="WZG3" s="353"/>
      <c r="WZH3" s="353"/>
      <c r="WZI3" s="353"/>
      <c r="WZJ3" s="353"/>
      <c r="WZK3" s="353"/>
      <c r="WZL3" s="353"/>
      <c r="WZM3" s="353"/>
      <c r="WZN3" s="353"/>
      <c r="WZO3" s="353"/>
      <c r="WZP3" s="353"/>
      <c r="WZQ3" s="353"/>
      <c r="WZR3" s="353"/>
      <c r="WZS3" s="353"/>
      <c r="WZT3" s="353"/>
      <c r="WZU3" s="353"/>
      <c r="WZV3" s="353"/>
      <c r="WZW3" s="353"/>
      <c r="WZX3" s="353"/>
      <c r="WZY3" s="353"/>
      <c r="WZZ3" s="353"/>
      <c r="XAA3" s="353"/>
      <c r="XAB3" s="353"/>
      <c r="XAC3" s="353"/>
      <c r="XAD3" s="353"/>
      <c r="XAE3" s="353"/>
      <c r="XAF3" s="353"/>
      <c r="XAG3" s="353"/>
      <c r="XAH3" s="353"/>
      <c r="XAI3" s="353"/>
      <c r="XAJ3" s="353"/>
      <c r="XAK3" s="353"/>
      <c r="XAL3" s="353"/>
      <c r="XAM3" s="353"/>
      <c r="XAN3" s="353"/>
      <c r="XAO3" s="353"/>
      <c r="XAP3" s="353"/>
      <c r="XAQ3" s="353"/>
      <c r="XAR3" s="353"/>
      <c r="XAS3" s="353"/>
      <c r="XAT3" s="353"/>
      <c r="XAU3" s="353"/>
      <c r="XAV3" s="353"/>
      <c r="XAW3" s="353"/>
      <c r="XAX3" s="353"/>
      <c r="XAY3" s="353"/>
      <c r="XAZ3" s="353"/>
      <c r="XBA3" s="353"/>
      <c r="XBB3" s="353"/>
      <c r="XBC3" s="353"/>
      <c r="XBD3" s="353"/>
      <c r="XBE3" s="353"/>
      <c r="XBF3" s="353"/>
      <c r="XBG3" s="353"/>
      <c r="XBH3" s="353"/>
      <c r="XBI3" s="353"/>
      <c r="XBJ3" s="353"/>
      <c r="XBK3" s="353"/>
      <c r="XBL3" s="353"/>
      <c r="XBM3" s="353"/>
      <c r="XBN3" s="353"/>
      <c r="XBO3" s="353"/>
      <c r="XBP3" s="353"/>
      <c r="XBQ3" s="353"/>
      <c r="XBR3" s="353"/>
      <c r="XBS3" s="353"/>
      <c r="XBT3" s="353"/>
      <c r="XBU3" s="353"/>
      <c r="XBV3" s="353"/>
      <c r="XBW3" s="353"/>
      <c r="XBX3" s="353"/>
      <c r="XBY3" s="353"/>
      <c r="XBZ3" s="353"/>
      <c r="XCA3" s="353"/>
      <c r="XCB3" s="353"/>
      <c r="XCC3" s="353"/>
      <c r="XCD3" s="353"/>
      <c r="XCE3" s="353"/>
      <c r="XCF3" s="353"/>
      <c r="XCG3" s="353"/>
      <c r="XCH3" s="353"/>
      <c r="XCI3" s="353"/>
      <c r="XCJ3" s="353"/>
      <c r="XCK3" s="353"/>
      <c r="XCL3" s="353"/>
      <c r="XCM3" s="353"/>
      <c r="XCN3" s="353"/>
      <c r="XCO3" s="353"/>
      <c r="XCP3" s="353"/>
      <c r="XCQ3" s="353"/>
      <c r="XCR3" s="353"/>
      <c r="XCS3" s="353"/>
      <c r="XCT3" s="353"/>
      <c r="XCU3" s="353"/>
      <c r="XCV3" s="353"/>
      <c r="XCW3" s="353"/>
      <c r="XCX3" s="353"/>
      <c r="XCY3" s="353"/>
      <c r="XCZ3" s="353"/>
      <c r="XDA3" s="353"/>
      <c r="XDB3" s="353"/>
      <c r="XDC3" s="353"/>
      <c r="XDD3" s="353"/>
      <c r="XDE3" s="353"/>
      <c r="XDF3" s="353"/>
      <c r="XDG3" s="353"/>
      <c r="XDH3" s="353"/>
      <c r="XDI3" s="353"/>
      <c r="XDJ3" s="353"/>
      <c r="XDK3" s="353"/>
      <c r="XDL3" s="353"/>
      <c r="XDM3" s="353"/>
      <c r="XDN3" s="353"/>
      <c r="XDO3" s="353"/>
      <c r="XDP3" s="353"/>
      <c r="XDQ3" s="353"/>
      <c r="XDR3" s="353"/>
      <c r="XDS3" s="353"/>
      <c r="XDT3" s="353"/>
      <c r="XDU3" s="353"/>
      <c r="XDV3" s="353"/>
      <c r="XDW3" s="353"/>
      <c r="XDX3" s="353"/>
      <c r="XDY3" s="353"/>
      <c r="XDZ3" s="353"/>
      <c r="XEA3" s="353"/>
      <c r="XEB3" s="353"/>
      <c r="XEC3" s="353"/>
      <c r="XED3" s="353"/>
      <c r="XEE3" s="353"/>
      <c r="XEF3" s="353"/>
      <c r="XEG3" s="353"/>
      <c r="XEH3" s="353"/>
      <c r="XEI3" s="353"/>
      <c r="XEJ3" s="353"/>
      <c r="XEK3" s="353"/>
      <c r="XEL3" s="353"/>
      <c r="XEM3" s="353"/>
      <c r="XEN3" s="353"/>
      <c r="XEO3" s="353"/>
      <c r="XEP3" s="353"/>
      <c r="XEQ3" s="353"/>
      <c r="XER3" s="353"/>
      <c r="XES3" s="353"/>
      <c r="XET3" s="353"/>
      <c r="XEU3" s="353"/>
      <c r="XEV3" s="353"/>
      <c r="XEW3" s="353"/>
      <c r="XEX3" s="353"/>
      <c r="XEY3" s="353"/>
      <c r="XEZ3" s="353"/>
      <c r="XFA3" s="353"/>
      <c r="XFB3" s="353"/>
      <c r="XFC3" s="353"/>
      <c r="XFD3" s="353"/>
    </row>
    <row r="4" spans="2:16384" x14ac:dyDescent="0.25">
      <c r="I4" s="469"/>
      <c r="J4" s="469"/>
      <c r="X4" s="353"/>
      <c r="Y4" s="353"/>
      <c r="Z4" s="353"/>
      <c r="AA4" s="353"/>
      <c r="AB4" s="353"/>
      <c r="AC4" s="353"/>
      <c r="AD4" s="353"/>
      <c r="AE4" s="353"/>
      <c r="AF4" s="353"/>
      <c r="AG4" s="353"/>
      <c r="AH4" s="353"/>
      <c r="AI4" s="353"/>
      <c r="AJ4" s="353"/>
      <c r="AK4" s="353"/>
      <c r="AL4" s="353"/>
      <c r="AM4" s="353"/>
      <c r="AN4" s="353"/>
      <c r="AO4" s="353"/>
      <c r="AP4" s="353"/>
      <c r="AQ4" s="353"/>
      <c r="AR4" s="353"/>
      <c r="AS4" s="353"/>
      <c r="AT4" s="353"/>
      <c r="AU4" s="353"/>
      <c r="AV4" s="353"/>
      <c r="AW4" s="353"/>
      <c r="AX4" s="353"/>
      <c r="AY4" s="353"/>
      <c r="AZ4" s="353"/>
      <c r="BA4" s="353"/>
      <c r="BB4" s="353"/>
      <c r="BC4" s="353"/>
      <c r="BD4" s="353"/>
      <c r="BE4" s="353"/>
      <c r="BF4" s="353"/>
      <c r="BG4" s="353"/>
      <c r="BH4" s="353"/>
      <c r="BI4" s="353"/>
      <c r="BJ4" s="353"/>
      <c r="BK4" s="353"/>
      <c r="BL4" s="353"/>
      <c r="BM4" s="353"/>
      <c r="BN4" s="353"/>
      <c r="BO4" s="353"/>
      <c r="BP4" s="353"/>
      <c r="BQ4" s="353"/>
      <c r="BR4" s="353"/>
      <c r="BS4" s="353"/>
      <c r="BT4" s="353"/>
      <c r="BU4" s="353"/>
      <c r="BV4" s="353"/>
      <c r="BW4" s="353"/>
      <c r="BX4" s="353"/>
      <c r="BY4" s="353"/>
      <c r="BZ4" s="353"/>
      <c r="CA4" s="353"/>
      <c r="CB4" s="353"/>
      <c r="CC4" s="353"/>
      <c r="CD4" s="353"/>
      <c r="CE4" s="353"/>
      <c r="CF4" s="353"/>
      <c r="CG4" s="353"/>
      <c r="CH4" s="353"/>
      <c r="CI4" s="353"/>
      <c r="CJ4" s="353"/>
      <c r="CK4" s="353"/>
      <c r="CL4" s="353"/>
      <c r="CM4" s="353"/>
      <c r="CN4" s="353"/>
      <c r="CO4" s="353"/>
      <c r="CP4" s="353"/>
      <c r="CQ4" s="353"/>
      <c r="CR4" s="353"/>
      <c r="CS4" s="353"/>
      <c r="CT4" s="353"/>
      <c r="CU4" s="353"/>
      <c r="CV4" s="353"/>
      <c r="CW4" s="353"/>
      <c r="CX4" s="353"/>
      <c r="CY4" s="353"/>
      <c r="CZ4" s="353"/>
      <c r="DA4" s="353"/>
      <c r="DB4" s="353"/>
      <c r="DC4" s="353"/>
      <c r="DD4" s="353"/>
      <c r="DE4" s="353"/>
      <c r="DF4" s="353"/>
      <c r="DG4" s="353"/>
      <c r="DH4" s="353"/>
      <c r="DI4" s="353"/>
      <c r="DJ4" s="353"/>
      <c r="DK4" s="353"/>
      <c r="DL4" s="353"/>
      <c r="DM4" s="353"/>
      <c r="DN4" s="353"/>
      <c r="DO4" s="353"/>
      <c r="DP4" s="353"/>
      <c r="DQ4" s="353"/>
      <c r="DR4" s="353"/>
      <c r="DS4" s="353"/>
      <c r="DT4" s="353"/>
      <c r="DU4" s="353"/>
      <c r="DV4" s="353"/>
      <c r="DW4" s="353"/>
      <c r="DX4" s="353"/>
      <c r="DY4" s="353"/>
      <c r="DZ4" s="353"/>
      <c r="EA4" s="353"/>
      <c r="EB4" s="353"/>
      <c r="EC4" s="353"/>
      <c r="ED4" s="353"/>
      <c r="EE4" s="353"/>
      <c r="EF4" s="353"/>
      <c r="EG4" s="353"/>
      <c r="EH4" s="353"/>
      <c r="EI4" s="353"/>
      <c r="EJ4" s="353"/>
      <c r="EK4" s="353"/>
      <c r="EL4" s="353"/>
      <c r="EM4" s="353"/>
      <c r="EN4" s="353"/>
      <c r="EO4" s="353"/>
      <c r="EP4" s="353"/>
      <c r="EQ4" s="353"/>
      <c r="ER4" s="353"/>
      <c r="ES4" s="353"/>
      <c r="ET4" s="353"/>
      <c r="EU4" s="353"/>
      <c r="EV4" s="353"/>
      <c r="EW4" s="353"/>
      <c r="EX4" s="353"/>
      <c r="EY4" s="353"/>
      <c r="EZ4" s="353"/>
      <c r="FA4" s="353"/>
      <c r="FB4" s="353"/>
      <c r="FC4" s="353"/>
      <c r="FD4" s="353"/>
      <c r="FE4" s="353"/>
      <c r="FF4" s="353"/>
      <c r="FG4" s="353"/>
      <c r="FH4" s="353"/>
      <c r="FI4" s="353"/>
      <c r="FJ4" s="353"/>
      <c r="FK4" s="353"/>
      <c r="FL4" s="353"/>
      <c r="FM4" s="353"/>
      <c r="FN4" s="353"/>
      <c r="FO4" s="353"/>
      <c r="FP4" s="353"/>
      <c r="FQ4" s="353"/>
      <c r="FR4" s="353"/>
      <c r="FS4" s="353"/>
      <c r="FT4" s="353"/>
      <c r="FU4" s="353"/>
      <c r="FV4" s="353"/>
      <c r="FW4" s="353"/>
      <c r="FX4" s="353"/>
      <c r="FY4" s="353"/>
      <c r="FZ4" s="353"/>
      <c r="GA4" s="353"/>
      <c r="GB4" s="353"/>
      <c r="GC4" s="353"/>
      <c r="GD4" s="353"/>
      <c r="GE4" s="353"/>
      <c r="GF4" s="353"/>
      <c r="GG4" s="353"/>
      <c r="GH4" s="353"/>
      <c r="GI4" s="353"/>
      <c r="GJ4" s="353"/>
      <c r="GK4" s="353"/>
      <c r="GL4" s="353"/>
      <c r="GM4" s="353"/>
      <c r="GN4" s="353"/>
      <c r="GO4" s="353"/>
      <c r="GP4" s="353"/>
      <c r="GQ4" s="353"/>
      <c r="GR4" s="353"/>
      <c r="GS4" s="353"/>
      <c r="GT4" s="353"/>
      <c r="GU4" s="353"/>
      <c r="GV4" s="353"/>
      <c r="GW4" s="353"/>
      <c r="GX4" s="353"/>
      <c r="GY4" s="353"/>
      <c r="GZ4" s="353"/>
      <c r="HA4" s="353"/>
      <c r="HB4" s="353"/>
      <c r="HC4" s="353"/>
      <c r="HD4" s="353"/>
      <c r="HE4" s="353"/>
      <c r="HF4" s="353"/>
      <c r="HG4" s="353"/>
      <c r="HH4" s="353"/>
      <c r="HI4" s="353"/>
      <c r="HJ4" s="353"/>
      <c r="HK4" s="353"/>
      <c r="HL4" s="353"/>
      <c r="HM4" s="353"/>
      <c r="HN4" s="353"/>
      <c r="HO4" s="353"/>
      <c r="HP4" s="353"/>
      <c r="HQ4" s="353"/>
      <c r="HR4" s="353"/>
      <c r="HS4" s="353"/>
      <c r="HT4" s="353"/>
      <c r="HU4" s="353"/>
      <c r="HV4" s="353"/>
      <c r="HW4" s="353"/>
      <c r="HX4" s="353"/>
      <c r="HY4" s="353"/>
      <c r="HZ4" s="353"/>
      <c r="IA4" s="353"/>
      <c r="IB4" s="353"/>
      <c r="IC4" s="353"/>
      <c r="ID4" s="353"/>
      <c r="IE4" s="353"/>
      <c r="IF4" s="353"/>
      <c r="IG4" s="353"/>
      <c r="IH4" s="353"/>
      <c r="II4" s="353"/>
      <c r="IJ4" s="353"/>
      <c r="IK4" s="353"/>
      <c r="IL4" s="353"/>
      <c r="IM4" s="353"/>
      <c r="IN4" s="353"/>
      <c r="IO4" s="353"/>
      <c r="IP4" s="353"/>
      <c r="IQ4" s="353"/>
      <c r="IR4" s="353"/>
      <c r="IS4" s="353"/>
      <c r="IT4" s="353"/>
      <c r="IU4" s="353"/>
      <c r="IV4" s="353"/>
      <c r="IW4" s="353"/>
      <c r="IX4" s="353"/>
      <c r="IY4" s="353"/>
      <c r="IZ4" s="353"/>
      <c r="JA4" s="353"/>
      <c r="JB4" s="353"/>
      <c r="JC4" s="353"/>
      <c r="JD4" s="353"/>
      <c r="JE4" s="353"/>
      <c r="JF4" s="353"/>
      <c r="JG4" s="353"/>
      <c r="JH4" s="353"/>
      <c r="JI4" s="353"/>
      <c r="JJ4" s="353"/>
      <c r="JK4" s="353"/>
      <c r="JL4" s="353"/>
      <c r="JM4" s="353"/>
      <c r="JN4" s="353"/>
      <c r="JO4" s="353"/>
      <c r="JP4" s="353"/>
      <c r="JQ4" s="353"/>
      <c r="JR4" s="353"/>
      <c r="JS4" s="353"/>
      <c r="JT4" s="353"/>
      <c r="JU4" s="353"/>
      <c r="JV4" s="353"/>
      <c r="JW4" s="353"/>
      <c r="JX4" s="353"/>
      <c r="JY4" s="353"/>
      <c r="JZ4" s="353"/>
      <c r="KA4" s="353"/>
      <c r="KB4" s="353"/>
      <c r="KC4" s="353"/>
      <c r="KD4" s="353"/>
      <c r="KE4" s="353"/>
      <c r="KF4" s="353"/>
      <c r="KG4" s="353"/>
      <c r="KH4" s="353"/>
      <c r="KI4" s="353"/>
      <c r="KJ4" s="353"/>
      <c r="KK4" s="353"/>
      <c r="KL4" s="353"/>
      <c r="KM4" s="353"/>
      <c r="KN4" s="353"/>
      <c r="KO4" s="353"/>
      <c r="KP4" s="353"/>
      <c r="KQ4" s="353"/>
      <c r="KR4" s="353"/>
      <c r="KS4" s="353"/>
      <c r="KT4" s="353"/>
      <c r="KU4" s="353"/>
      <c r="KV4" s="353"/>
      <c r="KW4" s="353"/>
      <c r="KX4" s="353"/>
      <c r="KY4" s="353"/>
      <c r="KZ4" s="353"/>
      <c r="LA4" s="353"/>
      <c r="LB4" s="353"/>
      <c r="LC4" s="353"/>
      <c r="LD4" s="353"/>
      <c r="LE4" s="353"/>
      <c r="LF4" s="353"/>
      <c r="LG4" s="353"/>
      <c r="LH4" s="353"/>
      <c r="LI4" s="353"/>
      <c r="LJ4" s="353"/>
      <c r="LK4" s="353"/>
      <c r="LL4" s="353"/>
      <c r="LM4" s="353"/>
      <c r="LN4" s="353"/>
      <c r="LO4" s="353"/>
      <c r="LP4" s="353"/>
      <c r="LQ4" s="353"/>
      <c r="LR4" s="353"/>
      <c r="LS4" s="353"/>
      <c r="LT4" s="353"/>
      <c r="LU4" s="353"/>
      <c r="LV4" s="353"/>
      <c r="LW4" s="353"/>
      <c r="LX4" s="353"/>
      <c r="LY4" s="353"/>
      <c r="LZ4" s="353"/>
      <c r="MA4" s="353"/>
      <c r="MB4" s="353"/>
      <c r="MC4" s="353"/>
      <c r="MD4" s="353"/>
      <c r="ME4" s="353"/>
      <c r="MF4" s="353"/>
      <c r="MG4" s="353"/>
      <c r="MH4" s="353"/>
      <c r="MI4" s="353"/>
      <c r="MJ4" s="353"/>
      <c r="MK4" s="353"/>
      <c r="ML4" s="353"/>
      <c r="MM4" s="353"/>
      <c r="MN4" s="353"/>
      <c r="MO4" s="353"/>
      <c r="MP4" s="353"/>
      <c r="MQ4" s="353"/>
      <c r="MR4" s="353"/>
      <c r="MS4" s="353"/>
      <c r="MT4" s="353"/>
      <c r="MU4" s="353"/>
      <c r="MV4" s="353"/>
      <c r="MW4" s="353"/>
      <c r="MX4" s="353"/>
      <c r="MY4" s="353"/>
      <c r="MZ4" s="353"/>
      <c r="NA4" s="353"/>
      <c r="NB4" s="353"/>
      <c r="NC4" s="353"/>
      <c r="ND4" s="353"/>
      <c r="NE4" s="353"/>
      <c r="NF4" s="353"/>
      <c r="NG4" s="353"/>
      <c r="NH4" s="353"/>
      <c r="NI4" s="353"/>
      <c r="NJ4" s="353"/>
      <c r="NK4" s="353"/>
      <c r="NL4" s="353"/>
      <c r="NM4" s="353"/>
      <c r="NN4" s="353"/>
      <c r="NO4" s="353"/>
      <c r="NP4" s="353"/>
      <c r="NQ4" s="353"/>
      <c r="NR4" s="353"/>
      <c r="NS4" s="353"/>
      <c r="NT4" s="353"/>
      <c r="NU4" s="353"/>
      <c r="NV4" s="353"/>
      <c r="NW4" s="353"/>
      <c r="NX4" s="353"/>
      <c r="NY4" s="353"/>
      <c r="NZ4" s="353"/>
      <c r="OA4" s="353"/>
      <c r="OB4" s="353"/>
      <c r="OC4" s="353"/>
      <c r="OD4" s="353"/>
      <c r="OE4" s="353"/>
      <c r="OF4" s="353"/>
      <c r="OG4" s="353"/>
      <c r="OH4" s="353"/>
      <c r="OI4" s="353"/>
      <c r="OJ4" s="353"/>
      <c r="OK4" s="353"/>
      <c r="OL4" s="353"/>
      <c r="OM4" s="353"/>
      <c r="ON4" s="353"/>
      <c r="OO4" s="353"/>
      <c r="OP4" s="353"/>
      <c r="OQ4" s="353"/>
      <c r="OR4" s="353"/>
      <c r="OS4" s="353"/>
      <c r="OT4" s="353"/>
      <c r="OU4" s="353"/>
      <c r="OV4" s="353"/>
      <c r="OW4" s="353"/>
      <c r="OX4" s="353"/>
      <c r="OY4" s="353"/>
      <c r="OZ4" s="353"/>
      <c r="PA4" s="353"/>
      <c r="PB4" s="353"/>
      <c r="PC4" s="353"/>
      <c r="PD4" s="353"/>
      <c r="PE4" s="353"/>
      <c r="PF4" s="353"/>
      <c r="PG4" s="353"/>
      <c r="PH4" s="353"/>
      <c r="PI4" s="353"/>
      <c r="PJ4" s="353"/>
      <c r="PK4" s="353"/>
      <c r="PL4" s="353"/>
      <c r="PM4" s="353"/>
      <c r="PN4" s="353"/>
      <c r="PO4" s="353"/>
      <c r="PP4" s="353"/>
      <c r="PQ4" s="353"/>
      <c r="PR4" s="353"/>
      <c r="PS4" s="353"/>
      <c r="PT4" s="353"/>
      <c r="PU4" s="353"/>
      <c r="PV4" s="353"/>
      <c r="PW4" s="353"/>
      <c r="PX4" s="353"/>
      <c r="PY4" s="353"/>
      <c r="PZ4" s="353"/>
      <c r="QA4" s="353"/>
      <c r="QB4" s="353"/>
      <c r="QC4" s="353"/>
      <c r="QD4" s="353"/>
      <c r="QE4" s="353"/>
      <c r="QF4" s="353"/>
      <c r="QG4" s="353"/>
      <c r="QH4" s="353"/>
      <c r="QI4" s="353"/>
      <c r="QJ4" s="353"/>
      <c r="QK4" s="353"/>
      <c r="QL4" s="353"/>
      <c r="QM4" s="353"/>
      <c r="QN4" s="353"/>
      <c r="QO4" s="353"/>
      <c r="QP4" s="353"/>
      <c r="QQ4" s="353"/>
      <c r="QR4" s="353"/>
      <c r="QS4" s="353"/>
      <c r="QT4" s="353"/>
      <c r="QU4" s="353"/>
      <c r="QV4" s="353"/>
      <c r="QW4" s="353"/>
      <c r="QX4" s="353"/>
      <c r="QY4" s="353"/>
      <c r="QZ4" s="353"/>
      <c r="RA4" s="353"/>
      <c r="RB4" s="353"/>
      <c r="RC4" s="353"/>
      <c r="RD4" s="353"/>
      <c r="RE4" s="353"/>
      <c r="RF4" s="353"/>
      <c r="RG4" s="353"/>
      <c r="RH4" s="353"/>
      <c r="RI4" s="353"/>
      <c r="RJ4" s="353"/>
      <c r="RK4" s="353"/>
      <c r="RL4" s="353"/>
      <c r="RM4" s="353"/>
      <c r="RN4" s="353"/>
      <c r="RO4" s="353"/>
      <c r="RP4" s="353"/>
      <c r="RQ4" s="353"/>
      <c r="RR4" s="353"/>
      <c r="RS4" s="353"/>
      <c r="RT4" s="353"/>
      <c r="RU4" s="353"/>
      <c r="RV4" s="353"/>
      <c r="RW4" s="353"/>
      <c r="RX4" s="353"/>
      <c r="RY4" s="353"/>
      <c r="RZ4" s="353"/>
      <c r="SA4" s="353"/>
      <c r="SB4" s="353"/>
      <c r="SC4" s="353"/>
      <c r="SD4" s="353"/>
      <c r="SE4" s="353"/>
      <c r="SF4" s="353"/>
      <c r="SG4" s="353"/>
      <c r="SH4" s="353"/>
      <c r="SI4" s="353"/>
      <c r="SJ4" s="353"/>
      <c r="SK4" s="353"/>
      <c r="SL4" s="353"/>
      <c r="SM4" s="353"/>
      <c r="SN4" s="353"/>
      <c r="SO4" s="353"/>
      <c r="SP4" s="353"/>
      <c r="SQ4" s="353"/>
      <c r="SR4" s="353"/>
      <c r="SS4" s="353"/>
      <c r="ST4" s="353"/>
      <c r="SU4" s="353"/>
      <c r="SV4" s="353"/>
      <c r="SW4" s="353"/>
      <c r="SX4" s="353"/>
      <c r="SY4" s="353"/>
      <c r="SZ4" s="353"/>
      <c r="TA4" s="353"/>
      <c r="TB4" s="353"/>
      <c r="TC4" s="353"/>
      <c r="TD4" s="353"/>
      <c r="TE4" s="353"/>
      <c r="TF4" s="353"/>
      <c r="TG4" s="353"/>
      <c r="TH4" s="353"/>
      <c r="TI4" s="353"/>
      <c r="TJ4" s="353"/>
      <c r="TK4" s="353"/>
      <c r="TL4" s="353"/>
      <c r="TM4" s="353"/>
      <c r="TN4" s="353"/>
      <c r="TO4" s="353"/>
      <c r="TP4" s="353"/>
      <c r="TQ4" s="353"/>
      <c r="TR4" s="353"/>
      <c r="TS4" s="353"/>
      <c r="TT4" s="353"/>
      <c r="TU4" s="353"/>
      <c r="TV4" s="353"/>
      <c r="TW4" s="353"/>
      <c r="TX4" s="353"/>
      <c r="TY4" s="353"/>
      <c r="TZ4" s="353"/>
      <c r="UA4" s="353"/>
      <c r="UB4" s="353"/>
      <c r="UC4" s="353"/>
      <c r="UD4" s="353"/>
      <c r="UE4" s="353"/>
      <c r="UF4" s="353"/>
      <c r="UG4" s="353"/>
      <c r="UH4" s="353"/>
      <c r="UI4" s="353"/>
      <c r="UJ4" s="353"/>
      <c r="UK4" s="353"/>
      <c r="UL4" s="353"/>
      <c r="UM4" s="353"/>
      <c r="UN4" s="353"/>
      <c r="UO4" s="353"/>
      <c r="UP4" s="353"/>
      <c r="UQ4" s="353"/>
      <c r="UR4" s="353"/>
      <c r="US4" s="353"/>
      <c r="UT4" s="353"/>
      <c r="UU4" s="353"/>
      <c r="UV4" s="353"/>
      <c r="UW4" s="353"/>
      <c r="UX4" s="353"/>
      <c r="UY4" s="353"/>
      <c r="UZ4" s="353"/>
      <c r="VA4" s="353"/>
      <c r="VB4" s="353"/>
      <c r="VC4" s="353"/>
      <c r="VD4" s="353"/>
      <c r="VE4" s="353"/>
      <c r="VF4" s="353"/>
      <c r="VG4" s="353"/>
      <c r="VH4" s="353"/>
      <c r="VI4" s="353"/>
      <c r="VJ4" s="353"/>
      <c r="VK4" s="353"/>
      <c r="VL4" s="353"/>
      <c r="VM4" s="353"/>
      <c r="VN4" s="353"/>
      <c r="VO4" s="353"/>
      <c r="VP4" s="353"/>
      <c r="VQ4" s="353"/>
      <c r="VR4" s="353"/>
      <c r="VS4" s="353"/>
      <c r="VT4" s="353"/>
      <c r="VU4" s="353"/>
      <c r="VV4" s="353"/>
      <c r="VW4" s="353"/>
      <c r="VX4" s="353"/>
      <c r="VY4" s="353"/>
      <c r="VZ4" s="353"/>
      <c r="WA4" s="353"/>
      <c r="WB4" s="353"/>
      <c r="WC4" s="353"/>
      <c r="WD4" s="353"/>
      <c r="WE4" s="353"/>
      <c r="WF4" s="353"/>
      <c r="WG4" s="353"/>
      <c r="WH4" s="353"/>
      <c r="WI4" s="353"/>
      <c r="WJ4" s="353"/>
      <c r="WK4" s="353"/>
      <c r="WL4" s="353"/>
      <c r="WM4" s="353"/>
      <c r="WN4" s="353"/>
      <c r="WO4" s="353"/>
      <c r="WP4" s="353"/>
      <c r="WQ4" s="353"/>
      <c r="WR4" s="353"/>
      <c r="WS4" s="353"/>
      <c r="WT4" s="353"/>
      <c r="WU4" s="353"/>
      <c r="WV4" s="353"/>
      <c r="WW4" s="353"/>
      <c r="WX4" s="353"/>
      <c r="WY4" s="353"/>
      <c r="WZ4" s="353"/>
      <c r="XA4" s="353"/>
      <c r="XB4" s="353"/>
      <c r="XC4" s="353"/>
      <c r="XD4" s="353"/>
      <c r="XE4" s="353"/>
      <c r="XF4" s="353"/>
      <c r="XG4" s="353"/>
      <c r="XH4" s="353"/>
      <c r="XI4" s="353"/>
      <c r="XJ4" s="353"/>
      <c r="XK4" s="353"/>
      <c r="XL4" s="353"/>
      <c r="XM4" s="353"/>
      <c r="XN4" s="353"/>
      <c r="XO4" s="353"/>
      <c r="XP4" s="353"/>
      <c r="XQ4" s="353"/>
      <c r="XR4" s="353"/>
      <c r="XS4" s="353"/>
      <c r="XT4" s="353"/>
      <c r="XU4" s="353"/>
      <c r="XV4" s="353"/>
      <c r="XW4" s="353"/>
      <c r="XX4" s="353"/>
      <c r="XY4" s="353"/>
      <c r="XZ4" s="353"/>
      <c r="YA4" s="353"/>
      <c r="YB4" s="353"/>
      <c r="YC4" s="353"/>
      <c r="YD4" s="353"/>
      <c r="YE4" s="353"/>
      <c r="YF4" s="353"/>
      <c r="YG4" s="353"/>
      <c r="YH4" s="353"/>
      <c r="YI4" s="353"/>
      <c r="YJ4" s="353"/>
      <c r="YK4" s="353"/>
      <c r="YL4" s="353"/>
      <c r="YM4" s="353"/>
      <c r="YN4" s="353"/>
      <c r="YO4" s="353"/>
      <c r="YP4" s="353"/>
      <c r="YQ4" s="353"/>
      <c r="YR4" s="353"/>
      <c r="YS4" s="353"/>
      <c r="YT4" s="353"/>
      <c r="YU4" s="353"/>
      <c r="YV4" s="353"/>
      <c r="YW4" s="353"/>
      <c r="YX4" s="353"/>
      <c r="YY4" s="353"/>
      <c r="YZ4" s="353"/>
      <c r="ZA4" s="353"/>
      <c r="ZB4" s="353"/>
      <c r="ZC4" s="353"/>
      <c r="ZD4" s="353"/>
      <c r="ZE4" s="353"/>
      <c r="ZF4" s="353"/>
      <c r="ZG4" s="353"/>
      <c r="ZH4" s="353"/>
      <c r="ZI4" s="353"/>
      <c r="ZJ4" s="353"/>
      <c r="ZK4" s="353"/>
      <c r="ZL4" s="353"/>
      <c r="ZM4" s="353"/>
      <c r="ZN4" s="353"/>
      <c r="ZO4" s="353"/>
      <c r="ZP4" s="353"/>
      <c r="ZQ4" s="353"/>
      <c r="ZR4" s="353"/>
      <c r="ZS4" s="353"/>
      <c r="ZT4" s="353"/>
      <c r="ZU4" s="353"/>
      <c r="ZV4" s="353"/>
      <c r="ZW4" s="353"/>
      <c r="ZX4" s="353"/>
      <c r="ZY4" s="353"/>
      <c r="ZZ4" s="353"/>
      <c r="AAA4" s="353"/>
      <c r="AAB4" s="353"/>
      <c r="AAC4" s="353"/>
      <c r="AAD4" s="353"/>
      <c r="AAE4" s="353"/>
      <c r="AAF4" s="353"/>
      <c r="AAG4" s="353"/>
      <c r="AAH4" s="353"/>
      <c r="AAI4" s="353"/>
      <c r="AAJ4" s="353"/>
      <c r="AAK4" s="353"/>
      <c r="AAL4" s="353"/>
      <c r="AAM4" s="353"/>
      <c r="AAN4" s="353"/>
      <c r="AAO4" s="353"/>
      <c r="AAP4" s="353"/>
      <c r="AAQ4" s="353"/>
      <c r="AAR4" s="353"/>
      <c r="AAS4" s="353"/>
      <c r="AAT4" s="353"/>
      <c r="AAU4" s="353"/>
      <c r="AAV4" s="353"/>
      <c r="AAW4" s="353"/>
      <c r="AAX4" s="353"/>
      <c r="AAY4" s="353"/>
      <c r="AAZ4" s="353"/>
      <c r="ABA4" s="353"/>
      <c r="ABB4" s="353"/>
      <c r="ABC4" s="353"/>
      <c r="ABD4" s="353"/>
      <c r="ABE4" s="353"/>
      <c r="ABF4" s="353"/>
      <c r="ABG4" s="353"/>
      <c r="ABH4" s="353"/>
      <c r="ABI4" s="353"/>
      <c r="ABJ4" s="353"/>
      <c r="ABK4" s="353"/>
      <c r="ABL4" s="353"/>
      <c r="ABM4" s="353"/>
      <c r="ABN4" s="353"/>
      <c r="ABO4" s="353"/>
      <c r="ABP4" s="353"/>
      <c r="ABQ4" s="353"/>
      <c r="ABR4" s="353"/>
      <c r="ABS4" s="353"/>
      <c r="ABT4" s="353"/>
      <c r="ABU4" s="353"/>
      <c r="ABV4" s="353"/>
      <c r="ABW4" s="353"/>
      <c r="ABX4" s="353"/>
      <c r="ABY4" s="353"/>
      <c r="ABZ4" s="353"/>
      <c r="ACA4" s="353"/>
      <c r="ACB4" s="353"/>
      <c r="ACC4" s="353"/>
      <c r="ACD4" s="353"/>
      <c r="ACE4" s="353"/>
      <c r="ACF4" s="353"/>
      <c r="ACG4" s="353"/>
      <c r="ACH4" s="353"/>
      <c r="ACI4" s="353"/>
      <c r="ACJ4" s="353"/>
      <c r="ACK4" s="353"/>
      <c r="ACL4" s="353"/>
      <c r="ACM4" s="353"/>
      <c r="ACN4" s="353"/>
      <c r="ACO4" s="353"/>
      <c r="ACP4" s="353"/>
      <c r="ACQ4" s="353"/>
      <c r="ACR4" s="353"/>
      <c r="ACS4" s="353"/>
      <c r="ACT4" s="353"/>
      <c r="ACU4" s="353"/>
      <c r="ACV4" s="353"/>
      <c r="ACW4" s="353"/>
      <c r="ACX4" s="353"/>
      <c r="ACY4" s="353"/>
      <c r="ACZ4" s="353"/>
      <c r="ADA4" s="353"/>
      <c r="ADB4" s="353"/>
      <c r="ADC4" s="353"/>
      <c r="ADD4" s="353"/>
      <c r="ADE4" s="353"/>
      <c r="ADF4" s="353"/>
      <c r="ADG4" s="353"/>
      <c r="ADH4" s="353"/>
      <c r="ADI4" s="353"/>
      <c r="ADJ4" s="353"/>
      <c r="ADK4" s="353"/>
      <c r="ADL4" s="353"/>
      <c r="ADM4" s="353"/>
      <c r="ADN4" s="353"/>
      <c r="ADO4" s="353"/>
      <c r="ADP4" s="353"/>
      <c r="ADQ4" s="353"/>
      <c r="ADR4" s="353"/>
      <c r="ADS4" s="353"/>
      <c r="ADT4" s="353"/>
      <c r="ADU4" s="353"/>
      <c r="ADV4" s="353"/>
      <c r="ADW4" s="353"/>
      <c r="ADX4" s="353"/>
      <c r="ADY4" s="353"/>
      <c r="ADZ4" s="353"/>
      <c r="AEA4" s="353"/>
      <c r="AEB4" s="353"/>
      <c r="AEC4" s="353"/>
      <c r="AED4" s="353"/>
      <c r="AEE4" s="353"/>
      <c r="AEF4" s="353"/>
      <c r="AEG4" s="353"/>
      <c r="AEH4" s="353"/>
      <c r="AEI4" s="353"/>
      <c r="AEJ4" s="353"/>
      <c r="AEK4" s="353"/>
      <c r="AEL4" s="353"/>
      <c r="AEM4" s="353"/>
      <c r="AEN4" s="353"/>
      <c r="AEO4" s="353"/>
      <c r="AEP4" s="353"/>
      <c r="AEQ4" s="353"/>
      <c r="AER4" s="353"/>
      <c r="AES4" s="353"/>
      <c r="AET4" s="353"/>
      <c r="AEU4" s="353"/>
      <c r="AEV4" s="353"/>
      <c r="AEW4" s="353"/>
      <c r="AEX4" s="353"/>
      <c r="AEY4" s="353"/>
      <c r="AEZ4" s="353"/>
      <c r="AFA4" s="353"/>
      <c r="AFB4" s="353"/>
      <c r="AFC4" s="353"/>
      <c r="AFD4" s="353"/>
      <c r="AFE4" s="353"/>
      <c r="AFF4" s="353"/>
      <c r="AFG4" s="353"/>
      <c r="AFH4" s="353"/>
      <c r="AFI4" s="353"/>
      <c r="AFJ4" s="353"/>
      <c r="AFK4" s="353"/>
      <c r="AFL4" s="353"/>
      <c r="AFM4" s="353"/>
      <c r="AFN4" s="353"/>
      <c r="AFO4" s="353"/>
      <c r="AFP4" s="353"/>
      <c r="AFQ4" s="353"/>
      <c r="AFR4" s="353"/>
      <c r="AFS4" s="353"/>
      <c r="AFT4" s="353"/>
      <c r="AFU4" s="353"/>
      <c r="AFV4" s="353"/>
      <c r="AFW4" s="353"/>
      <c r="AFX4" s="353"/>
      <c r="AFY4" s="353"/>
      <c r="AFZ4" s="353"/>
      <c r="AGA4" s="353"/>
      <c r="AGB4" s="353"/>
      <c r="AGC4" s="353"/>
      <c r="AGD4" s="353"/>
      <c r="AGE4" s="353"/>
      <c r="AGF4" s="353"/>
      <c r="AGG4" s="353"/>
      <c r="AGH4" s="353"/>
      <c r="AGI4" s="353"/>
      <c r="AGJ4" s="353"/>
      <c r="AGK4" s="353"/>
      <c r="AGL4" s="353"/>
      <c r="AGM4" s="353"/>
      <c r="AGN4" s="353"/>
      <c r="AGO4" s="353"/>
      <c r="AGP4" s="353"/>
      <c r="AGQ4" s="353"/>
      <c r="AGR4" s="353"/>
      <c r="AGS4" s="353"/>
      <c r="AGT4" s="353"/>
      <c r="AGU4" s="353"/>
      <c r="AGV4" s="353"/>
      <c r="AGW4" s="353"/>
      <c r="AGX4" s="353"/>
      <c r="AGY4" s="353"/>
      <c r="AGZ4" s="353"/>
      <c r="AHA4" s="353"/>
      <c r="AHB4" s="353"/>
      <c r="AHC4" s="353"/>
      <c r="AHD4" s="353"/>
      <c r="AHE4" s="353"/>
      <c r="AHF4" s="353"/>
      <c r="AHG4" s="353"/>
      <c r="AHH4" s="353"/>
      <c r="AHI4" s="353"/>
      <c r="AHJ4" s="353"/>
      <c r="AHK4" s="353"/>
      <c r="AHL4" s="353"/>
      <c r="AHM4" s="353"/>
      <c r="AHN4" s="353"/>
      <c r="AHO4" s="353"/>
      <c r="AHP4" s="353"/>
      <c r="AHQ4" s="353"/>
      <c r="AHR4" s="353"/>
      <c r="AHS4" s="353"/>
      <c r="AHT4" s="353"/>
      <c r="AHU4" s="353"/>
      <c r="AHV4" s="353"/>
      <c r="AHW4" s="353"/>
      <c r="AHX4" s="353"/>
      <c r="AHY4" s="353"/>
      <c r="AHZ4" s="353"/>
      <c r="AIA4" s="353"/>
      <c r="AIB4" s="353"/>
      <c r="AIC4" s="353"/>
      <c r="AID4" s="353"/>
      <c r="AIE4" s="353"/>
      <c r="AIF4" s="353"/>
      <c r="AIG4" s="353"/>
      <c r="AIH4" s="353"/>
      <c r="AII4" s="353"/>
      <c r="AIJ4" s="353"/>
      <c r="AIK4" s="353"/>
      <c r="AIL4" s="353"/>
      <c r="AIM4" s="353"/>
      <c r="AIN4" s="353"/>
      <c r="AIO4" s="353"/>
      <c r="AIP4" s="353"/>
      <c r="AIQ4" s="353"/>
      <c r="AIR4" s="353"/>
      <c r="AIS4" s="353"/>
      <c r="AIT4" s="353"/>
      <c r="AIU4" s="353"/>
      <c r="AIV4" s="353"/>
      <c r="AIW4" s="353"/>
      <c r="AIX4" s="353"/>
      <c r="AIY4" s="353"/>
      <c r="AIZ4" s="353"/>
      <c r="AJA4" s="353"/>
      <c r="AJB4" s="353"/>
      <c r="AJC4" s="353"/>
      <c r="AJD4" s="353"/>
      <c r="AJE4" s="353"/>
      <c r="AJF4" s="353"/>
      <c r="AJG4" s="353"/>
      <c r="AJH4" s="353"/>
      <c r="AJI4" s="353"/>
      <c r="AJJ4" s="353"/>
      <c r="AJK4" s="353"/>
      <c r="AJL4" s="353"/>
      <c r="AJM4" s="353"/>
      <c r="AJN4" s="353"/>
      <c r="AJO4" s="353"/>
      <c r="AJP4" s="353"/>
      <c r="AJQ4" s="353"/>
      <c r="AJR4" s="353"/>
      <c r="AJS4" s="353"/>
      <c r="AJT4" s="353"/>
      <c r="AJU4" s="353"/>
      <c r="AJV4" s="353"/>
      <c r="AJW4" s="353"/>
      <c r="AJX4" s="353"/>
      <c r="AJY4" s="353"/>
      <c r="AJZ4" s="353"/>
      <c r="AKA4" s="353"/>
      <c r="AKB4" s="353"/>
      <c r="AKC4" s="353"/>
      <c r="AKD4" s="353"/>
      <c r="AKE4" s="353"/>
      <c r="AKF4" s="353"/>
      <c r="AKG4" s="353"/>
      <c r="AKH4" s="353"/>
      <c r="AKI4" s="353"/>
      <c r="AKJ4" s="353"/>
      <c r="AKK4" s="353"/>
      <c r="AKL4" s="353"/>
      <c r="AKM4" s="353"/>
      <c r="AKN4" s="353"/>
      <c r="AKO4" s="353"/>
      <c r="AKP4" s="353"/>
      <c r="AKQ4" s="353"/>
      <c r="AKR4" s="353"/>
      <c r="AKS4" s="353"/>
      <c r="AKT4" s="353"/>
      <c r="AKU4" s="353"/>
      <c r="AKV4" s="353"/>
      <c r="AKW4" s="353"/>
      <c r="AKX4" s="353"/>
      <c r="AKY4" s="353"/>
      <c r="AKZ4" s="353"/>
      <c r="ALA4" s="353"/>
      <c r="ALB4" s="353"/>
      <c r="ALC4" s="353"/>
      <c r="ALD4" s="353"/>
      <c r="ALE4" s="353"/>
      <c r="ALF4" s="353"/>
      <c r="ALG4" s="353"/>
      <c r="ALH4" s="353"/>
      <c r="ALI4" s="353"/>
      <c r="ALJ4" s="353"/>
      <c r="ALK4" s="353"/>
      <c r="ALL4" s="353"/>
      <c r="ALM4" s="353"/>
      <c r="ALN4" s="353"/>
      <c r="ALO4" s="353"/>
      <c r="ALP4" s="353"/>
      <c r="ALQ4" s="353"/>
      <c r="ALR4" s="353"/>
      <c r="ALS4" s="353"/>
      <c r="ALT4" s="353"/>
      <c r="ALU4" s="353"/>
      <c r="ALV4" s="353"/>
      <c r="ALW4" s="353"/>
      <c r="ALX4" s="353"/>
      <c r="ALY4" s="353"/>
      <c r="ALZ4" s="353"/>
      <c r="AMA4" s="353"/>
      <c r="AMB4" s="353"/>
      <c r="AMC4" s="353"/>
      <c r="AMD4" s="353"/>
      <c r="AME4" s="353"/>
      <c r="AMF4" s="353"/>
      <c r="AMG4" s="353"/>
      <c r="AMH4" s="353"/>
      <c r="AMI4" s="353"/>
      <c r="AMJ4" s="353"/>
      <c r="AMK4" s="353"/>
      <c r="AML4" s="353"/>
      <c r="AMM4" s="353"/>
      <c r="AMN4" s="353"/>
      <c r="AMO4" s="353"/>
      <c r="AMP4" s="353"/>
      <c r="AMQ4" s="353"/>
      <c r="AMR4" s="353"/>
      <c r="AMS4" s="353"/>
      <c r="AMT4" s="353"/>
      <c r="AMU4" s="353"/>
      <c r="AMV4" s="353"/>
      <c r="AMW4" s="353"/>
      <c r="AMX4" s="353"/>
      <c r="AMY4" s="353"/>
      <c r="AMZ4" s="353"/>
      <c r="ANA4" s="353"/>
      <c r="ANB4" s="353"/>
      <c r="ANC4" s="353"/>
      <c r="AND4" s="353"/>
      <c r="ANE4" s="353"/>
      <c r="ANF4" s="353"/>
      <c r="ANG4" s="353"/>
      <c r="ANH4" s="353"/>
      <c r="ANI4" s="353"/>
      <c r="ANJ4" s="353"/>
      <c r="ANK4" s="353"/>
      <c r="ANL4" s="353"/>
      <c r="ANM4" s="353"/>
      <c r="ANN4" s="353"/>
      <c r="ANO4" s="353"/>
      <c r="ANP4" s="353"/>
      <c r="ANQ4" s="353"/>
      <c r="ANR4" s="353"/>
      <c r="ANS4" s="353"/>
      <c r="ANT4" s="353"/>
      <c r="ANU4" s="353"/>
      <c r="ANV4" s="353"/>
      <c r="ANW4" s="353"/>
      <c r="ANX4" s="353"/>
      <c r="ANY4" s="353"/>
      <c r="ANZ4" s="353"/>
      <c r="AOA4" s="353"/>
      <c r="AOB4" s="353"/>
      <c r="AOC4" s="353"/>
      <c r="AOD4" s="353"/>
      <c r="AOE4" s="353"/>
      <c r="AOF4" s="353"/>
      <c r="AOG4" s="353"/>
      <c r="AOH4" s="353"/>
      <c r="AOI4" s="353"/>
      <c r="AOJ4" s="353"/>
      <c r="AOK4" s="353"/>
      <c r="AOL4" s="353"/>
      <c r="AOM4" s="353"/>
      <c r="AON4" s="353"/>
      <c r="AOO4" s="353"/>
      <c r="AOP4" s="353"/>
      <c r="AOQ4" s="353"/>
      <c r="AOR4" s="353"/>
      <c r="AOS4" s="353"/>
      <c r="AOT4" s="353"/>
      <c r="AOU4" s="353"/>
      <c r="AOV4" s="353"/>
      <c r="AOW4" s="353"/>
      <c r="AOX4" s="353"/>
      <c r="AOY4" s="353"/>
      <c r="AOZ4" s="353"/>
      <c r="APA4" s="353"/>
      <c r="APB4" s="353"/>
      <c r="APC4" s="353"/>
      <c r="APD4" s="353"/>
      <c r="APE4" s="353"/>
      <c r="APF4" s="353"/>
      <c r="APG4" s="353"/>
      <c r="APH4" s="353"/>
      <c r="API4" s="353"/>
      <c r="APJ4" s="353"/>
      <c r="APK4" s="353"/>
      <c r="APL4" s="353"/>
      <c r="APM4" s="353"/>
      <c r="APN4" s="353"/>
      <c r="APO4" s="353"/>
      <c r="APP4" s="353"/>
      <c r="APQ4" s="353"/>
      <c r="APR4" s="353"/>
      <c r="APS4" s="353"/>
      <c r="APT4" s="353"/>
      <c r="APU4" s="353"/>
      <c r="APV4" s="353"/>
      <c r="APW4" s="353"/>
      <c r="APX4" s="353"/>
      <c r="APY4" s="353"/>
      <c r="APZ4" s="353"/>
      <c r="AQA4" s="353"/>
      <c r="AQB4" s="353"/>
      <c r="AQC4" s="353"/>
      <c r="AQD4" s="353"/>
      <c r="AQE4" s="353"/>
      <c r="AQF4" s="353"/>
      <c r="AQG4" s="353"/>
      <c r="AQH4" s="353"/>
      <c r="AQI4" s="353"/>
      <c r="AQJ4" s="353"/>
      <c r="AQK4" s="353"/>
      <c r="AQL4" s="353"/>
      <c r="AQM4" s="353"/>
      <c r="AQN4" s="353"/>
      <c r="AQO4" s="353"/>
      <c r="AQP4" s="353"/>
      <c r="AQQ4" s="353"/>
      <c r="AQR4" s="353"/>
      <c r="AQS4" s="353"/>
      <c r="AQT4" s="353"/>
      <c r="AQU4" s="353"/>
      <c r="AQV4" s="353"/>
      <c r="AQW4" s="353"/>
      <c r="AQX4" s="353"/>
      <c r="AQY4" s="353"/>
      <c r="AQZ4" s="353"/>
      <c r="ARA4" s="353"/>
      <c r="ARB4" s="353"/>
      <c r="ARC4" s="353"/>
      <c r="ARD4" s="353"/>
      <c r="ARE4" s="353"/>
      <c r="ARF4" s="353"/>
      <c r="ARG4" s="353"/>
      <c r="ARH4" s="353"/>
      <c r="ARI4" s="353"/>
      <c r="ARJ4" s="353"/>
      <c r="ARK4" s="353"/>
      <c r="ARL4" s="353"/>
      <c r="ARM4" s="353"/>
      <c r="ARN4" s="353"/>
      <c r="ARO4" s="353"/>
      <c r="ARP4" s="353"/>
      <c r="ARQ4" s="353"/>
      <c r="ARR4" s="353"/>
      <c r="ARS4" s="353"/>
      <c r="ART4" s="353"/>
      <c r="ARU4" s="353"/>
      <c r="ARV4" s="353"/>
      <c r="ARW4" s="353"/>
      <c r="ARX4" s="353"/>
      <c r="ARY4" s="353"/>
      <c r="ARZ4" s="353"/>
      <c r="ASA4" s="353"/>
      <c r="ASB4" s="353"/>
      <c r="ASC4" s="353"/>
      <c r="ASD4" s="353"/>
      <c r="ASE4" s="353"/>
      <c r="ASF4" s="353"/>
      <c r="ASG4" s="353"/>
      <c r="ASH4" s="353"/>
      <c r="ASI4" s="353"/>
      <c r="ASJ4" s="353"/>
      <c r="ASK4" s="353"/>
      <c r="ASL4" s="353"/>
      <c r="ASM4" s="353"/>
      <c r="ASN4" s="353"/>
      <c r="ASO4" s="353"/>
      <c r="ASP4" s="353"/>
      <c r="ASQ4" s="353"/>
      <c r="ASR4" s="353"/>
      <c r="ASS4" s="353"/>
      <c r="AST4" s="353"/>
      <c r="ASU4" s="353"/>
      <c r="ASV4" s="353"/>
      <c r="ASW4" s="353"/>
      <c r="ASX4" s="353"/>
      <c r="ASY4" s="353"/>
      <c r="ASZ4" s="353"/>
      <c r="ATA4" s="353"/>
      <c r="ATB4" s="353"/>
      <c r="ATC4" s="353"/>
      <c r="ATD4" s="353"/>
      <c r="ATE4" s="353"/>
      <c r="ATF4" s="353"/>
      <c r="ATG4" s="353"/>
      <c r="ATH4" s="353"/>
      <c r="ATI4" s="353"/>
      <c r="ATJ4" s="353"/>
      <c r="ATK4" s="353"/>
      <c r="ATL4" s="353"/>
      <c r="ATM4" s="353"/>
      <c r="ATN4" s="353"/>
      <c r="ATO4" s="353"/>
      <c r="ATP4" s="353"/>
      <c r="ATQ4" s="353"/>
      <c r="ATR4" s="353"/>
      <c r="ATS4" s="353"/>
      <c r="ATT4" s="353"/>
      <c r="ATU4" s="353"/>
      <c r="ATV4" s="353"/>
      <c r="ATW4" s="353"/>
      <c r="ATX4" s="353"/>
      <c r="ATY4" s="353"/>
      <c r="ATZ4" s="353"/>
      <c r="AUA4" s="353"/>
      <c r="AUB4" s="353"/>
      <c r="AUC4" s="353"/>
      <c r="AUD4" s="353"/>
      <c r="AUE4" s="353"/>
      <c r="AUF4" s="353"/>
      <c r="AUG4" s="353"/>
      <c r="AUH4" s="353"/>
      <c r="AUI4" s="353"/>
      <c r="AUJ4" s="353"/>
      <c r="AUK4" s="353"/>
      <c r="AUL4" s="353"/>
      <c r="AUM4" s="353"/>
      <c r="AUN4" s="353"/>
      <c r="AUO4" s="353"/>
      <c r="AUP4" s="353"/>
      <c r="AUQ4" s="353"/>
      <c r="AUR4" s="353"/>
      <c r="AUS4" s="353"/>
      <c r="AUT4" s="353"/>
      <c r="AUU4" s="353"/>
      <c r="AUV4" s="353"/>
      <c r="AUW4" s="353"/>
      <c r="AUX4" s="353"/>
      <c r="AUY4" s="353"/>
      <c r="AUZ4" s="353"/>
      <c r="AVA4" s="353"/>
      <c r="AVB4" s="353"/>
      <c r="AVC4" s="353"/>
      <c r="AVD4" s="353"/>
      <c r="AVE4" s="353"/>
      <c r="AVF4" s="353"/>
      <c r="AVG4" s="353"/>
      <c r="AVH4" s="353"/>
      <c r="AVI4" s="353"/>
      <c r="AVJ4" s="353"/>
      <c r="AVK4" s="353"/>
      <c r="AVL4" s="353"/>
      <c r="AVM4" s="353"/>
      <c r="AVN4" s="353"/>
      <c r="AVO4" s="353"/>
      <c r="AVP4" s="353"/>
      <c r="AVQ4" s="353"/>
      <c r="AVR4" s="353"/>
      <c r="AVS4" s="353"/>
      <c r="AVT4" s="353"/>
      <c r="AVU4" s="353"/>
      <c r="AVV4" s="353"/>
      <c r="AVW4" s="353"/>
      <c r="AVX4" s="353"/>
      <c r="AVY4" s="353"/>
      <c r="AVZ4" s="353"/>
      <c r="AWA4" s="353"/>
      <c r="AWB4" s="353"/>
      <c r="AWC4" s="353"/>
      <c r="AWD4" s="353"/>
      <c r="AWE4" s="353"/>
      <c r="AWF4" s="353"/>
      <c r="AWG4" s="353"/>
      <c r="AWH4" s="353"/>
      <c r="AWI4" s="353"/>
      <c r="AWJ4" s="353"/>
      <c r="AWK4" s="353"/>
      <c r="AWL4" s="353"/>
      <c r="AWM4" s="353"/>
      <c r="AWN4" s="353"/>
      <c r="AWO4" s="353"/>
      <c r="AWP4" s="353"/>
      <c r="AWQ4" s="353"/>
      <c r="AWR4" s="353"/>
      <c r="AWS4" s="353"/>
      <c r="AWT4" s="353"/>
      <c r="AWU4" s="353"/>
      <c r="AWV4" s="353"/>
      <c r="AWW4" s="353"/>
      <c r="AWX4" s="353"/>
      <c r="AWY4" s="353"/>
      <c r="AWZ4" s="353"/>
      <c r="AXA4" s="353"/>
      <c r="AXB4" s="353"/>
      <c r="AXC4" s="353"/>
      <c r="AXD4" s="353"/>
      <c r="AXE4" s="353"/>
      <c r="AXF4" s="353"/>
      <c r="AXG4" s="353"/>
      <c r="AXH4" s="353"/>
      <c r="AXI4" s="353"/>
      <c r="AXJ4" s="353"/>
      <c r="AXK4" s="353"/>
      <c r="AXL4" s="353"/>
      <c r="AXM4" s="353"/>
      <c r="AXN4" s="353"/>
      <c r="AXO4" s="353"/>
      <c r="AXP4" s="353"/>
      <c r="AXQ4" s="353"/>
      <c r="AXR4" s="353"/>
      <c r="AXS4" s="353"/>
      <c r="AXT4" s="353"/>
      <c r="AXU4" s="353"/>
      <c r="AXV4" s="353"/>
      <c r="AXW4" s="353"/>
      <c r="AXX4" s="353"/>
      <c r="AXY4" s="353"/>
      <c r="AXZ4" s="353"/>
      <c r="AYA4" s="353"/>
      <c r="AYB4" s="353"/>
      <c r="AYC4" s="353"/>
      <c r="AYD4" s="353"/>
      <c r="AYE4" s="353"/>
      <c r="AYF4" s="353"/>
      <c r="AYG4" s="353"/>
      <c r="AYH4" s="353"/>
      <c r="AYI4" s="353"/>
      <c r="AYJ4" s="353"/>
      <c r="AYK4" s="353"/>
      <c r="AYL4" s="353"/>
      <c r="AYM4" s="353"/>
      <c r="AYN4" s="353"/>
      <c r="AYO4" s="353"/>
      <c r="AYP4" s="353"/>
      <c r="AYQ4" s="353"/>
      <c r="AYR4" s="353"/>
      <c r="AYS4" s="353"/>
      <c r="AYT4" s="353"/>
      <c r="AYU4" s="353"/>
      <c r="AYV4" s="353"/>
      <c r="AYW4" s="353"/>
      <c r="AYX4" s="353"/>
      <c r="AYY4" s="353"/>
      <c r="AYZ4" s="353"/>
      <c r="AZA4" s="353"/>
      <c r="AZB4" s="353"/>
      <c r="AZC4" s="353"/>
      <c r="AZD4" s="353"/>
      <c r="AZE4" s="353"/>
      <c r="AZF4" s="353"/>
      <c r="AZG4" s="353"/>
      <c r="AZH4" s="353"/>
      <c r="AZI4" s="353"/>
      <c r="AZJ4" s="353"/>
      <c r="AZK4" s="353"/>
      <c r="AZL4" s="353"/>
      <c r="AZM4" s="353"/>
      <c r="AZN4" s="353"/>
      <c r="AZO4" s="353"/>
      <c r="AZP4" s="353"/>
      <c r="AZQ4" s="353"/>
      <c r="AZR4" s="353"/>
      <c r="AZS4" s="353"/>
      <c r="AZT4" s="353"/>
      <c r="AZU4" s="353"/>
      <c r="AZV4" s="353"/>
      <c r="AZW4" s="353"/>
      <c r="AZX4" s="353"/>
      <c r="AZY4" s="353"/>
      <c r="AZZ4" s="353"/>
      <c r="BAA4" s="353"/>
      <c r="BAB4" s="353"/>
      <c r="BAC4" s="353"/>
      <c r="BAD4" s="353"/>
      <c r="BAE4" s="353"/>
      <c r="BAF4" s="353"/>
      <c r="BAG4" s="353"/>
      <c r="BAH4" s="353"/>
      <c r="BAI4" s="353"/>
      <c r="BAJ4" s="353"/>
      <c r="BAK4" s="353"/>
      <c r="BAL4" s="353"/>
      <c r="BAM4" s="353"/>
      <c r="BAN4" s="353"/>
      <c r="BAO4" s="353"/>
      <c r="BAP4" s="353"/>
      <c r="BAQ4" s="353"/>
      <c r="BAR4" s="353"/>
      <c r="BAS4" s="353"/>
      <c r="BAT4" s="353"/>
      <c r="BAU4" s="353"/>
      <c r="BAV4" s="353"/>
      <c r="BAW4" s="353"/>
      <c r="BAX4" s="353"/>
      <c r="BAY4" s="353"/>
      <c r="BAZ4" s="353"/>
      <c r="BBA4" s="353"/>
      <c r="BBB4" s="353"/>
      <c r="BBC4" s="353"/>
      <c r="BBD4" s="353"/>
      <c r="BBE4" s="353"/>
      <c r="BBF4" s="353"/>
      <c r="BBG4" s="353"/>
      <c r="BBH4" s="353"/>
      <c r="BBI4" s="353"/>
      <c r="BBJ4" s="353"/>
      <c r="BBK4" s="353"/>
      <c r="BBL4" s="353"/>
      <c r="BBM4" s="353"/>
      <c r="BBN4" s="353"/>
      <c r="BBO4" s="353"/>
      <c r="BBP4" s="353"/>
      <c r="BBQ4" s="353"/>
      <c r="BBR4" s="353"/>
      <c r="BBS4" s="353"/>
      <c r="BBT4" s="353"/>
      <c r="BBU4" s="353"/>
      <c r="BBV4" s="353"/>
      <c r="BBW4" s="353"/>
      <c r="BBX4" s="353"/>
      <c r="BBY4" s="353"/>
      <c r="BBZ4" s="353"/>
      <c r="BCA4" s="353"/>
      <c r="BCB4" s="353"/>
      <c r="BCC4" s="353"/>
      <c r="BCD4" s="353"/>
      <c r="BCE4" s="353"/>
      <c r="BCF4" s="353"/>
      <c r="BCG4" s="353"/>
      <c r="BCH4" s="353"/>
      <c r="BCI4" s="353"/>
      <c r="BCJ4" s="353"/>
      <c r="BCK4" s="353"/>
      <c r="BCL4" s="353"/>
      <c r="BCM4" s="353"/>
      <c r="BCN4" s="353"/>
      <c r="BCO4" s="353"/>
      <c r="BCP4" s="353"/>
      <c r="BCQ4" s="353"/>
      <c r="BCR4" s="353"/>
      <c r="BCS4" s="353"/>
      <c r="BCT4" s="353"/>
      <c r="BCU4" s="353"/>
      <c r="BCV4" s="353"/>
      <c r="BCW4" s="353"/>
      <c r="BCX4" s="353"/>
      <c r="BCY4" s="353"/>
      <c r="BCZ4" s="353"/>
      <c r="BDA4" s="353"/>
      <c r="BDB4" s="353"/>
      <c r="BDC4" s="353"/>
      <c r="BDD4" s="353"/>
      <c r="BDE4" s="353"/>
      <c r="BDF4" s="353"/>
      <c r="BDG4" s="353"/>
      <c r="BDH4" s="353"/>
      <c r="BDI4" s="353"/>
      <c r="BDJ4" s="353"/>
      <c r="BDK4" s="353"/>
      <c r="BDL4" s="353"/>
      <c r="BDM4" s="353"/>
      <c r="BDN4" s="353"/>
      <c r="BDO4" s="353"/>
      <c r="BDP4" s="353"/>
      <c r="BDQ4" s="353"/>
      <c r="BDR4" s="353"/>
      <c r="BDS4" s="353"/>
      <c r="BDT4" s="353"/>
      <c r="BDU4" s="353"/>
      <c r="BDV4" s="353"/>
      <c r="BDW4" s="353"/>
      <c r="BDX4" s="353"/>
      <c r="BDY4" s="353"/>
      <c r="BDZ4" s="353"/>
      <c r="BEA4" s="353"/>
      <c r="BEB4" s="353"/>
      <c r="BEC4" s="353"/>
      <c r="BED4" s="353"/>
      <c r="BEE4" s="353"/>
      <c r="BEF4" s="353"/>
      <c r="BEG4" s="353"/>
      <c r="BEH4" s="353"/>
      <c r="BEI4" s="353"/>
      <c r="BEJ4" s="353"/>
      <c r="BEK4" s="353"/>
      <c r="BEL4" s="353"/>
      <c r="BEM4" s="353"/>
      <c r="BEN4" s="353"/>
      <c r="BEO4" s="353"/>
      <c r="BEP4" s="353"/>
      <c r="BEQ4" s="353"/>
      <c r="BER4" s="353"/>
      <c r="BES4" s="353"/>
      <c r="BET4" s="353"/>
      <c r="BEU4" s="353"/>
      <c r="BEV4" s="353"/>
      <c r="BEW4" s="353"/>
      <c r="BEX4" s="353"/>
      <c r="BEY4" s="353"/>
      <c r="BEZ4" s="353"/>
      <c r="BFA4" s="353"/>
      <c r="BFB4" s="353"/>
      <c r="BFC4" s="353"/>
      <c r="BFD4" s="353"/>
      <c r="BFE4" s="353"/>
      <c r="BFF4" s="353"/>
      <c r="BFG4" s="353"/>
      <c r="BFH4" s="353"/>
      <c r="BFI4" s="353"/>
      <c r="BFJ4" s="353"/>
      <c r="BFK4" s="353"/>
      <c r="BFL4" s="353"/>
      <c r="BFM4" s="353"/>
      <c r="BFN4" s="353"/>
      <c r="BFO4" s="353"/>
      <c r="BFP4" s="353"/>
      <c r="BFQ4" s="353"/>
      <c r="BFR4" s="353"/>
      <c r="BFS4" s="353"/>
      <c r="BFT4" s="353"/>
      <c r="BFU4" s="353"/>
      <c r="BFV4" s="353"/>
      <c r="BFW4" s="353"/>
      <c r="BFX4" s="353"/>
      <c r="BFY4" s="353"/>
      <c r="BFZ4" s="353"/>
      <c r="BGA4" s="353"/>
      <c r="BGB4" s="353"/>
      <c r="BGC4" s="353"/>
      <c r="BGD4" s="353"/>
      <c r="BGE4" s="353"/>
      <c r="BGF4" s="353"/>
      <c r="BGG4" s="353"/>
      <c r="BGH4" s="353"/>
      <c r="BGI4" s="353"/>
      <c r="BGJ4" s="353"/>
      <c r="BGK4" s="353"/>
      <c r="BGL4" s="353"/>
      <c r="BGM4" s="353"/>
      <c r="BGN4" s="353"/>
      <c r="BGO4" s="353"/>
      <c r="BGP4" s="353"/>
      <c r="BGQ4" s="353"/>
      <c r="BGR4" s="353"/>
      <c r="BGS4" s="353"/>
      <c r="BGT4" s="353"/>
      <c r="BGU4" s="353"/>
      <c r="BGV4" s="353"/>
      <c r="BGW4" s="353"/>
      <c r="BGX4" s="353"/>
      <c r="BGY4" s="353"/>
      <c r="BGZ4" s="353"/>
      <c r="BHA4" s="353"/>
      <c r="BHB4" s="353"/>
      <c r="BHC4" s="353"/>
      <c r="BHD4" s="353"/>
      <c r="BHE4" s="353"/>
      <c r="BHF4" s="353"/>
      <c r="BHG4" s="353"/>
      <c r="BHH4" s="353"/>
      <c r="BHI4" s="353"/>
      <c r="BHJ4" s="353"/>
      <c r="BHK4" s="353"/>
      <c r="BHL4" s="353"/>
      <c r="BHM4" s="353"/>
      <c r="BHN4" s="353"/>
      <c r="BHO4" s="353"/>
      <c r="BHP4" s="353"/>
      <c r="BHQ4" s="353"/>
      <c r="BHR4" s="353"/>
      <c r="BHS4" s="353"/>
      <c r="BHT4" s="353"/>
      <c r="BHU4" s="353"/>
      <c r="BHV4" s="353"/>
      <c r="BHW4" s="353"/>
      <c r="BHX4" s="353"/>
      <c r="BHY4" s="353"/>
      <c r="BHZ4" s="353"/>
      <c r="BIA4" s="353"/>
      <c r="BIB4" s="353"/>
      <c r="BIC4" s="353"/>
      <c r="BID4" s="353"/>
      <c r="BIE4" s="353"/>
      <c r="BIF4" s="353"/>
      <c r="BIG4" s="353"/>
      <c r="BIH4" s="353"/>
      <c r="BII4" s="353"/>
      <c r="BIJ4" s="353"/>
      <c r="BIK4" s="353"/>
      <c r="BIL4" s="353"/>
      <c r="BIM4" s="353"/>
      <c r="BIN4" s="353"/>
      <c r="BIO4" s="353"/>
      <c r="BIP4" s="353"/>
      <c r="BIQ4" s="353"/>
      <c r="BIR4" s="353"/>
      <c r="BIS4" s="353"/>
      <c r="BIT4" s="353"/>
      <c r="BIU4" s="353"/>
      <c r="BIV4" s="353"/>
      <c r="BIW4" s="353"/>
      <c r="BIX4" s="353"/>
      <c r="BIY4" s="353"/>
      <c r="BIZ4" s="353"/>
      <c r="BJA4" s="353"/>
      <c r="BJB4" s="353"/>
      <c r="BJC4" s="353"/>
      <c r="BJD4" s="353"/>
      <c r="BJE4" s="353"/>
      <c r="BJF4" s="353"/>
      <c r="BJG4" s="353"/>
      <c r="BJH4" s="353"/>
      <c r="BJI4" s="353"/>
      <c r="BJJ4" s="353"/>
      <c r="BJK4" s="353"/>
      <c r="BJL4" s="353"/>
      <c r="BJM4" s="353"/>
      <c r="BJN4" s="353"/>
      <c r="BJO4" s="353"/>
      <c r="BJP4" s="353"/>
      <c r="BJQ4" s="353"/>
      <c r="BJR4" s="353"/>
      <c r="BJS4" s="353"/>
      <c r="BJT4" s="353"/>
      <c r="BJU4" s="353"/>
      <c r="BJV4" s="353"/>
      <c r="BJW4" s="353"/>
      <c r="BJX4" s="353"/>
      <c r="BJY4" s="353"/>
      <c r="BJZ4" s="353"/>
      <c r="BKA4" s="353"/>
      <c r="BKB4" s="353"/>
      <c r="BKC4" s="353"/>
      <c r="BKD4" s="353"/>
      <c r="BKE4" s="353"/>
      <c r="BKF4" s="353"/>
      <c r="BKG4" s="353"/>
      <c r="BKH4" s="353"/>
      <c r="BKI4" s="353"/>
      <c r="BKJ4" s="353"/>
      <c r="BKK4" s="353"/>
      <c r="BKL4" s="353"/>
      <c r="BKM4" s="353"/>
      <c r="BKN4" s="353"/>
      <c r="BKO4" s="353"/>
      <c r="BKP4" s="353"/>
      <c r="BKQ4" s="353"/>
      <c r="BKR4" s="353"/>
      <c r="BKS4" s="353"/>
      <c r="BKT4" s="353"/>
      <c r="BKU4" s="353"/>
      <c r="BKV4" s="353"/>
      <c r="BKW4" s="353"/>
      <c r="BKX4" s="353"/>
      <c r="BKY4" s="353"/>
      <c r="BKZ4" s="353"/>
      <c r="BLA4" s="353"/>
      <c r="BLB4" s="353"/>
      <c r="BLC4" s="353"/>
      <c r="BLD4" s="353"/>
      <c r="BLE4" s="353"/>
      <c r="BLF4" s="353"/>
      <c r="BLG4" s="353"/>
      <c r="BLH4" s="353"/>
      <c r="BLI4" s="353"/>
      <c r="BLJ4" s="353"/>
      <c r="BLK4" s="353"/>
      <c r="BLL4" s="353"/>
      <c r="BLM4" s="353"/>
      <c r="BLN4" s="353"/>
      <c r="BLO4" s="353"/>
      <c r="BLP4" s="353"/>
      <c r="BLQ4" s="353"/>
      <c r="BLR4" s="353"/>
      <c r="BLS4" s="353"/>
      <c r="BLT4" s="353"/>
      <c r="BLU4" s="353"/>
      <c r="BLV4" s="353"/>
      <c r="BLW4" s="353"/>
      <c r="BLX4" s="353"/>
      <c r="BLY4" s="353"/>
      <c r="BLZ4" s="353"/>
      <c r="BMA4" s="353"/>
      <c r="BMB4" s="353"/>
      <c r="BMC4" s="353"/>
      <c r="BMD4" s="353"/>
      <c r="BME4" s="353"/>
      <c r="BMF4" s="353"/>
      <c r="BMG4" s="353"/>
      <c r="BMH4" s="353"/>
      <c r="BMI4" s="353"/>
      <c r="BMJ4" s="353"/>
      <c r="BMK4" s="353"/>
      <c r="BML4" s="353"/>
      <c r="BMM4" s="353"/>
      <c r="BMN4" s="353"/>
      <c r="BMO4" s="353"/>
      <c r="BMP4" s="353"/>
      <c r="BMQ4" s="353"/>
      <c r="BMR4" s="353"/>
      <c r="BMS4" s="353"/>
      <c r="BMT4" s="353"/>
      <c r="BMU4" s="353"/>
      <c r="BMV4" s="353"/>
      <c r="BMW4" s="353"/>
      <c r="BMX4" s="353"/>
      <c r="BMY4" s="353"/>
      <c r="BMZ4" s="353"/>
      <c r="BNA4" s="353"/>
      <c r="BNB4" s="353"/>
      <c r="BNC4" s="353"/>
      <c r="BND4" s="353"/>
      <c r="BNE4" s="353"/>
      <c r="BNF4" s="353"/>
      <c r="BNG4" s="353"/>
      <c r="BNH4" s="353"/>
      <c r="BNI4" s="353"/>
      <c r="BNJ4" s="353"/>
      <c r="BNK4" s="353"/>
      <c r="BNL4" s="353"/>
      <c r="BNM4" s="353"/>
      <c r="BNN4" s="353"/>
      <c r="BNO4" s="353"/>
      <c r="BNP4" s="353"/>
      <c r="BNQ4" s="353"/>
      <c r="BNR4" s="353"/>
      <c r="BNS4" s="353"/>
      <c r="BNT4" s="353"/>
      <c r="BNU4" s="353"/>
      <c r="BNV4" s="353"/>
      <c r="BNW4" s="353"/>
      <c r="BNX4" s="353"/>
      <c r="BNY4" s="353"/>
      <c r="BNZ4" s="353"/>
      <c r="BOA4" s="353"/>
      <c r="BOB4" s="353"/>
      <c r="BOC4" s="353"/>
      <c r="BOD4" s="353"/>
      <c r="BOE4" s="353"/>
      <c r="BOF4" s="353"/>
      <c r="BOG4" s="353"/>
      <c r="BOH4" s="353"/>
      <c r="BOI4" s="353"/>
      <c r="BOJ4" s="353"/>
      <c r="BOK4" s="353"/>
      <c r="BOL4" s="353"/>
      <c r="BOM4" s="353"/>
      <c r="BON4" s="353"/>
      <c r="BOO4" s="353"/>
      <c r="BOP4" s="353"/>
      <c r="BOQ4" s="353"/>
      <c r="BOR4" s="353"/>
      <c r="BOS4" s="353"/>
      <c r="BOT4" s="353"/>
      <c r="BOU4" s="353"/>
      <c r="BOV4" s="353"/>
      <c r="BOW4" s="353"/>
      <c r="BOX4" s="353"/>
      <c r="BOY4" s="353"/>
      <c r="BOZ4" s="353"/>
      <c r="BPA4" s="353"/>
      <c r="BPB4" s="353"/>
      <c r="BPC4" s="353"/>
      <c r="BPD4" s="353"/>
      <c r="BPE4" s="353"/>
      <c r="BPF4" s="353"/>
      <c r="BPG4" s="353"/>
      <c r="BPH4" s="353"/>
      <c r="BPI4" s="353"/>
      <c r="BPJ4" s="353"/>
      <c r="BPK4" s="353"/>
      <c r="BPL4" s="353"/>
      <c r="BPM4" s="353"/>
      <c r="BPN4" s="353"/>
      <c r="BPO4" s="353"/>
      <c r="BPP4" s="353"/>
      <c r="BPQ4" s="353"/>
      <c r="BPR4" s="353"/>
      <c r="BPS4" s="353"/>
      <c r="BPT4" s="353"/>
      <c r="BPU4" s="353"/>
      <c r="BPV4" s="353"/>
      <c r="BPW4" s="353"/>
      <c r="BPX4" s="353"/>
      <c r="BPY4" s="353"/>
      <c r="BPZ4" s="353"/>
      <c r="BQA4" s="353"/>
      <c r="BQB4" s="353"/>
      <c r="BQC4" s="353"/>
      <c r="BQD4" s="353"/>
      <c r="BQE4" s="353"/>
      <c r="BQF4" s="353"/>
      <c r="BQG4" s="353"/>
      <c r="BQH4" s="353"/>
      <c r="BQI4" s="353"/>
      <c r="BQJ4" s="353"/>
      <c r="BQK4" s="353"/>
      <c r="BQL4" s="353"/>
      <c r="BQM4" s="353"/>
      <c r="BQN4" s="353"/>
      <c r="BQO4" s="353"/>
      <c r="BQP4" s="353"/>
      <c r="BQQ4" s="353"/>
      <c r="BQR4" s="353"/>
      <c r="BQS4" s="353"/>
      <c r="BQT4" s="353"/>
      <c r="BQU4" s="353"/>
      <c r="BQV4" s="353"/>
      <c r="BQW4" s="353"/>
      <c r="BQX4" s="353"/>
      <c r="BQY4" s="353"/>
      <c r="BQZ4" s="353"/>
      <c r="BRA4" s="353"/>
      <c r="BRB4" s="353"/>
      <c r="BRC4" s="353"/>
      <c r="BRD4" s="353"/>
      <c r="BRE4" s="353"/>
      <c r="BRF4" s="353"/>
      <c r="BRG4" s="353"/>
      <c r="BRH4" s="353"/>
      <c r="BRI4" s="353"/>
      <c r="BRJ4" s="353"/>
      <c r="BRK4" s="353"/>
      <c r="BRL4" s="353"/>
      <c r="BRM4" s="353"/>
      <c r="BRN4" s="353"/>
      <c r="BRO4" s="353"/>
      <c r="BRP4" s="353"/>
      <c r="BRQ4" s="353"/>
      <c r="BRR4" s="353"/>
      <c r="BRS4" s="353"/>
      <c r="BRT4" s="353"/>
      <c r="BRU4" s="353"/>
      <c r="BRV4" s="353"/>
      <c r="BRW4" s="353"/>
      <c r="BRX4" s="353"/>
      <c r="BRY4" s="353"/>
      <c r="BRZ4" s="353"/>
      <c r="BSA4" s="353"/>
      <c r="BSB4" s="353"/>
      <c r="BSC4" s="353"/>
      <c r="BSD4" s="353"/>
      <c r="BSE4" s="353"/>
      <c r="BSF4" s="353"/>
      <c r="BSG4" s="353"/>
      <c r="BSH4" s="353"/>
      <c r="BSI4" s="353"/>
      <c r="BSJ4" s="353"/>
      <c r="BSK4" s="353"/>
      <c r="BSL4" s="353"/>
      <c r="BSM4" s="353"/>
      <c r="BSN4" s="353"/>
      <c r="BSO4" s="353"/>
      <c r="BSP4" s="353"/>
      <c r="BSQ4" s="353"/>
      <c r="BSR4" s="353"/>
      <c r="BSS4" s="353"/>
      <c r="BST4" s="353"/>
      <c r="BSU4" s="353"/>
      <c r="BSV4" s="353"/>
      <c r="BSW4" s="353"/>
      <c r="BSX4" s="353"/>
      <c r="BSY4" s="353"/>
      <c r="BSZ4" s="353"/>
      <c r="BTA4" s="353"/>
      <c r="BTB4" s="353"/>
      <c r="BTC4" s="353"/>
      <c r="BTD4" s="353"/>
      <c r="BTE4" s="353"/>
      <c r="BTF4" s="353"/>
      <c r="BTG4" s="353"/>
      <c r="BTH4" s="353"/>
      <c r="BTI4" s="353"/>
      <c r="BTJ4" s="353"/>
      <c r="BTK4" s="353"/>
      <c r="BTL4" s="353"/>
      <c r="BTM4" s="353"/>
      <c r="BTN4" s="353"/>
      <c r="BTO4" s="353"/>
      <c r="BTP4" s="353"/>
      <c r="BTQ4" s="353"/>
      <c r="BTR4" s="353"/>
      <c r="BTS4" s="353"/>
      <c r="BTT4" s="353"/>
      <c r="BTU4" s="353"/>
      <c r="BTV4" s="353"/>
      <c r="BTW4" s="353"/>
      <c r="BTX4" s="353"/>
      <c r="BTY4" s="353"/>
      <c r="BTZ4" s="353"/>
      <c r="BUA4" s="353"/>
      <c r="BUB4" s="353"/>
      <c r="BUC4" s="353"/>
      <c r="BUD4" s="353"/>
      <c r="BUE4" s="353"/>
      <c r="BUF4" s="353"/>
      <c r="BUG4" s="353"/>
      <c r="BUH4" s="353"/>
      <c r="BUI4" s="353"/>
      <c r="BUJ4" s="353"/>
      <c r="BUK4" s="353"/>
      <c r="BUL4" s="353"/>
      <c r="BUM4" s="353"/>
      <c r="BUN4" s="353"/>
      <c r="BUO4" s="353"/>
      <c r="BUP4" s="353"/>
      <c r="BUQ4" s="353"/>
      <c r="BUR4" s="353"/>
      <c r="BUS4" s="353"/>
      <c r="BUT4" s="353"/>
      <c r="BUU4" s="353"/>
      <c r="BUV4" s="353"/>
      <c r="BUW4" s="353"/>
      <c r="BUX4" s="353"/>
      <c r="BUY4" s="353"/>
      <c r="BUZ4" s="353"/>
      <c r="BVA4" s="353"/>
      <c r="BVB4" s="353"/>
      <c r="BVC4" s="353"/>
      <c r="BVD4" s="353"/>
      <c r="BVE4" s="353"/>
      <c r="BVF4" s="353"/>
      <c r="BVG4" s="353"/>
      <c r="BVH4" s="353"/>
      <c r="BVI4" s="353"/>
      <c r="BVJ4" s="353"/>
      <c r="BVK4" s="353"/>
      <c r="BVL4" s="353"/>
      <c r="BVM4" s="353"/>
      <c r="BVN4" s="353"/>
      <c r="BVO4" s="353"/>
      <c r="BVP4" s="353"/>
      <c r="BVQ4" s="353"/>
      <c r="BVR4" s="353"/>
      <c r="BVS4" s="353"/>
      <c r="BVT4" s="353"/>
      <c r="BVU4" s="353"/>
      <c r="BVV4" s="353"/>
      <c r="BVW4" s="353"/>
      <c r="BVX4" s="353"/>
      <c r="BVY4" s="353"/>
      <c r="BVZ4" s="353"/>
      <c r="BWA4" s="353"/>
      <c r="BWB4" s="353"/>
      <c r="BWC4" s="353"/>
      <c r="BWD4" s="353"/>
      <c r="BWE4" s="353"/>
      <c r="BWF4" s="353"/>
      <c r="BWG4" s="353"/>
      <c r="BWH4" s="353"/>
      <c r="BWI4" s="353"/>
      <c r="BWJ4" s="353"/>
      <c r="BWK4" s="353"/>
      <c r="BWL4" s="353"/>
      <c r="BWM4" s="353"/>
      <c r="BWN4" s="353"/>
      <c r="BWO4" s="353"/>
      <c r="BWP4" s="353"/>
      <c r="BWQ4" s="353"/>
      <c r="BWR4" s="353"/>
      <c r="BWS4" s="353"/>
      <c r="BWT4" s="353"/>
      <c r="BWU4" s="353"/>
      <c r="BWV4" s="353"/>
      <c r="BWW4" s="353"/>
      <c r="BWX4" s="353"/>
      <c r="BWY4" s="353"/>
      <c r="BWZ4" s="353"/>
      <c r="BXA4" s="353"/>
      <c r="BXB4" s="353"/>
      <c r="BXC4" s="353"/>
      <c r="BXD4" s="353"/>
      <c r="BXE4" s="353"/>
      <c r="BXF4" s="353"/>
      <c r="BXG4" s="353"/>
      <c r="BXH4" s="353"/>
      <c r="BXI4" s="353"/>
      <c r="BXJ4" s="353"/>
      <c r="BXK4" s="353"/>
      <c r="BXL4" s="353"/>
      <c r="BXM4" s="353"/>
      <c r="BXN4" s="353"/>
      <c r="BXO4" s="353"/>
      <c r="BXP4" s="353"/>
      <c r="BXQ4" s="353"/>
      <c r="BXR4" s="353"/>
      <c r="BXS4" s="353"/>
      <c r="BXT4" s="353"/>
      <c r="BXU4" s="353"/>
      <c r="BXV4" s="353"/>
      <c r="BXW4" s="353"/>
      <c r="BXX4" s="353"/>
      <c r="BXY4" s="353"/>
      <c r="BXZ4" s="353"/>
      <c r="BYA4" s="353"/>
      <c r="BYB4" s="353"/>
      <c r="BYC4" s="353"/>
      <c r="BYD4" s="353"/>
      <c r="BYE4" s="353"/>
      <c r="BYF4" s="353"/>
      <c r="BYG4" s="353"/>
      <c r="BYH4" s="353"/>
      <c r="BYI4" s="353"/>
      <c r="BYJ4" s="353"/>
      <c r="BYK4" s="353"/>
      <c r="BYL4" s="353"/>
      <c r="BYM4" s="353"/>
      <c r="BYN4" s="353"/>
      <c r="BYO4" s="353"/>
      <c r="BYP4" s="353"/>
      <c r="BYQ4" s="353"/>
      <c r="BYR4" s="353"/>
      <c r="BYS4" s="353"/>
      <c r="BYT4" s="353"/>
      <c r="BYU4" s="353"/>
      <c r="BYV4" s="353"/>
      <c r="BYW4" s="353"/>
      <c r="BYX4" s="353"/>
      <c r="BYY4" s="353"/>
      <c r="BYZ4" s="353"/>
      <c r="BZA4" s="353"/>
      <c r="BZB4" s="353"/>
      <c r="BZC4" s="353"/>
      <c r="BZD4" s="353"/>
      <c r="BZE4" s="353"/>
      <c r="BZF4" s="353"/>
      <c r="BZG4" s="353"/>
      <c r="BZH4" s="353"/>
      <c r="BZI4" s="353"/>
      <c r="BZJ4" s="353"/>
      <c r="BZK4" s="353"/>
      <c r="BZL4" s="353"/>
      <c r="BZM4" s="353"/>
      <c r="BZN4" s="353"/>
      <c r="BZO4" s="353"/>
      <c r="BZP4" s="353"/>
      <c r="BZQ4" s="353"/>
      <c r="BZR4" s="353"/>
      <c r="BZS4" s="353"/>
      <c r="BZT4" s="353"/>
      <c r="BZU4" s="353"/>
      <c r="BZV4" s="353"/>
      <c r="BZW4" s="353"/>
      <c r="BZX4" s="353"/>
      <c r="BZY4" s="353"/>
      <c r="BZZ4" s="353"/>
      <c r="CAA4" s="353"/>
      <c r="CAB4" s="353"/>
      <c r="CAC4" s="353"/>
      <c r="CAD4" s="353"/>
      <c r="CAE4" s="353"/>
      <c r="CAF4" s="353"/>
      <c r="CAG4" s="353"/>
      <c r="CAH4" s="353"/>
      <c r="CAI4" s="353"/>
      <c r="CAJ4" s="353"/>
      <c r="CAK4" s="353"/>
      <c r="CAL4" s="353"/>
      <c r="CAM4" s="353"/>
      <c r="CAN4" s="353"/>
      <c r="CAO4" s="353"/>
      <c r="CAP4" s="353"/>
      <c r="CAQ4" s="353"/>
      <c r="CAR4" s="353"/>
      <c r="CAS4" s="353"/>
      <c r="CAT4" s="353"/>
      <c r="CAU4" s="353"/>
      <c r="CAV4" s="353"/>
      <c r="CAW4" s="353"/>
      <c r="CAX4" s="353"/>
      <c r="CAY4" s="353"/>
      <c r="CAZ4" s="353"/>
      <c r="CBA4" s="353"/>
      <c r="CBB4" s="353"/>
      <c r="CBC4" s="353"/>
      <c r="CBD4" s="353"/>
      <c r="CBE4" s="353"/>
      <c r="CBF4" s="353"/>
      <c r="CBG4" s="353"/>
      <c r="CBH4" s="353"/>
      <c r="CBI4" s="353"/>
      <c r="CBJ4" s="353"/>
      <c r="CBK4" s="353"/>
      <c r="CBL4" s="353"/>
      <c r="CBM4" s="353"/>
      <c r="CBN4" s="353"/>
      <c r="CBO4" s="353"/>
      <c r="CBP4" s="353"/>
      <c r="CBQ4" s="353"/>
      <c r="CBR4" s="353"/>
      <c r="CBS4" s="353"/>
      <c r="CBT4" s="353"/>
      <c r="CBU4" s="353"/>
      <c r="CBV4" s="353"/>
      <c r="CBW4" s="353"/>
      <c r="CBX4" s="353"/>
      <c r="CBY4" s="353"/>
      <c r="CBZ4" s="353"/>
      <c r="CCA4" s="353"/>
      <c r="CCB4" s="353"/>
      <c r="CCC4" s="353"/>
      <c r="CCD4" s="353"/>
      <c r="CCE4" s="353"/>
      <c r="CCF4" s="353"/>
      <c r="CCG4" s="353"/>
      <c r="CCH4" s="353"/>
      <c r="CCI4" s="353"/>
      <c r="CCJ4" s="353"/>
      <c r="CCK4" s="353"/>
      <c r="CCL4" s="353"/>
      <c r="CCM4" s="353"/>
      <c r="CCN4" s="353"/>
      <c r="CCO4" s="353"/>
      <c r="CCP4" s="353"/>
      <c r="CCQ4" s="353"/>
      <c r="CCR4" s="353"/>
      <c r="CCS4" s="353"/>
      <c r="CCT4" s="353"/>
      <c r="CCU4" s="353"/>
      <c r="CCV4" s="353"/>
      <c r="CCW4" s="353"/>
      <c r="CCX4" s="353"/>
      <c r="CCY4" s="353"/>
      <c r="CCZ4" s="353"/>
      <c r="CDA4" s="353"/>
      <c r="CDB4" s="353"/>
      <c r="CDC4" s="353"/>
      <c r="CDD4" s="353"/>
      <c r="CDE4" s="353"/>
      <c r="CDF4" s="353"/>
      <c r="CDG4" s="353"/>
      <c r="CDH4" s="353"/>
      <c r="CDI4" s="353"/>
      <c r="CDJ4" s="353"/>
      <c r="CDK4" s="353"/>
      <c r="CDL4" s="353"/>
      <c r="CDM4" s="353"/>
      <c r="CDN4" s="353"/>
      <c r="CDO4" s="353"/>
      <c r="CDP4" s="353"/>
      <c r="CDQ4" s="353"/>
      <c r="CDR4" s="353"/>
      <c r="CDS4" s="353"/>
      <c r="CDT4" s="353"/>
      <c r="CDU4" s="353"/>
      <c r="CDV4" s="353"/>
      <c r="CDW4" s="353"/>
      <c r="CDX4" s="353"/>
      <c r="CDY4" s="353"/>
      <c r="CDZ4" s="353"/>
      <c r="CEA4" s="353"/>
      <c r="CEB4" s="353"/>
      <c r="CEC4" s="353"/>
      <c r="CED4" s="353"/>
      <c r="CEE4" s="353"/>
      <c r="CEF4" s="353"/>
      <c r="CEG4" s="353"/>
      <c r="CEH4" s="353"/>
      <c r="CEI4" s="353"/>
      <c r="CEJ4" s="353"/>
      <c r="CEK4" s="353"/>
      <c r="CEL4" s="353"/>
      <c r="CEM4" s="353"/>
      <c r="CEN4" s="353"/>
      <c r="CEO4" s="353"/>
      <c r="CEP4" s="353"/>
      <c r="CEQ4" s="353"/>
      <c r="CER4" s="353"/>
      <c r="CES4" s="353"/>
      <c r="CET4" s="353"/>
      <c r="CEU4" s="353"/>
      <c r="CEV4" s="353"/>
      <c r="CEW4" s="353"/>
      <c r="CEX4" s="353"/>
      <c r="CEY4" s="353"/>
      <c r="CEZ4" s="353"/>
      <c r="CFA4" s="353"/>
      <c r="CFB4" s="353"/>
      <c r="CFC4" s="353"/>
      <c r="CFD4" s="353"/>
      <c r="CFE4" s="353"/>
      <c r="CFF4" s="353"/>
      <c r="CFG4" s="353"/>
      <c r="CFH4" s="353"/>
      <c r="CFI4" s="353"/>
      <c r="CFJ4" s="353"/>
      <c r="CFK4" s="353"/>
      <c r="CFL4" s="353"/>
      <c r="CFM4" s="353"/>
      <c r="CFN4" s="353"/>
      <c r="CFO4" s="353"/>
      <c r="CFP4" s="353"/>
      <c r="CFQ4" s="353"/>
      <c r="CFR4" s="353"/>
      <c r="CFS4" s="353"/>
      <c r="CFT4" s="353"/>
      <c r="CFU4" s="353"/>
      <c r="CFV4" s="353"/>
      <c r="CFW4" s="353"/>
      <c r="CFX4" s="353"/>
      <c r="CFY4" s="353"/>
      <c r="CFZ4" s="353"/>
      <c r="CGA4" s="353"/>
      <c r="CGB4" s="353"/>
      <c r="CGC4" s="353"/>
      <c r="CGD4" s="353"/>
      <c r="CGE4" s="353"/>
      <c r="CGF4" s="353"/>
      <c r="CGG4" s="353"/>
      <c r="CGH4" s="353"/>
      <c r="CGI4" s="353"/>
      <c r="CGJ4" s="353"/>
      <c r="CGK4" s="353"/>
      <c r="CGL4" s="353"/>
      <c r="CGM4" s="353"/>
      <c r="CGN4" s="353"/>
      <c r="CGO4" s="353"/>
      <c r="CGP4" s="353"/>
      <c r="CGQ4" s="353"/>
      <c r="CGR4" s="353"/>
      <c r="CGS4" s="353"/>
      <c r="CGT4" s="353"/>
      <c r="CGU4" s="353"/>
      <c r="CGV4" s="353"/>
      <c r="CGW4" s="353"/>
      <c r="CGX4" s="353"/>
      <c r="CGY4" s="353"/>
      <c r="CGZ4" s="353"/>
      <c r="CHA4" s="353"/>
      <c r="CHB4" s="353"/>
      <c r="CHC4" s="353"/>
      <c r="CHD4" s="353"/>
      <c r="CHE4" s="353"/>
      <c r="CHF4" s="353"/>
      <c r="CHG4" s="353"/>
      <c r="CHH4" s="353"/>
      <c r="CHI4" s="353"/>
      <c r="CHJ4" s="353"/>
      <c r="CHK4" s="353"/>
      <c r="CHL4" s="353"/>
      <c r="CHM4" s="353"/>
      <c r="CHN4" s="353"/>
      <c r="CHO4" s="353"/>
      <c r="CHP4" s="353"/>
      <c r="CHQ4" s="353"/>
      <c r="CHR4" s="353"/>
      <c r="CHS4" s="353"/>
      <c r="CHT4" s="353"/>
      <c r="CHU4" s="353"/>
      <c r="CHV4" s="353"/>
      <c r="CHW4" s="353"/>
      <c r="CHX4" s="353"/>
      <c r="CHY4" s="353"/>
      <c r="CHZ4" s="353"/>
      <c r="CIA4" s="353"/>
      <c r="CIB4" s="353"/>
      <c r="CIC4" s="353"/>
      <c r="CID4" s="353"/>
      <c r="CIE4" s="353"/>
      <c r="CIF4" s="353"/>
      <c r="CIG4" s="353"/>
      <c r="CIH4" s="353"/>
      <c r="CII4" s="353"/>
      <c r="CIJ4" s="353"/>
      <c r="CIK4" s="353"/>
      <c r="CIL4" s="353"/>
      <c r="CIM4" s="353"/>
      <c r="CIN4" s="353"/>
      <c r="CIO4" s="353"/>
      <c r="CIP4" s="353"/>
      <c r="CIQ4" s="353"/>
      <c r="CIR4" s="353"/>
      <c r="CIS4" s="353"/>
      <c r="CIT4" s="353"/>
      <c r="CIU4" s="353"/>
      <c r="CIV4" s="353"/>
      <c r="CIW4" s="353"/>
      <c r="CIX4" s="353"/>
      <c r="CIY4" s="353"/>
      <c r="CIZ4" s="353"/>
      <c r="CJA4" s="353"/>
      <c r="CJB4" s="353"/>
      <c r="CJC4" s="353"/>
      <c r="CJD4" s="353"/>
      <c r="CJE4" s="353"/>
      <c r="CJF4" s="353"/>
      <c r="CJG4" s="353"/>
      <c r="CJH4" s="353"/>
      <c r="CJI4" s="353"/>
      <c r="CJJ4" s="353"/>
      <c r="CJK4" s="353"/>
      <c r="CJL4" s="353"/>
      <c r="CJM4" s="353"/>
      <c r="CJN4" s="353"/>
      <c r="CJO4" s="353"/>
      <c r="CJP4" s="353"/>
      <c r="CJQ4" s="353"/>
      <c r="CJR4" s="353"/>
      <c r="CJS4" s="353"/>
      <c r="CJT4" s="353"/>
      <c r="CJU4" s="353"/>
      <c r="CJV4" s="353"/>
      <c r="CJW4" s="353"/>
      <c r="CJX4" s="353"/>
      <c r="CJY4" s="353"/>
      <c r="CJZ4" s="353"/>
      <c r="CKA4" s="353"/>
      <c r="CKB4" s="353"/>
      <c r="CKC4" s="353"/>
      <c r="CKD4" s="353"/>
      <c r="CKE4" s="353"/>
      <c r="CKF4" s="353"/>
      <c r="CKG4" s="353"/>
      <c r="CKH4" s="353"/>
      <c r="CKI4" s="353"/>
      <c r="CKJ4" s="353"/>
      <c r="CKK4" s="353"/>
      <c r="CKL4" s="353"/>
      <c r="CKM4" s="353"/>
      <c r="CKN4" s="353"/>
      <c r="CKO4" s="353"/>
      <c r="CKP4" s="353"/>
      <c r="CKQ4" s="353"/>
      <c r="CKR4" s="353"/>
      <c r="CKS4" s="353"/>
      <c r="CKT4" s="353"/>
      <c r="CKU4" s="353"/>
      <c r="CKV4" s="353"/>
      <c r="CKW4" s="353"/>
      <c r="CKX4" s="353"/>
      <c r="CKY4" s="353"/>
      <c r="CKZ4" s="353"/>
      <c r="CLA4" s="353"/>
      <c r="CLB4" s="353"/>
      <c r="CLC4" s="353"/>
      <c r="CLD4" s="353"/>
      <c r="CLE4" s="353"/>
      <c r="CLF4" s="353"/>
      <c r="CLG4" s="353"/>
      <c r="CLH4" s="353"/>
      <c r="CLI4" s="353"/>
      <c r="CLJ4" s="353"/>
      <c r="CLK4" s="353"/>
      <c r="CLL4" s="353"/>
      <c r="CLM4" s="353"/>
      <c r="CLN4" s="353"/>
      <c r="CLO4" s="353"/>
      <c r="CLP4" s="353"/>
      <c r="CLQ4" s="353"/>
      <c r="CLR4" s="353"/>
      <c r="CLS4" s="353"/>
      <c r="CLT4" s="353"/>
      <c r="CLU4" s="353"/>
      <c r="CLV4" s="353"/>
      <c r="CLW4" s="353"/>
      <c r="CLX4" s="353"/>
      <c r="CLY4" s="353"/>
      <c r="CLZ4" s="353"/>
      <c r="CMA4" s="353"/>
      <c r="CMB4" s="353"/>
      <c r="CMC4" s="353"/>
      <c r="CMD4" s="353"/>
      <c r="CME4" s="353"/>
      <c r="CMF4" s="353"/>
      <c r="CMG4" s="353"/>
      <c r="CMH4" s="353"/>
      <c r="CMI4" s="353"/>
      <c r="CMJ4" s="353"/>
      <c r="CMK4" s="353"/>
      <c r="CML4" s="353"/>
      <c r="CMM4" s="353"/>
      <c r="CMN4" s="353"/>
      <c r="CMO4" s="353"/>
      <c r="CMP4" s="353"/>
      <c r="CMQ4" s="353"/>
      <c r="CMR4" s="353"/>
      <c r="CMS4" s="353"/>
      <c r="CMT4" s="353"/>
      <c r="CMU4" s="353"/>
      <c r="CMV4" s="353"/>
      <c r="CMW4" s="353"/>
      <c r="CMX4" s="353"/>
      <c r="CMY4" s="353"/>
      <c r="CMZ4" s="353"/>
      <c r="CNA4" s="353"/>
      <c r="CNB4" s="353"/>
      <c r="CNC4" s="353"/>
      <c r="CND4" s="353"/>
      <c r="CNE4" s="353"/>
      <c r="CNF4" s="353"/>
      <c r="CNG4" s="353"/>
      <c r="CNH4" s="353"/>
      <c r="CNI4" s="353"/>
      <c r="CNJ4" s="353"/>
      <c r="CNK4" s="353"/>
      <c r="CNL4" s="353"/>
      <c r="CNM4" s="353"/>
      <c r="CNN4" s="353"/>
      <c r="CNO4" s="353"/>
      <c r="CNP4" s="353"/>
      <c r="CNQ4" s="353"/>
      <c r="CNR4" s="353"/>
      <c r="CNS4" s="353"/>
      <c r="CNT4" s="353"/>
      <c r="CNU4" s="353"/>
      <c r="CNV4" s="353"/>
      <c r="CNW4" s="353"/>
      <c r="CNX4" s="353"/>
      <c r="CNY4" s="353"/>
      <c r="CNZ4" s="353"/>
      <c r="COA4" s="353"/>
      <c r="COB4" s="353"/>
      <c r="COC4" s="353"/>
      <c r="COD4" s="353"/>
      <c r="COE4" s="353"/>
      <c r="COF4" s="353"/>
      <c r="COG4" s="353"/>
      <c r="COH4" s="353"/>
      <c r="COI4" s="353"/>
      <c r="COJ4" s="353"/>
      <c r="COK4" s="353"/>
      <c r="COL4" s="353"/>
      <c r="COM4" s="353"/>
      <c r="CON4" s="353"/>
      <c r="COO4" s="353"/>
      <c r="COP4" s="353"/>
      <c r="COQ4" s="353"/>
      <c r="COR4" s="353"/>
      <c r="COS4" s="353"/>
      <c r="COT4" s="353"/>
      <c r="COU4" s="353"/>
      <c r="COV4" s="353"/>
      <c r="COW4" s="353"/>
      <c r="COX4" s="353"/>
      <c r="COY4" s="353"/>
      <c r="COZ4" s="353"/>
      <c r="CPA4" s="353"/>
      <c r="CPB4" s="353"/>
      <c r="CPC4" s="353"/>
      <c r="CPD4" s="353"/>
      <c r="CPE4" s="353"/>
      <c r="CPF4" s="353"/>
      <c r="CPG4" s="353"/>
      <c r="CPH4" s="353"/>
      <c r="CPI4" s="353"/>
      <c r="CPJ4" s="353"/>
      <c r="CPK4" s="353"/>
      <c r="CPL4" s="353"/>
      <c r="CPM4" s="353"/>
      <c r="CPN4" s="353"/>
      <c r="CPO4" s="353"/>
      <c r="CPP4" s="353"/>
      <c r="CPQ4" s="353"/>
      <c r="CPR4" s="353"/>
      <c r="CPS4" s="353"/>
      <c r="CPT4" s="353"/>
      <c r="CPU4" s="353"/>
      <c r="CPV4" s="353"/>
      <c r="CPW4" s="353"/>
      <c r="CPX4" s="353"/>
      <c r="CPY4" s="353"/>
      <c r="CPZ4" s="353"/>
      <c r="CQA4" s="353"/>
      <c r="CQB4" s="353"/>
      <c r="CQC4" s="353"/>
      <c r="CQD4" s="353"/>
      <c r="CQE4" s="353"/>
      <c r="CQF4" s="353"/>
      <c r="CQG4" s="353"/>
      <c r="CQH4" s="353"/>
      <c r="CQI4" s="353"/>
      <c r="CQJ4" s="353"/>
      <c r="CQK4" s="353"/>
      <c r="CQL4" s="353"/>
      <c r="CQM4" s="353"/>
      <c r="CQN4" s="353"/>
      <c r="CQO4" s="353"/>
      <c r="CQP4" s="353"/>
      <c r="CQQ4" s="353"/>
      <c r="CQR4" s="353"/>
      <c r="CQS4" s="353"/>
      <c r="CQT4" s="353"/>
      <c r="CQU4" s="353"/>
      <c r="CQV4" s="353"/>
      <c r="CQW4" s="353"/>
      <c r="CQX4" s="353"/>
      <c r="CQY4" s="353"/>
      <c r="CQZ4" s="353"/>
      <c r="CRA4" s="353"/>
      <c r="CRB4" s="353"/>
      <c r="CRC4" s="353"/>
      <c r="CRD4" s="353"/>
      <c r="CRE4" s="353"/>
      <c r="CRF4" s="353"/>
      <c r="CRG4" s="353"/>
      <c r="CRH4" s="353"/>
      <c r="CRI4" s="353"/>
      <c r="CRJ4" s="353"/>
      <c r="CRK4" s="353"/>
      <c r="CRL4" s="353"/>
      <c r="CRM4" s="353"/>
      <c r="CRN4" s="353"/>
      <c r="CRO4" s="353"/>
      <c r="CRP4" s="353"/>
      <c r="CRQ4" s="353"/>
      <c r="CRR4" s="353"/>
      <c r="CRS4" s="353"/>
      <c r="CRT4" s="353"/>
      <c r="CRU4" s="353"/>
      <c r="CRV4" s="353"/>
      <c r="CRW4" s="353"/>
      <c r="CRX4" s="353"/>
      <c r="CRY4" s="353"/>
      <c r="CRZ4" s="353"/>
      <c r="CSA4" s="353"/>
      <c r="CSB4" s="353"/>
      <c r="CSC4" s="353"/>
      <c r="CSD4" s="353"/>
      <c r="CSE4" s="353"/>
      <c r="CSF4" s="353"/>
      <c r="CSG4" s="353"/>
      <c r="CSH4" s="353"/>
      <c r="CSI4" s="353"/>
      <c r="CSJ4" s="353"/>
      <c r="CSK4" s="353"/>
      <c r="CSL4" s="353"/>
      <c r="CSM4" s="353"/>
      <c r="CSN4" s="353"/>
      <c r="CSO4" s="353"/>
      <c r="CSP4" s="353"/>
      <c r="CSQ4" s="353"/>
      <c r="CSR4" s="353"/>
      <c r="CSS4" s="353"/>
      <c r="CST4" s="353"/>
      <c r="CSU4" s="353"/>
      <c r="CSV4" s="353"/>
      <c r="CSW4" s="353"/>
      <c r="CSX4" s="353"/>
      <c r="CSY4" s="353"/>
      <c r="CSZ4" s="353"/>
      <c r="CTA4" s="353"/>
      <c r="CTB4" s="353"/>
      <c r="CTC4" s="353"/>
      <c r="CTD4" s="353"/>
      <c r="CTE4" s="353"/>
      <c r="CTF4" s="353"/>
      <c r="CTG4" s="353"/>
      <c r="CTH4" s="353"/>
      <c r="CTI4" s="353"/>
      <c r="CTJ4" s="353"/>
      <c r="CTK4" s="353"/>
      <c r="CTL4" s="353"/>
      <c r="CTM4" s="353"/>
      <c r="CTN4" s="353"/>
      <c r="CTO4" s="353"/>
      <c r="CTP4" s="353"/>
      <c r="CTQ4" s="353"/>
      <c r="CTR4" s="353"/>
      <c r="CTS4" s="353"/>
      <c r="CTT4" s="353"/>
      <c r="CTU4" s="353"/>
      <c r="CTV4" s="353"/>
      <c r="CTW4" s="353"/>
      <c r="CTX4" s="353"/>
      <c r="CTY4" s="353"/>
      <c r="CTZ4" s="353"/>
      <c r="CUA4" s="353"/>
      <c r="CUB4" s="353"/>
      <c r="CUC4" s="353"/>
      <c r="CUD4" s="353"/>
      <c r="CUE4" s="353"/>
      <c r="CUF4" s="353"/>
      <c r="CUG4" s="353"/>
      <c r="CUH4" s="353"/>
      <c r="CUI4" s="353"/>
      <c r="CUJ4" s="353"/>
      <c r="CUK4" s="353"/>
      <c r="CUL4" s="353"/>
      <c r="CUM4" s="353"/>
      <c r="CUN4" s="353"/>
      <c r="CUO4" s="353"/>
      <c r="CUP4" s="353"/>
      <c r="CUQ4" s="353"/>
      <c r="CUR4" s="353"/>
      <c r="CUS4" s="353"/>
      <c r="CUT4" s="353"/>
      <c r="CUU4" s="353"/>
      <c r="CUV4" s="353"/>
      <c r="CUW4" s="353"/>
      <c r="CUX4" s="353"/>
      <c r="CUY4" s="353"/>
      <c r="CUZ4" s="353"/>
      <c r="CVA4" s="353"/>
      <c r="CVB4" s="353"/>
      <c r="CVC4" s="353"/>
      <c r="CVD4" s="353"/>
      <c r="CVE4" s="353"/>
      <c r="CVF4" s="353"/>
      <c r="CVG4" s="353"/>
      <c r="CVH4" s="353"/>
      <c r="CVI4" s="353"/>
      <c r="CVJ4" s="353"/>
      <c r="CVK4" s="353"/>
      <c r="CVL4" s="353"/>
      <c r="CVM4" s="353"/>
      <c r="CVN4" s="353"/>
      <c r="CVO4" s="353"/>
      <c r="CVP4" s="353"/>
      <c r="CVQ4" s="353"/>
      <c r="CVR4" s="353"/>
      <c r="CVS4" s="353"/>
      <c r="CVT4" s="353"/>
      <c r="CVU4" s="353"/>
      <c r="CVV4" s="353"/>
      <c r="CVW4" s="353"/>
      <c r="CVX4" s="353"/>
      <c r="CVY4" s="353"/>
      <c r="CVZ4" s="353"/>
      <c r="CWA4" s="353"/>
      <c r="CWB4" s="353"/>
      <c r="CWC4" s="353"/>
      <c r="CWD4" s="353"/>
      <c r="CWE4" s="353"/>
      <c r="CWF4" s="353"/>
      <c r="CWG4" s="353"/>
      <c r="CWH4" s="353"/>
      <c r="CWI4" s="353"/>
      <c r="CWJ4" s="353"/>
      <c r="CWK4" s="353"/>
      <c r="CWL4" s="353"/>
      <c r="CWM4" s="353"/>
      <c r="CWN4" s="353"/>
      <c r="CWO4" s="353"/>
      <c r="CWP4" s="353"/>
      <c r="CWQ4" s="353"/>
      <c r="CWR4" s="353"/>
      <c r="CWS4" s="353"/>
      <c r="CWT4" s="353"/>
      <c r="CWU4" s="353"/>
      <c r="CWV4" s="353"/>
      <c r="CWW4" s="353"/>
      <c r="CWX4" s="353"/>
      <c r="CWY4" s="353"/>
      <c r="CWZ4" s="353"/>
      <c r="CXA4" s="353"/>
      <c r="CXB4" s="353"/>
      <c r="CXC4" s="353"/>
      <c r="CXD4" s="353"/>
      <c r="CXE4" s="353"/>
      <c r="CXF4" s="353"/>
      <c r="CXG4" s="353"/>
      <c r="CXH4" s="353"/>
      <c r="CXI4" s="353"/>
      <c r="CXJ4" s="353"/>
      <c r="CXK4" s="353"/>
      <c r="CXL4" s="353"/>
      <c r="CXM4" s="353"/>
      <c r="CXN4" s="353"/>
      <c r="CXO4" s="353"/>
      <c r="CXP4" s="353"/>
      <c r="CXQ4" s="353"/>
      <c r="CXR4" s="353"/>
      <c r="CXS4" s="353"/>
      <c r="CXT4" s="353"/>
      <c r="CXU4" s="353"/>
      <c r="CXV4" s="353"/>
      <c r="CXW4" s="353"/>
      <c r="CXX4" s="353"/>
      <c r="CXY4" s="353"/>
      <c r="CXZ4" s="353"/>
      <c r="CYA4" s="353"/>
      <c r="CYB4" s="353"/>
      <c r="CYC4" s="353"/>
      <c r="CYD4" s="353"/>
      <c r="CYE4" s="353"/>
      <c r="CYF4" s="353"/>
      <c r="CYG4" s="353"/>
      <c r="CYH4" s="353"/>
      <c r="CYI4" s="353"/>
      <c r="CYJ4" s="353"/>
      <c r="CYK4" s="353"/>
      <c r="CYL4" s="353"/>
      <c r="CYM4" s="353"/>
      <c r="CYN4" s="353"/>
      <c r="CYO4" s="353"/>
      <c r="CYP4" s="353"/>
      <c r="CYQ4" s="353"/>
      <c r="CYR4" s="353"/>
      <c r="CYS4" s="353"/>
      <c r="CYT4" s="353"/>
      <c r="CYU4" s="353"/>
      <c r="CYV4" s="353"/>
      <c r="CYW4" s="353"/>
      <c r="CYX4" s="353"/>
      <c r="CYY4" s="353"/>
      <c r="CYZ4" s="353"/>
      <c r="CZA4" s="353"/>
      <c r="CZB4" s="353"/>
      <c r="CZC4" s="353"/>
      <c r="CZD4" s="353"/>
      <c r="CZE4" s="353"/>
      <c r="CZF4" s="353"/>
      <c r="CZG4" s="353"/>
      <c r="CZH4" s="353"/>
      <c r="CZI4" s="353"/>
      <c r="CZJ4" s="353"/>
      <c r="CZK4" s="353"/>
      <c r="CZL4" s="353"/>
      <c r="CZM4" s="353"/>
      <c r="CZN4" s="353"/>
      <c r="CZO4" s="353"/>
      <c r="CZP4" s="353"/>
      <c r="CZQ4" s="353"/>
      <c r="CZR4" s="353"/>
      <c r="CZS4" s="353"/>
      <c r="CZT4" s="353"/>
      <c r="CZU4" s="353"/>
      <c r="CZV4" s="353"/>
      <c r="CZW4" s="353"/>
      <c r="CZX4" s="353"/>
      <c r="CZY4" s="353"/>
      <c r="CZZ4" s="353"/>
      <c r="DAA4" s="353"/>
      <c r="DAB4" s="353"/>
      <c r="DAC4" s="353"/>
      <c r="DAD4" s="353"/>
      <c r="DAE4" s="353"/>
      <c r="DAF4" s="353"/>
      <c r="DAG4" s="353"/>
      <c r="DAH4" s="353"/>
      <c r="DAI4" s="353"/>
      <c r="DAJ4" s="353"/>
      <c r="DAK4" s="353"/>
      <c r="DAL4" s="353"/>
      <c r="DAM4" s="353"/>
      <c r="DAN4" s="353"/>
      <c r="DAO4" s="353"/>
      <c r="DAP4" s="353"/>
      <c r="DAQ4" s="353"/>
      <c r="DAR4" s="353"/>
      <c r="DAS4" s="353"/>
      <c r="DAT4" s="353"/>
      <c r="DAU4" s="353"/>
      <c r="DAV4" s="353"/>
      <c r="DAW4" s="353"/>
      <c r="DAX4" s="353"/>
      <c r="DAY4" s="353"/>
      <c r="DAZ4" s="353"/>
      <c r="DBA4" s="353"/>
      <c r="DBB4" s="353"/>
      <c r="DBC4" s="353"/>
      <c r="DBD4" s="353"/>
      <c r="DBE4" s="353"/>
      <c r="DBF4" s="353"/>
      <c r="DBG4" s="353"/>
      <c r="DBH4" s="353"/>
      <c r="DBI4" s="353"/>
      <c r="DBJ4" s="353"/>
      <c r="DBK4" s="353"/>
      <c r="DBL4" s="353"/>
      <c r="DBM4" s="353"/>
      <c r="DBN4" s="353"/>
      <c r="DBO4" s="353"/>
      <c r="DBP4" s="353"/>
      <c r="DBQ4" s="353"/>
      <c r="DBR4" s="353"/>
      <c r="DBS4" s="353"/>
      <c r="DBT4" s="353"/>
      <c r="DBU4" s="353"/>
      <c r="DBV4" s="353"/>
      <c r="DBW4" s="353"/>
      <c r="DBX4" s="353"/>
      <c r="DBY4" s="353"/>
      <c r="DBZ4" s="353"/>
      <c r="DCA4" s="353"/>
      <c r="DCB4" s="353"/>
      <c r="DCC4" s="353"/>
      <c r="DCD4" s="353"/>
      <c r="DCE4" s="353"/>
      <c r="DCF4" s="353"/>
      <c r="DCG4" s="353"/>
      <c r="DCH4" s="353"/>
      <c r="DCI4" s="353"/>
      <c r="DCJ4" s="353"/>
      <c r="DCK4" s="353"/>
      <c r="DCL4" s="353"/>
      <c r="DCM4" s="353"/>
      <c r="DCN4" s="353"/>
      <c r="DCO4" s="353"/>
      <c r="DCP4" s="353"/>
      <c r="DCQ4" s="353"/>
      <c r="DCR4" s="353"/>
      <c r="DCS4" s="353"/>
      <c r="DCT4" s="353"/>
      <c r="DCU4" s="353"/>
      <c r="DCV4" s="353"/>
      <c r="DCW4" s="353"/>
      <c r="DCX4" s="353"/>
      <c r="DCY4" s="353"/>
      <c r="DCZ4" s="353"/>
      <c r="DDA4" s="353"/>
      <c r="DDB4" s="353"/>
      <c r="DDC4" s="353"/>
      <c r="DDD4" s="353"/>
      <c r="DDE4" s="353"/>
      <c r="DDF4" s="353"/>
      <c r="DDG4" s="353"/>
      <c r="DDH4" s="353"/>
      <c r="DDI4" s="353"/>
      <c r="DDJ4" s="353"/>
      <c r="DDK4" s="353"/>
      <c r="DDL4" s="353"/>
      <c r="DDM4" s="353"/>
      <c r="DDN4" s="353"/>
      <c r="DDO4" s="353"/>
      <c r="DDP4" s="353"/>
      <c r="DDQ4" s="353"/>
      <c r="DDR4" s="353"/>
      <c r="DDS4" s="353"/>
      <c r="DDT4" s="353"/>
      <c r="DDU4" s="353"/>
      <c r="DDV4" s="353"/>
      <c r="DDW4" s="353"/>
      <c r="DDX4" s="353"/>
      <c r="DDY4" s="353"/>
      <c r="DDZ4" s="353"/>
      <c r="DEA4" s="353"/>
      <c r="DEB4" s="353"/>
      <c r="DEC4" s="353"/>
      <c r="DED4" s="353"/>
      <c r="DEE4" s="353"/>
      <c r="DEF4" s="353"/>
      <c r="DEG4" s="353"/>
      <c r="DEH4" s="353"/>
      <c r="DEI4" s="353"/>
      <c r="DEJ4" s="353"/>
      <c r="DEK4" s="353"/>
      <c r="DEL4" s="353"/>
      <c r="DEM4" s="353"/>
      <c r="DEN4" s="353"/>
      <c r="DEO4" s="353"/>
      <c r="DEP4" s="353"/>
      <c r="DEQ4" s="353"/>
      <c r="DER4" s="353"/>
      <c r="DES4" s="353"/>
      <c r="DET4" s="353"/>
      <c r="DEU4" s="353"/>
      <c r="DEV4" s="353"/>
      <c r="DEW4" s="353"/>
      <c r="DEX4" s="353"/>
      <c r="DEY4" s="353"/>
      <c r="DEZ4" s="353"/>
      <c r="DFA4" s="353"/>
      <c r="DFB4" s="353"/>
      <c r="DFC4" s="353"/>
      <c r="DFD4" s="353"/>
      <c r="DFE4" s="353"/>
      <c r="DFF4" s="353"/>
      <c r="DFG4" s="353"/>
      <c r="DFH4" s="353"/>
      <c r="DFI4" s="353"/>
      <c r="DFJ4" s="353"/>
      <c r="DFK4" s="353"/>
      <c r="DFL4" s="353"/>
      <c r="DFM4" s="353"/>
      <c r="DFN4" s="353"/>
      <c r="DFO4" s="353"/>
      <c r="DFP4" s="353"/>
      <c r="DFQ4" s="353"/>
      <c r="DFR4" s="353"/>
      <c r="DFS4" s="353"/>
      <c r="DFT4" s="353"/>
      <c r="DFU4" s="353"/>
      <c r="DFV4" s="353"/>
      <c r="DFW4" s="353"/>
      <c r="DFX4" s="353"/>
      <c r="DFY4" s="353"/>
      <c r="DFZ4" s="353"/>
      <c r="DGA4" s="353"/>
      <c r="DGB4" s="353"/>
      <c r="DGC4" s="353"/>
      <c r="DGD4" s="353"/>
      <c r="DGE4" s="353"/>
      <c r="DGF4" s="353"/>
      <c r="DGG4" s="353"/>
      <c r="DGH4" s="353"/>
      <c r="DGI4" s="353"/>
      <c r="DGJ4" s="353"/>
      <c r="DGK4" s="353"/>
      <c r="DGL4" s="353"/>
      <c r="DGM4" s="353"/>
      <c r="DGN4" s="353"/>
      <c r="DGO4" s="353"/>
      <c r="DGP4" s="353"/>
      <c r="DGQ4" s="353"/>
      <c r="DGR4" s="353"/>
      <c r="DGS4" s="353"/>
      <c r="DGT4" s="353"/>
      <c r="DGU4" s="353"/>
      <c r="DGV4" s="353"/>
      <c r="DGW4" s="353"/>
      <c r="DGX4" s="353"/>
      <c r="DGY4" s="353"/>
      <c r="DGZ4" s="353"/>
      <c r="DHA4" s="353"/>
      <c r="DHB4" s="353"/>
      <c r="DHC4" s="353"/>
      <c r="DHD4" s="353"/>
      <c r="DHE4" s="353"/>
      <c r="DHF4" s="353"/>
      <c r="DHG4" s="353"/>
      <c r="DHH4" s="353"/>
      <c r="DHI4" s="353"/>
      <c r="DHJ4" s="353"/>
      <c r="DHK4" s="353"/>
      <c r="DHL4" s="353"/>
      <c r="DHM4" s="353"/>
      <c r="DHN4" s="353"/>
      <c r="DHO4" s="353"/>
      <c r="DHP4" s="353"/>
      <c r="DHQ4" s="353"/>
      <c r="DHR4" s="353"/>
      <c r="DHS4" s="353"/>
      <c r="DHT4" s="353"/>
      <c r="DHU4" s="353"/>
      <c r="DHV4" s="353"/>
      <c r="DHW4" s="353"/>
      <c r="DHX4" s="353"/>
      <c r="DHY4" s="353"/>
      <c r="DHZ4" s="353"/>
      <c r="DIA4" s="353"/>
      <c r="DIB4" s="353"/>
      <c r="DIC4" s="353"/>
      <c r="DID4" s="353"/>
      <c r="DIE4" s="353"/>
      <c r="DIF4" s="353"/>
      <c r="DIG4" s="353"/>
      <c r="DIH4" s="353"/>
      <c r="DII4" s="353"/>
      <c r="DIJ4" s="353"/>
      <c r="DIK4" s="353"/>
      <c r="DIL4" s="353"/>
      <c r="DIM4" s="353"/>
      <c r="DIN4" s="353"/>
      <c r="DIO4" s="353"/>
      <c r="DIP4" s="353"/>
      <c r="DIQ4" s="353"/>
      <c r="DIR4" s="353"/>
      <c r="DIS4" s="353"/>
      <c r="DIT4" s="353"/>
      <c r="DIU4" s="353"/>
      <c r="DIV4" s="353"/>
      <c r="DIW4" s="353"/>
      <c r="DIX4" s="353"/>
      <c r="DIY4" s="353"/>
      <c r="DIZ4" s="353"/>
      <c r="DJA4" s="353"/>
      <c r="DJB4" s="353"/>
      <c r="DJC4" s="353"/>
      <c r="DJD4" s="353"/>
      <c r="DJE4" s="353"/>
      <c r="DJF4" s="353"/>
      <c r="DJG4" s="353"/>
      <c r="DJH4" s="353"/>
      <c r="DJI4" s="353"/>
      <c r="DJJ4" s="353"/>
      <c r="DJK4" s="353"/>
      <c r="DJL4" s="353"/>
      <c r="DJM4" s="353"/>
      <c r="DJN4" s="353"/>
      <c r="DJO4" s="353"/>
      <c r="DJP4" s="353"/>
      <c r="DJQ4" s="353"/>
      <c r="DJR4" s="353"/>
      <c r="DJS4" s="353"/>
      <c r="DJT4" s="353"/>
      <c r="DJU4" s="353"/>
      <c r="DJV4" s="353"/>
      <c r="DJW4" s="353"/>
      <c r="DJX4" s="353"/>
      <c r="DJY4" s="353"/>
      <c r="DJZ4" s="353"/>
      <c r="DKA4" s="353"/>
      <c r="DKB4" s="353"/>
      <c r="DKC4" s="353"/>
      <c r="DKD4" s="353"/>
      <c r="DKE4" s="353"/>
      <c r="DKF4" s="353"/>
      <c r="DKG4" s="353"/>
      <c r="DKH4" s="353"/>
      <c r="DKI4" s="353"/>
      <c r="DKJ4" s="353"/>
      <c r="DKK4" s="353"/>
      <c r="DKL4" s="353"/>
      <c r="DKM4" s="353"/>
      <c r="DKN4" s="353"/>
      <c r="DKO4" s="353"/>
      <c r="DKP4" s="353"/>
      <c r="DKQ4" s="353"/>
      <c r="DKR4" s="353"/>
      <c r="DKS4" s="353"/>
      <c r="DKT4" s="353"/>
      <c r="DKU4" s="353"/>
      <c r="DKV4" s="353"/>
      <c r="DKW4" s="353"/>
      <c r="DKX4" s="353"/>
      <c r="DKY4" s="353"/>
      <c r="DKZ4" s="353"/>
      <c r="DLA4" s="353"/>
      <c r="DLB4" s="353"/>
      <c r="DLC4" s="353"/>
      <c r="DLD4" s="353"/>
      <c r="DLE4" s="353"/>
      <c r="DLF4" s="353"/>
      <c r="DLG4" s="353"/>
      <c r="DLH4" s="353"/>
      <c r="DLI4" s="353"/>
      <c r="DLJ4" s="353"/>
      <c r="DLK4" s="353"/>
      <c r="DLL4" s="353"/>
      <c r="DLM4" s="353"/>
      <c r="DLN4" s="353"/>
      <c r="DLO4" s="353"/>
      <c r="DLP4" s="353"/>
      <c r="DLQ4" s="353"/>
      <c r="DLR4" s="353"/>
      <c r="DLS4" s="353"/>
      <c r="DLT4" s="353"/>
      <c r="DLU4" s="353"/>
      <c r="DLV4" s="353"/>
      <c r="DLW4" s="353"/>
      <c r="DLX4" s="353"/>
      <c r="DLY4" s="353"/>
      <c r="DLZ4" s="353"/>
      <c r="DMA4" s="353"/>
      <c r="DMB4" s="353"/>
      <c r="DMC4" s="353"/>
      <c r="DMD4" s="353"/>
      <c r="DME4" s="353"/>
      <c r="DMF4" s="353"/>
      <c r="DMG4" s="353"/>
      <c r="DMH4" s="353"/>
      <c r="DMI4" s="353"/>
      <c r="DMJ4" s="353"/>
      <c r="DMK4" s="353"/>
      <c r="DML4" s="353"/>
      <c r="DMM4" s="353"/>
      <c r="DMN4" s="353"/>
      <c r="DMO4" s="353"/>
      <c r="DMP4" s="353"/>
      <c r="DMQ4" s="353"/>
      <c r="DMR4" s="353"/>
      <c r="DMS4" s="353"/>
      <c r="DMT4" s="353"/>
      <c r="DMU4" s="353"/>
      <c r="DMV4" s="353"/>
      <c r="DMW4" s="353"/>
      <c r="DMX4" s="353"/>
      <c r="DMY4" s="353"/>
      <c r="DMZ4" s="353"/>
      <c r="DNA4" s="353"/>
      <c r="DNB4" s="353"/>
      <c r="DNC4" s="353"/>
      <c r="DND4" s="353"/>
      <c r="DNE4" s="353"/>
      <c r="DNF4" s="353"/>
      <c r="DNG4" s="353"/>
      <c r="DNH4" s="353"/>
      <c r="DNI4" s="353"/>
      <c r="DNJ4" s="353"/>
      <c r="DNK4" s="353"/>
      <c r="DNL4" s="353"/>
      <c r="DNM4" s="353"/>
      <c r="DNN4" s="353"/>
      <c r="DNO4" s="353"/>
      <c r="DNP4" s="353"/>
      <c r="DNQ4" s="353"/>
      <c r="DNR4" s="353"/>
      <c r="DNS4" s="353"/>
      <c r="DNT4" s="353"/>
      <c r="DNU4" s="353"/>
      <c r="DNV4" s="353"/>
      <c r="DNW4" s="353"/>
      <c r="DNX4" s="353"/>
      <c r="DNY4" s="353"/>
      <c r="DNZ4" s="353"/>
      <c r="DOA4" s="353"/>
      <c r="DOB4" s="353"/>
      <c r="DOC4" s="353"/>
      <c r="DOD4" s="353"/>
      <c r="DOE4" s="353"/>
      <c r="DOF4" s="353"/>
      <c r="DOG4" s="353"/>
      <c r="DOH4" s="353"/>
      <c r="DOI4" s="353"/>
      <c r="DOJ4" s="353"/>
      <c r="DOK4" s="353"/>
      <c r="DOL4" s="353"/>
      <c r="DOM4" s="353"/>
      <c r="DON4" s="353"/>
      <c r="DOO4" s="353"/>
      <c r="DOP4" s="353"/>
      <c r="DOQ4" s="353"/>
      <c r="DOR4" s="353"/>
      <c r="DOS4" s="353"/>
      <c r="DOT4" s="353"/>
      <c r="DOU4" s="353"/>
      <c r="DOV4" s="353"/>
      <c r="DOW4" s="353"/>
      <c r="DOX4" s="353"/>
      <c r="DOY4" s="353"/>
      <c r="DOZ4" s="353"/>
      <c r="DPA4" s="353"/>
      <c r="DPB4" s="353"/>
      <c r="DPC4" s="353"/>
      <c r="DPD4" s="353"/>
      <c r="DPE4" s="353"/>
      <c r="DPF4" s="353"/>
      <c r="DPG4" s="353"/>
      <c r="DPH4" s="353"/>
      <c r="DPI4" s="353"/>
      <c r="DPJ4" s="353"/>
      <c r="DPK4" s="353"/>
      <c r="DPL4" s="353"/>
      <c r="DPM4" s="353"/>
      <c r="DPN4" s="353"/>
      <c r="DPO4" s="353"/>
      <c r="DPP4" s="353"/>
      <c r="DPQ4" s="353"/>
      <c r="DPR4" s="353"/>
      <c r="DPS4" s="353"/>
      <c r="DPT4" s="353"/>
      <c r="DPU4" s="353"/>
      <c r="DPV4" s="353"/>
      <c r="DPW4" s="353"/>
      <c r="DPX4" s="353"/>
      <c r="DPY4" s="353"/>
      <c r="DPZ4" s="353"/>
      <c r="DQA4" s="353"/>
      <c r="DQB4" s="353"/>
      <c r="DQC4" s="353"/>
      <c r="DQD4" s="353"/>
      <c r="DQE4" s="353"/>
      <c r="DQF4" s="353"/>
      <c r="DQG4" s="353"/>
      <c r="DQH4" s="353"/>
      <c r="DQI4" s="353"/>
      <c r="DQJ4" s="353"/>
      <c r="DQK4" s="353"/>
      <c r="DQL4" s="353"/>
      <c r="DQM4" s="353"/>
      <c r="DQN4" s="353"/>
      <c r="DQO4" s="353"/>
      <c r="DQP4" s="353"/>
      <c r="DQQ4" s="353"/>
      <c r="DQR4" s="353"/>
      <c r="DQS4" s="353"/>
      <c r="DQT4" s="353"/>
      <c r="DQU4" s="353"/>
      <c r="DQV4" s="353"/>
      <c r="DQW4" s="353"/>
      <c r="DQX4" s="353"/>
      <c r="DQY4" s="353"/>
      <c r="DQZ4" s="353"/>
      <c r="DRA4" s="353"/>
      <c r="DRB4" s="353"/>
      <c r="DRC4" s="353"/>
      <c r="DRD4" s="353"/>
      <c r="DRE4" s="353"/>
      <c r="DRF4" s="353"/>
      <c r="DRG4" s="353"/>
      <c r="DRH4" s="353"/>
      <c r="DRI4" s="353"/>
      <c r="DRJ4" s="353"/>
      <c r="DRK4" s="353"/>
      <c r="DRL4" s="353"/>
      <c r="DRM4" s="353"/>
      <c r="DRN4" s="353"/>
      <c r="DRO4" s="353"/>
      <c r="DRP4" s="353"/>
      <c r="DRQ4" s="353"/>
      <c r="DRR4" s="353"/>
      <c r="DRS4" s="353"/>
      <c r="DRT4" s="353"/>
      <c r="DRU4" s="353"/>
      <c r="DRV4" s="353"/>
      <c r="DRW4" s="353"/>
      <c r="DRX4" s="353"/>
      <c r="DRY4" s="353"/>
      <c r="DRZ4" s="353"/>
      <c r="DSA4" s="353"/>
      <c r="DSB4" s="353"/>
      <c r="DSC4" s="353"/>
      <c r="DSD4" s="353"/>
      <c r="DSE4" s="353"/>
      <c r="DSF4" s="353"/>
      <c r="DSG4" s="353"/>
      <c r="DSH4" s="353"/>
      <c r="DSI4" s="353"/>
      <c r="DSJ4" s="353"/>
      <c r="DSK4" s="353"/>
      <c r="DSL4" s="353"/>
      <c r="DSM4" s="353"/>
      <c r="DSN4" s="353"/>
      <c r="DSO4" s="353"/>
      <c r="DSP4" s="353"/>
      <c r="DSQ4" s="353"/>
      <c r="DSR4" s="353"/>
      <c r="DSS4" s="353"/>
      <c r="DST4" s="353"/>
      <c r="DSU4" s="353"/>
      <c r="DSV4" s="353"/>
      <c r="DSW4" s="353"/>
      <c r="DSX4" s="353"/>
      <c r="DSY4" s="353"/>
      <c r="DSZ4" s="353"/>
      <c r="DTA4" s="353"/>
      <c r="DTB4" s="353"/>
      <c r="DTC4" s="353"/>
      <c r="DTD4" s="353"/>
      <c r="DTE4" s="353"/>
      <c r="DTF4" s="353"/>
      <c r="DTG4" s="353"/>
      <c r="DTH4" s="353"/>
      <c r="DTI4" s="353"/>
      <c r="DTJ4" s="353"/>
      <c r="DTK4" s="353"/>
      <c r="DTL4" s="353"/>
      <c r="DTM4" s="353"/>
      <c r="DTN4" s="353"/>
      <c r="DTO4" s="353"/>
      <c r="DTP4" s="353"/>
      <c r="DTQ4" s="353"/>
      <c r="DTR4" s="353"/>
      <c r="DTS4" s="353"/>
      <c r="DTT4" s="353"/>
      <c r="DTU4" s="353"/>
      <c r="DTV4" s="353"/>
      <c r="DTW4" s="353"/>
      <c r="DTX4" s="353"/>
      <c r="DTY4" s="353"/>
      <c r="DTZ4" s="353"/>
      <c r="DUA4" s="353"/>
      <c r="DUB4" s="353"/>
      <c r="DUC4" s="353"/>
      <c r="DUD4" s="353"/>
      <c r="DUE4" s="353"/>
      <c r="DUF4" s="353"/>
      <c r="DUG4" s="353"/>
      <c r="DUH4" s="353"/>
      <c r="DUI4" s="353"/>
      <c r="DUJ4" s="353"/>
      <c r="DUK4" s="353"/>
      <c r="DUL4" s="353"/>
      <c r="DUM4" s="353"/>
      <c r="DUN4" s="353"/>
      <c r="DUO4" s="353"/>
      <c r="DUP4" s="353"/>
      <c r="DUQ4" s="353"/>
      <c r="DUR4" s="353"/>
      <c r="DUS4" s="353"/>
      <c r="DUT4" s="353"/>
      <c r="DUU4" s="353"/>
      <c r="DUV4" s="353"/>
      <c r="DUW4" s="353"/>
      <c r="DUX4" s="353"/>
      <c r="DUY4" s="353"/>
      <c r="DUZ4" s="353"/>
      <c r="DVA4" s="353"/>
      <c r="DVB4" s="353"/>
      <c r="DVC4" s="353"/>
      <c r="DVD4" s="353"/>
      <c r="DVE4" s="353"/>
      <c r="DVF4" s="353"/>
      <c r="DVG4" s="353"/>
      <c r="DVH4" s="353"/>
      <c r="DVI4" s="353"/>
      <c r="DVJ4" s="353"/>
      <c r="DVK4" s="353"/>
      <c r="DVL4" s="353"/>
      <c r="DVM4" s="353"/>
      <c r="DVN4" s="353"/>
      <c r="DVO4" s="353"/>
      <c r="DVP4" s="353"/>
      <c r="DVQ4" s="353"/>
      <c r="DVR4" s="353"/>
      <c r="DVS4" s="353"/>
      <c r="DVT4" s="353"/>
      <c r="DVU4" s="353"/>
      <c r="DVV4" s="353"/>
      <c r="DVW4" s="353"/>
      <c r="DVX4" s="353"/>
      <c r="DVY4" s="353"/>
      <c r="DVZ4" s="353"/>
      <c r="DWA4" s="353"/>
      <c r="DWB4" s="353"/>
      <c r="DWC4" s="353"/>
      <c r="DWD4" s="353"/>
      <c r="DWE4" s="353"/>
      <c r="DWF4" s="353"/>
      <c r="DWG4" s="353"/>
      <c r="DWH4" s="353"/>
      <c r="DWI4" s="353"/>
      <c r="DWJ4" s="353"/>
      <c r="DWK4" s="353"/>
      <c r="DWL4" s="353"/>
      <c r="DWM4" s="353"/>
      <c r="DWN4" s="353"/>
      <c r="DWO4" s="353"/>
      <c r="DWP4" s="353"/>
      <c r="DWQ4" s="353"/>
      <c r="DWR4" s="353"/>
      <c r="DWS4" s="353"/>
      <c r="DWT4" s="353"/>
      <c r="DWU4" s="353"/>
      <c r="DWV4" s="353"/>
      <c r="DWW4" s="353"/>
      <c r="DWX4" s="353"/>
      <c r="DWY4" s="353"/>
      <c r="DWZ4" s="353"/>
      <c r="DXA4" s="353"/>
      <c r="DXB4" s="353"/>
      <c r="DXC4" s="353"/>
      <c r="DXD4" s="353"/>
      <c r="DXE4" s="353"/>
      <c r="DXF4" s="353"/>
      <c r="DXG4" s="353"/>
      <c r="DXH4" s="353"/>
      <c r="DXI4" s="353"/>
      <c r="DXJ4" s="353"/>
      <c r="DXK4" s="353"/>
      <c r="DXL4" s="353"/>
      <c r="DXM4" s="353"/>
      <c r="DXN4" s="353"/>
      <c r="DXO4" s="353"/>
      <c r="DXP4" s="353"/>
      <c r="DXQ4" s="353"/>
      <c r="DXR4" s="353"/>
      <c r="DXS4" s="353"/>
      <c r="DXT4" s="353"/>
      <c r="DXU4" s="353"/>
      <c r="DXV4" s="353"/>
      <c r="DXW4" s="353"/>
      <c r="DXX4" s="353"/>
      <c r="DXY4" s="353"/>
      <c r="DXZ4" s="353"/>
      <c r="DYA4" s="353"/>
      <c r="DYB4" s="353"/>
      <c r="DYC4" s="353"/>
      <c r="DYD4" s="353"/>
      <c r="DYE4" s="353"/>
      <c r="DYF4" s="353"/>
      <c r="DYG4" s="353"/>
      <c r="DYH4" s="353"/>
      <c r="DYI4" s="353"/>
      <c r="DYJ4" s="353"/>
      <c r="DYK4" s="353"/>
      <c r="DYL4" s="353"/>
      <c r="DYM4" s="353"/>
      <c r="DYN4" s="353"/>
      <c r="DYO4" s="353"/>
      <c r="DYP4" s="353"/>
      <c r="DYQ4" s="353"/>
      <c r="DYR4" s="353"/>
      <c r="DYS4" s="353"/>
      <c r="DYT4" s="353"/>
      <c r="DYU4" s="353"/>
      <c r="DYV4" s="353"/>
      <c r="DYW4" s="353"/>
      <c r="DYX4" s="353"/>
      <c r="DYY4" s="353"/>
      <c r="DYZ4" s="353"/>
      <c r="DZA4" s="353"/>
      <c r="DZB4" s="353"/>
      <c r="DZC4" s="353"/>
      <c r="DZD4" s="353"/>
      <c r="DZE4" s="353"/>
      <c r="DZF4" s="353"/>
      <c r="DZG4" s="353"/>
      <c r="DZH4" s="353"/>
      <c r="DZI4" s="353"/>
      <c r="DZJ4" s="353"/>
      <c r="DZK4" s="353"/>
      <c r="DZL4" s="353"/>
      <c r="DZM4" s="353"/>
      <c r="DZN4" s="353"/>
      <c r="DZO4" s="353"/>
      <c r="DZP4" s="353"/>
      <c r="DZQ4" s="353"/>
      <c r="DZR4" s="353"/>
      <c r="DZS4" s="353"/>
      <c r="DZT4" s="353"/>
      <c r="DZU4" s="353"/>
      <c r="DZV4" s="353"/>
      <c r="DZW4" s="353"/>
      <c r="DZX4" s="353"/>
      <c r="DZY4" s="353"/>
      <c r="DZZ4" s="353"/>
      <c r="EAA4" s="353"/>
      <c r="EAB4" s="353"/>
      <c r="EAC4" s="353"/>
      <c r="EAD4" s="353"/>
      <c r="EAE4" s="353"/>
      <c r="EAF4" s="353"/>
      <c r="EAG4" s="353"/>
      <c r="EAH4" s="353"/>
      <c r="EAI4" s="353"/>
      <c r="EAJ4" s="353"/>
      <c r="EAK4" s="353"/>
      <c r="EAL4" s="353"/>
      <c r="EAM4" s="353"/>
      <c r="EAN4" s="353"/>
      <c r="EAO4" s="353"/>
      <c r="EAP4" s="353"/>
      <c r="EAQ4" s="353"/>
      <c r="EAR4" s="353"/>
      <c r="EAS4" s="353"/>
      <c r="EAT4" s="353"/>
      <c r="EAU4" s="353"/>
      <c r="EAV4" s="353"/>
      <c r="EAW4" s="353"/>
      <c r="EAX4" s="353"/>
      <c r="EAY4" s="353"/>
      <c r="EAZ4" s="353"/>
      <c r="EBA4" s="353"/>
      <c r="EBB4" s="353"/>
      <c r="EBC4" s="353"/>
      <c r="EBD4" s="353"/>
      <c r="EBE4" s="353"/>
      <c r="EBF4" s="353"/>
      <c r="EBG4" s="353"/>
      <c r="EBH4" s="353"/>
      <c r="EBI4" s="353"/>
      <c r="EBJ4" s="353"/>
      <c r="EBK4" s="353"/>
      <c r="EBL4" s="353"/>
      <c r="EBM4" s="353"/>
      <c r="EBN4" s="353"/>
      <c r="EBO4" s="353"/>
      <c r="EBP4" s="353"/>
      <c r="EBQ4" s="353"/>
      <c r="EBR4" s="353"/>
      <c r="EBS4" s="353"/>
      <c r="EBT4" s="353"/>
      <c r="EBU4" s="353"/>
      <c r="EBV4" s="353"/>
      <c r="EBW4" s="353"/>
      <c r="EBX4" s="353"/>
      <c r="EBY4" s="353"/>
      <c r="EBZ4" s="353"/>
      <c r="ECA4" s="353"/>
      <c r="ECB4" s="353"/>
      <c r="ECC4" s="353"/>
      <c r="ECD4" s="353"/>
      <c r="ECE4" s="353"/>
      <c r="ECF4" s="353"/>
      <c r="ECG4" s="353"/>
      <c r="ECH4" s="353"/>
      <c r="ECI4" s="353"/>
      <c r="ECJ4" s="353"/>
      <c r="ECK4" s="353"/>
      <c r="ECL4" s="353"/>
      <c r="ECM4" s="353"/>
      <c r="ECN4" s="353"/>
      <c r="ECO4" s="353"/>
      <c r="ECP4" s="353"/>
      <c r="ECQ4" s="353"/>
      <c r="ECR4" s="353"/>
      <c r="ECS4" s="353"/>
      <c r="ECT4" s="353"/>
      <c r="ECU4" s="353"/>
      <c r="ECV4" s="353"/>
      <c r="ECW4" s="353"/>
      <c r="ECX4" s="353"/>
      <c r="ECY4" s="353"/>
      <c r="ECZ4" s="353"/>
      <c r="EDA4" s="353"/>
      <c r="EDB4" s="353"/>
      <c r="EDC4" s="353"/>
      <c r="EDD4" s="353"/>
      <c r="EDE4" s="353"/>
      <c r="EDF4" s="353"/>
      <c r="EDG4" s="353"/>
      <c r="EDH4" s="353"/>
      <c r="EDI4" s="353"/>
      <c r="EDJ4" s="353"/>
      <c r="EDK4" s="353"/>
      <c r="EDL4" s="353"/>
      <c r="EDM4" s="353"/>
      <c r="EDN4" s="353"/>
      <c r="EDO4" s="353"/>
      <c r="EDP4" s="353"/>
      <c r="EDQ4" s="353"/>
      <c r="EDR4" s="353"/>
      <c r="EDS4" s="353"/>
      <c r="EDT4" s="353"/>
      <c r="EDU4" s="353"/>
      <c r="EDV4" s="353"/>
      <c r="EDW4" s="353"/>
      <c r="EDX4" s="353"/>
      <c r="EDY4" s="353"/>
      <c r="EDZ4" s="353"/>
      <c r="EEA4" s="353"/>
      <c r="EEB4" s="353"/>
      <c r="EEC4" s="353"/>
      <c r="EED4" s="353"/>
      <c r="EEE4" s="353"/>
      <c r="EEF4" s="353"/>
      <c r="EEG4" s="353"/>
      <c r="EEH4" s="353"/>
      <c r="EEI4" s="353"/>
      <c r="EEJ4" s="353"/>
      <c r="EEK4" s="353"/>
      <c r="EEL4" s="353"/>
      <c r="EEM4" s="353"/>
      <c r="EEN4" s="353"/>
      <c r="EEO4" s="353"/>
      <c r="EEP4" s="353"/>
      <c r="EEQ4" s="353"/>
      <c r="EER4" s="353"/>
      <c r="EES4" s="353"/>
      <c r="EET4" s="353"/>
      <c r="EEU4" s="353"/>
      <c r="EEV4" s="353"/>
      <c r="EEW4" s="353"/>
      <c r="EEX4" s="353"/>
      <c r="EEY4" s="353"/>
      <c r="EEZ4" s="353"/>
      <c r="EFA4" s="353"/>
      <c r="EFB4" s="353"/>
      <c r="EFC4" s="353"/>
      <c r="EFD4" s="353"/>
      <c r="EFE4" s="353"/>
      <c r="EFF4" s="353"/>
      <c r="EFG4" s="353"/>
      <c r="EFH4" s="353"/>
      <c r="EFI4" s="353"/>
      <c r="EFJ4" s="353"/>
      <c r="EFK4" s="353"/>
      <c r="EFL4" s="353"/>
      <c r="EFM4" s="353"/>
      <c r="EFN4" s="353"/>
      <c r="EFO4" s="353"/>
      <c r="EFP4" s="353"/>
      <c r="EFQ4" s="353"/>
      <c r="EFR4" s="353"/>
      <c r="EFS4" s="353"/>
      <c r="EFT4" s="353"/>
      <c r="EFU4" s="353"/>
      <c r="EFV4" s="353"/>
      <c r="EFW4" s="353"/>
      <c r="EFX4" s="353"/>
      <c r="EFY4" s="353"/>
      <c r="EFZ4" s="353"/>
      <c r="EGA4" s="353"/>
      <c r="EGB4" s="353"/>
      <c r="EGC4" s="353"/>
      <c r="EGD4" s="353"/>
      <c r="EGE4" s="353"/>
      <c r="EGF4" s="353"/>
      <c r="EGG4" s="353"/>
      <c r="EGH4" s="353"/>
      <c r="EGI4" s="353"/>
      <c r="EGJ4" s="353"/>
      <c r="EGK4" s="353"/>
      <c r="EGL4" s="353"/>
      <c r="EGM4" s="353"/>
      <c r="EGN4" s="353"/>
      <c r="EGO4" s="353"/>
      <c r="EGP4" s="353"/>
      <c r="EGQ4" s="353"/>
      <c r="EGR4" s="353"/>
      <c r="EGS4" s="353"/>
      <c r="EGT4" s="353"/>
      <c r="EGU4" s="353"/>
      <c r="EGV4" s="353"/>
      <c r="EGW4" s="353"/>
      <c r="EGX4" s="353"/>
      <c r="EGY4" s="353"/>
      <c r="EGZ4" s="353"/>
      <c r="EHA4" s="353"/>
      <c r="EHB4" s="353"/>
      <c r="EHC4" s="353"/>
      <c r="EHD4" s="353"/>
      <c r="EHE4" s="353"/>
      <c r="EHF4" s="353"/>
      <c r="EHG4" s="353"/>
      <c r="EHH4" s="353"/>
      <c r="EHI4" s="353"/>
      <c r="EHJ4" s="353"/>
      <c r="EHK4" s="353"/>
      <c r="EHL4" s="353"/>
      <c r="EHM4" s="353"/>
      <c r="EHN4" s="353"/>
      <c r="EHO4" s="353"/>
      <c r="EHP4" s="353"/>
      <c r="EHQ4" s="353"/>
      <c r="EHR4" s="353"/>
      <c r="EHS4" s="353"/>
      <c r="EHT4" s="353"/>
      <c r="EHU4" s="353"/>
      <c r="EHV4" s="353"/>
      <c r="EHW4" s="353"/>
      <c r="EHX4" s="353"/>
      <c r="EHY4" s="353"/>
      <c r="EHZ4" s="353"/>
      <c r="EIA4" s="353"/>
      <c r="EIB4" s="353"/>
      <c r="EIC4" s="353"/>
      <c r="EID4" s="353"/>
      <c r="EIE4" s="353"/>
      <c r="EIF4" s="353"/>
      <c r="EIG4" s="353"/>
      <c r="EIH4" s="353"/>
      <c r="EII4" s="353"/>
      <c r="EIJ4" s="353"/>
      <c r="EIK4" s="353"/>
      <c r="EIL4" s="353"/>
      <c r="EIM4" s="353"/>
      <c r="EIN4" s="353"/>
      <c r="EIO4" s="353"/>
      <c r="EIP4" s="353"/>
      <c r="EIQ4" s="353"/>
      <c r="EIR4" s="353"/>
      <c r="EIS4" s="353"/>
      <c r="EIT4" s="353"/>
      <c r="EIU4" s="353"/>
      <c r="EIV4" s="353"/>
      <c r="EIW4" s="353"/>
      <c r="EIX4" s="353"/>
      <c r="EIY4" s="353"/>
      <c r="EIZ4" s="353"/>
      <c r="EJA4" s="353"/>
      <c r="EJB4" s="353"/>
      <c r="EJC4" s="353"/>
      <c r="EJD4" s="353"/>
      <c r="EJE4" s="353"/>
      <c r="EJF4" s="353"/>
      <c r="EJG4" s="353"/>
      <c r="EJH4" s="353"/>
      <c r="EJI4" s="353"/>
      <c r="EJJ4" s="353"/>
      <c r="EJK4" s="353"/>
      <c r="EJL4" s="353"/>
      <c r="EJM4" s="353"/>
      <c r="EJN4" s="353"/>
      <c r="EJO4" s="353"/>
      <c r="EJP4" s="353"/>
      <c r="EJQ4" s="353"/>
      <c r="EJR4" s="353"/>
      <c r="EJS4" s="353"/>
      <c r="EJT4" s="353"/>
      <c r="EJU4" s="353"/>
      <c r="EJV4" s="353"/>
      <c r="EJW4" s="353"/>
      <c r="EJX4" s="353"/>
      <c r="EJY4" s="353"/>
      <c r="EJZ4" s="353"/>
      <c r="EKA4" s="353"/>
      <c r="EKB4" s="353"/>
      <c r="EKC4" s="353"/>
      <c r="EKD4" s="353"/>
      <c r="EKE4" s="353"/>
      <c r="EKF4" s="353"/>
      <c r="EKG4" s="353"/>
      <c r="EKH4" s="353"/>
      <c r="EKI4" s="353"/>
      <c r="EKJ4" s="353"/>
      <c r="EKK4" s="353"/>
      <c r="EKL4" s="353"/>
      <c r="EKM4" s="353"/>
      <c r="EKN4" s="353"/>
      <c r="EKO4" s="353"/>
      <c r="EKP4" s="353"/>
      <c r="EKQ4" s="353"/>
      <c r="EKR4" s="353"/>
      <c r="EKS4" s="353"/>
      <c r="EKT4" s="353"/>
      <c r="EKU4" s="353"/>
      <c r="EKV4" s="353"/>
      <c r="EKW4" s="353"/>
      <c r="EKX4" s="353"/>
      <c r="EKY4" s="353"/>
      <c r="EKZ4" s="353"/>
      <c r="ELA4" s="353"/>
      <c r="ELB4" s="353"/>
      <c r="ELC4" s="353"/>
      <c r="ELD4" s="353"/>
      <c r="ELE4" s="353"/>
      <c r="ELF4" s="353"/>
      <c r="ELG4" s="353"/>
      <c r="ELH4" s="353"/>
      <c r="ELI4" s="353"/>
      <c r="ELJ4" s="353"/>
      <c r="ELK4" s="353"/>
      <c r="ELL4" s="353"/>
      <c r="ELM4" s="353"/>
      <c r="ELN4" s="353"/>
      <c r="ELO4" s="353"/>
      <c r="ELP4" s="353"/>
      <c r="ELQ4" s="353"/>
      <c r="ELR4" s="353"/>
      <c r="ELS4" s="353"/>
      <c r="ELT4" s="353"/>
      <c r="ELU4" s="353"/>
      <c r="ELV4" s="353"/>
      <c r="ELW4" s="353"/>
      <c r="ELX4" s="353"/>
      <c r="ELY4" s="353"/>
      <c r="ELZ4" s="353"/>
      <c r="EMA4" s="353"/>
      <c r="EMB4" s="353"/>
      <c r="EMC4" s="353"/>
      <c r="EMD4" s="353"/>
      <c r="EME4" s="353"/>
      <c r="EMF4" s="353"/>
      <c r="EMG4" s="353"/>
      <c r="EMH4" s="353"/>
      <c r="EMI4" s="353"/>
      <c r="EMJ4" s="353"/>
      <c r="EMK4" s="353"/>
      <c r="EML4" s="353"/>
      <c r="EMM4" s="353"/>
      <c r="EMN4" s="353"/>
      <c r="EMO4" s="353"/>
      <c r="EMP4" s="353"/>
      <c r="EMQ4" s="353"/>
      <c r="EMR4" s="353"/>
      <c r="EMS4" s="353"/>
      <c r="EMT4" s="353"/>
      <c r="EMU4" s="353"/>
      <c r="EMV4" s="353"/>
      <c r="EMW4" s="353"/>
      <c r="EMX4" s="353"/>
      <c r="EMY4" s="353"/>
      <c r="EMZ4" s="353"/>
      <c r="ENA4" s="353"/>
      <c r="ENB4" s="353"/>
      <c r="ENC4" s="353"/>
      <c r="END4" s="353"/>
      <c r="ENE4" s="353"/>
      <c r="ENF4" s="353"/>
      <c r="ENG4" s="353"/>
      <c r="ENH4" s="353"/>
      <c r="ENI4" s="353"/>
      <c r="ENJ4" s="353"/>
      <c r="ENK4" s="353"/>
      <c r="ENL4" s="353"/>
      <c r="ENM4" s="353"/>
      <c r="ENN4" s="353"/>
      <c r="ENO4" s="353"/>
      <c r="ENP4" s="353"/>
      <c r="ENQ4" s="353"/>
      <c r="ENR4" s="353"/>
      <c r="ENS4" s="353"/>
      <c r="ENT4" s="353"/>
      <c r="ENU4" s="353"/>
      <c r="ENV4" s="353"/>
      <c r="ENW4" s="353"/>
      <c r="ENX4" s="353"/>
      <c r="ENY4" s="353"/>
      <c r="ENZ4" s="353"/>
      <c r="EOA4" s="353"/>
      <c r="EOB4" s="353"/>
      <c r="EOC4" s="353"/>
      <c r="EOD4" s="353"/>
      <c r="EOE4" s="353"/>
      <c r="EOF4" s="353"/>
      <c r="EOG4" s="353"/>
      <c r="EOH4" s="353"/>
      <c r="EOI4" s="353"/>
      <c r="EOJ4" s="353"/>
      <c r="EOK4" s="353"/>
      <c r="EOL4" s="353"/>
      <c r="EOM4" s="353"/>
      <c r="EON4" s="353"/>
      <c r="EOO4" s="353"/>
      <c r="EOP4" s="353"/>
      <c r="EOQ4" s="353"/>
      <c r="EOR4" s="353"/>
      <c r="EOS4" s="353"/>
      <c r="EOT4" s="353"/>
      <c r="EOU4" s="353"/>
      <c r="EOV4" s="353"/>
      <c r="EOW4" s="353"/>
      <c r="EOX4" s="353"/>
      <c r="EOY4" s="353"/>
      <c r="EOZ4" s="353"/>
      <c r="EPA4" s="353"/>
      <c r="EPB4" s="353"/>
      <c r="EPC4" s="353"/>
      <c r="EPD4" s="353"/>
      <c r="EPE4" s="353"/>
      <c r="EPF4" s="353"/>
      <c r="EPG4" s="353"/>
      <c r="EPH4" s="353"/>
      <c r="EPI4" s="353"/>
      <c r="EPJ4" s="353"/>
      <c r="EPK4" s="353"/>
      <c r="EPL4" s="353"/>
      <c r="EPM4" s="353"/>
      <c r="EPN4" s="353"/>
      <c r="EPO4" s="353"/>
      <c r="EPP4" s="353"/>
      <c r="EPQ4" s="353"/>
      <c r="EPR4" s="353"/>
      <c r="EPS4" s="353"/>
      <c r="EPT4" s="353"/>
      <c r="EPU4" s="353"/>
      <c r="EPV4" s="353"/>
      <c r="EPW4" s="353"/>
      <c r="EPX4" s="353"/>
      <c r="EPY4" s="353"/>
      <c r="EPZ4" s="353"/>
      <c r="EQA4" s="353"/>
      <c r="EQB4" s="353"/>
      <c r="EQC4" s="353"/>
      <c r="EQD4" s="353"/>
      <c r="EQE4" s="353"/>
      <c r="EQF4" s="353"/>
      <c r="EQG4" s="353"/>
      <c r="EQH4" s="353"/>
      <c r="EQI4" s="353"/>
      <c r="EQJ4" s="353"/>
      <c r="EQK4" s="353"/>
      <c r="EQL4" s="353"/>
      <c r="EQM4" s="353"/>
      <c r="EQN4" s="353"/>
      <c r="EQO4" s="353"/>
      <c r="EQP4" s="353"/>
      <c r="EQQ4" s="353"/>
      <c r="EQR4" s="353"/>
      <c r="EQS4" s="353"/>
      <c r="EQT4" s="353"/>
      <c r="EQU4" s="353"/>
      <c r="EQV4" s="353"/>
      <c r="EQW4" s="353"/>
      <c r="EQX4" s="353"/>
      <c r="EQY4" s="353"/>
      <c r="EQZ4" s="353"/>
      <c r="ERA4" s="353"/>
      <c r="ERB4" s="353"/>
      <c r="ERC4" s="353"/>
      <c r="ERD4" s="353"/>
      <c r="ERE4" s="353"/>
      <c r="ERF4" s="353"/>
      <c r="ERG4" s="353"/>
      <c r="ERH4" s="353"/>
      <c r="ERI4" s="353"/>
      <c r="ERJ4" s="353"/>
      <c r="ERK4" s="353"/>
      <c r="ERL4" s="353"/>
      <c r="ERM4" s="353"/>
      <c r="ERN4" s="353"/>
      <c r="ERO4" s="353"/>
      <c r="ERP4" s="353"/>
      <c r="ERQ4" s="353"/>
      <c r="ERR4" s="353"/>
      <c r="ERS4" s="353"/>
      <c r="ERT4" s="353"/>
      <c r="ERU4" s="353"/>
      <c r="ERV4" s="353"/>
      <c r="ERW4" s="353"/>
      <c r="ERX4" s="353"/>
      <c r="ERY4" s="353"/>
      <c r="ERZ4" s="353"/>
      <c r="ESA4" s="353"/>
      <c r="ESB4" s="353"/>
      <c r="ESC4" s="353"/>
      <c r="ESD4" s="353"/>
      <c r="ESE4" s="353"/>
      <c r="ESF4" s="353"/>
      <c r="ESG4" s="353"/>
      <c r="ESH4" s="353"/>
      <c r="ESI4" s="353"/>
      <c r="ESJ4" s="353"/>
      <c r="ESK4" s="353"/>
      <c r="ESL4" s="353"/>
      <c r="ESM4" s="353"/>
      <c r="ESN4" s="353"/>
      <c r="ESO4" s="353"/>
      <c r="ESP4" s="353"/>
      <c r="ESQ4" s="353"/>
      <c r="ESR4" s="353"/>
      <c r="ESS4" s="353"/>
      <c r="EST4" s="353"/>
      <c r="ESU4" s="353"/>
      <c r="ESV4" s="353"/>
      <c r="ESW4" s="353"/>
      <c r="ESX4" s="353"/>
      <c r="ESY4" s="353"/>
      <c r="ESZ4" s="353"/>
      <c r="ETA4" s="353"/>
      <c r="ETB4" s="353"/>
      <c r="ETC4" s="353"/>
      <c r="ETD4" s="353"/>
      <c r="ETE4" s="353"/>
      <c r="ETF4" s="353"/>
      <c r="ETG4" s="353"/>
      <c r="ETH4" s="353"/>
      <c r="ETI4" s="353"/>
      <c r="ETJ4" s="353"/>
      <c r="ETK4" s="353"/>
      <c r="ETL4" s="353"/>
      <c r="ETM4" s="353"/>
      <c r="ETN4" s="353"/>
      <c r="ETO4" s="353"/>
      <c r="ETP4" s="353"/>
      <c r="ETQ4" s="353"/>
      <c r="ETR4" s="353"/>
      <c r="ETS4" s="353"/>
      <c r="ETT4" s="353"/>
      <c r="ETU4" s="353"/>
      <c r="ETV4" s="353"/>
      <c r="ETW4" s="353"/>
      <c r="ETX4" s="353"/>
      <c r="ETY4" s="353"/>
      <c r="ETZ4" s="353"/>
      <c r="EUA4" s="353"/>
      <c r="EUB4" s="353"/>
      <c r="EUC4" s="353"/>
      <c r="EUD4" s="353"/>
      <c r="EUE4" s="353"/>
      <c r="EUF4" s="353"/>
      <c r="EUG4" s="353"/>
      <c r="EUH4" s="353"/>
      <c r="EUI4" s="353"/>
      <c r="EUJ4" s="353"/>
      <c r="EUK4" s="353"/>
      <c r="EUL4" s="353"/>
      <c r="EUM4" s="353"/>
      <c r="EUN4" s="353"/>
      <c r="EUO4" s="353"/>
      <c r="EUP4" s="353"/>
      <c r="EUQ4" s="353"/>
      <c r="EUR4" s="353"/>
      <c r="EUS4" s="353"/>
      <c r="EUT4" s="353"/>
      <c r="EUU4" s="353"/>
      <c r="EUV4" s="353"/>
      <c r="EUW4" s="353"/>
      <c r="EUX4" s="353"/>
      <c r="EUY4" s="353"/>
      <c r="EUZ4" s="353"/>
      <c r="EVA4" s="353"/>
      <c r="EVB4" s="353"/>
      <c r="EVC4" s="353"/>
      <c r="EVD4" s="353"/>
      <c r="EVE4" s="353"/>
      <c r="EVF4" s="353"/>
      <c r="EVG4" s="353"/>
      <c r="EVH4" s="353"/>
      <c r="EVI4" s="353"/>
      <c r="EVJ4" s="353"/>
      <c r="EVK4" s="353"/>
      <c r="EVL4" s="353"/>
      <c r="EVM4" s="353"/>
      <c r="EVN4" s="353"/>
      <c r="EVO4" s="353"/>
      <c r="EVP4" s="353"/>
      <c r="EVQ4" s="353"/>
      <c r="EVR4" s="353"/>
      <c r="EVS4" s="353"/>
      <c r="EVT4" s="353"/>
      <c r="EVU4" s="353"/>
      <c r="EVV4" s="353"/>
      <c r="EVW4" s="353"/>
      <c r="EVX4" s="353"/>
      <c r="EVY4" s="353"/>
      <c r="EVZ4" s="353"/>
      <c r="EWA4" s="353"/>
      <c r="EWB4" s="353"/>
      <c r="EWC4" s="353"/>
      <c r="EWD4" s="353"/>
      <c r="EWE4" s="353"/>
      <c r="EWF4" s="353"/>
      <c r="EWG4" s="353"/>
      <c r="EWH4" s="353"/>
      <c r="EWI4" s="353"/>
      <c r="EWJ4" s="353"/>
      <c r="EWK4" s="353"/>
      <c r="EWL4" s="353"/>
      <c r="EWM4" s="353"/>
      <c r="EWN4" s="353"/>
      <c r="EWO4" s="353"/>
      <c r="EWP4" s="353"/>
      <c r="EWQ4" s="353"/>
      <c r="EWR4" s="353"/>
      <c r="EWS4" s="353"/>
      <c r="EWT4" s="353"/>
      <c r="EWU4" s="353"/>
      <c r="EWV4" s="353"/>
      <c r="EWW4" s="353"/>
      <c r="EWX4" s="353"/>
      <c r="EWY4" s="353"/>
      <c r="EWZ4" s="353"/>
      <c r="EXA4" s="353"/>
      <c r="EXB4" s="353"/>
      <c r="EXC4" s="353"/>
      <c r="EXD4" s="353"/>
      <c r="EXE4" s="353"/>
      <c r="EXF4" s="353"/>
      <c r="EXG4" s="353"/>
      <c r="EXH4" s="353"/>
      <c r="EXI4" s="353"/>
      <c r="EXJ4" s="353"/>
      <c r="EXK4" s="353"/>
      <c r="EXL4" s="353"/>
      <c r="EXM4" s="353"/>
      <c r="EXN4" s="353"/>
      <c r="EXO4" s="353"/>
      <c r="EXP4" s="353"/>
      <c r="EXQ4" s="353"/>
      <c r="EXR4" s="353"/>
      <c r="EXS4" s="353"/>
      <c r="EXT4" s="353"/>
      <c r="EXU4" s="353"/>
      <c r="EXV4" s="353"/>
      <c r="EXW4" s="353"/>
      <c r="EXX4" s="353"/>
      <c r="EXY4" s="353"/>
      <c r="EXZ4" s="353"/>
      <c r="EYA4" s="353"/>
      <c r="EYB4" s="353"/>
      <c r="EYC4" s="353"/>
      <c r="EYD4" s="353"/>
      <c r="EYE4" s="353"/>
      <c r="EYF4" s="353"/>
      <c r="EYG4" s="353"/>
      <c r="EYH4" s="353"/>
      <c r="EYI4" s="353"/>
      <c r="EYJ4" s="353"/>
      <c r="EYK4" s="353"/>
      <c r="EYL4" s="353"/>
      <c r="EYM4" s="353"/>
      <c r="EYN4" s="353"/>
      <c r="EYO4" s="353"/>
      <c r="EYP4" s="353"/>
      <c r="EYQ4" s="353"/>
      <c r="EYR4" s="353"/>
      <c r="EYS4" s="353"/>
      <c r="EYT4" s="353"/>
      <c r="EYU4" s="353"/>
      <c r="EYV4" s="353"/>
      <c r="EYW4" s="353"/>
      <c r="EYX4" s="353"/>
      <c r="EYY4" s="353"/>
      <c r="EYZ4" s="353"/>
      <c r="EZA4" s="353"/>
      <c r="EZB4" s="353"/>
      <c r="EZC4" s="353"/>
      <c r="EZD4" s="353"/>
      <c r="EZE4" s="353"/>
      <c r="EZF4" s="353"/>
      <c r="EZG4" s="353"/>
      <c r="EZH4" s="353"/>
      <c r="EZI4" s="353"/>
      <c r="EZJ4" s="353"/>
      <c r="EZK4" s="353"/>
      <c r="EZL4" s="353"/>
      <c r="EZM4" s="353"/>
      <c r="EZN4" s="353"/>
      <c r="EZO4" s="353"/>
      <c r="EZP4" s="353"/>
      <c r="EZQ4" s="353"/>
      <c r="EZR4" s="353"/>
      <c r="EZS4" s="353"/>
      <c r="EZT4" s="353"/>
      <c r="EZU4" s="353"/>
      <c r="EZV4" s="353"/>
      <c r="EZW4" s="353"/>
      <c r="EZX4" s="353"/>
      <c r="EZY4" s="353"/>
      <c r="EZZ4" s="353"/>
      <c r="FAA4" s="353"/>
      <c r="FAB4" s="353"/>
      <c r="FAC4" s="353"/>
      <c r="FAD4" s="353"/>
      <c r="FAE4" s="353"/>
      <c r="FAF4" s="353"/>
      <c r="FAG4" s="353"/>
      <c r="FAH4" s="353"/>
      <c r="FAI4" s="353"/>
      <c r="FAJ4" s="353"/>
      <c r="FAK4" s="353"/>
      <c r="FAL4" s="353"/>
      <c r="FAM4" s="353"/>
      <c r="FAN4" s="353"/>
      <c r="FAO4" s="353"/>
      <c r="FAP4" s="353"/>
      <c r="FAQ4" s="353"/>
      <c r="FAR4" s="353"/>
      <c r="FAS4" s="353"/>
      <c r="FAT4" s="353"/>
      <c r="FAU4" s="353"/>
      <c r="FAV4" s="353"/>
      <c r="FAW4" s="353"/>
      <c r="FAX4" s="353"/>
      <c r="FAY4" s="353"/>
      <c r="FAZ4" s="353"/>
      <c r="FBA4" s="353"/>
      <c r="FBB4" s="353"/>
      <c r="FBC4" s="353"/>
      <c r="FBD4" s="353"/>
      <c r="FBE4" s="353"/>
      <c r="FBF4" s="353"/>
      <c r="FBG4" s="353"/>
      <c r="FBH4" s="353"/>
      <c r="FBI4" s="353"/>
      <c r="FBJ4" s="353"/>
      <c r="FBK4" s="353"/>
      <c r="FBL4" s="353"/>
      <c r="FBM4" s="353"/>
      <c r="FBN4" s="353"/>
      <c r="FBO4" s="353"/>
      <c r="FBP4" s="353"/>
      <c r="FBQ4" s="353"/>
      <c r="FBR4" s="353"/>
      <c r="FBS4" s="353"/>
      <c r="FBT4" s="353"/>
      <c r="FBU4" s="353"/>
      <c r="FBV4" s="353"/>
      <c r="FBW4" s="353"/>
      <c r="FBX4" s="353"/>
      <c r="FBY4" s="353"/>
      <c r="FBZ4" s="353"/>
      <c r="FCA4" s="353"/>
      <c r="FCB4" s="353"/>
      <c r="FCC4" s="353"/>
      <c r="FCD4" s="353"/>
      <c r="FCE4" s="353"/>
      <c r="FCF4" s="353"/>
      <c r="FCG4" s="353"/>
      <c r="FCH4" s="353"/>
      <c r="FCI4" s="353"/>
      <c r="FCJ4" s="353"/>
      <c r="FCK4" s="353"/>
      <c r="FCL4" s="353"/>
      <c r="FCM4" s="353"/>
      <c r="FCN4" s="353"/>
      <c r="FCO4" s="353"/>
      <c r="FCP4" s="353"/>
      <c r="FCQ4" s="353"/>
      <c r="FCR4" s="353"/>
      <c r="FCS4" s="353"/>
      <c r="FCT4" s="353"/>
      <c r="FCU4" s="353"/>
      <c r="FCV4" s="353"/>
      <c r="FCW4" s="353"/>
      <c r="FCX4" s="353"/>
      <c r="FCY4" s="353"/>
      <c r="FCZ4" s="353"/>
      <c r="FDA4" s="353"/>
      <c r="FDB4" s="353"/>
      <c r="FDC4" s="353"/>
      <c r="FDD4" s="353"/>
      <c r="FDE4" s="353"/>
      <c r="FDF4" s="353"/>
      <c r="FDG4" s="353"/>
      <c r="FDH4" s="353"/>
      <c r="FDI4" s="353"/>
      <c r="FDJ4" s="353"/>
      <c r="FDK4" s="353"/>
      <c r="FDL4" s="353"/>
      <c r="FDM4" s="353"/>
      <c r="FDN4" s="353"/>
      <c r="FDO4" s="353"/>
      <c r="FDP4" s="353"/>
      <c r="FDQ4" s="353"/>
      <c r="FDR4" s="353"/>
      <c r="FDS4" s="353"/>
      <c r="FDT4" s="353"/>
      <c r="FDU4" s="353"/>
      <c r="FDV4" s="353"/>
      <c r="FDW4" s="353"/>
      <c r="FDX4" s="353"/>
      <c r="FDY4" s="353"/>
      <c r="FDZ4" s="353"/>
      <c r="FEA4" s="353"/>
      <c r="FEB4" s="353"/>
      <c r="FEC4" s="353"/>
      <c r="FED4" s="353"/>
      <c r="FEE4" s="353"/>
      <c r="FEF4" s="353"/>
      <c r="FEG4" s="353"/>
      <c r="FEH4" s="353"/>
      <c r="FEI4" s="353"/>
      <c r="FEJ4" s="353"/>
      <c r="FEK4" s="353"/>
      <c r="FEL4" s="353"/>
      <c r="FEM4" s="353"/>
      <c r="FEN4" s="353"/>
      <c r="FEO4" s="353"/>
      <c r="FEP4" s="353"/>
      <c r="FEQ4" s="353"/>
      <c r="FER4" s="353"/>
      <c r="FES4" s="353"/>
      <c r="FET4" s="353"/>
      <c r="FEU4" s="353"/>
      <c r="FEV4" s="353"/>
      <c r="FEW4" s="353"/>
      <c r="FEX4" s="353"/>
      <c r="FEY4" s="353"/>
      <c r="FEZ4" s="353"/>
      <c r="FFA4" s="353"/>
      <c r="FFB4" s="353"/>
      <c r="FFC4" s="353"/>
      <c r="FFD4" s="353"/>
      <c r="FFE4" s="353"/>
      <c r="FFF4" s="353"/>
      <c r="FFG4" s="353"/>
      <c r="FFH4" s="353"/>
      <c r="FFI4" s="353"/>
      <c r="FFJ4" s="353"/>
      <c r="FFK4" s="353"/>
      <c r="FFL4" s="353"/>
      <c r="FFM4" s="353"/>
      <c r="FFN4" s="353"/>
      <c r="FFO4" s="353"/>
      <c r="FFP4" s="353"/>
      <c r="FFQ4" s="353"/>
      <c r="FFR4" s="353"/>
      <c r="FFS4" s="353"/>
      <c r="FFT4" s="353"/>
      <c r="FFU4" s="353"/>
      <c r="FFV4" s="353"/>
      <c r="FFW4" s="353"/>
      <c r="FFX4" s="353"/>
      <c r="FFY4" s="353"/>
      <c r="FFZ4" s="353"/>
      <c r="FGA4" s="353"/>
      <c r="FGB4" s="353"/>
      <c r="FGC4" s="353"/>
      <c r="FGD4" s="353"/>
      <c r="FGE4" s="353"/>
      <c r="FGF4" s="353"/>
      <c r="FGG4" s="353"/>
      <c r="FGH4" s="353"/>
      <c r="FGI4" s="353"/>
      <c r="FGJ4" s="353"/>
      <c r="FGK4" s="353"/>
      <c r="FGL4" s="353"/>
      <c r="FGM4" s="353"/>
      <c r="FGN4" s="353"/>
      <c r="FGO4" s="353"/>
      <c r="FGP4" s="353"/>
      <c r="FGQ4" s="353"/>
      <c r="FGR4" s="353"/>
      <c r="FGS4" s="353"/>
      <c r="FGT4" s="353"/>
      <c r="FGU4" s="353"/>
      <c r="FGV4" s="353"/>
      <c r="FGW4" s="353"/>
      <c r="FGX4" s="353"/>
      <c r="FGY4" s="353"/>
      <c r="FGZ4" s="353"/>
      <c r="FHA4" s="353"/>
      <c r="FHB4" s="353"/>
      <c r="FHC4" s="353"/>
      <c r="FHD4" s="353"/>
      <c r="FHE4" s="353"/>
      <c r="FHF4" s="353"/>
      <c r="FHG4" s="353"/>
      <c r="FHH4" s="353"/>
      <c r="FHI4" s="353"/>
      <c r="FHJ4" s="353"/>
      <c r="FHK4" s="353"/>
      <c r="FHL4" s="353"/>
      <c r="FHM4" s="353"/>
      <c r="FHN4" s="353"/>
      <c r="FHO4" s="353"/>
      <c r="FHP4" s="353"/>
      <c r="FHQ4" s="353"/>
      <c r="FHR4" s="353"/>
      <c r="FHS4" s="353"/>
      <c r="FHT4" s="353"/>
      <c r="FHU4" s="353"/>
      <c r="FHV4" s="353"/>
      <c r="FHW4" s="353"/>
      <c r="FHX4" s="353"/>
      <c r="FHY4" s="353"/>
      <c r="FHZ4" s="353"/>
      <c r="FIA4" s="353"/>
      <c r="FIB4" s="353"/>
      <c r="FIC4" s="353"/>
      <c r="FID4" s="353"/>
      <c r="FIE4" s="353"/>
      <c r="FIF4" s="353"/>
      <c r="FIG4" s="353"/>
      <c r="FIH4" s="353"/>
      <c r="FII4" s="353"/>
      <c r="FIJ4" s="353"/>
      <c r="FIK4" s="353"/>
      <c r="FIL4" s="353"/>
      <c r="FIM4" s="353"/>
      <c r="FIN4" s="353"/>
      <c r="FIO4" s="353"/>
      <c r="FIP4" s="353"/>
      <c r="FIQ4" s="353"/>
      <c r="FIR4" s="353"/>
      <c r="FIS4" s="353"/>
      <c r="FIT4" s="353"/>
      <c r="FIU4" s="353"/>
      <c r="FIV4" s="353"/>
      <c r="FIW4" s="353"/>
      <c r="FIX4" s="353"/>
      <c r="FIY4" s="353"/>
      <c r="FIZ4" s="353"/>
      <c r="FJA4" s="353"/>
      <c r="FJB4" s="353"/>
      <c r="FJC4" s="353"/>
      <c r="FJD4" s="353"/>
      <c r="FJE4" s="353"/>
      <c r="FJF4" s="353"/>
      <c r="FJG4" s="353"/>
      <c r="FJH4" s="353"/>
      <c r="FJI4" s="353"/>
      <c r="FJJ4" s="353"/>
      <c r="FJK4" s="353"/>
      <c r="FJL4" s="353"/>
      <c r="FJM4" s="353"/>
      <c r="FJN4" s="353"/>
      <c r="FJO4" s="353"/>
      <c r="FJP4" s="353"/>
      <c r="FJQ4" s="353"/>
      <c r="FJR4" s="353"/>
      <c r="FJS4" s="353"/>
      <c r="FJT4" s="353"/>
      <c r="FJU4" s="353"/>
      <c r="FJV4" s="353"/>
      <c r="FJW4" s="353"/>
      <c r="FJX4" s="353"/>
      <c r="FJY4" s="353"/>
      <c r="FJZ4" s="353"/>
      <c r="FKA4" s="353"/>
      <c r="FKB4" s="353"/>
      <c r="FKC4" s="353"/>
      <c r="FKD4" s="353"/>
      <c r="FKE4" s="353"/>
      <c r="FKF4" s="353"/>
      <c r="FKG4" s="353"/>
      <c r="FKH4" s="353"/>
      <c r="FKI4" s="353"/>
      <c r="FKJ4" s="353"/>
      <c r="FKK4" s="353"/>
      <c r="FKL4" s="353"/>
      <c r="FKM4" s="353"/>
      <c r="FKN4" s="353"/>
      <c r="FKO4" s="353"/>
      <c r="FKP4" s="353"/>
      <c r="FKQ4" s="353"/>
      <c r="FKR4" s="353"/>
      <c r="FKS4" s="353"/>
      <c r="FKT4" s="353"/>
      <c r="FKU4" s="353"/>
      <c r="FKV4" s="353"/>
      <c r="FKW4" s="353"/>
      <c r="FKX4" s="353"/>
      <c r="FKY4" s="353"/>
      <c r="FKZ4" s="353"/>
      <c r="FLA4" s="353"/>
      <c r="FLB4" s="353"/>
      <c r="FLC4" s="353"/>
      <c r="FLD4" s="353"/>
      <c r="FLE4" s="353"/>
      <c r="FLF4" s="353"/>
      <c r="FLG4" s="353"/>
      <c r="FLH4" s="353"/>
      <c r="FLI4" s="353"/>
      <c r="FLJ4" s="353"/>
      <c r="FLK4" s="353"/>
      <c r="FLL4" s="353"/>
      <c r="FLM4" s="353"/>
      <c r="FLN4" s="353"/>
      <c r="FLO4" s="353"/>
      <c r="FLP4" s="353"/>
      <c r="FLQ4" s="353"/>
      <c r="FLR4" s="353"/>
      <c r="FLS4" s="353"/>
      <c r="FLT4" s="353"/>
      <c r="FLU4" s="353"/>
      <c r="FLV4" s="353"/>
      <c r="FLW4" s="353"/>
      <c r="FLX4" s="353"/>
      <c r="FLY4" s="353"/>
      <c r="FLZ4" s="353"/>
      <c r="FMA4" s="353"/>
      <c r="FMB4" s="353"/>
      <c r="FMC4" s="353"/>
      <c r="FMD4" s="353"/>
      <c r="FME4" s="353"/>
      <c r="FMF4" s="353"/>
      <c r="FMG4" s="353"/>
      <c r="FMH4" s="353"/>
      <c r="FMI4" s="353"/>
      <c r="FMJ4" s="353"/>
      <c r="FMK4" s="353"/>
      <c r="FML4" s="353"/>
      <c r="FMM4" s="353"/>
      <c r="FMN4" s="353"/>
      <c r="FMO4" s="353"/>
      <c r="FMP4" s="353"/>
      <c r="FMQ4" s="353"/>
      <c r="FMR4" s="353"/>
      <c r="FMS4" s="353"/>
      <c r="FMT4" s="353"/>
      <c r="FMU4" s="353"/>
      <c r="FMV4" s="353"/>
      <c r="FMW4" s="353"/>
      <c r="FMX4" s="353"/>
      <c r="FMY4" s="353"/>
      <c r="FMZ4" s="353"/>
      <c r="FNA4" s="353"/>
      <c r="FNB4" s="353"/>
      <c r="FNC4" s="353"/>
      <c r="FND4" s="353"/>
      <c r="FNE4" s="353"/>
      <c r="FNF4" s="353"/>
      <c r="FNG4" s="353"/>
      <c r="FNH4" s="353"/>
      <c r="FNI4" s="353"/>
      <c r="FNJ4" s="353"/>
      <c r="FNK4" s="353"/>
      <c r="FNL4" s="353"/>
      <c r="FNM4" s="353"/>
      <c r="FNN4" s="353"/>
      <c r="FNO4" s="353"/>
      <c r="FNP4" s="353"/>
      <c r="FNQ4" s="353"/>
      <c r="FNR4" s="353"/>
      <c r="FNS4" s="353"/>
      <c r="FNT4" s="353"/>
      <c r="FNU4" s="353"/>
      <c r="FNV4" s="353"/>
      <c r="FNW4" s="353"/>
      <c r="FNX4" s="353"/>
      <c r="FNY4" s="353"/>
      <c r="FNZ4" s="353"/>
      <c r="FOA4" s="353"/>
      <c r="FOB4" s="353"/>
      <c r="FOC4" s="353"/>
      <c r="FOD4" s="353"/>
      <c r="FOE4" s="353"/>
      <c r="FOF4" s="353"/>
      <c r="FOG4" s="353"/>
      <c r="FOH4" s="353"/>
      <c r="FOI4" s="353"/>
      <c r="FOJ4" s="353"/>
      <c r="FOK4" s="353"/>
      <c r="FOL4" s="353"/>
      <c r="FOM4" s="353"/>
      <c r="FON4" s="353"/>
      <c r="FOO4" s="353"/>
      <c r="FOP4" s="353"/>
      <c r="FOQ4" s="353"/>
      <c r="FOR4" s="353"/>
      <c r="FOS4" s="353"/>
      <c r="FOT4" s="353"/>
      <c r="FOU4" s="353"/>
      <c r="FOV4" s="353"/>
      <c r="FOW4" s="353"/>
      <c r="FOX4" s="353"/>
      <c r="FOY4" s="353"/>
      <c r="FOZ4" s="353"/>
      <c r="FPA4" s="353"/>
      <c r="FPB4" s="353"/>
      <c r="FPC4" s="353"/>
      <c r="FPD4" s="353"/>
      <c r="FPE4" s="353"/>
      <c r="FPF4" s="353"/>
      <c r="FPG4" s="353"/>
      <c r="FPH4" s="353"/>
      <c r="FPI4" s="353"/>
      <c r="FPJ4" s="353"/>
      <c r="FPK4" s="353"/>
      <c r="FPL4" s="353"/>
      <c r="FPM4" s="353"/>
      <c r="FPN4" s="353"/>
      <c r="FPO4" s="353"/>
      <c r="FPP4" s="353"/>
      <c r="FPQ4" s="353"/>
      <c r="FPR4" s="353"/>
      <c r="FPS4" s="353"/>
      <c r="FPT4" s="353"/>
      <c r="FPU4" s="353"/>
      <c r="FPV4" s="353"/>
      <c r="FPW4" s="353"/>
      <c r="FPX4" s="353"/>
      <c r="FPY4" s="353"/>
      <c r="FPZ4" s="353"/>
      <c r="FQA4" s="353"/>
      <c r="FQB4" s="353"/>
      <c r="FQC4" s="353"/>
      <c r="FQD4" s="353"/>
      <c r="FQE4" s="353"/>
      <c r="FQF4" s="353"/>
      <c r="FQG4" s="353"/>
      <c r="FQH4" s="353"/>
      <c r="FQI4" s="353"/>
      <c r="FQJ4" s="353"/>
      <c r="FQK4" s="353"/>
      <c r="FQL4" s="353"/>
      <c r="FQM4" s="353"/>
      <c r="FQN4" s="353"/>
      <c r="FQO4" s="353"/>
      <c r="FQP4" s="353"/>
      <c r="FQQ4" s="353"/>
      <c r="FQR4" s="353"/>
      <c r="FQS4" s="353"/>
      <c r="FQT4" s="353"/>
      <c r="FQU4" s="353"/>
      <c r="FQV4" s="353"/>
      <c r="FQW4" s="353"/>
      <c r="FQX4" s="353"/>
      <c r="FQY4" s="353"/>
      <c r="FQZ4" s="353"/>
      <c r="FRA4" s="353"/>
      <c r="FRB4" s="353"/>
      <c r="FRC4" s="353"/>
      <c r="FRD4" s="353"/>
      <c r="FRE4" s="353"/>
      <c r="FRF4" s="353"/>
      <c r="FRG4" s="353"/>
      <c r="FRH4" s="353"/>
      <c r="FRI4" s="353"/>
      <c r="FRJ4" s="353"/>
      <c r="FRK4" s="353"/>
      <c r="FRL4" s="353"/>
      <c r="FRM4" s="353"/>
      <c r="FRN4" s="353"/>
      <c r="FRO4" s="353"/>
      <c r="FRP4" s="353"/>
      <c r="FRQ4" s="353"/>
      <c r="FRR4" s="353"/>
      <c r="FRS4" s="353"/>
      <c r="FRT4" s="353"/>
      <c r="FRU4" s="353"/>
      <c r="FRV4" s="353"/>
      <c r="FRW4" s="353"/>
      <c r="FRX4" s="353"/>
      <c r="FRY4" s="353"/>
      <c r="FRZ4" s="353"/>
      <c r="FSA4" s="353"/>
      <c r="FSB4" s="353"/>
      <c r="FSC4" s="353"/>
      <c r="FSD4" s="353"/>
      <c r="FSE4" s="353"/>
      <c r="FSF4" s="353"/>
      <c r="FSG4" s="353"/>
      <c r="FSH4" s="353"/>
      <c r="FSI4" s="353"/>
      <c r="FSJ4" s="353"/>
      <c r="FSK4" s="353"/>
      <c r="FSL4" s="353"/>
      <c r="FSM4" s="353"/>
      <c r="FSN4" s="353"/>
      <c r="FSO4" s="353"/>
      <c r="FSP4" s="353"/>
      <c r="FSQ4" s="353"/>
      <c r="FSR4" s="353"/>
      <c r="FSS4" s="353"/>
      <c r="FST4" s="353"/>
      <c r="FSU4" s="353"/>
      <c r="FSV4" s="353"/>
      <c r="FSW4" s="353"/>
      <c r="FSX4" s="353"/>
      <c r="FSY4" s="353"/>
      <c r="FSZ4" s="353"/>
      <c r="FTA4" s="353"/>
      <c r="FTB4" s="353"/>
      <c r="FTC4" s="353"/>
      <c r="FTD4" s="353"/>
      <c r="FTE4" s="353"/>
      <c r="FTF4" s="353"/>
      <c r="FTG4" s="353"/>
      <c r="FTH4" s="353"/>
      <c r="FTI4" s="353"/>
      <c r="FTJ4" s="353"/>
      <c r="FTK4" s="353"/>
      <c r="FTL4" s="353"/>
      <c r="FTM4" s="353"/>
      <c r="FTN4" s="353"/>
      <c r="FTO4" s="353"/>
      <c r="FTP4" s="353"/>
      <c r="FTQ4" s="353"/>
      <c r="FTR4" s="353"/>
      <c r="FTS4" s="353"/>
      <c r="FTT4" s="353"/>
      <c r="FTU4" s="353"/>
      <c r="FTV4" s="353"/>
      <c r="FTW4" s="353"/>
      <c r="FTX4" s="353"/>
      <c r="FTY4" s="353"/>
      <c r="FTZ4" s="353"/>
      <c r="FUA4" s="353"/>
      <c r="FUB4" s="353"/>
      <c r="FUC4" s="353"/>
      <c r="FUD4" s="353"/>
      <c r="FUE4" s="353"/>
      <c r="FUF4" s="353"/>
      <c r="FUG4" s="353"/>
      <c r="FUH4" s="353"/>
      <c r="FUI4" s="353"/>
      <c r="FUJ4" s="353"/>
      <c r="FUK4" s="353"/>
      <c r="FUL4" s="353"/>
      <c r="FUM4" s="353"/>
      <c r="FUN4" s="353"/>
      <c r="FUO4" s="353"/>
      <c r="FUP4" s="353"/>
      <c r="FUQ4" s="353"/>
      <c r="FUR4" s="353"/>
      <c r="FUS4" s="353"/>
      <c r="FUT4" s="353"/>
      <c r="FUU4" s="353"/>
      <c r="FUV4" s="353"/>
      <c r="FUW4" s="353"/>
      <c r="FUX4" s="353"/>
      <c r="FUY4" s="353"/>
      <c r="FUZ4" s="353"/>
      <c r="FVA4" s="353"/>
      <c r="FVB4" s="353"/>
      <c r="FVC4" s="353"/>
      <c r="FVD4" s="353"/>
      <c r="FVE4" s="353"/>
      <c r="FVF4" s="353"/>
      <c r="FVG4" s="353"/>
      <c r="FVH4" s="353"/>
      <c r="FVI4" s="353"/>
      <c r="FVJ4" s="353"/>
      <c r="FVK4" s="353"/>
      <c r="FVL4" s="353"/>
      <c r="FVM4" s="353"/>
      <c r="FVN4" s="353"/>
      <c r="FVO4" s="353"/>
      <c r="FVP4" s="353"/>
      <c r="FVQ4" s="353"/>
      <c r="FVR4" s="353"/>
      <c r="FVS4" s="353"/>
      <c r="FVT4" s="353"/>
      <c r="FVU4" s="353"/>
      <c r="FVV4" s="353"/>
      <c r="FVW4" s="353"/>
      <c r="FVX4" s="353"/>
      <c r="FVY4" s="353"/>
      <c r="FVZ4" s="353"/>
      <c r="FWA4" s="353"/>
      <c r="FWB4" s="353"/>
      <c r="FWC4" s="353"/>
      <c r="FWD4" s="353"/>
      <c r="FWE4" s="353"/>
      <c r="FWF4" s="353"/>
      <c r="FWG4" s="353"/>
      <c r="FWH4" s="353"/>
      <c r="FWI4" s="353"/>
      <c r="FWJ4" s="353"/>
      <c r="FWK4" s="353"/>
      <c r="FWL4" s="353"/>
      <c r="FWM4" s="353"/>
      <c r="FWN4" s="353"/>
      <c r="FWO4" s="353"/>
      <c r="FWP4" s="353"/>
      <c r="FWQ4" s="353"/>
      <c r="FWR4" s="353"/>
      <c r="FWS4" s="353"/>
      <c r="FWT4" s="353"/>
      <c r="FWU4" s="353"/>
      <c r="FWV4" s="353"/>
      <c r="FWW4" s="353"/>
      <c r="FWX4" s="353"/>
      <c r="FWY4" s="353"/>
      <c r="FWZ4" s="353"/>
      <c r="FXA4" s="353"/>
      <c r="FXB4" s="353"/>
      <c r="FXC4" s="353"/>
      <c r="FXD4" s="353"/>
      <c r="FXE4" s="353"/>
      <c r="FXF4" s="353"/>
      <c r="FXG4" s="353"/>
      <c r="FXH4" s="353"/>
      <c r="FXI4" s="353"/>
      <c r="FXJ4" s="353"/>
      <c r="FXK4" s="353"/>
      <c r="FXL4" s="353"/>
      <c r="FXM4" s="353"/>
      <c r="FXN4" s="353"/>
      <c r="FXO4" s="353"/>
      <c r="FXP4" s="353"/>
      <c r="FXQ4" s="353"/>
      <c r="FXR4" s="353"/>
      <c r="FXS4" s="353"/>
      <c r="FXT4" s="353"/>
      <c r="FXU4" s="353"/>
      <c r="FXV4" s="353"/>
      <c r="FXW4" s="353"/>
      <c r="FXX4" s="353"/>
      <c r="FXY4" s="353"/>
      <c r="FXZ4" s="353"/>
      <c r="FYA4" s="353"/>
      <c r="FYB4" s="353"/>
      <c r="FYC4" s="353"/>
      <c r="FYD4" s="353"/>
      <c r="FYE4" s="353"/>
      <c r="FYF4" s="353"/>
      <c r="FYG4" s="353"/>
      <c r="FYH4" s="353"/>
      <c r="FYI4" s="353"/>
      <c r="FYJ4" s="353"/>
      <c r="FYK4" s="353"/>
      <c r="FYL4" s="353"/>
      <c r="FYM4" s="353"/>
      <c r="FYN4" s="353"/>
      <c r="FYO4" s="353"/>
      <c r="FYP4" s="353"/>
      <c r="FYQ4" s="353"/>
      <c r="FYR4" s="353"/>
      <c r="FYS4" s="353"/>
      <c r="FYT4" s="353"/>
      <c r="FYU4" s="353"/>
      <c r="FYV4" s="353"/>
      <c r="FYW4" s="353"/>
      <c r="FYX4" s="353"/>
      <c r="FYY4" s="353"/>
      <c r="FYZ4" s="353"/>
      <c r="FZA4" s="353"/>
      <c r="FZB4" s="353"/>
      <c r="FZC4" s="353"/>
      <c r="FZD4" s="353"/>
      <c r="FZE4" s="353"/>
      <c r="FZF4" s="353"/>
      <c r="FZG4" s="353"/>
      <c r="FZH4" s="353"/>
      <c r="FZI4" s="353"/>
      <c r="FZJ4" s="353"/>
      <c r="FZK4" s="353"/>
      <c r="FZL4" s="353"/>
      <c r="FZM4" s="353"/>
      <c r="FZN4" s="353"/>
      <c r="FZO4" s="353"/>
      <c r="FZP4" s="353"/>
      <c r="FZQ4" s="353"/>
      <c r="FZR4" s="353"/>
      <c r="FZS4" s="353"/>
      <c r="FZT4" s="353"/>
      <c r="FZU4" s="353"/>
      <c r="FZV4" s="353"/>
      <c r="FZW4" s="353"/>
      <c r="FZX4" s="353"/>
      <c r="FZY4" s="353"/>
      <c r="FZZ4" s="353"/>
      <c r="GAA4" s="353"/>
      <c r="GAB4" s="353"/>
      <c r="GAC4" s="353"/>
      <c r="GAD4" s="353"/>
      <c r="GAE4" s="353"/>
      <c r="GAF4" s="353"/>
      <c r="GAG4" s="353"/>
      <c r="GAH4" s="353"/>
      <c r="GAI4" s="353"/>
      <c r="GAJ4" s="353"/>
      <c r="GAK4" s="353"/>
      <c r="GAL4" s="353"/>
      <c r="GAM4" s="353"/>
      <c r="GAN4" s="353"/>
      <c r="GAO4" s="353"/>
      <c r="GAP4" s="353"/>
      <c r="GAQ4" s="353"/>
      <c r="GAR4" s="353"/>
      <c r="GAS4" s="353"/>
      <c r="GAT4" s="353"/>
      <c r="GAU4" s="353"/>
      <c r="GAV4" s="353"/>
      <c r="GAW4" s="353"/>
      <c r="GAX4" s="353"/>
      <c r="GAY4" s="353"/>
      <c r="GAZ4" s="353"/>
      <c r="GBA4" s="353"/>
      <c r="GBB4" s="353"/>
      <c r="GBC4" s="353"/>
      <c r="GBD4" s="353"/>
      <c r="GBE4" s="353"/>
      <c r="GBF4" s="353"/>
      <c r="GBG4" s="353"/>
      <c r="GBH4" s="353"/>
      <c r="GBI4" s="353"/>
      <c r="GBJ4" s="353"/>
      <c r="GBK4" s="353"/>
      <c r="GBL4" s="353"/>
      <c r="GBM4" s="353"/>
      <c r="GBN4" s="353"/>
      <c r="GBO4" s="353"/>
      <c r="GBP4" s="353"/>
      <c r="GBQ4" s="353"/>
      <c r="GBR4" s="353"/>
      <c r="GBS4" s="353"/>
      <c r="GBT4" s="353"/>
      <c r="GBU4" s="353"/>
      <c r="GBV4" s="353"/>
      <c r="GBW4" s="353"/>
      <c r="GBX4" s="353"/>
      <c r="GBY4" s="353"/>
      <c r="GBZ4" s="353"/>
      <c r="GCA4" s="353"/>
      <c r="GCB4" s="353"/>
      <c r="GCC4" s="353"/>
      <c r="GCD4" s="353"/>
      <c r="GCE4" s="353"/>
      <c r="GCF4" s="353"/>
      <c r="GCG4" s="353"/>
      <c r="GCH4" s="353"/>
      <c r="GCI4" s="353"/>
      <c r="GCJ4" s="353"/>
      <c r="GCK4" s="353"/>
      <c r="GCL4" s="353"/>
      <c r="GCM4" s="353"/>
      <c r="GCN4" s="353"/>
      <c r="GCO4" s="353"/>
      <c r="GCP4" s="353"/>
      <c r="GCQ4" s="353"/>
      <c r="GCR4" s="353"/>
      <c r="GCS4" s="353"/>
      <c r="GCT4" s="353"/>
      <c r="GCU4" s="353"/>
      <c r="GCV4" s="353"/>
      <c r="GCW4" s="353"/>
      <c r="GCX4" s="353"/>
      <c r="GCY4" s="353"/>
      <c r="GCZ4" s="353"/>
      <c r="GDA4" s="353"/>
      <c r="GDB4" s="353"/>
      <c r="GDC4" s="353"/>
      <c r="GDD4" s="353"/>
      <c r="GDE4" s="353"/>
      <c r="GDF4" s="353"/>
      <c r="GDG4" s="353"/>
      <c r="GDH4" s="353"/>
      <c r="GDI4" s="353"/>
      <c r="GDJ4" s="353"/>
      <c r="GDK4" s="353"/>
      <c r="GDL4" s="353"/>
      <c r="GDM4" s="353"/>
      <c r="GDN4" s="353"/>
      <c r="GDO4" s="353"/>
      <c r="GDP4" s="353"/>
      <c r="GDQ4" s="353"/>
      <c r="GDR4" s="353"/>
      <c r="GDS4" s="353"/>
      <c r="GDT4" s="353"/>
      <c r="GDU4" s="353"/>
      <c r="GDV4" s="353"/>
      <c r="GDW4" s="353"/>
      <c r="GDX4" s="353"/>
      <c r="GDY4" s="353"/>
      <c r="GDZ4" s="353"/>
      <c r="GEA4" s="353"/>
      <c r="GEB4" s="353"/>
      <c r="GEC4" s="353"/>
      <c r="GED4" s="353"/>
      <c r="GEE4" s="353"/>
      <c r="GEF4" s="353"/>
      <c r="GEG4" s="353"/>
      <c r="GEH4" s="353"/>
      <c r="GEI4" s="353"/>
      <c r="GEJ4" s="353"/>
      <c r="GEK4" s="353"/>
      <c r="GEL4" s="353"/>
      <c r="GEM4" s="353"/>
      <c r="GEN4" s="353"/>
      <c r="GEO4" s="353"/>
      <c r="GEP4" s="353"/>
      <c r="GEQ4" s="353"/>
      <c r="GER4" s="353"/>
      <c r="GES4" s="353"/>
      <c r="GET4" s="353"/>
      <c r="GEU4" s="353"/>
      <c r="GEV4" s="353"/>
      <c r="GEW4" s="353"/>
      <c r="GEX4" s="353"/>
      <c r="GEY4" s="353"/>
      <c r="GEZ4" s="353"/>
      <c r="GFA4" s="353"/>
      <c r="GFB4" s="353"/>
      <c r="GFC4" s="353"/>
      <c r="GFD4" s="353"/>
      <c r="GFE4" s="353"/>
      <c r="GFF4" s="353"/>
      <c r="GFG4" s="353"/>
      <c r="GFH4" s="353"/>
      <c r="GFI4" s="353"/>
      <c r="GFJ4" s="353"/>
      <c r="GFK4" s="353"/>
      <c r="GFL4" s="353"/>
      <c r="GFM4" s="353"/>
      <c r="GFN4" s="353"/>
      <c r="GFO4" s="353"/>
      <c r="GFP4" s="353"/>
      <c r="GFQ4" s="353"/>
      <c r="GFR4" s="353"/>
      <c r="GFS4" s="353"/>
      <c r="GFT4" s="353"/>
      <c r="GFU4" s="353"/>
      <c r="GFV4" s="353"/>
      <c r="GFW4" s="353"/>
      <c r="GFX4" s="353"/>
      <c r="GFY4" s="353"/>
      <c r="GFZ4" s="353"/>
      <c r="GGA4" s="353"/>
      <c r="GGB4" s="353"/>
      <c r="GGC4" s="353"/>
      <c r="GGD4" s="353"/>
      <c r="GGE4" s="353"/>
      <c r="GGF4" s="353"/>
      <c r="GGG4" s="353"/>
      <c r="GGH4" s="353"/>
      <c r="GGI4" s="353"/>
      <c r="GGJ4" s="353"/>
      <c r="GGK4" s="353"/>
      <c r="GGL4" s="353"/>
      <c r="GGM4" s="353"/>
      <c r="GGN4" s="353"/>
      <c r="GGO4" s="353"/>
      <c r="GGP4" s="353"/>
      <c r="GGQ4" s="353"/>
      <c r="GGR4" s="353"/>
      <c r="GGS4" s="353"/>
      <c r="GGT4" s="353"/>
      <c r="GGU4" s="353"/>
      <c r="GGV4" s="353"/>
      <c r="GGW4" s="353"/>
      <c r="GGX4" s="353"/>
      <c r="GGY4" s="353"/>
      <c r="GGZ4" s="353"/>
      <c r="GHA4" s="353"/>
      <c r="GHB4" s="353"/>
      <c r="GHC4" s="353"/>
      <c r="GHD4" s="353"/>
      <c r="GHE4" s="353"/>
      <c r="GHF4" s="353"/>
      <c r="GHG4" s="353"/>
      <c r="GHH4" s="353"/>
      <c r="GHI4" s="353"/>
      <c r="GHJ4" s="353"/>
      <c r="GHK4" s="353"/>
      <c r="GHL4" s="353"/>
      <c r="GHM4" s="353"/>
      <c r="GHN4" s="353"/>
      <c r="GHO4" s="353"/>
      <c r="GHP4" s="353"/>
      <c r="GHQ4" s="353"/>
      <c r="GHR4" s="353"/>
      <c r="GHS4" s="353"/>
      <c r="GHT4" s="353"/>
      <c r="GHU4" s="353"/>
      <c r="GHV4" s="353"/>
      <c r="GHW4" s="353"/>
      <c r="GHX4" s="353"/>
      <c r="GHY4" s="353"/>
      <c r="GHZ4" s="353"/>
      <c r="GIA4" s="353"/>
      <c r="GIB4" s="353"/>
      <c r="GIC4" s="353"/>
      <c r="GID4" s="353"/>
      <c r="GIE4" s="353"/>
      <c r="GIF4" s="353"/>
      <c r="GIG4" s="353"/>
      <c r="GIH4" s="353"/>
      <c r="GII4" s="353"/>
      <c r="GIJ4" s="353"/>
      <c r="GIK4" s="353"/>
      <c r="GIL4" s="353"/>
      <c r="GIM4" s="353"/>
      <c r="GIN4" s="353"/>
      <c r="GIO4" s="353"/>
      <c r="GIP4" s="353"/>
      <c r="GIQ4" s="353"/>
      <c r="GIR4" s="353"/>
      <c r="GIS4" s="353"/>
      <c r="GIT4" s="353"/>
      <c r="GIU4" s="353"/>
      <c r="GIV4" s="353"/>
      <c r="GIW4" s="353"/>
      <c r="GIX4" s="353"/>
      <c r="GIY4" s="353"/>
      <c r="GIZ4" s="353"/>
      <c r="GJA4" s="353"/>
      <c r="GJB4" s="353"/>
      <c r="GJC4" s="353"/>
      <c r="GJD4" s="353"/>
      <c r="GJE4" s="353"/>
      <c r="GJF4" s="353"/>
      <c r="GJG4" s="353"/>
      <c r="GJH4" s="353"/>
      <c r="GJI4" s="353"/>
      <c r="GJJ4" s="353"/>
      <c r="GJK4" s="353"/>
      <c r="GJL4" s="353"/>
      <c r="GJM4" s="353"/>
      <c r="GJN4" s="353"/>
      <c r="GJO4" s="353"/>
      <c r="GJP4" s="353"/>
      <c r="GJQ4" s="353"/>
      <c r="GJR4" s="353"/>
      <c r="GJS4" s="353"/>
      <c r="GJT4" s="353"/>
      <c r="GJU4" s="353"/>
      <c r="GJV4" s="353"/>
      <c r="GJW4" s="353"/>
      <c r="GJX4" s="353"/>
      <c r="GJY4" s="353"/>
      <c r="GJZ4" s="353"/>
      <c r="GKA4" s="353"/>
      <c r="GKB4" s="353"/>
      <c r="GKC4" s="353"/>
      <c r="GKD4" s="353"/>
      <c r="GKE4" s="353"/>
      <c r="GKF4" s="353"/>
      <c r="GKG4" s="353"/>
      <c r="GKH4" s="353"/>
      <c r="GKI4" s="353"/>
      <c r="GKJ4" s="353"/>
      <c r="GKK4" s="353"/>
      <c r="GKL4" s="353"/>
      <c r="GKM4" s="353"/>
      <c r="GKN4" s="353"/>
      <c r="GKO4" s="353"/>
      <c r="GKP4" s="353"/>
      <c r="GKQ4" s="353"/>
      <c r="GKR4" s="353"/>
      <c r="GKS4" s="353"/>
      <c r="GKT4" s="353"/>
      <c r="GKU4" s="353"/>
      <c r="GKV4" s="353"/>
      <c r="GKW4" s="353"/>
      <c r="GKX4" s="353"/>
      <c r="GKY4" s="353"/>
      <c r="GKZ4" s="353"/>
      <c r="GLA4" s="353"/>
      <c r="GLB4" s="353"/>
      <c r="GLC4" s="353"/>
      <c r="GLD4" s="353"/>
      <c r="GLE4" s="353"/>
      <c r="GLF4" s="353"/>
      <c r="GLG4" s="353"/>
      <c r="GLH4" s="353"/>
      <c r="GLI4" s="353"/>
      <c r="GLJ4" s="353"/>
      <c r="GLK4" s="353"/>
      <c r="GLL4" s="353"/>
      <c r="GLM4" s="353"/>
      <c r="GLN4" s="353"/>
      <c r="GLO4" s="353"/>
      <c r="GLP4" s="353"/>
      <c r="GLQ4" s="353"/>
      <c r="GLR4" s="353"/>
      <c r="GLS4" s="353"/>
      <c r="GLT4" s="353"/>
      <c r="GLU4" s="353"/>
      <c r="GLV4" s="353"/>
      <c r="GLW4" s="353"/>
      <c r="GLX4" s="353"/>
      <c r="GLY4" s="353"/>
      <c r="GLZ4" s="353"/>
      <c r="GMA4" s="353"/>
      <c r="GMB4" s="353"/>
      <c r="GMC4" s="353"/>
      <c r="GMD4" s="353"/>
      <c r="GME4" s="353"/>
      <c r="GMF4" s="353"/>
      <c r="GMG4" s="353"/>
      <c r="GMH4" s="353"/>
      <c r="GMI4" s="353"/>
      <c r="GMJ4" s="353"/>
      <c r="GMK4" s="353"/>
      <c r="GML4" s="353"/>
      <c r="GMM4" s="353"/>
      <c r="GMN4" s="353"/>
      <c r="GMO4" s="353"/>
      <c r="GMP4" s="353"/>
      <c r="GMQ4" s="353"/>
      <c r="GMR4" s="353"/>
      <c r="GMS4" s="353"/>
      <c r="GMT4" s="353"/>
      <c r="GMU4" s="353"/>
      <c r="GMV4" s="353"/>
      <c r="GMW4" s="353"/>
      <c r="GMX4" s="353"/>
      <c r="GMY4" s="353"/>
      <c r="GMZ4" s="353"/>
      <c r="GNA4" s="353"/>
      <c r="GNB4" s="353"/>
      <c r="GNC4" s="353"/>
      <c r="GND4" s="353"/>
      <c r="GNE4" s="353"/>
      <c r="GNF4" s="353"/>
      <c r="GNG4" s="353"/>
      <c r="GNH4" s="353"/>
      <c r="GNI4" s="353"/>
      <c r="GNJ4" s="353"/>
      <c r="GNK4" s="353"/>
      <c r="GNL4" s="353"/>
      <c r="GNM4" s="353"/>
      <c r="GNN4" s="353"/>
      <c r="GNO4" s="353"/>
      <c r="GNP4" s="353"/>
      <c r="GNQ4" s="353"/>
      <c r="GNR4" s="353"/>
      <c r="GNS4" s="353"/>
      <c r="GNT4" s="353"/>
      <c r="GNU4" s="353"/>
      <c r="GNV4" s="353"/>
      <c r="GNW4" s="353"/>
      <c r="GNX4" s="353"/>
      <c r="GNY4" s="353"/>
      <c r="GNZ4" s="353"/>
      <c r="GOA4" s="353"/>
      <c r="GOB4" s="353"/>
      <c r="GOC4" s="353"/>
      <c r="GOD4" s="353"/>
      <c r="GOE4" s="353"/>
      <c r="GOF4" s="353"/>
      <c r="GOG4" s="353"/>
      <c r="GOH4" s="353"/>
      <c r="GOI4" s="353"/>
      <c r="GOJ4" s="353"/>
      <c r="GOK4" s="353"/>
      <c r="GOL4" s="353"/>
      <c r="GOM4" s="353"/>
      <c r="GON4" s="353"/>
      <c r="GOO4" s="353"/>
      <c r="GOP4" s="353"/>
      <c r="GOQ4" s="353"/>
      <c r="GOR4" s="353"/>
      <c r="GOS4" s="353"/>
      <c r="GOT4" s="353"/>
      <c r="GOU4" s="353"/>
      <c r="GOV4" s="353"/>
      <c r="GOW4" s="353"/>
      <c r="GOX4" s="353"/>
      <c r="GOY4" s="353"/>
      <c r="GOZ4" s="353"/>
      <c r="GPA4" s="353"/>
      <c r="GPB4" s="353"/>
      <c r="GPC4" s="353"/>
      <c r="GPD4" s="353"/>
      <c r="GPE4" s="353"/>
      <c r="GPF4" s="353"/>
      <c r="GPG4" s="353"/>
      <c r="GPH4" s="353"/>
      <c r="GPI4" s="353"/>
      <c r="GPJ4" s="353"/>
      <c r="GPK4" s="353"/>
      <c r="GPL4" s="353"/>
      <c r="GPM4" s="353"/>
      <c r="GPN4" s="353"/>
      <c r="GPO4" s="353"/>
      <c r="GPP4" s="353"/>
      <c r="GPQ4" s="353"/>
      <c r="GPR4" s="353"/>
      <c r="GPS4" s="353"/>
      <c r="GPT4" s="353"/>
      <c r="GPU4" s="353"/>
      <c r="GPV4" s="353"/>
      <c r="GPW4" s="353"/>
      <c r="GPX4" s="353"/>
      <c r="GPY4" s="353"/>
      <c r="GPZ4" s="353"/>
      <c r="GQA4" s="353"/>
      <c r="GQB4" s="353"/>
      <c r="GQC4" s="353"/>
      <c r="GQD4" s="353"/>
      <c r="GQE4" s="353"/>
      <c r="GQF4" s="353"/>
      <c r="GQG4" s="353"/>
      <c r="GQH4" s="353"/>
      <c r="GQI4" s="353"/>
      <c r="GQJ4" s="353"/>
      <c r="GQK4" s="353"/>
      <c r="GQL4" s="353"/>
      <c r="GQM4" s="353"/>
      <c r="GQN4" s="353"/>
      <c r="GQO4" s="353"/>
      <c r="GQP4" s="353"/>
      <c r="GQQ4" s="353"/>
      <c r="GQR4" s="353"/>
      <c r="GQS4" s="353"/>
      <c r="GQT4" s="353"/>
      <c r="GQU4" s="353"/>
      <c r="GQV4" s="353"/>
      <c r="GQW4" s="353"/>
      <c r="GQX4" s="353"/>
      <c r="GQY4" s="353"/>
      <c r="GQZ4" s="353"/>
      <c r="GRA4" s="353"/>
      <c r="GRB4" s="353"/>
      <c r="GRC4" s="353"/>
      <c r="GRD4" s="353"/>
      <c r="GRE4" s="353"/>
      <c r="GRF4" s="353"/>
      <c r="GRG4" s="353"/>
      <c r="GRH4" s="353"/>
      <c r="GRI4" s="353"/>
      <c r="GRJ4" s="353"/>
      <c r="GRK4" s="353"/>
      <c r="GRL4" s="353"/>
      <c r="GRM4" s="353"/>
      <c r="GRN4" s="353"/>
      <c r="GRO4" s="353"/>
      <c r="GRP4" s="353"/>
      <c r="GRQ4" s="353"/>
      <c r="GRR4" s="353"/>
      <c r="GRS4" s="353"/>
      <c r="GRT4" s="353"/>
      <c r="GRU4" s="353"/>
      <c r="GRV4" s="353"/>
      <c r="GRW4" s="353"/>
      <c r="GRX4" s="353"/>
      <c r="GRY4" s="353"/>
      <c r="GRZ4" s="353"/>
      <c r="GSA4" s="353"/>
      <c r="GSB4" s="353"/>
      <c r="GSC4" s="353"/>
      <c r="GSD4" s="353"/>
      <c r="GSE4" s="353"/>
      <c r="GSF4" s="353"/>
      <c r="GSG4" s="353"/>
      <c r="GSH4" s="353"/>
      <c r="GSI4" s="353"/>
      <c r="GSJ4" s="353"/>
      <c r="GSK4" s="353"/>
      <c r="GSL4" s="353"/>
      <c r="GSM4" s="353"/>
      <c r="GSN4" s="353"/>
      <c r="GSO4" s="353"/>
      <c r="GSP4" s="353"/>
      <c r="GSQ4" s="353"/>
      <c r="GSR4" s="353"/>
      <c r="GSS4" s="353"/>
      <c r="GST4" s="353"/>
      <c r="GSU4" s="353"/>
      <c r="GSV4" s="353"/>
      <c r="GSW4" s="353"/>
      <c r="GSX4" s="353"/>
      <c r="GSY4" s="353"/>
      <c r="GSZ4" s="353"/>
      <c r="GTA4" s="353"/>
      <c r="GTB4" s="353"/>
      <c r="GTC4" s="353"/>
      <c r="GTD4" s="353"/>
      <c r="GTE4" s="353"/>
      <c r="GTF4" s="353"/>
      <c r="GTG4" s="353"/>
      <c r="GTH4" s="353"/>
      <c r="GTI4" s="353"/>
      <c r="GTJ4" s="353"/>
      <c r="GTK4" s="353"/>
      <c r="GTL4" s="353"/>
      <c r="GTM4" s="353"/>
      <c r="GTN4" s="353"/>
      <c r="GTO4" s="353"/>
      <c r="GTP4" s="353"/>
      <c r="GTQ4" s="353"/>
      <c r="GTR4" s="353"/>
      <c r="GTS4" s="353"/>
      <c r="GTT4" s="353"/>
      <c r="GTU4" s="353"/>
      <c r="GTV4" s="353"/>
      <c r="GTW4" s="353"/>
      <c r="GTX4" s="353"/>
      <c r="GTY4" s="353"/>
      <c r="GTZ4" s="353"/>
      <c r="GUA4" s="353"/>
      <c r="GUB4" s="353"/>
      <c r="GUC4" s="353"/>
      <c r="GUD4" s="353"/>
      <c r="GUE4" s="353"/>
      <c r="GUF4" s="353"/>
      <c r="GUG4" s="353"/>
      <c r="GUH4" s="353"/>
      <c r="GUI4" s="353"/>
      <c r="GUJ4" s="353"/>
      <c r="GUK4" s="353"/>
      <c r="GUL4" s="353"/>
      <c r="GUM4" s="353"/>
      <c r="GUN4" s="353"/>
      <c r="GUO4" s="353"/>
      <c r="GUP4" s="353"/>
      <c r="GUQ4" s="353"/>
      <c r="GUR4" s="353"/>
      <c r="GUS4" s="353"/>
      <c r="GUT4" s="353"/>
      <c r="GUU4" s="353"/>
      <c r="GUV4" s="353"/>
      <c r="GUW4" s="353"/>
      <c r="GUX4" s="353"/>
      <c r="GUY4" s="353"/>
      <c r="GUZ4" s="353"/>
      <c r="GVA4" s="353"/>
      <c r="GVB4" s="353"/>
      <c r="GVC4" s="353"/>
      <c r="GVD4" s="353"/>
      <c r="GVE4" s="353"/>
      <c r="GVF4" s="353"/>
      <c r="GVG4" s="353"/>
      <c r="GVH4" s="353"/>
      <c r="GVI4" s="353"/>
      <c r="GVJ4" s="353"/>
      <c r="GVK4" s="353"/>
      <c r="GVL4" s="353"/>
      <c r="GVM4" s="353"/>
      <c r="GVN4" s="353"/>
      <c r="GVO4" s="353"/>
      <c r="GVP4" s="353"/>
      <c r="GVQ4" s="353"/>
      <c r="GVR4" s="353"/>
      <c r="GVS4" s="353"/>
      <c r="GVT4" s="353"/>
      <c r="GVU4" s="353"/>
      <c r="GVV4" s="353"/>
      <c r="GVW4" s="353"/>
      <c r="GVX4" s="353"/>
      <c r="GVY4" s="353"/>
      <c r="GVZ4" s="353"/>
      <c r="GWA4" s="353"/>
      <c r="GWB4" s="353"/>
      <c r="GWC4" s="353"/>
      <c r="GWD4" s="353"/>
      <c r="GWE4" s="353"/>
      <c r="GWF4" s="353"/>
      <c r="GWG4" s="353"/>
      <c r="GWH4" s="353"/>
      <c r="GWI4" s="353"/>
      <c r="GWJ4" s="353"/>
      <c r="GWK4" s="353"/>
      <c r="GWL4" s="353"/>
      <c r="GWM4" s="353"/>
      <c r="GWN4" s="353"/>
      <c r="GWO4" s="353"/>
      <c r="GWP4" s="353"/>
      <c r="GWQ4" s="353"/>
      <c r="GWR4" s="353"/>
      <c r="GWS4" s="353"/>
      <c r="GWT4" s="353"/>
      <c r="GWU4" s="353"/>
      <c r="GWV4" s="353"/>
      <c r="GWW4" s="353"/>
      <c r="GWX4" s="353"/>
      <c r="GWY4" s="353"/>
      <c r="GWZ4" s="353"/>
      <c r="GXA4" s="353"/>
      <c r="GXB4" s="353"/>
      <c r="GXC4" s="353"/>
      <c r="GXD4" s="353"/>
      <c r="GXE4" s="353"/>
      <c r="GXF4" s="353"/>
      <c r="GXG4" s="353"/>
      <c r="GXH4" s="353"/>
      <c r="GXI4" s="353"/>
      <c r="GXJ4" s="353"/>
      <c r="GXK4" s="353"/>
      <c r="GXL4" s="353"/>
      <c r="GXM4" s="353"/>
      <c r="GXN4" s="353"/>
      <c r="GXO4" s="353"/>
      <c r="GXP4" s="353"/>
      <c r="GXQ4" s="353"/>
      <c r="GXR4" s="353"/>
      <c r="GXS4" s="353"/>
      <c r="GXT4" s="353"/>
      <c r="GXU4" s="353"/>
      <c r="GXV4" s="353"/>
      <c r="GXW4" s="353"/>
      <c r="GXX4" s="353"/>
      <c r="GXY4" s="353"/>
      <c r="GXZ4" s="353"/>
      <c r="GYA4" s="353"/>
      <c r="GYB4" s="353"/>
      <c r="GYC4" s="353"/>
      <c r="GYD4" s="353"/>
      <c r="GYE4" s="353"/>
      <c r="GYF4" s="353"/>
      <c r="GYG4" s="353"/>
      <c r="GYH4" s="353"/>
      <c r="GYI4" s="353"/>
      <c r="GYJ4" s="353"/>
      <c r="GYK4" s="353"/>
      <c r="GYL4" s="353"/>
      <c r="GYM4" s="353"/>
      <c r="GYN4" s="353"/>
      <c r="GYO4" s="353"/>
      <c r="GYP4" s="353"/>
      <c r="GYQ4" s="353"/>
      <c r="GYR4" s="353"/>
      <c r="GYS4" s="353"/>
      <c r="GYT4" s="353"/>
      <c r="GYU4" s="353"/>
      <c r="GYV4" s="353"/>
      <c r="GYW4" s="353"/>
      <c r="GYX4" s="353"/>
      <c r="GYY4" s="353"/>
      <c r="GYZ4" s="353"/>
      <c r="GZA4" s="353"/>
      <c r="GZB4" s="353"/>
      <c r="GZC4" s="353"/>
      <c r="GZD4" s="353"/>
      <c r="GZE4" s="353"/>
      <c r="GZF4" s="353"/>
      <c r="GZG4" s="353"/>
      <c r="GZH4" s="353"/>
      <c r="GZI4" s="353"/>
      <c r="GZJ4" s="353"/>
      <c r="GZK4" s="353"/>
      <c r="GZL4" s="353"/>
      <c r="GZM4" s="353"/>
      <c r="GZN4" s="353"/>
      <c r="GZO4" s="353"/>
      <c r="GZP4" s="353"/>
      <c r="GZQ4" s="353"/>
      <c r="GZR4" s="353"/>
      <c r="GZS4" s="353"/>
      <c r="GZT4" s="353"/>
      <c r="GZU4" s="353"/>
      <c r="GZV4" s="353"/>
      <c r="GZW4" s="353"/>
      <c r="GZX4" s="353"/>
      <c r="GZY4" s="353"/>
      <c r="GZZ4" s="353"/>
      <c r="HAA4" s="353"/>
      <c r="HAB4" s="353"/>
      <c r="HAC4" s="353"/>
      <c r="HAD4" s="353"/>
      <c r="HAE4" s="353"/>
      <c r="HAF4" s="353"/>
      <c r="HAG4" s="353"/>
      <c r="HAH4" s="353"/>
      <c r="HAI4" s="353"/>
      <c r="HAJ4" s="353"/>
      <c r="HAK4" s="353"/>
      <c r="HAL4" s="353"/>
      <c r="HAM4" s="353"/>
      <c r="HAN4" s="353"/>
      <c r="HAO4" s="353"/>
      <c r="HAP4" s="353"/>
      <c r="HAQ4" s="353"/>
      <c r="HAR4" s="353"/>
      <c r="HAS4" s="353"/>
      <c r="HAT4" s="353"/>
      <c r="HAU4" s="353"/>
      <c r="HAV4" s="353"/>
      <c r="HAW4" s="353"/>
      <c r="HAX4" s="353"/>
      <c r="HAY4" s="353"/>
      <c r="HAZ4" s="353"/>
      <c r="HBA4" s="353"/>
      <c r="HBB4" s="353"/>
      <c r="HBC4" s="353"/>
      <c r="HBD4" s="353"/>
      <c r="HBE4" s="353"/>
      <c r="HBF4" s="353"/>
      <c r="HBG4" s="353"/>
      <c r="HBH4" s="353"/>
      <c r="HBI4" s="353"/>
      <c r="HBJ4" s="353"/>
      <c r="HBK4" s="353"/>
      <c r="HBL4" s="353"/>
      <c r="HBM4" s="353"/>
      <c r="HBN4" s="353"/>
      <c r="HBO4" s="353"/>
      <c r="HBP4" s="353"/>
      <c r="HBQ4" s="353"/>
      <c r="HBR4" s="353"/>
      <c r="HBS4" s="353"/>
      <c r="HBT4" s="353"/>
      <c r="HBU4" s="353"/>
      <c r="HBV4" s="353"/>
      <c r="HBW4" s="353"/>
      <c r="HBX4" s="353"/>
      <c r="HBY4" s="353"/>
      <c r="HBZ4" s="353"/>
      <c r="HCA4" s="353"/>
      <c r="HCB4" s="353"/>
      <c r="HCC4" s="353"/>
      <c r="HCD4" s="353"/>
      <c r="HCE4" s="353"/>
      <c r="HCF4" s="353"/>
      <c r="HCG4" s="353"/>
      <c r="HCH4" s="353"/>
      <c r="HCI4" s="353"/>
      <c r="HCJ4" s="353"/>
      <c r="HCK4" s="353"/>
      <c r="HCL4" s="353"/>
      <c r="HCM4" s="353"/>
      <c r="HCN4" s="353"/>
      <c r="HCO4" s="353"/>
      <c r="HCP4" s="353"/>
      <c r="HCQ4" s="353"/>
      <c r="HCR4" s="353"/>
      <c r="HCS4" s="353"/>
      <c r="HCT4" s="353"/>
      <c r="HCU4" s="353"/>
      <c r="HCV4" s="353"/>
      <c r="HCW4" s="353"/>
      <c r="HCX4" s="353"/>
      <c r="HCY4" s="353"/>
      <c r="HCZ4" s="353"/>
      <c r="HDA4" s="353"/>
      <c r="HDB4" s="353"/>
      <c r="HDC4" s="353"/>
      <c r="HDD4" s="353"/>
      <c r="HDE4" s="353"/>
      <c r="HDF4" s="353"/>
      <c r="HDG4" s="353"/>
      <c r="HDH4" s="353"/>
      <c r="HDI4" s="353"/>
      <c r="HDJ4" s="353"/>
      <c r="HDK4" s="353"/>
      <c r="HDL4" s="353"/>
      <c r="HDM4" s="353"/>
      <c r="HDN4" s="353"/>
      <c r="HDO4" s="353"/>
      <c r="HDP4" s="353"/>
      <c r="HDQ4" s="353"/>
      <c r="HDR4" s="353"/>
      <c r="HDS4" s="353"/>
      <c r="HDT4" s="353"/>
      <c r="HDU4" s="353"/>
      <c r="HDV4" s="353"/>
      <c r="HDW4" s="353"/>
      <c r="HDX4" s="353"/>
      <c r="HDY4" s="353"/>
      <c r="HDZ4" s="353"/>
      <c r="HEA4" s="353"/>
      <c r="HEB4" s="353"/>
      <c r="HEC4" s="353"/>
      <c r="HED4" s="353"/>
      <c r="HEE4" s="353"/>
      <c r="HEF4" s="353"/>
      <c r="HEG4" s="353"/>
      <c r="HEH4" s="353"/>
      <c r="HEI4" s="353"/>
      <c r="HEJ4" s="353"/>
      <c r="HEK4" s="353"/>
      <c r="HEL4" s="353"/>
      <c r="HEM4" s="353"/>
      <c r="HEN4" s="353"/>
      <c r="HEO4" s="353"/>
      <c r="HEP4" s="353"/>
      <c r="HEQ4" s="353"/>
      <c r="HER4" s="353"/>
      <c r="HES4" s="353"/>
      <c r="HET4" s="353"/>
      <c r="HEU4" s="353"/>
      <c r="HEV4" s="353"/>
      <c r="HEW4" s="353"/>
      <c r="HEX4" s="353"/>
      <c r="HEY4" s="353"/>
      <c r="HEZ4" s="353"/>
      <c r="HFA4" s="353"/>
      <c r="HFB4" s="353"/>
      <c r="HFC4" s="353"/>
      <c r="HFD4" s="353"/>
      <c r="HFE4" s="353"/>
      <c r="HFF4" s="353"/>
      <c r="HFG4" s="353"/>
      <c r="HFH4" s="353"/>
      <c r="HFI4" s="353"/>
      <c r="HFJ4" s="353"/>
      <c r="HFK4" s="353"/>
      <c r="HFL4" s="353"/>
      <c r="HFM4" s="353"/>
      <c r="HFN4" s="353"/>
      <c r="HFO4" s="353"/>
      <c r="HFP4" s="353"/>
      <c r="HFQ4" s="353"/>
      <c r="HFR4" s="353"/>
      <c r="HFS4" s="353"/>
      <c r="HFT4" s="353"/>
      <c r="HFU4" s="353"/>
      <c r="HFV4" s="353"/>
      <c r="HFW4" s="353"/>
      <c r="HFX4" s="353"/>
      <c r="HFY4" s="353"/>
      <c r="HFZ4" s="353"/>
      <c r="HGA4" s="353"/>
      <c r="HGB4" s="353"/>
      <c r="HGC4" s="353"/>
      <c r="HGD4" s="353"/>
      <c r="HGE4" s="353"/>
      <c r="HGF4" s="353"/>
      <c r="HGG4" s="353"/>
      <c r="HGH4" s="353"/>
      <c r="HGI4" s="353"/>
      <c r="HGJ4" s="353"/>
      <c r="HGK4" s="353"/>
      <c r="HGL4" s="353"/>
      <c r="HGM4" s="353"/>
      <c r="HGN4" s="353"/>
      <c r="HGO4" s="353"/>
      <c r="HGP4" s="353"/>
      <c r="HGQ4" s="353"/>
      <c r="HGR4" s="353"/>
      <c r="HGS4" s="353"/>
      <c r="HGT4" s="353"/>
      <c r="HGU4" s="353"/>
      <c r="HGV4" s="353"/>
      <c r="HGW4" s="353"/>
      <c r="HGX4" s="353"/>
      <c r="HGY4" s="353"/>
      <c r="HGZ4" s="353"/>
      <c r="HHA4" s="353"/>
      <c r="HHB4" s="353"/>
      <c r="HHC4" s="353"/>
      <c r="HHD4" s="353"/>
      <c r="HHE4" s="353"/>
      <c r="HHF4" s="353"/>
      <c r="HHG4" s="353"/>
      <c r="HHH4" s="353"/>
      <c r="HHI4" s="353"/>
      <c r="HHJ4" s="353"/>
      <c r="HHK4" s="353"/>
      <c r="HHL4" s="353"/>
      <c r="HHM4" s="353"/>
      <c r="HHN4" s="353"/>
      <c r="HHO4" s="353"/>
      <c r="HHP4" s="353"/>
      <c r="HHQ4" s="353"/>
      <c r="HHR4" s="353"/>
      <c r="HHS4" s="353"/>
      <c r="HHT4" s="353"/>
      <c r="HHU4" s="353"/>
      <c r="HHV4" s="353"/>
      <c r="HHW4" s="353"/>
      <c r="HHX4" s="353"/>
      <c r="HHY4" s="353"/>
      <c r="HHZ4" s="353"/>
      <c r="HIA4" s="353"/>
      <c r="HIB4" s="353"/>
      <c r="HIC4" s="353"/>
      <c r="HID4" s="353"/>
      <c r="HIE4" s="353"/>
      <c r="HIF4" s="353"/>
      <c r="HIG4" s="353"/>
      <c r="HIH4" s="353"/>
      <c r="HII4" s="353"/>
      <c r="HIJ4" s="353"/>
      <c r="HIK4" s="353"/>
      <c r="HIL4" s="353"/>
      <c r="HIM4" s="353"/>
      <c r="HIN4" s="353"/>
      <c r="HIO4" s="353"/>
      <c r="HIP4" s="353"/>
      <c r="HIQ4" s="353"/>
      <c r="HIR4" s="353"/>
      <c r="HIS4" s="353"/>
      <c r="HIT4" s="353"/>
      <c r="HIU4" s="353"/>
      <c r="HIV4" s="353"/>
      <c r="HIW4" s="353"/>
      <c r="HIX4" s="353"/>
      <c r="HIY4" s="353"/>
      <c r="HIZ4" s="353"/>
      <c r="HJA4" s="353"/>
      <c r="HJB4" s="353"/>
      <c r="HJC4" s="353"/>
      <c r="HJD4" s="353"/>
      <c r="HJE4" s="353"/>
      <c r="HJF4" s="353"/>
      <c r="HJG4" s="353"/>
      <c r="HJH4" s="353"/>
      <c r="HJI4" s="353"/>
      <c r="HJJ4" s="353"/>
      <c r="HJK4" s="353"/>
      <c r="HJL4" s="353"/>
      <c r="HJM4" s="353"/>
      <c r="HJN4" s="353"/>
      <c r="HJO4" s="353"/>
      <c r="HJP4" s="353"/>
      <c r="HJQ4" s="353"/>
      <c r="HJR4" s="353"/>
      <c r="HJS4" s="353"/>
      <c r="HJT4" s="353"/>
      <c r="HJU4" s="353"/>
      <c r="HJV4" s="353"/>
      <c r="HJW4" s="353"/>
      <c r="HJX4" s="353"/>
      <c r="HJY4" s="353"/>
      <c r="HJZ4" s="353"/>
      <c r="HKA4" s="353"/>
      <c r="HKB4" s="353"/>
      <c r="HKC4" s="353"/>
      <c r="HKD4" s="353"/>
      <c r="HKE4" s="353"/>
      <c r="HKF4" s="353"/>
      <c r="HKG4" s="353"/>
      <c r="HKH4" s="353"/>
      <c r="HKI4" s="353"/>
      <c r="HKJ4" s="353"/>
      <c r="HKK4" s="353"/>
      <c r="HKL4" s="353"/>
      <c r="HKM4" s="353"/>
      <c r="HKN4" s="353"/>
      <c r="HKO4" s="353"/>
      <c r="HKP4" s="353"/>
      <c r="HKQ4" s="353"/>
      <c r="HKR4" s="353"/>
      <c r="HKS4" s="353"/>
      <c r="HKT4" s="353"/>
      <c r="HKU4" s="353"/>
      <c r="HKV4" s="353"/>
      <c r="HKW4" s="353"/>
      <c r="HKX4" s="353"/>
      <c r="HKY4" s="353"/>
      <c r="HKZ4" s="353"/>
      <c r="HLA4" s="353"/>
      <c r="HLB4" s="353"/>
      <c r="HLC4" s="353"/>
      <c r="HLD4" s="353"/>
      <c r="HLE4" s="353"/>
      <c r="HLF4" s="353"/>
      <c r="HLG4" s="353"/>
      <c r="HLH4" s="353"/>
      <c r="HLI4" s="353"/>
      <c r="HLJ4" s="353"/>
      <c r="HLK4" s="353"/>
      <c r="HLL4" s="353"/>
      <c r="HLM4" s="353"/>
      <c r="HLN4" s="353"/>
      <c r="HLO4" s="353"/>
      <c r="HLP4" s="353"/>
      <c r="HLQ4" s="353"/>
      <c r="HLR4" s="353"/>
      <c r="HLS4" s="353"/>
      <c r="HLT4" s="353"/>
      <c r="HLU4" s="353"/>
      <c r="HLV4" s="353"/>
      <c r="HLW4" s="353"/>
      <c r="HLX4" s="353"/>
      <c r="HLY4" s="353"/>
      <c r="HLZ4" s="353"/>
      <c r="HMA4" s="353"/>
      <c r="HMB4" s="353"/>
      <c r="HMC4" s="353"/>
      <c r="HMD4" s="353"/>
      <c r="HME4" s="353"/>
      <c r="HMF4" s="353"/>
      <c r="HMG4" s="353"/>
      <c r="HMH4" s="353"/>
      <c r="HMI4" s="353"/>
      <c r="HMJ4" s="353"/>
      <c r="HMK4" s="353"/>
      <c r="HML4" s="353"/>
      <c r="HMM4" s="353"/>
      <c r="HMN4" s="353"/>
      <c r="HMO4" s="353"/>
      <c r="HMP4" s="353"/>
      <c r="HMQ4" s="353"/>
      <c r="HMR4" s="353"/>
      <c r="HMS4" s="353"/>
      <c r="HMT4" s="353"/>
      <c r="HMU4" s="353"/>
      <c r="HMV4" s="353"/>
      <c r="HMW4" s="353"/>
      <c r="HMX4" s="353"/>
      <c r="HMY4" s="353"/>
      <c r="HMZ4" s="353"/>
      <c r="HNA4" s="353"/>
      <c r="HNB4" s="353"/>
      <c r="HNC4" s="353"/>
      <c r="HND4" s="353"/>
      <c r="HNE4" s="353"/>
      <c r="HNF4" s="353"/>
      <c r="HNG4" s="353"/>
      <c r="HNH4" s="353"/>
      <c r="HNI4" s="353"/>
      <c r="HNJ4" s="353"/>
      <c r="HNK4" s="353"/>
      <c r="HNL4" s="353"/>
      <c r="HNM4" s="353"/>
      <c r="HNN4" s="353"/>
      <c r="HNO4" s="353"/>
      <c r="HNP4" s="353"/>
      <c r="HNQ4" s="353"/>
      <c r="HNR4" s="353"/>
      <c r="HNS4" s="353"/>
      <c r="HNT4" s="353"/>
      <c r="HNU4" s="353"/>
      <c r="HNV4" s="353"/>
      <c r="HNW4" s="353"/>
      <c r="HNX4" s="353"/>
      <c r="HNY4" s="353"/>
      <c r="HNZ4" s="353"/>
      <c r="HOA4" s="353"/>
      <c r="HOB4" s="353"/>
      <c r="HOC4" s="353"/>
      <c r="HOD4" s="353"/>
      <c r="HOE4" s="353"/>
      <c r="HOF4" s="353"/>
      <c r="HOG4" s="353"/>
      <c r="HOH4" s="353"/>
      <c r="HOI4" s="353"/>
      <c r="HOJ4" s="353"/>
      <c r="HOK4" s="353"/>
      <c r="HOL4" s="353"/>
      <c r="HOM4" s="353"/>
      <c r="HON4" s="353"/>
      <c r="HOO4" s="353"/>
      <c r="HOP4" s="353"/>
      <c r="HOQ4" s="353"/>
      <c r="HOR4" s="353"/>
      <c r="HOS4" s="353"/>
      <c r="HOT4" s="353"/>
      <c r="HOU4" s="353"/>
      <c r="HOV4" s="353"/>
      <c r="HOW4" s="353"/>
      <c r="HOX4" s="353"/>
      <c r="HOY4" s="353"/>
      <c r="HOZ4" s="353"/>
      <c r="HPA4" s="353"/>
      <c r="HPB4" s="353"/>
      <c r="HPC4" s="353"/>
      <c r="HPD4" s="353"/>
      <c r="HPE4" s="353"/>
      <c r="HPF4" s="353"/>
      <c r="HPG4" s="353"/>
      <c r="HPH4" s="353"/>
      <c r="HPI4" s="353"/>
      <c r="HPJ4" s="353"/>
      <c r="HPK4" s="353"/>
      <c r="HPL4" s="353"/>
      <c r="HPM4" s="353"/>
      <c r="HPN4" s="353"/>
      <c r="HPO4" s="353"/>
      <c r="HPP4" s="353"/>
      <c r="HPQ4" s="353"/>
      <c r="HPR4" s="353"/>
      <c r="HPS4" s="353"/>
      <c r="HPT4" s="353"/>
      <c r="HPU4" s="353"/>
      <c r="HPV4" s="353"/>
      <c r="HPW4" s="353"/>
      <c r="HPX4" s="353"/>
      <c r="HPY4" s="353"/>
      <c r="HPZ4" s="353"/>
      <c r="HQA4" s="353"/>
      <c r="HQB4" s="353"/>
      <c r="HQC4" s="353"/>
      <c r="HQD4" s="353"/>
      <c r="HQE4" s="353"/>
      <c r="HQF4" s="353"/>
      <c r="HQG4" s="353"/>
      <c r="HQH4" s="353"/>
      <c r="HQI4" s="353"/>
      <c r="HQJ4" s="353"/>
      <c r="HQK4" s="353"/>
      <c r="HQL4" s="353"/>
      <c r="HQM4" s="353"/>
      <c r="HQN4" s="353"/>
      <c r="HQO4" s="353"/>
      <c r="HQP4" s="353"/>
      <c r="HQQ4" s="353"/>
      <c r="HQR4" s="353"/>
      <c r="HQS4" s="353"/>
      <c r="HQT4" s="353"/>
      <c r="HQU4" s="353"/>
      <c r="HQV4" s="353"/>
      <c r="HQW4" s="353"/>
      <c r="HQX4" s="353"/>
      <c r="HQY4" s="353"/>
      <c r="HQZ4" s="353"/>
      <c r="HRA4" s="353"/>
      <c r="HRB4" s="353"/>
      <c r="HRC4" s="353"/>
      <c r="HRD4" s="353"/>
      <c r="HRE4" s="353"/>
      <c r="HRF4" s="353"/>
      <c r="HRG4" s="353"/>
      <c r="HRH4" s="353"/>
      <c r="HRI4" s="353"/>
      <c r="HRJ4" s="353"/>
      <c r="HRK4" s="353"/>
      <c r="HRL4" s="353"/>
      <c r="HRM4" s="353"/>
      <c r="HRN4" s="353"/>
      <c r="HRO4" s="353"/>
      <c r="HRP4" s="353"/>
      <c r="HRQ4" s="353"/>
      <c r="HRR4" s="353"/>
      <c r="HRS4" s="353"/>
      <c r="HRT4" s="353"/>
      <c r="HRU4" s="353"/>
      <c r="HRV4" s="353"/>
      <c r="HRW4" s="353"/>
      <c r="HRX4" s="353"/>
      <c r="HRY4" s="353"/>
      <c r="HRZ4" s="353"/>
      <c r="HSA4" s="353"/>
      <c r="HSB4" s="353"/>
      <c r="HSC4" s="353"/>
      <c r="HSD4" s="353"/>
      <c r="HSE4" s="353"/>
      <c r="HSF4" s="353"/>
      <c r="HSG4" s="353"/>
      <c r="HSH4" s="353"/>
      <c r="HSI4" s="353"/>
      <c r="HSJ4" s="353"/>
      <c r="HSK4" s="353"/>
      <c r="HSL4" s="353"/>
      <c r="HSM4" s="353"/>
      <c r="HSN4" s="353"/>
      <c r="HSO4" s="353"/>
      <c r="HSP4" s="353"/>
      <c r="HSQ4" s="353"/>
      <c r="HSR4" s="353"/>
      <c r="HSS4" s="353"/>
      <c r="HST4" s="353"/>
      <c r="HSU4" s="353"/>
      <c r="HSV4" s="353"/>
      <c r="HSW4" s="353"/>
      <c r="HSX4" s="353"/>
      <c r="HSY4" s="353"/>
      <c r="HSZ4" s="353"/>
      <c r="HTA4" s="353"/>
      <c r="HTB4" s="353"/>
      <c r="HTC4" s="353"/>
      <c r="HTD4" s="353"/>
      <c r="HTE4" s="353"/>
      <c r="HTF4" s="353"/>
      <c r="HTG4" s="353"/>
      <c r="HTH4" s="353"/>
      <c r="HTI4" s="353"/>
      <c r="HTJ4" s="353"/>
      <c r="HTK4" s="353"/>
      <c r="HTL4" s="353"/>
      <c r="HTM4" s="353"/>
      <c r="HTN4" s="353"/>
      <c r="HTO4" s="353"/>
      <c r="HTP4" s="353"/>
      <c r="HTQ4" s="353"/>
      <c r="HTR4" s="353"/>
      <c r="HTS4" s="353"/>
      <c r="HTT4" s="353"/>
      <c r="HTU4" s="353"/>
      <c r="HTV4" s="353"/>
      <c r="HTW4" s="353"/>
      <c r="HTX4" s="353"/>
      <c r="HTY4" s="353"/>
      <c r="HTZ4" s="353"/>
      <c r="HUA4" s="353"/>
      <c r="HUB4" s="353"/>
      <c r="HUC4" s="353"/>
      <c r="HUD4" s="353"/>
      <c r="HUE4" s="353"/>
      <c r="HUF4" s="353"/>
      <c r="HUG4" s="353"/>
      <c r="HUH4" s="353"/>
      <c r="HUI4" s="353"/>
      <c r="HUJ4" s="353"/>
      <c r="HUK4" s="353"/>
      <c r="HUL4" s="353"/>
      <c r="HUM4" s="353"/>
      <c r="HUN4" s="353"/>
      <c r="HUO4" s="353"/>
      <c r="HUP4" s="353"/>
      <c r="HUQ4" s="353"/>
      <c r="HUR4" s="353"/>
      <c r="HUS4" s="353"/>
      <c r="HUT4" s="353"/>
      <c r="HUU4" s="353"/>
      <c r="HUV4" s="353"/>
      <c r="HUW4" s="353"/>
      <c r="HUX4" s="353"/>
      <c r="HUY4" s="353"/>
      <c r="HUZ4" s="353"/>
      <c r="HVA4" s="353"/>
      <c r="HVB4" s="353"/>
      <c r="HVC4" s="353"/>
      <c r="HVD4" s="353"/>
      <c r="HVE4" s="353"/>
      <c r="HVF4" s="353"/>
      <c r="HVG4" s="353"/>
      <c r="HVH4" s="353"/>
      <c r="HVI4" s="353"/>
      <c r="HVJ4" s="353"/>
      <c r="HVK4" s="353"/>
      <c r="HVL4" s="353"/>
      <c r="HVM4" s="353"/>
      <c r="HVN4" s="353"/>
      <c r="HVO4" s="353"/>
      <c r="HVP4" s="353"/>
      <c r="HVQ4" s="353"/>
      <c r="HVR4" s="353"/>
      <c r="HVS4" s="353"/>
      <c r="HVT4" s="353"/>
      <c r="HVU4" s="353"/>
      <c r="HVV4" s="353"/>
      <c r="HVW4" s="353"/>
      <c r="HVX4" s="353"/>
      <c r="HVY4" s="353"/>
      <c r="HVZ4" s="353"/>
      <c r="HWA4" s="353"/>
      <c r="HWB4" s="353"/>
      <c r="HWC4" s="353"/>
      <c r="HWD4" s="353"/>
      <c r="HWE4" s="353"/>
      <c r="HWF4" s="353"/>
      <c r="HWG4" s="353"/>
      <c r="HWH4" s="353"/>
      <c r="HWI4" s="353"/>
      <c r="HWJ4" s="353"/>
      <c r="HWK4" s="353"/>
      <c r="HWL4" s="353"/>
      <c r="HWM4" s="353"/>
      <c r="HWN4" s="353"/>
      <c r="HWO4" s="353"/>
      <c r="HWP4" s="353"/>
      <c r="HWQ4" s="353"/>
      <c r="HWR4" s="353"/>
      <c r="HWS4" s="353"/>
      <c r="HWT4" s="353"/>
      <c r="HWU4" s="353"/>
      <c r="HWV4" s="353"/>
      <c r="HWW4" s="353"/>
      <c r="HWX4" s="353"/>
      <c r="HWY4" s="353"/>
      <c r="HWZ4" s="353"/>
      <c r="HXA4" s="353"/>
      <c r="HXB4" s="353"/>
      <c r="HXC4" s="353"/>
      <c r="HXD4" s="353"/>
      <c r="HXE4" s="353"/>
      <c r="HXF4" s="353"/>
      <c r="HXG4" s="353"/>
      <c r="HXH4" s="353"/>
      <c r="HXI4" s="353"/>
      <c r="HXJ4" s="353"/>
      <c r="HXK4" s="353"/>
      <c r="HXL4" s="353"/>
      <c r="HXM4" s="353"/>
      <c r="HXN4" s="353"/>
      <c r="HXO4" s="353"/>
      <c r="HXP4" s="353"/>
      <c r="HXQ4" s="353"/>
      <c r="HXR4" s="353"/>
      <c r="HXS4" s="353"/>
      <c r="HXT4" s="353"/>
      <c r="HXU4" s="353"/>
      <c r="HXV4" s="353"/>
      <c r="HXW4" s="353"/>
      <c r="HXX4" s="353"/>
      <c r="HXY4" s="353"/>
      <c r="HXZ4" s="353"/>
      <c r="HYA4" s="353"/>
      <c r="HYB4" s="353"/>
      <c r="HYC4" s="353"/>
      <c r="HYD4" s="353"/>
      <c r="HYE4" s="353"/>
      <c r="HYF4" s="353"/>
      <c r="HYG4" s="353"/>
      <c r="HYH4" s="353"/>
      <c r="HYI4" s="353"/>
      <c r="HYJ4" s="353"/>
      <c r="HYK4" s="353"/>
      <c r="HYL4" s="353"/>
      <c r="HYM4" s="353"/>
      <c r="HYN4" s="353"/>
      <c r="HYO4" s="353"/>
      <c r="HYP4" s="353"/>
      <c r="HYQ4" s="353"/>
      <c r="HYR4" s="353"/>
      <c r="HYS4" s="353"/>
      <c r="HYT4" s="353"/>
      <c r="HYU4" s="353"/>
      <c r="HYV4" s="353"/>
      <c r="HYW4" s="353"/>
      <c r="HYX4" s="353"/>
      <c r="HYY4" s="353"/>
      <c r="HYZ4" s="353"/>
      <c r="HZA4" s="353"/>
      <c r="HZB4" s="353"/>
      <c r="HZC4" s="353"/>
      <c r="HZD4" s="353"/>
      <c r="HZE4" s="353"/>
      <c r="HZF4" s="353"/>
      <c r="HZG4" s="353"/>
      <c r="HZH4" s="353"/>
      <c r="HZI4" s="353"/>
      <c r="HZJ4" s="353"/>
      <c r="HZK4" s="353"/>
      <c r="HZL4" s="353"/>
      <c r="HZM4" s="353"/>
      <c r="HZN4" s="353"/>
      <c r="HZO4" s="353"/>
      <c r="HZP4" s="353"/>
      <c r="HZQ4" s="353"/>
      <c r="HZR4" s="353"/>
      <c r="HZS4" s="353"/>
      <c r="HZT4" s="353"/>
      <c r="HZU4" s="353"/>
      <c r="HZV4" s="353"/>
      <c r="HZW4" s="353"/>
      <c r="HZX4" s="353"/>
      <c r="HZY4" s="353"/>
      <c r="HZZ4" s="353"/>
      <c r="IAA4" s="353"/>
      <c r="IAB4" s="353"/>
      <c r="IAC4" s="353"/>
      <c r="IAD4" s="353"/>
      <c r="IAE4" s="353"/>
      <c r="IAF4" s="353"/>
      <c r="IAG4" s="353"/>
      <c r="IAH4" s="353"/>
      <c r="IAI4" s="353"/>
      <c r="IAJ4" s="353"/>
      <c r="IAK4" s="353"/>
      <c r="IAL4" s="353"/>
      <c r="IAM4" s="353"/>
      <c r="IAN4" s="353"/>
      <c r="IAO4" s="353"/>
      <c r="IAP4" s="353"/>
      <c r="IAQ4" s="353"/>
      <c r="IAR4" s="353"/>
      <c r="IAS4" s="353"/>
      <c r="IAT4" s="353"/>
      <c r="IAU4" s="353"/>
      <c r="IAV4" s="353"/>
      <c r="IAW4" s="353"/>
      <c r="IAX4" s="353"/>
      <c r="IAY4" s="353"/>
      <c r="IAZ4" s="353"/>
      <c r="IBA4" s="353"/>
      <c r="IBB4" s="353"/>
      <c r="IBC4" s="353"/>
      <c r="IBD4" s="353"/>
      <c r="IBE4" s="353"/>
      <c r="IBF4" s="353"/>
      <c r="IBG4" s="353"/>
      <c r="IBH4" s="353"/>
      <c r="IBI4" s="353"/>
      <c r="IBJ4" s="353"/>
      <c r="IBK4" s="353"/>
      <c r="IBL4" s="353"/>
      <c r="IBM4" s="353"/>
      <c r="IBN4" s="353"/>
      <c r="IBO4" s="353"/>
      <c r="IBP4" s="353"/>
      <c r="IBQ4" s="353"/>
      <c r="IBR4" s="353"/>
      <c r="IBS4" s="353"/>
      <c r="IBT4" s="353"/>
      <c r="IBU4" s="353"/>
      <c r="IBV4" s="353"/>
      <c r="IBW4" s="353"/>
      <c r="IBX4" s="353"/>
      <c r="IBY4" s="353"/>
      <c r="IBZ4" s="353"/>
      <c r="ICA4" s="353"/>
      <c r="ICB4" s="353"/>
      <c r="ICC4" s="353"/>
      <c r="ICD4" s="353"/>
      <c r="ICE4" s="353"/>
      <c r="ICF4" s="353"/>
      <c r="ICG4" s="353"/>
      <c r="ICH4" s="353"/>
      <c r="ICI4" s="353"/>
      <c r="ICJ4" s="353"/>
      <c r="ICK4" s="353"/>
      <c r="ICL4" s="353"/>
      <c r="ICM4" s="353"/>
      <c r="ICN4" s="353"/>
      <c r="ICO4" s="353"/>
      <c r="ICP4" s="353"/>
      <c r="ICQ4" s="353"/>
      <c r="ICR4" s="353"/>
      <c r="ICS4" s="353"/>
      <c r="ICT4" s="353"/>
      <c r="ICU4" s="353"/>
      <c r="ICV4" s="353"/>
      <c r="ICW4" s="353"/>
      <c r="ICX4" s="353"/>
      <c r="ICY4" s="353"/>
      <c r="ICZ4" s="353"/>
      <c r="IDA4" s="353"/>
      <c r="IDB4" s="353"/>
      <c r="IDC4" s="353"/>
      <c r="IDD4" s="353"/>
      <c r="IDE4" s="353"/>
      <c r="IDF4" s="353"/>
      <c r="IDG4" s="353"/>
      <c r="IDH4" s="353"/>
      <c r="IDI4" s="353"/>
      <c r="IDJ4" s="353"/>
      <c r="IDK4" s="353"/>
      <c r="IDL4" s="353"/>
      <c r="IDM4" s="353"/>
      <c r="IDN4" s="353"/>
      <c r="IDO4" s="353"/>
      <c r="IDP4" s="353"/>
      <c r="IDQ4" s="353"/>
      <c r="IDR4" s="353"/>
      <c r="IDS4" s="353"/>
      <c r="IDT4" s="353"/>
      <c r="IDU4" s="353"/>
      <c r="IDV4" s="353"/>
      <c r="IDW4" s="353"/>
      <c r="IDX4" s="353"/>
      <c r="IDY4" s="353"/>
      <c r="IDZ4" s="353"/>
      <c r="IEA4" s="353"/>
      <c r="IEB4" s="353"/>
      <c r="IEC4" s="353"/>
      <c r="IED4" s="353"/>
      <c r="IEE4" s="353"/>
      <c r="IEF4" s="353"/>
      <c r="IEG4" s="353"/>
      <c r="IEH4" s="353"/>
      <c r="IEI4" s="353"/>
      <c r="IEJ4" s="353"/>
      <c r="IEK4" s="353"/>
      <c r="IEL4" s="353"/>
      <c r="IEM4" s="353"/>
      <c r="IEN4" s="353"/>
      <c r="IEO4" s="353"/>
      <c r="IEP4" s="353"/>
      <c r="IEQ4" s="353"/>
      <c r="IER4" s="353"/>
      <c r="IES4" s="353"/>
      <c r="IET4" s="353"/>
      <c r="IEU4" s="353"/>
      <c r="IEV4" s="353"/>
      <c r="IEW4" s="353"/>
      <c r="IEX4" s="353"/>
      <c r="IEY4" s="353"/>
      <c r="IEZ4" s="353"/>
      <c r="IFA4" s="353"/>
      <c r="IFB4" s="353"/>
      <c r="IFC4" s="353"/>
      <c r="IFD4" s="353"/>
      <c r="IFE4" s="353"/>
      <c r="IFF4" s="353"/>
      <c r="IFG4" s="353"/>
      <c r="IFH4" s="353"/>
      <c r="IFI4" s="353"/>
      <c r="IFJ4" s="353"/>
      <c r="IFK4" s="353"/>
      <c r="IFL4" s="353"/>
      <c r="IFM4" s="353"/>
      <c r="IFN4" s="353"/>
      <c r="IFO4" s="353"/>
      <c r="IFP4" s="353"/>
      <c r="IFQ4" s="353"/>
      <c r="IFR4" s="353"/>
      <c r="IFS4" s="353"/>
      <c r="IFT4" s="353"/>
      <c r="IFU4" s="353"/>
      <c r="IFV4" s="353"/>
      <c r="IFW4" s="353"/>
      <c r="IFX4" s="353"/>
      <c r="IFY4" s="353"/>
      <c r="IFZ4" s="353"/>
      <c r="IGA4" s="353"/>
      <c r="IGB4" s="353"/>
      <c r="IGC4" s="353"/>
      <c r="IGD4" s="353"/>
      <c r="IGE4" s="353"/>
      <c r="IGF4" s="353"/>
      <c r="IGG4" s="353"/>
      <c r="IGH4" s="353"/>
      <c r="IGI4" s="353"/>
      <c r="IGJ4" s="353"/>
      <c r="IGK4" s="353"/>
      <c r="IGL4" s="353"/>
      <c r="IGM4" s="353"/>
      <c r="IGN4" s="353"/>
      <c r="IGO4" s="353"/>
      <c r="IGP4" s="353"/>
      <c r="IGQ4" s="353"/>
      <c r="IGR4" s="353"/>
      <c r="IGS4" s="353"/>
      <c r="IGT4" s="353"/>
      <c r="IGU4" s="353"/>
      <c r="IGV4" s="353"/>
      <c r="IGW4" s="353"/>
      <c r="IGX4" s="353"/>
      <c r="IGY4" s="353"/>
      <c r="IGZ4" s="353"/>
      <c r="IHA4" s="353"/>
      <c r="IHB4" s="353"/>
      <c r="IHC4" s="353"/>
      <c r="IHD4" s="353"/>
      <c r="IHE4" s="353"/>
      <c r="IHF4" s="353"/>
      <c r="IHG4" s="353"/>
      <c r="IHH4" s="353"/>
      <c r="IHI4" s="353"/>
      <c r="IHJ4" s="353"/>
      <c r="IHK4" s="353"/>
      <c r="IHL4" s="353"/>
      <c r="IHM4" s="353"/>
      <c r="IHN4" s="353"/>
      <c r="IHO4" s="353"/>
      <c r="IHP4" s="353"/>
      <c r="IHQ4" s="353"/>
      <c r="IHR4" s="353"/>
      <c r="IHS4" s="353"/>
      <c r="IHT4" s="353"/>
      <c r="IHU4" s="353"/>
      <c r="IHV4" s="353"/>
      <c r="IHW4" s="353"/>
      <c r="IHX4" s="353"/>
      <c r="IHY4" s="353"/>
      <c r="IHZ4" s="353"/>
      <c r="IIA4" s="353"/>
      <c r="IIB4" s="353"/>
      <c r="IIC4" s="353"/>
      <c r="IID4" s="353"/>
      <c r="IIE4" s="353"/>
      <c r="IIF4" s="353"/>
      <c r="IIG4" s="353"/>
      <c r="IIH4" s="353"/>
      <c r="III4" s="353"/>
      <c r="IIJ4" s="353"/>
      <c r="IIK4" s="353"/>
      <c r="IIL4" s="353"/>
      <c r="IIM4" s="353"/>
      <c r="IIN4" s="353"/>
      <c r="IIO4" s="353"/>
      <c r="IIP4" s="353"/>
      <c r="IIQ4" s="353"/>
      <c r="IIR4" s="353"/>
      <c r="IIS4" s="353"/>
      <c r="IIT4" s="353"/>
      <c r="IIU4" s="353"/>
      <c r="IIV4" s="353"/>
      <c r="IIW4" s="353"/>
      <c r="IIX4" s="353"/>
      <c r="IIY4" s="353"/>
      <c r="IIZ4" s="353"/>
      <c r="IJA4" s="353"/>
      <c r="IJB4" s="353"/>
      <c r="IJC4" s="353"/>
      <c r="IJD4" s="353"/>
      <c r="IJE4" s="353"/>
      <c r="IJF4" s="353"/>
      <c r="IJG4" s="353"/>
      <c r="IJH4" s="353"/>
      <c r="IJI4" s="353"/>
      <c r="IJJ4" s="353"/>
      <c r="IJK4" s="353"/>
      <c r="IJL4" s="353"/>
      <c r="IJM4" s="353"/>
      <c r="IJN4" s="353"/>
      <c r="IJO4" s="353"/>
      <c r="IJP4" s="353"/>
      <c r="IJQ4" s="353"/>
      <c r="IJR4" s="353"/>
      <c r="IJS4" s="353"/>
      <c r="IJT4" s="353"/>
      <c r="IJU4" s="353"/>
      <c r="IJV4" s="353"/>
      <c r="IJW4" s="353"/>
      <c r="IJX4" s="353"/>
      <c r="IJY4" s="353"/>
      <c r="IJZ4" s="353"/>
      <c r="IKA4" s="353"/>
      <c r="IKB4" s="353"/>
      <c r="IKC4" s="353"/>
      <c r="IKD4" s="353"/>
      <c r="IKE4" s="353"/>
      <c r="IKF4" s="353"/>
      <c r="IKG4" s="353"/>
      <c r="IKH4" s="353"/>
      <c r="IKI4" s="353"/>
      <c r="IKJ4" s="353"/>
      <c r="IKK4" s="353"/>
      <c r="IKL4" s="353"/>
      <c r="IKM4" s="353"/>
      <c r="IKN4" s="353"/>
      <c r="IKO4" s="353"/>
      <c r="IKP4" s="353"/>
      <c r="IKQ4" s="353"/>
      <c r="IKR4" s="353"/>
      <c r="IKS4" s="353"/>
      <c r="IKT4" s="353"/>
      <c r="IKU4" s="353"/>
      <c r="IKV4" s="353"/>
      <c r="IKW4" s="353"/>
      <c r="IKX4" s="353"/>
      <c r="IKY4" s="353"/>
      <c r="IKZ4" s="353"/>
      <c r="ILA4" s="353"/>
      <c r="ILB4" s="353"/>
      <c r="ILC4" s="353"/>
      <c r="ILD4" s="353"/>
      <c r="ILE4" s="353"/>
      <c r="ILF4" s="353"/>
      <c r="ILG4" s="353"/>
      <c r="ILH4" s="353"/>
      <c r="ILI4" s="353"/>
      <c r="ILJ4" s="353"/>
      <c r="ILK4" s="353"/>
      <c r="ILL4" s="353"/>
      <c r="ILM4" s="353"/>
      <c r="ILN4" s="353"/>
      <c r="ILO4" s="353"/>
      <c r="ILP4" s="353"/>
      <c r="ILQ4" s="353"/>
      <c r="ILR4" s="353"/>
      <c r="ILS4" s="353"/>
      <c r="ILT4" s="353"/>
      <c r="ILU4" s="353"/>
      <c r="ILV4" s="353"/>
      <c r="ILW4" s="353"/>
      <c r="ILX4" s="353"/>
      <c r="ILY4" s="353"/>
      <c r="ILZ4" s="353"/>
      <c r="IMA4" s="353"/>
      <c r="IMB4" s="353"/>
      <c r="IMC4" s="353"/>
      <c r="IMD4" s="353"/>
      <c r="IME4" s="353"/>
      <c r="IMF4" s="353"/>
      <c r="IMG4" s="353"/>
      <c r="IMH4" s="353"/>
      <c r="IMI4" s="353"/>
      <c r="IMJ4" s="353"/>
      <c r="IMK4" s="353"/>
      <c r="IML4" s="353"/>
      <c r="IMM4" s="353"/>
      <c r="IMN4" s="353"/>
      <c r="IMO4" s="353"/>
      <c r="IMP4" s="353"/>
      <c r="IMQ4" s="353"/>
      <c r="IMR4" s="353"/>
      <c r="IMS4" s="353"/>
      <c r="IMT4" s="353"/>
      <c r="IMU4" s="353"/>
      <c r="IMV4" s="353"/>
      <c r="IMW4" s="353"/>
      <c r="IMX4" s="353"/>
      <c r="IMY4" s="353"/>
      <c r="IMZ4" s="353"/>
      <c r="INA4" s="353"/>
      <c r="INB4" s="353"/>
      <c r="INC4" s="353"/>
      <c r="IND4" s="353"/>
      <c r="INE4" s="353"/>
      <c r="INF4" s="353"/>
      <c r="ING4" s="353"/>
      <c r="INH4" s="353"/>
      <c r="INI4" s="353"/>
      <c r="INJ4" s="353"/>
      <c r="INK4" s="353"/>
      <c r="INL4" s="353"/>
      <c r="INM4" s="353"/>
      <c r="INN4" s="353"/>
      <c r="INO4" s="353"/>
      <c r="INP4" s="353"/>
      <c r="INQ4" s="353"/>
      <c r="INR4" s="353"/>
      <c r="INS4" s="353"/>
      <c r="INT4" s="353"/>
      <c r="INU4" s="353"/>
      <c r="INV4" s="353"/>
      <c r="INW4" s="353"/>
      <c r="INX4" s="353"/>
      <c r="INY4" s="353"/>
      <c r="INZ4" s="353"/>
      <c r="IOA4" s="353"/>
      <c r="IOB4" s="353"/>
      <c r="IOC4" s="353"/>
      <c r="IOD4" s="353"/>
      <c r="IOE4" s="353"/>
      <c r="IOF4" s="353"/>
      <c r="IOG4" s="353"/>
      <c r="IOH4" s="353"/>
      <c r="IOI4" s="353"/>
      <c r="IOJ4" s="353"/>
      <c r="IOK4" s="353"/>
      <c r="IOL4" s="353"/>
      <c r="IOM4" s="353"/>
      <c r="ION4" s="353"/>
      <c r="IOO4" s="353"/>
      <c r="IOP4" s="353"/>
      <c r="IOQ4" s="353"/>
      <c r="IOR4" s="353"/>
      <c r="IOS4" s="353"/>
      <c r="IOT4" s="353"/>
      <c r="IOU4" s="353"/>
      <c r="IOV4" s="353"/>
      <c r="IOW4" s="353"/>
      <c r="IOX4" s="353"/>
      <c r="IOY4" s="353"/>
      <c r="IOZ4" s="353"/>
      <c r="IPA4" s="353"/>
      <c r="IPB4" s="353"/>
      <c r="IPC4" s="353"/>
      <c r="IPD4" s="353"/>
      <c r="IPE4" s="353"/>
      <c r="IPF4" s="353"/>
      <c r="IPG4" s="353"/>
      <c r="IPH4" s="353"/>
      <c r="IPI4" s="353"/>
      <c r="IPJ4" s="353"/>
      <c r="IPK4" s="353"/>
      <c r="IPL4" s="353"/>
      <c r="IPM4" s="353"/>
      <c r="IPN4" s="353"/>
      <c r="IPO4" s="353"/>
      <c r="IPP4" s="353"/>
      <c r="IPQ4" s="353"/>
      <c r="IPR4" s="353"/>
      <c r="IPS4" s="353"/>
      <c r="IPT4" s="353"/>
      <c r="IPU4" s="353"/>
      <c r="IPV4" s="353"/>
      <c r="IPW4" s="353"/>
      <c r="IPX4" s="353"/>
      <c r="IPY4" s="353"/>
      <c r="IPZ4" s="353"/>
      <c r="IQA4" s="353"/>
      <c r="IQB4" s="353"/>
      <c r="IQC4" s="353"/>
      <c r="IQD4" s="353"/>
      <c r="IQE4" s="353"/>
      <c r="IQF4" s="353"/>
      <c r="IQG4" s="353"/>
      <c r="IQH4" s="353"/>
      <c r="IQI4" s="353"/>
      <c r="IQJ4" s="353"/>
      <c r="IQK4" s="353"/>
      <c r="IQL4" s="353"/>
      <c r="IQM4" s="353"/>
      <c r="IQN4" s="353"/>
      <c r="IQO4" s="353"/>
      <c r="IQP4" s="353"/>
      <c r="IQQ4" s="353"/>
      <c r="IQR4" s="353"/>
      <c r="IQS4" s="353"/>
      <c r="IQT4" s="353"/>
      <c r="IQU4" s="353"/>
      <c r="IQV4" s="353"/>
      <c r="IQW4" s="353"/>
      <c r="IQX4" s="353"/>
      <c r="IQY4" s="353"/>
      <c r="IQZ4" s="353"/>
      <c r="IRA4" s="353"/>
      <c r="IRB4" s="353"/>
      <c r="IRC4" s="353"/>
      <c r="IRD4" s="353"/>
      <c r="IRE4" s="353"/>
      <c r="IRF4" s="353"/>
      <c r="IRG4" s="353"/>
      <c r="IRH4" s="353"/>
      <c r="IRI4" s="353"/>
      <c r="IRJ4" s="353"/>
      <c r="IRK4" s="353"/>
      <c r="IRL4" s="353"/>
      <c r="IRM4" s="353"/>
      <c r="IRN4" s="353"/>
      <c r="IRO4" s="353"/>
      <c r="IRP4" s="353"/>
      <c r="IRQ4" s="353"/>
      <c r="IRR4" s="353"/>
      <c r="IRS4" s="353"/>
      <c r="IRT4" s="353"/>
      <c r="IRU4" s="353"/>
      <c r="IRV4" s="353"/>
      <c r="IRW4" s="353"/>
      <c r="IRX4" s="353"/>
      <c r="IRY4" s="353"/>
      <c r="IRZ4" s="353"/>
      <c r="ISA4" s="353"/>
      <c r="ISB4" s="353"/>
      <c r="ISC4" s="353"/>
      <c r="ISD4" s="353"/>
      <c r="ISE4" s="353"/>
      <c r="ISF4" s="353"/>
      <c r="ISG4" s="353"/>
      <c r="ISH4" s="353"/>
      <c r="ISI4" s="353"/>
      <c r="ISJ4" s="353"/>
      <c r="ISK4" s="353"/>
      <c r="ISL4" s="353"/>
      <c r="ISM4" s="353"/>
      <c r="ISN4" s="353"/>
      <c r="ISO4" s="353"/>
      <c r="ISP4" s="353"/>
      <c r="ISQ4" s="353"/>
      <c r="ISR4" s="353"/>
      <c r="ISS4" s="353"/>
      <c r="IST4" s="353"/>
      <c r="ISU4" s="353"/>
      <c r="ISV4" s="353"/>
      <c r="ISW4" s="353"/>
      <c r="ISX4" s="353"/>
      <c r="ISY4" s="353"/>
      <c r="ISZ4" s="353"/>
      <c r="ITA4" s="353"/>
      <c r="ITB4" s="353"/>
      <c r="ITC4" s="353"/>
      <c r="ITD4" s="353"/>
      <c r="ITE4" s="353"/>
      <c r="ITF4" s="353"/>
      <c r="ITG4" s="353"/>
      <c r="ITH4" s="353"/>
      <c r="ITI4" s="353"/>
      <c r="ITJ4" s="353"/>
      <c r="ITK4" s="353"/>
      <c r="ITL4" s="353"/>
      <c r="ITM4" s="353"/>
      <c r="ITN4" s="353"/>
      <c r="ITO4" s="353"/>
      <c r="ITP4" s="353"/>
      <c r="ITQ4" s="353"/>
      <c r="ITR4" s="353"/>
      <c r="ITS4" s="353"/>
      <c r="ITT4" s="353"/>
      <c r="ITU4" s="353"/>
      <c r="ITV4" s="353"/>
      <c r="ITW4" s="353"/>
      <c r="ITX4" s="353"/>
      <c r="ITY4" s="353"/>
      <c r="ITZ4" s="353"/>
      <c r="IUA4" s="353"/>
      <c r="IUB4" s="353"/>
      <c r="IUC4" s="353"/>
      <c r="IUD4" s="353"/>
      <c r="IUE4" s="353"/>
      <c r="IUF4" s="353"/>
      <c r="IUG4" s="353"/>
      <c r="IUH4" s="353"/>
      <c r="IUI4" s="353"/>
      <c r="IUJ4" s="353"/>
      <c r="IUK4" s="353"/>
      <c r="IUL4" s="353"/>
      <c r="IUM4" s="353"/>
      <c r="IUN4" s="353"/>
      <c r="IUO4" s="353"/>
      <c r="IUP4" s="353"/>
      <c r="IUQ4" s="353"/>
      <c r="IUR4" s="353"/>
      <c r="IUS4" s="353"/>
      <c r="IUT4" s="353"/>
      <c r="IUU4" s="353"/>
      <c r="IUV4" s="353"/>
      <c r="IUW4" s="353"/>
      <c r="IUX4" s="353"/>
      <c r="IUY4" s="353"/>
      <c r="IUZ4" s="353"/>
      <c r="IVA4" s="353"/>
      <c r="IVB4" s="353"/>
      <c r="IVC4" s="353"/>
      <c r="IVD4" s="353"/>
      <c r="IVE4" s="353"/>
      <c r="IVF4" s="353"/>
      <c r="IVG4" s="353"/>
      <c r="IVH4" s="353"/>
      <c r="IVI4" s="353"/>
      <c r="IVJ4" s="353"/>
      <c r="IVK4" s="353"/>
      <c r="IVL4" s="353"/>
      <c r="IVM4" s="353"/>
      <c r="IVN4" s="353"/>
      <c r="IVO4" s="353"/>
      <c r="IVP4" s="353"/>
      <c r="IVQ4" s="353"/>
      <c r="IVR4" s="353"/>
      <c r="IVS4" s="353"/>
      <c r="IVT4" s="353"/>
      <c r="IVU4" s="353"/>
      <c r="IVV4" s="353"/>
      <c r="IVW4" s="353"/>
      <c r="IVX4" s="353"/>
      <c r="IVY4" s="353"/>
      <c r="IVZ4" s="353"/>
      <c r="IWA4" s="353"/>
      <c r="IWB4" s="353"/>
      <c r="IWC4" s="353"/>
      <c r="IWD4" s="353"/>
      <c r="IWE4" s="353"/>
      <c r="IWF4" s="353"/>
      <c r="IWG4" s="353"/>
      <c r="IWH4" s="353"/>
      <c r="IWI4" s="353"/>
      <c r="IWJ4" s="353"/>
      <c r="IWK4" s="353"/>
      <c r="IWL4" s="353"/>
      <c r="IWM4" s="353"/>
      <c r="IWN4" s="353"/>
      <c r="IWO4" s="353"/>
      <c r="IWP4" s="353"/>
      <c r="IWQ4" s="353"/>
      <c r="IWR4" s="353"/>
      <c r="IWS4" s="353"/>
      <c r="IWT4" s="353"/>
      <c r="IWU4" s="353"/>
      <c r="IWV4" s="353"/>
      <c r="IWW4" s="353"/>
      <c r="IWX4" s="353"/>
      <c r="IWY4" s="353"/>
      <c r="IWZ4" s="353"/>
      <c r="IXA4" s="353"/>
      <c r="IXB4" s="353"/>
      <c r="IXC4" s="353"/>
      <c r="IXD4" s="353"/>
      <c r="IXE4" s="353"/>
      <c r="IXF4" s="353"/>
      <c r="IXG4" s="353"/>
      <c r="IXH4" s="353"/>
      <c r="IXI4" s="353"/>
      <c r="IXJ4" s="353"/>
      <c r="IXK4" s="353"/>
      <c r="IXL4" s="353"/>
      <c r="IXM4" s="353"/>
      <c r="IXN4" s="353"/>
      <c r="IXO4" s="353"/>
      <c r="IXP4" s="353"/>
      <c r="IXQ4" s="353"/>
      <c r="IXR4" s="353"/>
      <c r="IXS4" s="353"/>
      <c r="IXT4" s="353"/>
      <c r="IXU4" s="353"/>
      <c r="IXV4" s="353"/>
      <c r="IXW4" s="353"/>
      <c r="IXX4" s="353"/>
      <c r="IXY4" s="353"/>
      <c r="IXZ4" s="353"/>
      <c r="IYA4" s="353"/>
      <c r="IYB4" s="353"/>
      <c r="IYC4" s="353"/>
      <c r="IYD4" s="353"/>
      <c r="IYE4" s="353"/>
      <c r="IYF4" s="353"/>
      <c r="IYG4" s="353"/>
      <c r="IYH4" s="353"/>
      <c r="IYI4" s="353"/>
      <c r="IYJ4" s="353"/>
      <c r="IYK4" s="353"/>
      <c r="IYL4" s="353"/>
      <c r="IYM4" s="353"/>
      <c r="IYN4" s="353"/>
      <c r="IYO4" s="353"/>
      <c r="IYP4" s="353"/>
      <c r="IYQ4" s="353"/>
      <c r="IYR4" s="353"/>
      <c r="IYS4" s="353"/>
      <c r="IYT4" s="353"/>
      <c r="IYU4" s="353"/>
      <c r="IYV4" s="353"/>
      <c r="IYW4" s="353"/>
      <c r="IYX4" s="353"/>
      <c r="IYY4" s="353"/>
      <c r="IYZ4" s="353"/>
      <c r="IZA4" s="353"/>
      <c r="IZB4" s="353"/>
      <c r="IZC4" s="353"/>
      <c r="IZD4" s="353"/>
      <c r="IZE4" s="353"/>
      <c r="IZF4" s="353"/>
      <c r="IZG4" s="353"/>
      <c r="IZH4" s="353"/>
      <c r="IZI4" s="353"/>
      <c r="IZJ4" s="353"/>
      <c r="IZK4" s="353"/>
      <c r="IZL4" s="353"/>
      <c r="IZM4" s="353"/>
      <c r="IZN4" s="353"/>
      <c r="IZO4" s="353"/>
      <c r="IZP4" s="353"/>
      <c r="IZQ4" s="353"/>
      <c r="IZR4" s="353"/>
      <c r="IZS4" s="353"/>
      <c r="IZT4" s="353"/>
      <c r="IZU4" s="353"/>
      <c r="IZV4" s="353"/>
      <c r="IZW4" s="353"/>
      <c r="IZX4" s="353"/>
      <c r="IZY4" s="353"/>
      <c r="IZZ4" s="353"/>
      <c r="JAA4" s="353"/>
      <c r="JAB4" s="353"/>
      <c r="JAC4" s="353"/>
      <c r="JAD4" s="353"/>
      <c r="JAE4" s="353"/>
      <c r="JAF4" s="353"/>
      <c r="JAG4" s="353"/>
      <c r="JAH4" s="353"/>
      <c r="JAI4" s="353"/>
      <c r="JAJ4" s="353"/>
      <c r="JAK4" s="353"/>
      <c r="JAL4" s="353"/>
      <c r="JAM4" s="353"/>
      <c r="JAN4" s="353"/>
      <c r="JAO4" s="353"/>
      <c r="JAP4" s="353"/>
      <c r="JAQ4" s="353"/>
      <c r="JAR4" s="353"/>
      <c r="JAS4" s="353"/>
      <c r="JAT4" s="353"/>
      <c r="JAU4" s="353"/>
      <c r="JAV4" s="353"/>
      <c r="JAW4" s="353"/>
      <c r="JAX4" s="353"/>
      <c r="JAY4" s="353"/>
      <c r="JAZ4" s="353"/>
      <c r="JBA4" s="353"/>
      <c r="JBB4" s="353"/>
      <c r="JBC4" s="353"/>
      <c r="JBD4" s="353"/>
      <c r="JBE4" s="353"/>
      <c r="JBF4" s="353"/>
      <c r="JBG4" s="353"/>
      <c r="JBH4" s="353"/>
      <c r="JBI4" s="353"/>
      <c r="JBJ4" s="353"/>
      <c r="JBK4" s="353"/>
      <c r="JBL4" s="353"/>
      <c r="JBM4" s="353"/>
      <c r="JBN4" s="353"/>
      <c r="JBO4" s="353"/>
      <c r="JBP4" s="353"/>
      <c r="JBQ4" s="353"/>
      <c r="JBR4" s="353"/>
      <c r="JBS4" s="353"/>
      <c r="JBT4" s="353"/>
      <c r="JBU4" s="353"/>
      <c r="JBV4" s="353"/>
      <c r="JBW4" s="353"/>
      <c r="JBX4" s="353"/>
      <c r="JBY4" s="353"/>
      <c r="JBZ4" s="353"/>
      <c r="JCA4" s="353"/>
      <c r="JCB4" s="353"/>
      <c r="JCC4" s="353"/>
      <c r="JCD4" s="353"/>
      <c r="JCE4" s="353"/>
      <c r="JCF4" s="353"/>
      <c r="JCG4" s="353"/>
      <c r="JCH4" s="353"/>
      <c r="JCI4" s="353"/>
      <c r="JCJ4" s="353"/>
      <c r="JCK4" s="353"/>
      <c r="JCL4" s="353"/>
      <c r="JCM4" s="353"/>
      <c r="JCN4" s="353"/>
      <c r="JCO4" s="353"/>
      <c r="JCP4" s="353"/>
      <c r="JCQ4" s="353"/>
      <c r="JCR4" s="353"/>
      <c r="JCS4" s="353"/>
      <c r="JCT4" s="353"/>
      <c r="JCU4" s="353"/>
      <c r="JCV4" s="353"/>
      <c r="JCW4" s="353"/>
      <c r="JCX4" s="353"/>
      <c r="JCY4" s="353"/>
      <c r="JCZ4" s="353"/>
      <c r="JDA4" s="353"/>
      <c r="JDB4" s="353"/>
      <c r="JDC4" s="353"/>
      <c r="JDD4" s="353"/>
      <c r="JDE4" s="353"/>
      <c r="JDF4" s="353"/>
      <c r="JDG4" s="353"/>
      <c r="JDH4" s="353"/>
      <c r="JDI4" s="353"/>
      <c r="JDJ4" s="353"/>
      <c r="JDK4" s="353"/>
      <c r="JDL4" s="353"/>
      <c r="JDM4" s="353"/>
      <c r="JDN4" s="353"/>
      <c r="JDO4" s="353"/>
      <c r="JDP4" s="353"/>
      <c r="JDQ4" s="353"/>
      <c r="JDR4" s="353"/>
      <c r="JDS4" s="353"/>
      <c r="JDT4" s="353"/>
      <c r="JDU4" s="353"/>
      <c r="JDV4" s="353"/>
      <c r="JDW4" s="353"/>
      <c r="JDX4" s="353"/>
      <c r="JDY4" s="353"/>
      <c r="JDZ4" s="353"/>
      <c r="JEA4" s="353"/>
      <c r="JEB4" s="353"/>
      <c r="JEC4" s="353"/>
      <c r="JED4" s="353"/>
      <c r="JEE4" s="353"/>
      <c r="JEF4" s="353"/>
      <c r="JEG4" s="353"/>
      <c r="JEH4" s="353"/>
      <c r="JEI4" s="353"/>
      <c r="JEJ4" s="353"/>
      <c r="JEK4" s="353"/>
      <c r="JEL4" s="353"/>
      <c r="JEM4" s="353"/>
      <c r="JEN4" s="353"/>
      <c r="JEO4" s="353"/>
      <c r="JEP4" s="353"/>
      <c r="JEQ4" s="353"/>
      <c r="JER4" s="353"/>
      <c r="JES4" s="353"/>
      <c r="JET4" s="353"/>
      <c r="JEU4" s="353"/>
      <c r="JEV4" s="353"/>
      <c r="JEW4" s="353"/>
      <c r="JEX4" s="353"/>
      <c r="JEY4" s="353"/>
      <c r="JEZ4" s="353"/>
      <c r="JFA4" s="353"/>
      <c r="JFB4" s="353"/>
      <c r="JFC4" s="353"/>
      <c r="JFD4" s="353"/>
      <c r="JFE4" s="353"/>
      <c r="JFF4" s="353"/>
      <c r="JFG4" s="353"/>
      <c r="JFH4" s="353"/>
      <c r="JFI4" s="353"/>
      <c r="JFJ4" s="353"/>
      <c r="JFK4" s="353"/>
      <c r="JFL4" s="353"/>
      <c r="JFM4" s="353"/>
      <c r="JFN4" s="353"/>
      <c r="JFO4" s="353"/>
      <c r="JFP4" s="353"/>
      <c r="JFQ4" s="353"/>
      <c r="JFR4" s="353"/>
      <c r="JFS4" s="353"/>
      <c r="JFT4" s="353"/>
      <c r="JFU4" s="353"/>
      <c r="JFV4" s="353"/>
      <c r="JFW4" s="353"/>
      <c r="JFX4" s="353"/>
      <c r="JFY4" s="353"/>
      <c r="JFZ4" s="353"/>
      <c r="JGA4" s="353"/>
      <c r="JGB4" s="353"/>
      <c r="JGC4" s="353"/>
      <c r="JGD4" s="353"/>
      <c r="JGE4" s="353"/>
      <c r="JGF4" s="353"/>
      <c r="JGG4" s="353"/>
      <c r="JGH4" s="353"/>
      <c r="JGI4" s="353"/>
      <c r="JGJ4" s="353"/>
      <c r="JGK4" s="353"/>
      <c r="JGL4" s="353"/>
      <c r="JGM4" s="353"/>
      <c r="JGN4" s="353"/>
      <c r="JGO4" s="353"/>
      <c r="JGP4" s="353"/>
      <c r="JGQ4" s="353"/>
      <c r="JGR4" s="353"/>
      <c r="JGS4" s="353"/>
      <c r="JGT4" s="353"/>
      <c r="JGU4" s="353"/>
      <c r="JGV4" s="353"/>
      <c r="JGW4" s="353"/>
      <c r="JGX4" s="353"/>
      <c r="JGY4" s="353"/>
      <c r="JGZ4" s="353"/>
      <c r="JHA4" s="353"/>
      <c r="JHB4" s="353"/>
      <c r="JHC4" s="353"/>
      <c r="JHD4" s="353"/>
      <c r="JHE4" s="353"/>
      <c r="JHF4" s="353"/>
      <c r="JHG4" s="353"/>
      <c r="JHH4" s="353"/>
      <c r="JHI4" s="353"/>
      <c r="JHJ4" s="353"/>
      <c r="JHK4" s="353"/>
      <c r="JHL4" s="353"/>
      <c r="JHM4" s="353"/>
      <c r="JHN4" s="353"/>
      <c r="JHO4" s="353"/>
      <c r="JHP4" s="353"/>
      <c r="JHQ4" s="353"/>
      <c r="JHR4" s="353"/>
      <c r="JHS4" s="353"/>
      <c r="JHT4" s="353"/>
      <c r="JHU4" s="353"/>
      <c r="JHV4" s="353"/>
      <c r="JHW4" s="353"/>
      <c r="JHX4" s="353"/>
      <c r="JHY4" s="353"/>
      <c r="JHZ4" s="353"/>
      <c r="JIA4" s="353"/>
      <c r="JIB4" s="353"/>
      <c r="JIC4" s="353"/>
      <c r="JID4" s="353"/>
      <c r="JIE4" s="353"/>
      <c r="JIF4" s="353"/>
      <c r="JIG4" s="353"/>
      <c r="JIH4" s="353"/>
      <c r="JII4" s="353"/>
      <c r="JIJ4" s="353"/>
      <c r="JIK4" s="353"/>
      <c r="JIL4" s="353"/>
      <c r="JIM4" s="353"/>
      <c r="JIN4" s="353"/>
      <c r="JIO4" s="353"/>
      <c r="JIP4" s="353"/>
      <c r="JIQ4" s="353"/>
      <c r="JIR4" s="353"/>
      <c r="JIS4" s="353"/>
      <c r="JIT4" s="353"/>
      <c r="JIU4" s="353"/>
      <c r="JIV4" s="353"/>
      <c r="JIW4" s="353"/>
      <c r="JIX4" s="353"/>
      <c r="JIY4" s="353"/>
      <c r="JIZ4" s="353"/>
      <c r="JJA4" s="353"/>
      <c r="JJB4" s="353"/>
      <c r="JJC4" s="353"/>
      <c r="JJD4" s="353"/>
      <c r="JJE4" s="353"/>
      <c r="JJF4" s="353"/>
      <c r="JJG4" s="353"/>
      <c r="JJH4" s="353"/>
      <c r="JJI4" s="353"/>
      <c r="JJJ4" s="353"/>
      <c r="JJK4" s="353"/>
      <c r="JJL4" s="353"/>
      <c r="JJM4" s="353"/>
      <c r="JJN4" s="353"/>
      <c r="JJO4" s="353"/>
      <c r="JJP4" s="353"/>
      <c r="JJQ4" s="353"/>
      <c r="JJR4" s="353"/>
      <c r="JJS4" s="353"/>
      <c r="JJT4" s="353"/>
      <c r="JJU4" s="353"/>
      <c r="JJV4" s="353"/>
      <c r="JJW4" s="353"/>
      <c r="JJX4" s="353"/>
      <c r="JJY4" s="353"/>
      <c r="JJZ4" s="353"/>
      <c r="JKA4" s="353"/>
      <c r="JKB4" s="353"/>
      <c r="JKC4" s="353"/>
      <c r="JKD4" s="353"/>
      <c r="JKE4" s="353"/>
      <c r="JKF4" s="353"/>
      <c r="JKG4" s="353"/>
      <c r="JKH4" s="353"/>
      <c r="JKI4" s="353"/>
      <c r="JKJ4" s="353"/>
      <c r="JKK4" s="353"/>
      <c r="JKL4" s="353"/>
      <c r="JKM4" s="353"/>
      <c r="JKN4" s="353"/>
      <c r="JKO4" s="353"/>
      <c r="JKP4" s="353"/>
      <c r="JKQ4" s="353"/>
      <c r="JKR4" s="353"/>
      <c r="JKS4" s="353"/>
      <c r="JKT4" s="353"/>
      <c r="JKU4" s="353"/>
      <c r="JKV4" s="353"/>
      <c r="JKW4" s="353"/>
      <c r="JKX4" s="353"/>
      <c r="JKY4" s="353"/>
      <c r="JKZ4" s="353"/>
      <c r="JLA4" s="353"/>
      <c r="JLB4" s="353"/>
      <c r="JLC4" s="353"/>
      <c r="JLD4" s="353"/>
      <c r="JLE4" s="353"/>
      <c r="JLF4" s="353"/>
      <c r="JLG4" s="353"/>
      <c r="JLH4" s="353"/>
      <c r="JLI4" s="353"/>
      <c r="JLJ4" s="353"/>
      <c r="JLK4" s="353"/>
      <c r="JLL4" s="353"/>
      <c r="JLM4" s="353"/>
      <c r="JLN4" s="353"/>
      <c r="JLO4" s="353"/>
      <c r="JLP4" s="353"/>
      <c r="JLQ4" s="353"/>
      <c r="JLR4" s="353"/>
      <c r="JLS4" s="353"/>
      <c r="JLT4" s="353"/>
      <c r="JLU4" s="353"/>
      <c r="JLV4" s="353"/>
      <c r="JLW4" s="353"/>
      <c r="JLX4" s="353"/>
      <c r="JLY4" s="353"/>
      <c r="JLZ4" s="353"/>
      <c r="JMA4" s="353"/>
      <c r="JMB4" s="353"/>
      <c r="JMC4" s="353"/>
      <c r="JMD4" s="353"/>
      <c r="JME4" s="353"/>
      <c r="JMF4" s="353"/>
      <c r="JMG4" s="353"/>
      <c r="JMH4" s="353"/>
      <c r="JMI4" s="353"/>
      <c r="JMJ4" s="353"/>
      <c r="JMK4" s="353"/>
      <c r="JML4" s="353"/>
      <c r="JMM4" s="353"/>
      <c r="JMN4" s="353"/>
      <c r="JMO4" s="353"/>
      <c r="JMP4" s="353"/>
      <c r="JMQ4" s="353"/>
      <c r="JMR4" s="353"/>
      <c r="JMS4" s="353"/>
      <c r="JMT4" s="353"/>
      <c r="JMU4" s="353"/>
      <c r="JMV4" s="353"/>
      <c r="JMW4" s="353"/>
      <c r="JMX4" s="353"/>
      <c r="JMY4" s="353"/>
      <c r="JMZ4" s="353"/>
      <c r="JNA4" s="353"/>
      <c r="JNB4" s="353"/>
      <c r="JNC4" s="353"/>
      <c r="JND4" s="353"/>
      <c r="JNE4" s="353"/>
      <c r="JNF4" s="353"/>
      <c r="JNG4" s="353"/>
      <c r="JNH4" s="353"/>
      <c r="JNI4" s="353"/>
      <c r="JNJ4" s="353"/>
      <c r="JNK4" s="353"/>
      <c r="JNL4" s="353"/>
      <c r="JNM4" s="353"/>
      <c r="JNN4" s="353"/>
      <c r="JNO4" s="353"/>
      <c r="JNP4" s="353"/>
      <c r="JNQ4" s="353"/>
      <c r="JNR4" s="353"/>
      <c r="JNS4" s="353"/>
      <c r="JNT4" s="353"/>
      <c r="JNU4" s="353"/>
      <c r="JNV4" s="353"/>
      <c r="JNW4" s="353"/>
      <c r="JNX4" s="353"/>
      <c r="JNY4" s="353"/>
      <c r="JNZ4" s="353"/>
      <c r="JOA4" s="353"/>
      <c r="JOB4" s="353"/>
      <c r="JOC4" s="353"/>
      <c r="JOD4" s="353"/>
      <c r="JOE4" s="353"/>
      <c r="JOF4" s="353"/>
      <c r="JOG4" s="353"/>
      <c r="JOH4" s="353"/>
      <c r="JOI4" s="353"/>
      <c r="JOJ4" s="353"/>
      <c r="JOK4" s="353"/>
      <c r="JOL4" s="353"/>
      <c r="JOM4" s="353"/>
      <c r="JON4" s="353"/>
      <c r="JOO4" s="353"/>
      <c r="JOP4" s="353"/>
      <c r="JOQ4" s="353"/>
      <c r="JOR4" s="353"/>
      <c r="JOS4" s="353"/>
      <c r="JOT4" s="353"/>
      <c r="JOU4" s="353"/>
      <c r="JOV4" s="353"/>
      <c r="JOW4" s="353"/>
      <c r="JOX4" s="353"/>
      <c r="JOY4" s="353"/>
      <c r="JOZ4" s="353"/>
      <c r="JPA4" s="353"/>
      <c r="JPB4" s="353"/>
      <c r="JPC4" s="353"/>
      <c r="JPD4" s="353"/>
      <c r="JPE4" s="353"/>
      <c r="JPF4" s="353"/>
      <c r="JPG4" s="353"/>
      <c r="JPH4" s="353"/>
      <c r="JPI4" s="353"/>
      <c r="JPJ4" s="353"/>
      <c r="JPK4" s="353"/>
      <c r="JPL4" s="353"/>
      <c r="JPM4" s="353"/>
      <c r="JPN4" s="353"/>
      <c r="JPO4" s="353"/>
      <c r="JPP4" s="353"/>
      <c r="JPQ4" s="353"/>
      <c r="JPR4" s="353"/>
      <c r="JPS4" s="353"/>
      <c r="JPT4" s="353"/>
      <c r="JPU4" s="353"/>
      <c r="JPV4" s="353"/>
      <c r="JPW4" s="353"/>
      <c r="JPX4" s="353"/>
      <c r="JPY4" s="353"/>
      <c r="JPZ4" s="353"/>
      <c r="JQA4" s="353"/>
      <c r="JQB4" s="353"/>
      <c r="JQC4" s="353"/>
      <c r="JQD4" s="353"/>
      <c r="JQE4" s="353"/>
      <c r="JQF4" s="353"/>
      <c r="JQG4" s="353"/>
      <c r="JQH4" s="353"/>
      <c r="JQI4" s="353"/>
      <c r="JQJ4" s="353"/>
      <c r="JQK4" s="353"/>
      <c r="JQL4" s="353"/>
      <c r="JQM4" s="353"/>
      <c r="JQN4" s="353"/>
      <c r="JQO4" s="353"/>
      <c r="JQP4" s="353"/>
      <c r="JQQ4" s="353"/>
      <c r="JQR4" s="353"/>
      <c r="JQS4" s="353"/>
      <c r="JQT4" s="353"/>
      <c r="JQU4" s="353"/>
      <c r="JQV4" s="353"/>
      <c r="JQW4" s="353"/>
      <c r="JQX4" s="353"/>
      <c r="JQY4" s="353"/>
      <c r="JQZ4" s="353"/>
      <c r="JRA4" s="353"/>
      <c r="JRB4" s="353"/>
      <c r="JRC4" s="353"/>
      <c r="JRD4" s="353"/>
      <c r="JRE4" s="353"/>
      <c r="JRF4" s="353"/>
      <c r="JRG4" s="353"/>
      <c r="JRH4" s="353"/>
      <c r="JRI4" s="353"/>
      <c r="JRJ4" s="353"/>
      <c r="JRK4" s="353"/>
      <c r="JRL4" s="353"/>
      <c r="JRM4" s="353"/>
      <c r="JRN4" s="353"/>
      <c r="JRO4" s="353"/>
      <c r="JRP4" s="353"/>
      <c r="JRQ4" s="353"/>
      <c r="JRR4" s="353"/>
      <c r="JRS4" s="353"/>
      <c r="JRT4" s="353"/>
      <c r="JRU4" s="353"/>
      <c r="JRV4" s="353"/>
      <c r="JRW4" s="353"/>
      <c r="JRX4" s="353"/>
      <c r="JRY4" s="353"/>
      <c r="JRZ4" s="353"/>
      <c r="JSA4" s="353"/>
      <c r="JSB4" s="353"/>
      <c r="JSC4" s="353"/>
      <c r="JSD4" s="353"/>
      <c r="JSE4" s="353"/>
      <c r="JSF4" s="353"/>
      <c r="JSG4" s="353"/>
      <c r="JSH4" s="353"/>
      <c r="JSI4" s="353"/>
      <c r="JSJ4" s="353"/>
      <c r="JSK4" s="353"/>
      <c r="JSL4" s="353"/>
      <c r="JSM4" s="353"/>
      <c r="JSN4" s="353"/>
      <c r="JSO4" s="353"/>
      <c r="JSP4" s="353"/>
      <c r="JSQ4" s="353"/>
      <c r="JSR4" s="353"/>
      <c r="JSS4" s="353"/>
      <c r="JST4" s="353"/>
      <c r="JSU4" s="353"/>
      <c r="JSV4" s="353"/>
      <c r="JSW4" s="353"/>
      <c r="JSX4" s="353"/>
      <c r="JSY4" s="353"/>
      <c r="JSZ4" s="353"/>
      <c r="JTA4" s="353"/>
      <c r="JTB4" s="353"/>
      <c r="JTC4" s="353"/>
      <c r="JTD4" s="353"/>
      <c r="JTE4" s="353"/>
      <c r="JTF4" s="353"/>
      <c r="JTG4" s="353"/>
      <c r="JTH4" s="353"/>
      <c r="JTI4" s="353"/>
      <c r="JTJ4" s="353"/>
      <c r="JTK4" s="353"/>
      <c r="JTL4" s="353"/>
      <c r="JTM4" s="353"/>
      <c r="JTN4" s="353"/>
      <c r="JTO4" s="353"/>
      <c r="JTP4" s="353"/>
      <c r="JTQ4" s="353"/>
      <c r="JTR4" s="353"/>
      <c r="JTS4" s="353"/>
      <c r="JTT4" s="353"/>
      <c r="JTU4" s="353"/>
      <c r="JTV4" s="353"/>
      <c r="JTW4" s="353"/>
      <c r="JTX4" s="353"/>
      <c r="JTY4" s="353"/>
      <c r="JTZ4" s="353"/>
      <c r="JUA4" s="353"/>
      <c r="JUB4" s="353"/>
      <c r="JUC4" s="353"/>
      <c r="JUD4" s="353"/>
      <c r="JUE4" s="353"/>
      <c r="JUF4" s="353"/>
      <c r="JUG4" s="353"/>
      <c r="JUH4" s="353"/>
      <c r="JUI4" s="353"/>
      <c r="JUJ4" s="353"/>
      <c r="JUK4" s="353"/>
      <c r="JUL4" s="353"/>
      <c r="JUM4" s="353"/>
      <c r="JUN4" s="353"/>
      <c r="JUO4" s="353"/>
      <c r="JUP4" s="353"/>
      <c r="JUQ4" s="353"/>
      <c r="JUR4" s="353"/>
      <c r="JUS4" s="353"/>
      <c r="JUT4" s="353"/>
      <c r="JUU4" s="353"/>
      <c r="JUV4" s="353"/>
      <c r="JUW4" s="353"/>
      <c r="JUX4" s="353"/>
      <c r="JUY4" s="353"/>
      <c r="JUZ4" s="353"/>
      <c r="JVA4" s="353"/>
      <c r="JVB4" s="353"/>
      <c r="JVC4" s="353"/>
      <c r="JVD4" s="353"/>
      <c r="JVE4" s="353"/>
      <c r="JVF4" s="353"/>
      <c r="JVG4" s="353"/>
      <c r="JVH4" s="353"/>
      <c r="JVI4" s="353"/>
      <c r="JVJ4" s="353"/>
      <c r="JVK4" s="353"/>
      <c r="JVL4" s="353"/>
      <c r="JVM4" s="353"/>
      <c r="JVN4" s="353"/>
      <c r="JVO4" s="353"/>
      <c r="JVP4" s="353"/>
      <c r="JVQ4" s="353"/>
      <c r="JVR4" s="353"/>
      <c r="JVS4" s="353"/>
      <c r="JVT4" s="353"/>
      <c r="JVU4" s="353"/>
      <c r="JVV4" s="353"/>
      <c r="JVW4" s="353"/>
      <c r="JVX4" s="353"/>
      <c r="JVY4" s="353"/>
      <c r="JVZ4" s="353"/>
      <c r="JWA4" s="353"/>
      <c r="JWB4" s="353"/>
      <c r="JWC4" s="353"/>
      <c r="JWD4" s="353"/>
      <c r="JWE4" s="353"/>
      <c r="JWF4" s="353"/>
      <c r="JWG4" s="353"/>
      <c r="JWH4" s="353"/>
      <c r="JWI4" s="353"/>
      <c r="JWJ4" s="353"/>
      <c r="JWK4" s="353"/>
      <c r="JWL4" s="353"/>
      <c r="JWM4" s="353"/>
      <c r="JWN4" s="353"/>
      <c r="JWO4" s="353"/>
      <c r="JWP4" s="353"/>
      <c r="JWQ4" s="353"/>
      <c r="JWR4" s="353"/>
      <c r="JWS4" s="353"/>
      <c r="JWT4" s="353"/>
      <c r="JWU4" s="353"/>
      <c r="JWV4" s="353"/>
      <c r="JWW4" s="353"/>
      <c r="JWX4" s="353"/>
      <c r="JWY4" s="353"/>
      <c r="JWZ4" s="353"/>
      <c r="JXA4" s="353"/>
      <c r="JXB4" s="353"/>
      <c r="JXC4" s="353"/>
      <c r="JXD4" s="353"/>
      <c r="JXE4" s="353"/>
      <c r="JXF4" s="353"/>
      <c r="JXG4" s="353"/>
      <c r="JXH4" s="353"/>
      <c r="JXI4" s="353"/>
      <c r="JXJ4" s="353"/>
      <c r="JXK4" s="353"/>
      <c r="JXL4" s="353"/>
      <c r="JXM4" s="353"/>
      <c r="JXN4" s="353"/>
      <c r="JXO4" s="353"/>
      <c r="JXP4" s="353"/>
      <c r="JXQ4" s="353"/>
      <c r="JXR4" s="353"/>
      <c r="JXS4" s="353"/>
      <c r="JXT4" s="353"/>
      <c r="JXU4" s="353"/>
      <c r="JXV4" s="353"/>
      <c r="JXW4" s="353"/>
      <c r="JXX4" s="353"/>
      <c r="JXY4" s="353"/>
      <c r="JXZ4" s="353"/>
      <c r="JYA4" s="353"/>
      <c r="JYB4" s="353"/>
      <c r="JYC4" s="353"/>
      <c r="JYD4" s="353"/>
      <c r="JYE4" s="353"/>
      <c r="JYF4" s="353"/>
      <c r="JYG4" s="353"/>
      <c r="JYH4" s="353"/>
      <c r="JYI4" s="353"/>
      <c r="JYJ4" s="353"/>
      <c r="JYK4" s="353"/>
      <c r="JYL4" s="353"/>
      <c r="JYM4" s="353"/>
      <c r="JYN4" s="353"/>
      <c r="JYO4" s="353"/>
      <c r="JYP4" s="353"/>
      <c r="JYQ4" s="353"/>
      <c r="JYR4" s="353"/>
      <c r="JYS4" s="353"/>
      <c r="JYT4" s="353"/>
      <c r="JYU4" s="353"/>
      <c r="JYV4" s="353"/>
      <c r="JYW4" s="353"/>
      <c r="JYX4" s="353"/>
      <c r="JYY4" s="353"/>
      <c r="JYZ4" s="353"/>
      <c r="JZA4" s="353"/>
      <c r="JZB4" s="353"/>
      <c r="JZC4" s="353"/>
      <c r="JZD4" s="353"/>
      <c r="JZE4" s="353"/>
      <c r="JZF4" s="353"/>
      <c r="JZG4" s="353"/>
      <c r="JZH4" s="353"/>
      <c r="JZI4" s="353"/>
      <c r="JZJ4" s="353"/>
      <c r="JZK4" s="353"/>
      <c r="JZL4" s="353"/>
      <c r="JZM4" s="353"/>
      <c r="JZN4" s="353"/>
      <c r="JZO4" s="353"/>
      <c r="JZP4" s="353"/>
      <c r="JZQ4" s="353"/>
      <c r="JZR4" s="353"/>
      <c r="JZS4" s="353"/>
      <c r="JZT4" s="353"/>
      <c r="JZU4" s="353"/>
      <c r="JZV4" s="353"/>
      <c r="JZW4" s="353"/>
      <c r="JZX4" s="353"/>
      <c r="JZY4" s="353"/>
      <c r="JZZ4" s="353"/>
      <c r="KAA4" s="353"/>
      <c r="KAB4" s="353"/>
      <c r="KAC4" s="353"/>
      <c r="KAD4" s="353"/>
      <c r="KAE4" s="353"/>
      <c r="KAF4" s="353"/>
      <c r="KAG4" s="353"/>
      <c r="KAH4" s="353"/>
      <c r="KAI4" s="353"/>
      <c r="KAJ4" s="353"/>
      <c r="KAK4" s="353"/>
      <c r="KAL4" s="353"/>
      <c r="KAM4" s="353"/>
      <c r="KAN4" s="353"/>
      <c r="KAO4" s="353"/>
      <c r="KAP4" s="353"/>
      <c r="KAQ4" s="353"/>
      <c r="KAR4" s="353"/>
      <c r="KAS4" s="353"/>
      <c r="KAT4" s="353"/>
      <c r="KAU4" s="353"/>
      <c r="KAV4" s="353"/>
      <c r="KAW4" s="353"/>
      <c r="KAX4" s="353"/>
      <c r="KAY4" s="353"/>
      <c r="KAZ4" s="353"/>
      <c r="KBA4" s="353"/>
      <c r="KBB4" s="353"/>
      <c r="KBC4" s="353"/>
      <c r="KBD4" s="353"/>
      <c r="KBE4" s="353"/>
      <c r="KBF4" s="353"/>
      <c r="KBG4" s="353"/>
      <c r="KBH4" s="353"/>
      <c r="KBI4" s="353"/>
      <c r="KBJ4" s="353"/>
      <c r="KBK4" s="353"/>
      <c r="KBL4" s="353"/>
      <c r="KBM4" s="353"/>
      <c r="KBN4" s="353"/>
      <c r="KBO4" s="353"/>
      <c r="KBP4" s="353"/>
      <c r="KBQ4" s="353"/>
      <c r="KBR4" s="353"/>
      <c r="KBS4" s="353"/>
      <c r="KBT4" s="353"/>
      <c r="KBU4" s="353"/>
      <c r="KBV4" s="353"/>
      <c r="KBW4" s="353"/>
      <c r="KBX4" s="353"/>
      <c r="KBY4" s="353"/>
      <c r="KBZ4" s="353"/>
      <c r="KCA4" s="353"/>
      <c r="KCB4" s="353"/>
      <c r="KCC4" s="353"/>
      <c r="KCD4" s="353"/>
      <c r="KCE4" s="353"/>
      <c r="KCF4" s="353"/>
      <c r="KCG4" s="353"/>
      <c r="KCH4" s="353"/>
      <c r="KCI4" s="353"/>
      <c r="KCJ4" s="353"/>
      <c r="KCK4" s="353"/>
      <c r="KCL4" s="353"/>
      <c r="KCM4" s="353"/>
      <c r="KCN4" s="353"/>
      <c r="KCO4" s="353"/>
      <c r="KCP4" s="353"/>
      <c r="KCQ4" s="353"/>
      <c r="KCR4" s="353"/>
      <c r="KCS4" s="353"/>
      <c r="KCT4" s="353"/>
      <c r="KCU4" s="353"/>
      <c r="KCV4" s="353"/>
      <c r="KCW4" s="353"/>
      <c r="KCX4" s="353"/>
      <c r="KCY4" s="353"/>
      <c r="KCZ4" s="353"/>
      <c r="KDA4" s="353"/>
      <c r="KDB4" s="353"/>
      <c r="KDC4" s="353"/>
      <c r="KDD4" s="353"/>
      <c r="KDE4" s="353"/>
      <c r="KDF4" s="353"/>
      <c r="KDG4" s="353"/>
      <c r="KDH4" s="353"/>
      <c r="KDI4" s="353"/>
      <c r="KDJ4" s="353"/>
      <c r="KDK4" s="353"/>
      <c r="KDL4" s="353"/>
      <c r="KDM4" s="353"/>
      <c r="KDN4" s="353"/>
      <c r="KDO4" s="353"/>
      <c r="KDP4" s="353"/>
      <c r="KDQ4" s="353"/>
      <c r="KDR4" s="353"/>
      <c r="KDS4" s="353"/>
      <c r="KDT4" s="353"/>
      <c r="KDU4" s="353"/>
      <c r="KDV4" s="353"/>
      <c r="KDW4" s="353"/>
      <c r="KDX4" s="353"/>
      <c r="KDY4" s="353"/>
      <c r="KDZ4" s="353"/>
      <c r="KEA4" s="353"/>
      <c r="KEB4" s="353"/>
      <c r="KEC4" s="353"/>
      <c r="KED4" s="353"/>
      <c r="KEE4" s="353"/>
      <c r="KEF4" s="353"/>
      <c r="KEG4" s="353"/>
      <c r="KEH4" s="353"/>
      <c r="KEI4" s="353"/>
      <c r="KEJ4" s="353"/>
      <c r="KEK4" s="353"/>
      <c r="KEL4" s="353"/>
      <c r="KEM4" s="353"/>
      <c r="KEN4" s="353"/>
      <c r="KEO4" s="353"/>
      <c r="KEP4" s="353"/>
      <c r="KEQ4" s="353"/>
      <c r="KER4" s="353"/>
      <c r="KES4" s="353"/>
      <c r="KET4" s="353"/>
      <c r="KEU4" s="353"/>
      <c r="KEV4" s="353"/>
      <c r="KEW4" s="353"/>
      <c r="KEX4" s="353"/>
      <c r="KEY4" s="353"/>
      <c r="KEZ4" s="353"/>
      <c r="KFA4" s="353"/>
      <c r="KFB4" s="353"/>
      <c r="KFC4" s="353"/>
      <c r="KFD4" s="353"/>
      <c r="KFE4" s="353"/>
      <c r="KFF4" s="353"/>
      <c r="KFG4" s="353"/>
      <c r="KFH4" s="353"/>
      <c r="KFI4" s="353"/>
      <c r="KFJ4" s="353"/>
      <c r="KFK4" s="353"/>
      <c r="KFL4" s="353"/>
      <c r="KFM4" s="353"/>
      <c r="KFN4" s="353"/>
      <c r="KFO4" s="353"/>
      <c r="KFP4" s="353"/>
      <c r="KFQ4" s="353"/>
      <c r="KFR4" s="353"/>
      <c r="KFS4" s="353"/>
      <c r="KFT4" s="353"/>
      <c r="KFU4" s="353"/>
      <c r="KFV4" s="353"/>
      <c r="KFW4" s="353"/>
      <c r="KFX4" s="353"/>
      <c r="KFY4" s="353"/>
      <c r="KFZ4" s="353"/>
      <c r="KGA4" s="353"/>
      <c r="KGB4" s="353"/>
      <c r="KGC4" s="353"/>
      <c r="KGD4" s="353"/>
      <c r="KGE4" s="353"/>
      <c r="KGF4" s="353"/>
      <c r="KGG4" s="353"/>
      <c r="KGH4" s="353"/>
      <c r="KGI4" s="353"/>
      <c r="KGJ4" s="353"/>
      <c r="KGK4" s="353"/>
      <c r="KGL4" s="353"/>
      <c r="KGM4" s="353"/>
      <c r="KGN4" s="353"/>
      <c r="KGO4" s="353"/>
      <c r="KGP4" s="353"/>
      <c r="KGQ4" s="353"/>
      <c r="KGR4" s="353"/>
      <c r="KGS4" s="353"/>
      <c r="KGT4" s="353"/>
      <c r="KGU4" s="353"/>
      <c r="KGV4" s="353"/>
      <c r="KGW4" s="353"/>
      <c r="KGX4" s="353"/>
      <c r="KGY4" s="353"/>
      <c r="KGZ4" s="353"/>
      <c r="KHA4" s="353"/>
      <c r="KHB4" s="353"/>
      <c r="KHC4" s="353"/>
      <c r="KHD4" s="353"/>
      <c r="KHE4" s="353"/>
      <c r="KHF4" s="353"/>
      <c r="KHG4" s="353"/>
      <c r="KHH4" s="353"/>
      <c r="KHI4" s="353"/>
      <c r="KHJ4" s="353"/>
      <c r="KHK4" s="353"/>
      <c r="KHL4" s="353"/>
      <c r="KHM4" s="353"/>
      <c r="KHN4" s="353"/>
      <c r="KHO4" s="353"/>
      <c r="KHP4" s="353"/>
      <c r="KHQ4" s="353"/>
      <c r="KHR4" s="353"/>
      <c r="KHS4" s="353"/>
      <c r="KHT4" s="353"/>
      <c r="KHU4" s="353"/>
      <c r="KHV4" s="353"/>
      <c r="KHW4" s="353"/>
      <c r="KHX4" s="353"/>
      <c r="KHY4" s="353"/>
      <c r="KHZ4" s="353"/>
      <c r="KIA4" s="353"/>
      <c r="KIB4" s="353"/>
      <c r="KIC4" s="353"/>
      <c r="KID4" s="353"/>
      <c r="KIE4" s="353"/>
      <c r="KIF4" s="353"/>
      <c r="KIG4" s="353"/>
      <c r="KIH4" s="353"/>
      <c r="KII4" s="353"/>
      <c r="KIJ4" s="353"/>
      <c r="KIK4" s="353"/>
      <c r="KIL4" s="353"/>
      <c r="KIM4" s="353"/>
      <c r="KIN4" s="353"/>
      <c r="KIO4" s="353"/>
      <c r="KIP4" s="353"/>
      <c r="KIQ4" s="353"/>
      <c r="KIR4" s="353"/>
      <c r="KIS4" s="353"/>
      <c r="KIT4" s="353"/>
      <c r="KIU4" s="353"/>
      <c r="KIV4" s="353"/>
      <c r="KIW4" s="353"/>
      <c r="KIX4" s="353"/>
      <c r="KIY4" s="353"/>
      <c r="KIZ4" s="353"/>
      <c r="KJA4" s="353"/>
      <c r="KJB4" s="353"/>
      <c r="KJC4" s="353"/>
      <c r="KJD4" s="353"/>
      <c r="KJE4" s="353"/>
      <c r="KJF4" s="353"/>
      <c r="KJG4" s="353"/>
      <c r="KJH4" s="353"/>
      <c r="KJI4" s="353"/>
      <c r="KJJ4" s="353"/>
      <c r="KJK4" s="353"/>
      <c r="KJL4" s="353"/>
      <c r="KJM4" s="353"/>
      <c r="KJN4" s="353"/>
      <c r="KJO4" s="353"/>
      <c r="KJP4" s="353"/>
      <c r="KJQ4" s="353"/>
      <c r="KJR4" s="353"/>
      <c r="KJS4" s="353"/>
      <c r="KJT4" s="353"/>
      <c r="KJU4" s="353"/>
      <c r="KJV4" s="353"/>
      <c r="KJW4" s="353"/>
      <c r="KJX4" s="353"/>
      <c r="KJY4" s="353"/>
      <c r="KJZ4" s="353"/>
      <c r="KKA4" s="353"/>
      <c r="KKB4" s="353"/>
      <c r="KKC4" s="353"/>
      <c r="KKD4" s="353"/>
      <c r="KKE4" s="353"/>
      <c r="KKF4" s="353"/>
      <c r="KKG4" s="353"/>
      <c r="KKH4" s="353"/>
      <c r="KKI4" s="353"/>
      <c r="KKJ4" s="353"/>
      <c r="KKK4" s="353"/>
      <c r="KKL4" s="353"/>
      <c r="KKM4" s="353"/>
      <c r="KKN4" s="353"/>
      <c r="KKO4" s="353"/>
      <c r="KKP4" s="353"/>
      <c r="KKQ4" s="353"/>
      <c r="KKR4" s="353"/>
      <c r="KKS4" s="353"/>
      <c r="KKT4" s="353"/>
      <c r="KKU4" s="353"/>
      <c r="KKV4" s="353"/>
      <c r="KKW4" s="353"/>
      <c r="KKX4" s="353"/>
      <c r="KKY4" s="353"/>
      <c r="KKZ4" s="353"/>
      <c r="KLA4" s="353"/>
      <c r="KLB4" s="353"/>
      <c r="KLC4" s="353"/>
      <c r="KLD4" s="353"/>
      <c r="KLE4" s="353"/>
      <c r="KLF4" s="353"/>
      <c r="KLG4" s="353"/>
      <c r="KLH4" s="353"/>
      <c r="KLI4" s="353"/>
      <c r="KLJ4" s="353"/>
      <c r="KLK4" s="353"/>
      <c r="KLL4" s="353"/>
      <c r="KLM4" s="353"/>
      <c r="KLN4" s="353"/>
      <c r="KLO4" s="353"/>
      <c r="KLP4" s="353"/>
      <c r="KLQ4" s="353"/>
      <c r="KLR4" s="353"/>
      <c r="KLS4" s="353"/>
      <c r="KLT4" s="353"/>
      <c r="KLU4" s="353"/>
      <c r="KLV4" s="353"/>
      <c r="KLW4" s="353"/>
      <c r="KLX4" s="353"/>
      <c r="KLY4" s="353"/>
      <c r="KLZ4" s="353"/>
      <c r="KMA4" s="353"/>
      <c r="KMB4" s="353"/>
      <c r="KMC4" s="353"/>
      <c r="KMD4" s="353"/>
      <c r="KME4" s="353"/>
      <c r="KMF4" s="353"/>
      <c r="KMG4" s="353"/>
      <c r="KMH4" s="353"/>
      <c r="KMI4" s="353"/>
      <c r="KMJ4" s="353"/>
      <c r="KMK4" s="353"/>
      <c r="KML4" s="353"/>
      <c r="KMM4" s="353"/>
      <c r="KMN4" s="353"/>
      <c r="KMO4" s="353"/>
      <c r="KMP4" s="353"/>
      <c r="KMQ4" s="353"/>
      <c r="KMR4" s="353"/>
      <c r="KMS4" s="353"/>
      <c r="KMT4" s="353"/>
      <c r="KMU4" s="353"/>
      <c r="KMV4" s="353"/>
      <c r="KMW4" s="353"/>
      <c r="KMX4" s="353"/>
      <c r="KMY4" s="353"/>
      <c r="KMZ4" s="353"/>
      <c r="KNA4" s="353"/>
      <c r="KNB4" s="353"/>
      <c r="KNC4" s="353"/>
      <c r="KND4" s="353"/>
      <c r="KNE4" s="353"/>
      <c r="KNF4" s="353"/>
      <c r="KNG4" s="353"/>
      <c r="KNH4" s="353"/>
      <c r="KNI4" s="353"/>
      <c r="KNJ4" s="353"/>
      <c r="KNK4" s="353"/>
      <c r="KNL4" s="353"/>
      <c r="KNM4" s="353"/>
      <c r="KNN4" s="353"/>
      <c r="KNO4" s="353"/>
      <c r="KNP4" s="353"/>
      <c r="KNQ4" s="353"/>
      <c r="KNR4" s="353"/>
      <c r="KNS4" s="353"/>
      <c r="KNT4" s="353"/>
      <c r="KNU4" s="353"/>
      <c r="KNV4" s="353"/>
      <c r="KNW4" s="353"/>
      <c r="KNX4" s="353"/>
      <c r="KNY4" s="353"/>
      <c r="KNZ4" s="353"/>
      <c r="KOA4" s="353"/>
      <c r="KOB4" s="353"/>
      <c r="KOC4" s="353"/>
      <c r="KOD4" s="353"/>
      <c r="KOE4" s="353"/>
      <c r="KOF4" s="353"/>
      <c r="KOG4" s="353"/>
      <c r="KOH4" s="353"/>
      <c r="KOI4" s="353"/>
      <c r="KOJ4" s="353"/>
      <c r="KOK4" s="353"/>
      <c r="KOL4" s="353"/>
      <c r="KOM4" s="353"/>
      <c r="KON4" s="353"/>
      <c r="KOO4" s="353"/>
      <c r="KOP4" s="353"/>
      <c r="KOQ4" s="353"/>
      <c r="KOR4" s="353"/>
      <c r="KOS4" s="353"/>
      <c r="KOT4" s="353"/>
      <c r="KOU4" s="353"/>
      <c r="KOV4" s="353"/>
      <c r="KOW4" s="353"/>
      <c r="KOX4" s="353"/>
      <c r="KOY4" s="353"/>
      <c r="KOZ4" s="353"/>
      <c r="KPA4" s="353"/>
      <c r="KPB4" s="353"/>
      <c r="KPC4" s="353"/>
      <c r="KPD4" s="353"/>
      <c r="KPE4" s="353"/>
      <c r="KPF4" s="353"/>
      <c r="KPG4" s="353"/>
      <c r="KPH4" s="353"/>
      <c r="KPI4" s="353"/>
      <c r="KPJ4" s="353"/>
      <c r="KPK4" s="353"/>
      <c r="KPL4" s="353"/>
      <c r="KPM4" s="353"/>
      <c r="KPN4" s="353"/>
      <c r="KPO4" s="353"/>
      <c r="KPP4" s="353"/>
      <c r="KPQ4" s="353"/>
      <c r="KPR4" s="353"/>
      <c r="KPS4" s="353"/>
      <c r="KPT4" s="353"/>
      <c r="KPU4" s="353"/>
      <c r="KPV4" s="353"/>
      <c r="KPW4" s="353"/>
      <c r="KPX4" s="353"/>
      <c r="KPY4" s="353"/>
      <c r="KPZ4" s="353"/>
      <c r="KQA4" s="353"/>
      <c r="KQB4" s="353"/>
      <c r="KQC4" s="353"/>
      <c r="KQD4" s="353"/>
      <c r="KQE4" s="353"/>
      <c r="KQF4" s="353"/>
      <c r="KQG4" s="353"/>
      <c r="KQH4" s="353"/>
      <c r="KQI4" s="353"/>
      <c r="KQJ4" s="353"/>
      <c r="KQK4" s="353"/>
      <c r="KQL4" s="353"/>
      <c r="KQM4" s="353"/>
      <c r="KQN4" s="353"/>
      <c r="KQO4" s="353"/>
      <c r="KQP4" s="353"/>
      <c r="KQQ4" s="353"/>
      <c r="KQR4" s="353"/>
      <c r="KQS4" s="353"/>
      <c r="KQT4" s="353"/>
      <c r="KQU4" s="353"/>
      <c r="KQV4" s="353"/>
      <c r="KQW4" s="353"/>
      <c r="KQX4" s="353"/>
      <c r="KQY4" s="353"/>
      <c r="KQZ4" s="353"/>
      <c r="KRA4" s="353"/>
      <c r="KRB4" s="353"/>
      <c r="KRC4" s="353"/>
      <c r="KRD4" s="353"/>
      <c r="KRE4" s="353"/>
      <c r="KRF4" s="353"/>
      <c r="KRG4" s="353"/>
      <c r="KRH4" s="353"/>
      <c r="KRI4" s="353"/>
      <c r="KRJ4" s="353"/>
      <c r="KRK4" s="353"/>
      <c r="KRL4" s="353"/>
      <c r="KRM4" s="353"/>
      <c r="KRN4" s="353"/>
      <c r="KRO4" s="353"/>
      <c r="KRP4" s="353"/>
      <c r="KRQ4" s="353"/>
      <c r="KRR4" s="353"/>
      <c r="KRS4" s="353"/>
      <c r="KRT4" s="353"/>
      <c r="KRU4" s="353"/>
      <c r="KRV4" s="353"/>
      <c r="KRW4" s="353"/>
      <c r="KRX4" s="353"/>
      <c r="KRY4" s="353"/>
      <c r="KRZ4" s="353"/>
      <c r="KSA4" s="353"/>
      <c r="KSB4" s="353"/>
      <c r="KSC4" s="353"/>
      <c r="KSD4" s="353"/>
      <c r="KSE4" s="353"/>
      <c r="KSF4" s="353"/>
      <c r="KSG4" s="353"/>
      <c r="KSH4" s="353"/>
      <c r="KSI4" s="353"/>
      <c r="KSJ4" s="353"/>
      <c r="KSK4" s="353"/>
      <c r="KSL4" s="353"/>
      <c r="KSM4" s="353"/>
      <c r="KSN4" s="353"/>
      <c r="KSO4" s="353"/>
      <c r="KSP4" s="353"/>
      <c r="KSQ4" s="353"/>
      <c r="KSR4" s="353"/>
      <c r="KSS4" s="353"/>
      <c r="KST4" s="353"/>
      <c r="KSU4" s="353"/>
      <c r="KSV4" s="353"/>
      <c r="KSW4" s="353"/>
      <c r="KSX4" s="353"/>
      <c r="KSY4" s="353"/>
      <c r="KSZ4" s="353"/>
      <c r="KTA4" s="353"/>
      <c r="KTB4" s="353"/>
      <c r="KTC4" s="353"/>
      <c r="KTD4" s="353"/>
      <c r="KTE4" s="353"/>
      <c r="KTF4" s="353"/>
      <c r="KTG4" s="353"/>
      <c r="KTH4" s="353"/>
      <c r="KTI4" s="353"/>
      <c r="KTJ4" s="353"/>
      <c r="KTK4" s="353"/>
      <c r="KTL4" s="353"/>
      <c r="KTM4" s="353"/>
      <c r="KTN4" s="353"/>
      <c r="KTO4" s="353"/>
      <c r="KTP4" s="353"/>
      <c r="KTQ4" s="353"/>
      <c r="KTR4" s="353"/>
      <c r="KTS4" s="353"/>
      <c r="KTT4" s="353"/>
      <c r="KTU4" s="353"/>
      <c r="KTV4" s="353"/>
      <c r="KTW4" s="353"/>
      <c r="KTX4" s="353"/>
      <c r="KTY4" s="353"/>
      <c r="KTZ4" s="353"/>
      <c r="KUA4" s="353"/>
      <c r="KUB4" s="353"/>
      <c r="KUC4" s="353"/>
      <c r="KUD4" s="353"/>
      <c r="KUE4" s="353"/>
      <c r="KUF4" s="353"/>
      <c r="KUG4" s="353"/>
      <c r="KUH4" s="353"/>
      <c r="KUI4" s="353"/>
      <c r="KUJ4" s="353"/>
      <c r="KUK4" s="353"/>
      <c r="KUL4" s="353"/>
      <c r="KUM4" s="353"/>
      <c r="KUN4" s="353"/>
      <c r="KUO4" s="353"/>
      <c r="KUP4" s="353"/>
      <c r="KUQ4" s="353"/>
      <c r="KUR4" s="353"/>
      <c r="KUS4" s="353"/>
      <c r="KUT4" s="353"/>
      <c r="KUU4" s="353"/>
      <c r="KUV4" s="353"/>
      <c r="KUW4" s="353"/>
      <c r="KUX4" s="353"/>
      <c r="KUY4" s="353"/>
      <c r="KUZ4" s="353"/>
      <c r="KVA4" s="353"/>
      <c r="KVB4" s="353"/>
      <c r="KVC4" s="353"/>
      <c r="KVD4" s="353"/>
      <c r="KVE4" s="353"/>
      <c r="KVF4" s="353"/>
      <c r="KVG4" s="353"/>
      <c r="KVH4" s="353"/>
      <c r="KVI4" s="353"/>
      <c r="KVJ4" s="353"/>
      <c r="KVK4" s="353"/>
      <c r="KVL4" s="353"/>
      <c r="KVM4" s="353"/>
      <c r="KVN4" s="353"/>
      <c r="KVO4" s="353"/>
      <c r="KVP4" s="353"/>
      <c r="KVQ4" s="353"/>
      <c r="KVR4" s="353"/>
      <c r="KVS4" s="353"/>
      <c r="KVT4" s="353"/>
      <c r="KVU4" s="353"/>
      <c r="KVV4" s="353"/>
      <c r="KVW4" s="353"/>
      <c r="KVX4" s="353"/>
      <c r="KVY4" s="353"/>
      <c r="KVZ4" s="353"/>
      <c r="KWA4" s="353"/>
      <c r="KWB4" s="353"/>
      <c r="KWC4" s="353"/>
      <c r="KWD4" s="353"/>
      <c r="KWE4" s="353"/>
      <c r="KWF4" s="353"/>
      <c r="KWG4" s="353"/>
      <c r="KWH4" s="353"/>
      <c r="KWI4" s="353"/>
      <c r="KWJ4" s="353"/>
      <c r="KWK4" s="353"/>
      <c r="KWL4" s="353"/>
      <c r="KWM4" s="353"/>
      <c r="KWN4" s="353"/>
      <c r="KWO4" s="353"/>
      <c r="KWP4" s="353"/>
      <c r="KWQ4" s="353"/>
      <c r="KWR4" s="353"/>
      <c r="KWS4" s="353"/>
      <c r="KWT4" s="353"/>
      <c r="KWU4" s="353"/>
      <c r="KWV4" s="353"/>
      <c r="KWW4" s="353"/>
      <c r="KWX4" s="353"/>
      <c r="KWY4" s="353"/>
      <c r="KWZ4" s="353"/>
      <c r="KXA4" s="353"/>
      <c r="KXB4" s="353"/>
      <c r="KXC4" s="353"/>
      <c r="KXD4" s="353"/>
      <c r="KXE4" s="353"/>
      <c r="KXF4" s="353"/>
      <c r="KXG4" s="353"/>
      <c r="KXH4" s="353"/>
      <c r="KXI4" s="353"/>
      <c r="KXJ4" s="353"/>
      <c r="KXK4" s="353"/>
      <c r="KXL4" s="353"/>
      <c r="KXM4" s="353"/>
      <c r="KXN4" s="353"/>
      <c r="KXO4" s="353"/>
      <c r="KXP4" s="353"/>
      <c r="KXQ4" s="353"/>
      <c r="KXR4" s="353"/>
      <c r="KXS4" s="353"/>
      <c r="KXT4" s="353"/>
      <c r="KXU4" s="353"/>
      <c r="KXV4" s="353"/>
      <c r="KXW4" s="353"/>
      <c r="KXX4" s="353"/>
      <c r="KXY4" s="353"/>
      <c r="KXZ4" s="353"/>
      <c r="KYA4" s="353"/>
      <c r="KYB4" s="353"/>
      <c r="KYC4" s="353"/>
      <c r="KYD4" s="353"/>
      <c r="KYE4" s="353"/>
      <c r="KYF4" s="353"/>
      <c r="KYG4" s="353"/>
      <c r="KYH4" s="353"/>
      <c r="KYI4" s="353"/>
      <c r="KYJ4" s="353"/>
      <c r="KYK4" s="353"/>
      <c r="KYL4" s="353"/>
      <c r="KYM4" s="353"/>
      <c r="KYN4" s="353"/>
      <c r="KYO4" s="353"/>
      <c r="KYP4" s="353"/>
      <c r="KYQ4" s="353"/>
      <c r="KYR4" s="353"/>
      <c r="KYS4" s="353"/>
      <c r="KYT4" s="353"/>
      <c r="KYU4" s="353"/>
      <c r="KYV4" s="353"/>
      <c r="KYW4" s="353"/>
      <c r="KYX4" s="353"/>
      <c r="KYY4" s="353"/>
      <c r="KYZ4" s="353"/>
      <c r="KZA4" s="353"/>
      <c r="KZB4" s="353"/>
      <c r="KZC4" s="353"/>
      <c r="KZD4" s="353"/>
      <c r="KZE4" s="353"/>
      <c r="KZF4" s="353"/>
      <c r="KZG4" s="353"/>
      <c r="KZH4" s="353"/>
      <c r="KZI4" s="353"/>
      <c r="KZJ4" s="353"/>
      <c r="KZK4" s="353"/>
      <c r="KZL4" s="353"/>
      <c r="KZM4" s="353"/>
      <c r="KZN4" s="353"/>
      <c r="KZO4" s="353"/>
      <c r="KZP4" s="353"/>
      <c r="KZQ4" s="353"/>
      <c r="KZR4" s="353"/>
      <c r="KZS4" s="353"/>
      <c r="KZT4" s="353"/>
      <c r="KZU4" s="353"/>
      <c r="KZV4" s="353"/>
      <c r="KZW4" s="353"/>
      <c r="KZX4" s="353"/>
      <c r="KZY4" s="353"/>
      <c r="KZZ4" s="353"/>
      <c r="LAA4" s="353"/>
      <c r="LAB4" s="353"/>
      <c r="LAC4" s="353"/>
      <c r="LAD4" s="353"/>
      <c r="LAE4" s="353"/>
      <c r="LAF4" s="353"/>
      <c r="LAG4" s="353"/>
      <c r="LAH4" s="353"/>
      <c r="LAI4" s="353"/>
      <c r="LAJ4" s="353"/>
      <c r="LAK4" s="353"/>
      <c r="LAL4" s="353"/>
      <c r="LAM4" s="353"/>
      <c r="LAN4" s="353"/>
      <c r="LAO4" s="353"/>
      <c r="LAP4" s="353"/>
      <c r="LAQ4" s="353"/>
      <c r="LAR4" s="353"/>
      <c r="LAS4" s="353"/>
      <c r="LAT4" s="353"/>
      <c r="LAU4" s="353"/>
      <c r="LAV4" s="353"/>
      <c r="LAW4" s="353"/>
      <c r="LAX4" s="353"/>
      <c r="LAY4" s="353"/>
      <c r="LAZ4" s="353"/>
      <c r="LBA4" s="353"/>
      <c r="LBB4" s="353"/>
      <c r="LBC4" s="353"/>
      <c r="LBD4" s="353"/>
      <c r="LBE4" s="353"/>
      <c r="LBF4" s="353"/>
      <c r="LBG4" s="353"/>
      <c r="LBH4" s="353"/>
      <c r="LBI4" s="353"/>
      <c r="LBJ4" s="353"/>
      <c r="LBK4" s="353"/>
      <c r="LBL4" s="353"/>
      <c r="LBM4" s="353"/>
      <c r="LBN4" s="353"/>
      <c r="LBO4" s="353"/>
      <c r="LBP4" s="353"/>
      <c r="LBQ4" s="353"/>
      <c r="LBR4" s="353"/>
      <c r="LBS4" s="353"/>
      <c r="LBT4" s="353"/>
      <c r="LBU4" s="353"/>
      <c r="LBV4" s="353"/>
      <c r="LBW4" s="353"/>
      <c r="LBX4" s="353"/>
      <c r="LBY4" s="353"/>
      <c r="LBZ4" s="353"/>
      <c r="LCA4" s="353"/>
      <c r="LCB4" s="353"/>
      <c r="LCC4" s="353"/>
      <c r="LCD4" s="353"/>
      <c r="LCE4" s="353"/>
      <c r="LCF4" s="353"/>
      <c r="LCG4" s="353"/>
      <c r="LCH4" s="353"/>
      <c r="LCI4" s="353"/>
      <c r="LCJ4" s="353"/>
      <c r="LCK4" s="353"/>
      <c r="LCL4" s="353"/>
      <c r="LCM4" s="353"/>
      <c r="LCN4" s="353"/>
      <c r="LCO4" s="353"/>
      <c r="LCP4" s="353"/>
      <c r="LCQ4" s="353"/>
      <c r="LCR4" s="353"/>
      <c r="LCS4" s="353"/>
      <c r="LCT4" s="353"/>
      <c r="LCU4" s="353"/>
      <c r="LCV4" s="353"/>
      <c r="LCW4" s="353"/>
      <c r="LCX4" s="353"/>
      <c r="LCY4" s="353"/>
      <c r="LCZ4" s="353"/>
      <c r="LDA4" s="353"/>
      <c r="LDB4" s="353"/>
      <c r="LDC4" s="353"/>
      <c r="LDD4" s="353"/>
      <c r="LDE4" s="353"/>
      <c r="LDF4" s="353"/>
      <c r="LDG4" s="353"/>
      <c r="LDH4" s="353"/>
      <c r="LDI4" s="353"/>
      <c r="LDJ4" s="353"/>
      <c r="LDK4" s="353"/>
      <c r="LDL4" s="353"/>
      <c r="LDM4" s="353"/>
      <c r="LDN4" s="353"/>
      <c r="LDO4" s="353"/>
      <c r="LDP4" s="353"/>
      <c r="LDQ4" s="353"/>
      <c r="LDR4" s="353"/>
      <c r="LDS4" s="353"/>
      <c r="LDT4" s="353"/>
      <c r="LDU4" s="353"/>
      <c r="LDV4" s="353"/>
      <c r="LDW4" s="353"/>
      <c r="LDX4" s="353"/>
      <c r="LDY4" s="353"/>
      <c r="LDZ4" s="353"/>
      <c r="LEA4" s="353"/>
      <c r="LEB4" s="353"/>
      <c r="LEC4" s="353"/>
      <c r="LED4" s="353"/>
      <c r="LEE4" s="353"/>
      <c r="LEF4" s="353"/>
      <c r="LEG4" s="353"/>
      <c r="LEH4" s="353"/>
      <c r="LEI4" s="353"/>
      <c r="LEJ4" s="353"/>
      <c r="LEK4" s="353"/>
      <c r="LEL4" s="353"/>
      <c r="LEM4" s="353"/>
      <c r="LEN4" s="353"/>
      <c r="LEO4" s="353"/>
      <c r="LEP4" s="353"/>
      <c r="LEQ4" s="353"/>
      <c r="LER4" s="353"/>
      <c r="LES4" s="353"/>
      <c r="LET4" s="353"/>
      <c r="LEU4" s="353"/>
      <c r="LEV4" s="353"/>
      <c r="LEW4" s="353"/>
      <c r="LEX4" s="353"/>
      <c r="LEY4" s="353"/>
      <c r="LEZ4" s="353"/>
      <c r="LFA4" s="353"/>
      <c r="LFB4" s="353"/>
      <c r="LFC4" s="353"/>
      <c r="LFD4" s="353"/>
      <c r="LFE4" s="353"/>
      <c r="LFF4" s="353"/>
      <c r="LFG4" s="353"/>
      <c r="LFH4" s="353"/>
      <c r="LFI4" s="353"/>
      <c r="LFJ4" s="353"/>
      <c r="LFK4" s="353"/>
      <c r="LFL4" s="353"/>
      <c r="LFM4" s="353"/>
      <c r="LFN4" s="353"/>
      <c r="LFO4" s="353"/>
      <c r="LFP4" s="353"/>
      <c r="LFQ4" s="353"/>
      <c r="LFR4" s="353"/>
      <c r="LFS4" s="353"/>
      <c r="LFT4" s="353"/>
      <c r="LFU4" s="353"/>
      <c r="LFV4" s="353"/>
      <c r="LFW4" s="353"/>
      <c r="LFX4" s="353"/>
      <c r="LFY4" s="353"/>
      <c r="LFZ4" s="353"/>
      <c r="LGA4" s="353"/>
      <c r="LGB4" s="353"/>
      <c r="LGC4" s="353"/>
      <c r="LGD4" s="353"/>
      <c r="LGE4" s="353"/>
      <c r="LGF4" s="353"/>
      <c r="LGG4" s="353"/>
      <c r="LGH4" s="353"/>
      <c r="LGI4" s="353"/>
      <c r="LGJ4" s="353"/>
      <c r="LGK4" s="353"/>
      <c r="LGL4" s="353"/>
      <c r="LGM4" s="353"/>
      <c r="LGN4" s="353"/>
      <c r="LGO4" s="353"/>
      <c r="LGP4" s="353"/>
      <c r="LGQ4" s="353"/>
      <c r="LGR4" s="353"/>
      <c r="LGS4" s="353"/>
      <c r="LGT4" s="353"/>
      <c r="LGU4" s="353"/>
      <c r="LGV4" s="353"/>
      <c r="LGW4" s="353"/>
      <c r="LGX4" s="353"/>
      <c r="LGY4" s="353"/>
      <c r="LGZ4" s="353"/>
      <c r="LHA4" s="353"/>
      <c r="LHB4" s="353"/>
      <c r="LHC4" s="353"/>
      <c r="LHD4" s="353"/>
      <c r="LHE4" s="353"/>
      <c r="LHF4" s="353"/>
      <c r="LHG4" s="353"/>
      <c r="LHH4" s="353"/>
      <c r="LHI4" s="353"/>
      <c r="LHJ4" s="353"/>
      <c r="LHK4" s="353"/>
      <c r="LHL4" s="353"/>
      <c r="LHM4" s="353"/>
      <c r="LHN4" s="353"/>
      <c r="LHO4" s="353"/>
      <c r="LHP4" s="353"/>
      <c r="LHQ4" s="353"/>
      <c r="LHR4" s="353"/>
      <c r="LHS4" s="353"/>
      <c r="LHT4" s="353"/>
      <c r="LHU4" s="353"/>
      <c r="LHV4" s="353"/>
      <c r="LHW4" s="353"/>
      <c r="LHX4" s="353"/>
      <c r="LHY4" s="353"/>
      <c r="LHZ4" s="353"/>
      <c r="LIA4" s="353"/>
      <c r="LIB4" s="353"/>
      <c r="LIC4" s="353"/>
      <c r="LID4" s="353"/>
      <c r="LIE4" s="353"/>
      <c r="LIF4" s="353"/>
      <c r="LIG4" s="353"/>
      <c r="LIH4" s="353"/>
      <c r="LII4" s="353"/>
      <c r="LIJ4" s="353"/>
      <c r="LIK4" s="353"/>
      <c r="LIL4" s="353"/>
      <c r="LIM4" s="353"/>
      <c r="LIN4" s="353"/>
      <c r="LIO4" s="353"/>
      <c r="LIP4" s="353"/>
      <c r="LIQ4" s="353"/>
      <c r="LIR4" s="353"/>
      <c r="LIS4" s="353"/>
      <c r="LIT4" s="353"/>
      <c r="LIU4" s="353"/>
      <c r="LIV4" s="353"/>
      <c r="LIW4" s="353"/>
      <c r="LIX4" s="353"/>
      <c r="LIY4" s="353"/>
      <c r="LIZ4" s="353"/>
      <c r="LJA4" s="353"/>
      <c r="LJB4" s="353"/>
      <c r="LJC4" s="353"/>
      <c r="LJD4" s="353"/>
      <c r="LJE4" s="353"/>
      <c r="LJF4" s="353"/>
      <c r="LJG4" s="353"/>
      <c r="LJH4" s="353"/>
      <c r="LJI4" s="353"/>
      <c r="LJJ4" s="353"/>
      <c r="LJK4" s="353"/>
      <c r="LJL4" s="353"/>
      <c r="LJM4" s="353"/>
      <c r="LJN4" s="353"/>
      <c r="LJO4" s="353"/>
      <c r="LJP4" s="353"/>
      <c r="LJQ4" s="353"/>
      <c r="LJR4" s="353"/>
      <c r="LJS4" s="353"/>
      <c r="LJT4" s="353"/>
      <c r="LJU4" s="353"/>
      <c r="LJV4" s="353"/>
      <c r="LJW4" s="353"/>
      <c r="LJX4" s="353"/>
      <c r="LJY4" s="353"/>
      <c r="LJZ4" s="353"/>
      <c r="LKA4" s="353"/>
      <c r="LKB4" s="353"/>
      <c r="LKC4" s="353"/>
      <c r="LKD4" s="353"/>
      <c r="LKE4" s="353"/>
      <c r="LKF4" s="353"/>
      <c r="LKG4" s="353"/>
      <c r="LKH4" s="353"/>
      <c r="LKI4" s="353"/>
      <c r="LKJ4" s="353"/>
      <c r="LKK4" s="353"/>
      <c r="LKL4" s="353"/>
      <c r="LKM4" s="353"/>
      <c r="LKN4" s="353"/>
      <c r="LKO4" s="353"/>
      <c r="LKP4" s="353"/>
      <c r="LKQ4" s="353"/>
      <c r="LKR4" s="353"/>
      <c r="LKS4" s="353"/>
      <c r="LKT4" s="353"/>
      <c r="LKU4" s="353"/>
      <c r="LKV4" s="353"/>
      <c r="LKW4" s="353"/>
      <c r="LKX4" s="353"/>
      <c r="LKY4" s="353"/>
      <c r="LKZ4" s="353"/>
      <c r="LLA4" s="353"/>
      <c r="LLB4" s="353"/>
      <c r="LLC4" s="353"/>
      <c r="LLD4" s="353"/>
      <c r="LLE4" s="353"/>
      <c r="LLF4" s="353"/>
      <c r="LLG4" s="353"/>
      <c r="LLH4" s="353"/>
      <c r="LLI4" s="353"/>
      <c r="LLJ4" s="353"/>
      <c r="LLK4" s="353"/>
      <c r="LLL4" s="353"/>
      <c r="LLM4" s="353"/>
      <c r="LLN4" s="353"/>
      <c r="LLO4" s="353"/>
      <c r="LLP4" s="353"/>
      <c r="LLQ4" s="353"/>
      <c r="LLR4" s="353"/>
      <c r="LLS4" s="353"/>
      <c r="LLT4" s="353"/>
      <c r="LLU4" s="353"/>
      <c r="LLV4" s="353"/>
      <c r="LLW4" s="353"/>
      <c r="LLX4" s="353"/>
      <c r="LLY4" s="353"/>
      <c r="LLZ4" s="353"/>
      <c r="LMA4" s="353"/>
      <c r="LMB4" s="353"/>
      <c r="LMC4" s="353"/>
      <c r="LMD4" s="353"/>
      <c r="LME4" s="353"/>
      <c r="LMF4" s="353"/>
      <c r="LMG4" s="353"/>
      <c r="LMH4" s="353"/>
      <c r="LMI4" s="353"/>
      <c r="LMJ4" s="353"/>
      <c r="LMK4" s="353"/>
      <c r="LML4" s="353"/>
      <c r="LMM4" s="353"/>
      <c r="LMN4" s="353"/>
      <c r="LMO4" s="353"/>
      <c r="LMP4" s="353"/>
      <c r="LMQ4" s="353"/>
      <c r="LMR4" s="353"/>
      <c r="LMS4" s="353"/>
      <c r="LMT4" s="353"/>
      <c r="LMU4" s="353"/>
      <c r="LMV4" s="353"/>
      <c r="LMW4" s="353"/>
      <c r="LMX4" s="353"/>
      <c r="LMY4" s="353"/>
      <c r="LMZ4" s="353"/>
      <c r="LNA4" s="353"/>
      <c r="LNB4" s="353"/>
      <c r="LNC4" s="353"/>
      <c r="LND4" s="353"/>
      <c r="LNE4" s="353"/>
      <c r="LNF4" s="353"/>
      <c r="LNG4" s="353"/>
      <c r="LNH4" s="353"/>
      <c r="LNI4" s="353"/>
      <c r="LNJ4" s="353"/>
      <c r="LNK4" s="353"/>
      <c r="LNL4" s="353"/>
      <c r="LNM4" s="353"/>
      <c r="LNN4" s="353"/>
      <c r="LNO4" s="353"/>
      <c r="LNP4" s="353"/>
      <c r="LNQ4" s="353"/>
      <c r="LNR4" s="353"/>
      <c r="LNS4" s="353"/>
      <c r="LNT4" s="353"/>
      <c r="LNU4" s="353"/>
      <c r="LNV4" s="353"/>
      <c r="LNW4" s="353"/>
      <c r="LNX4" s="353"/>
      <c r="LNY4" s="353"/>
      <c r="LNZ4" s="353"/>
      <c r="LOA4" s="353"/>
      <c r="LOB4" s="353"/>
      <c r="LOC4" s="353"/>
      <c r="LOD4" s="353"/>
      <c r="LOE4" s="353"/>
      <c r="LOF4" s="353"/>
      <c r="LOG4" s="353"/>
      <c r="LOH4" s="353"/>
      <c r="LOI4" s="353"/>
      <c r="LOJ4" s="353"/>
      <c r="LOK4" s="353"/>
      <c r="LOL4" s="353"/>
      <c r="LOM4" s="353"/>
      <c r="LON4" s="353"/>
      <c r="LOO4" s="353"/>
      <c r="LOP4" s="353"/>
      <c r="LOQ4" s="353"/>
      <c r="LOR4" s="353"/>
      <c r="LOS4" s="353"/>
      <c r="LOT4" s="353"/>
      <c r="LOU4" s="353"/>
      <c r="LOV4" s="353"/>
      <c r="LOW4" s="353"/>
      <c r="LOX4" s="353"/>
      <c r="LOY4" s="353"/>
      <c r="LOZ4" s="353"/>
      <c r="LPA4" s="353"/>
      <c r="LPB4" s="353"/>
      <c r="LPC4" s="353"/>
      <c r="LPD4" s="353"/>
      <c r="LPE4" s="353"/>
      <c r="LPF4" s="353"/>
      <c r="LPG4" s="353"/>
      <c r="LPH4" s="353"/>
      <c r="LPI4" s="353"/>
      <c r="LPJ4" s="353"/>
      <c r="LPK4" s="353"/>
      <c r="LPL4" s="353"/>
      <c r="LPM4" s="353"/>
      <c r="LPN4" s="353"/>
      <c r="LPO4" s="353"/>
      <c r="LPP4" s="353"/>
      <c r="LPQ4" s="353"/>
      <c r="LPR4" s="353"/>
      <c r="LPS4" s="353"/>
      <c r="LPT4" s="353"/>
      <c r="LPU4" s="353"/>
      <c r="LPV4" s="353"/>
      <c r="LPW4" s="353"/>
      <c r="LPX4" s="353"/>
      <c r="LPY4" s="353"/>
      <c r="LPZ4" s="353"/>
      <c r="LQA4" s="353"/>
      <c r="LQB4" s="353"/>
      <c r="LQC4" s="353"/>
      <c r="LQD4" s="353"/>
      <c r="LQE4" s="353"/>
      <c r="LQF4" s="353"/>
      <c r="LQG4" s="353"/>
      <c r="LQH4" s="353"/>
      <c r="LQI4" s="353"/>
      <c r="LQJ4" s="353"/>
      <c r="LQK4" s="353"/>
      <c r="LQL4" s="353"/>
      <c r="LQM4" s="353"/>
      <c r="LQN4" s="353"/>
      <c r="LQO4" s="353"/>
      <c r="LQP4" s="353"/>
      <c r="LQQ4" s="353"/>
      <c r="LQR4" s="353"/>
      <c r="LQS4" s="353"/>
      <c r="LQT4" s="353"/>
      <c r="LQU4" s="353"/>
      <c r="LQV4" s="353"/>
      <c r="LQW4" s="353"/>
      <c r="LQX4" s="353"/>
      <c r="LQY4" s="353"/>
      <c r="LQZ4" s="353"/>
      <c r="LRA4" s="353"/>
      <c r="LRB4" s="353"/>
      <c r="LRC4" s="353"/>
      <c r="LRD4" s="353"/>
      <c r="LRE4" s="353"/>
      <c r="LRF4" s="353"/>
      <c r="LRG4" s="353"/>
      <c r="LRH4" s="353"/>
      <c r="LRI4" s="353"/>
      <c r="LRJ4" s="353"/>
      <c r="LRK4" s="353"/>
      <c r="LRL4" s="353"/>
      <c r="LRM4" s="353"/>
      <c r="LRN4" s="353"/>
      <c r="LRO4" s="353"/>
      <c r="LRP4" s="353"/>
      <c r="LRQ4" s="353"/>
      <c r="LRR4" s="353"/>
      <c r="LRS4" s="353"/>
      <c r="LRT4" s="353"/>
      <c r="LRU4" s="353"/>
      <c r="LRV4" s="353"/>
      <c r="LRW4" s="353"/>
      <c r="LRX4" s="353"/>
      <c r="LRY4" s="353"/>
      <c r="LRZ4" s="353"/>
      <c r="LSA4" s="353"/>
      <c r="LSB4" s="353"/>
      <c r="LSC4" s="353"/>
      <c r="LSD4" s="353"/>
      <c r="LSE4" s="353"/>
      <c r="LSF4" s="353"/>
      <c r="LSG4" s="353"/>
      <c r="LSH4" s="353"/>
      <c r="LSI4" s="353"/>
      <c r="LSJ4" s="353"/>
      <c r="LSK4" s="353"/>
      <c r="LSL4" s="353"/>
      <c r="LSM4" s="353"/>
      <c r="LSN4" s="353"/>
      <c r="LSO4" s="353"/>
      <c r="LSP4" s="353"/>
      <c r="LSQ4" s="353"/>
      <c r="LSR4" s="353"/>
      <c r="LSS4" s="353"/>
      <c r="LST4" s="353"/>
      <c r="LSU4" s="353"/>
      <c r="LSV4" s="353"/>
      <c r="LSW4" s="353"/>
      <c r="LSX4" s="353"/>
      <c r="LSY4" s="353"/>
      <c r="LSZ4" s="353"/>
      <c r="LTA4" s="353"/>
      <c r="LTB4" s="353"/>
      <c r="LTC4" s="353"/>
      <c r="LTD4" s="353"/>
      <c r="LTE4" s="353"/>
      <c r="LTF4" s="353"/>
      <c r="LTG4" s="353"/>
      <c r="LTH4" s="353"/>
      <c r="LTI4" s="353"/>
      <c r="LTJ4" s="353"/>
      <c r="LTK4" s="353"/>
      <c r="LTL4" s="353"/>
      <c r="LTM4" s="353"/>
      <c r="LTN4" s="353"/>
      <c r="LTO4" s="353"/>
      <c r="LTP4" s="353"/>
      <c r="LTQ4" s="353"/>
      <c r="LTR4" s="353"/>
      <c r="LTS4" s="353"/>
      <c r="LTT4" s="353"/>
      <c r="LTU4" s="353"/>
      <c r="LTV4" s="353"/>
      <c r="LTW4" s="353"/>
      <c r="LTX4" s="353"/>
      <c r="LTY4" s="353"/>
      <c r="LTZ4" s="353"/>
      <c r="LUA4" s="353"/>
      <c r="LUB4" s="353"/>
      <c r="LUC4" s="353"/>
      <c r="LUD4" s="353"/>
      <c r="LUE4" s="353"/>
      <c r="LUF4" s="353"/>
      <c r="LUG4" s="353"/>
      <c r="LUH4" s="353"/>
      <c r="LUI4" s="353"/>
      <c r="LUJ4" s="353"/>
      <c r="LUK4" s="353"/>
      <c r="LUL4" s="353"/>
      <c r="LUM4" s="353"/>
      <c r="LUN4" s="353"/>
      <c r="LUO4" s="353"/>
      <c r="LUP4" s="353"/>
      <c r="LUQ4" s="353"/>
      <c r="LUR4" s="353"/>
      <c r="LUS4" s="353"/>
      <c r="LUT4" s="353"/>
      <c r="LUU4" s="353"/>
      <c r="LUV4" s="353"/>
      <c r="LUW4" s="353"/>
      <c r="LUX4" s="353"/>
      <c r="LUY4" s="353"/>
      <c r="LUZ4" s="353"/>
      <c r="LVA4" s="353"/>
      <c r="LVB4" s="353"/>
      <c r="LVC4" s="353"/>
      <c r="LVD4" s="353"/>
      <c r="LVE4" s="353"/>
      <c r="LVF4" s="353"/>
      <c r="LVG4" s="353"/>
      <c r="LVH4" s="353"/>
      <c r="LVI4" s="353"/>
      <c r="LVJ4" s="353"/>
      <c r="LVK4" s="353"/>
      <c r="LVL4" s="353"/>
      <c r="LVM4" s="353"/>
      <c r="LVN4" s="353"/>
      <c r="LVO4" s="353"/>
      <c r="LVP4" s="353"/>
      <c r="LVQ4" s="353"/>
      <c r="LVR4" s="353"/>
      <c r="LVS4" s="353"/>
      <c r="LVT4" s="353"/>
      <c r="LVU4" s="353"/>
      <c r="LVV4" s="353"/>
      <c r="LVW4" s="353"/>
      <c r="LVX4" s="353"/>
      <c r="LVY4" s="353"/>
      <c r="LVZ4" s="353"/>
      <c r="LWA4" s="353"/>
      <c r="LWB4" s="353"/>
      <c r="LWC4" s="353"/>
      <c r="LWD4" s="353"/>
      <c r="LWE4" s="353"/>
      <c r="LWF4" s="353"/>
      <c r="LWG4" s="353"/>
      <c r="LWH4" s="353"/>
      <c r="LWI4" s="353"/>
      <c r="LWJ4" s="353"/>
      <c r="LWK4" s="353"/>
      <c r="LWL4" s="353"/>
      <c r="LWM4" s="353"/>
      <c r="LWN4" s="353"/>
      <c r="LWO4" s="353"/>
      <c r="LWP4" s="353"/>
      <c r="LWQ4" s="353"/>
      <c r="LWR4" s="353"/>
      <c r="LWS4" s="353"/>
      <c r="LWT4" s="353"/>
      <c r="LWU4" s="353"/>
      <c r="LWV4" s="353"/>
      <c r="LWW4" s="353"/>
      <c r="LWX4" s="353"/>
      <c r="LWY4" s="353"/>
      <c r="LWZ4" s="353"/>
      <c r="LXA4" s="353"/>
      <c r="LXB4" s="353"/>
      <c r="LXC4" s="353"/>
      <c r="LXD4" s="353"/>
      <c r="LXE4" s="353"/>
      <c r="LXF4" s="353"/>
      <c r="LXG4" s="353"/>
      <c r="LXH4" s="353"/>
      <c r="LXI4" s="353"/>
      <c r="LXJ4" s="353"/>
      <c r="LXK4" s="353"/>
      <c r="LXL4" s="353"/>
      <c r="LXM4" s="353"/>
      <c r="LXN4" s="353"/>
      <c r="LXO4" s="353"/>
      <c r="LXP4" s="353"/>
      <c r="LXQ4" s="353"/>
      <c r="LXR4" s="353"/>
      <c r="LXS4" s="353"/>
      <c r="LXT4" s="353"/>
      <c r="LXU4" s="353"/>
      <c r="LXV4" s="353"/>
      <c r="LXW4" s="353"/>
      <c r="LXX4" s="353"/>
      <c r="LXY4" s="353"/>
      <c r="LXZ4" s="353"/>
      <c r="LYA4" s="353"/>
      <c r="LYB4" s="353"/>
      <c r="LYC4" s="353"/>
      <c r="LYD4" s="353"/>
      <c r="LYE4" s="353"/>
      <c r="LYF4" s="353"/>
      <c r="LYG4" s="353"/>
      <c r="LYH4" s="353"/>
      <c r="LYI4" s="353"/>
      <c r="LYJ4" s="353"/>
      <c r="LYK4" s="353"/>
      <c r="LYL4" s="353"/>
      <c r="LYM4" s="353"/>
      <c r="LYN4" s="353"/>
      <c r="LYO4" s="353"/>
      <c r="LYP4" s="353"/>
      <c r="LYQ4" s="353"/>
      <c r="LYR4" s="353"/>
      <c r="LYS4" s="353"/>
      <c r="LYT4" s="353"/>
      <c r="LYU4" s="353"/>
      <c r="LYV4" s="353"/>
      <c r="LYW4" s="353"/>
      <c r="LYX4" s="353"/>
      <c r="LYY4" s="353"/>
      <c r="LYZ4" s="353"/>
      <c r="LZA4" s="353"/>
      <c r="LZB4" s="353"/>
      <c r="LZC4" s="353"/>
      <c r="LZD4" s="353"/>
      <c r="LZE4" s="353"/>
      <c r="LZF4" s="353"/>
      <c r="LZG4" s="353"/>
      <c r="LZH4" s="353"/>
      <c r="LZI4" s="353"/>
      <c r="LZJ4" s="353"/>
      <c r="LZK4" s="353"/>
      <c r="LZL4" s="353"/>
      <c r="LZM4" s="353"/>
      <c r="LZN4" s="353"/>
      <c r="LZO4" s="353"/>
      <c r="LZP4" s="353"/>
      <c r="LZQ4" s="353"/>
      <c r="LZR4" s="353"/>
      <c r="LZS4" s="353"/>
      <c r="LZT4" s="353"/>
      <c r="LZU4" s="353"/>
      <c r="LZV4" s="353"/>
      <c r="LZW4" s="353"/>
      <c r="LZX4" s="353"/>
      <c r="LZY4" s="353"/>
      <c r="LZZ4" s="353"/>
      <c r="MAA4" s="353"/>
      <c r="MAB4" s="353"/>
      <c r="MAC4" s="353"/>
      <c r="MAD4" s="353"/>
      <c r="MAE4" s="353"/>
      <c r="MAF4" s="353"/>
      <c r="MAG4" s="353"/>
      <c r="MAH4" s="353"/>
      <c r="MAI4" s="353"/>
      <c r="MAJ4" s="353"/>
      <c r="MAK4" s="353"/>
      <c r="MAL4" s="353"/>
      <c r="MAM4" s="353"/>
      <c r="MAN4" s="353"/>
      <c r="MAO4" s="353"/>
      <c r="MAP4" s="353"/>
      <c r="MAQ4" s="353"/>
      <c r="MAR4" s="353"/>
      <c r="MAS4" s="353"/>
      <c r="MAT4" s="353"/>
      <c r="MAU4" s="353"/>
      <c r="MAV4" s="353"/>
      <c r="MAW4" s="353"/>
      <c r="MAX4" s="353"/>
      <c r="MAY4" s="353"/>
      <c r="MAZ4" s="353"/>
      <c r="MBA4" s="353"/>
      <c r="MBB4" s="353"/>
      <c r="MBC4" s="353"/>
      <c r="MBD4" s="353"/>
      <c r="MBE4" s="353"/>
      <c r="MBF4" s="353"/>
      <c r="MBG4" s="353"/>
      <c r="MBH4" s="353"/>
      <c r="MBI4" s="353"/>
      <c r="MBJ4" s="353"/>
      <c r="MBK4" s="353"/>
      <c r="MBL4" s="353"/>
      <c r="MBM4" s="353"/>
      <c r="MBN4" s="353"/>
      <c r="MBO4" s="353"/>
      <c r="MBP4" s="353"/>
      <c r="MBQ4" s="353"/>
      <c r="MBR4" s="353"/>
      <c r="MBS4" s="353"/>
      <c r="MBT4" s="353"/>
      <c r="MBU4" s="353"/>
      <c r="MBV4" s="353"/>
      <c r="MBW4" s="353"/>
      <c r="MBX4" s="353"/>
      <c r="MBY4" s="353"/>
      <c r="MBZ4" s="353"/>
      <c r="MCA4" s="353"/>
      <c r="MCB4" s="353"/>
      <c r="MCC4" s="353"/>
      <c r="MCD4" s="353"/>
      <c r="MCE4" s="353"/>
      <c r="MCF4" s="353"/>
      <c r="MCG4" s="353"/>
      <c r="MCH4" s="353"/>
      <c r="MCI4" s="353"/>
      <c r="MCJ4" s="353"/>
      <c r="MCK4" s="353"/>
      <c r="MCL4" s="353"/>
      <c r="MCM4" s="353"/>
      <c r="MCN4" s="353"/>
      <c r="MCO4" s="353"/>
      <c r="MCP4" s="353"/>
      <c r="MCQ4" s="353"/>
      <c r="MCR4" s="353"/>
      <c r="MCS4" s="353"/>
      <c r="MCT4" s="353"/>
      <c r="MCU4" s="353"/>
      <c r="MCV4" s="353"/>
      <c r="MCW4" s="353"/>
      <c r="MCX4" s="353"/>
      <c r="MCY4" s="353"/>
      <c r="MCZ4" s="353"/>
      <c r="MDA4" s="353"/>
      <c r="MDB4" s="353"/>
      <c r="MDC4" s="353"/>
      <c r="MDD4" s="353"/>
      <c r="MDE4" s="353"/>
      <c r="MDF4" s="353"/>
      <c r="MDG4" s="353"/>
      <c r="MDH4" s="353"/>
      <c r="MDI4" s="353"/>
      <c r="MDJ4" s="353"/>
      <c r="MDK4" s="353"/>
      <c r="MDL4" s="353"/>
      <c r="MDM4" s="353"/>
      <c r="MDN4" s="353"/>
      <c r="MDO4" s="353"/>
      <c r="MDP4" s="353"/>
      <c r="MDQ4" s="353"/>
      <c r="MDR4" s="353"/>
      <c r="MDS4" s="353"/>
      <c r="MDT4" s="353"/>
      <c r="MDU4" s="353"/>
      <c r="MDV4" s="353"/>
      <c r="MDW4" s="353"/>
      <c r="MDX4" s="353"/>
      <c r="MDY4" s="353"/>
      <c r="MDZ4" s="353"/>
      <c r="MEA4" s="353"/>
      <c r="MEB4" s="353"/>
      <c r="MEC4" s="353"/>
      <c r="MED4" s="353"/>
      <c r="MEE4" s="353"/>
      <c r="MEF4" s="353"/>
      <c r="MEG4" s="353"/>
      <c r="MEH4" s="353"/>
      <c r="MEI4" s="353"/>
      <c r="MEJ4" s="353"/>
      <c r="MEK4" s="353"/>
      <c r="MEL4" s="353"/>
      <c r="MEM4" s="353"/>
      <c r="MEN4" s="353"/>
      <c r="MEO4" s="353"/>
      <c r="MEP4" s="353"/>
      <c r="MEQ4" s="353"/>
      <c r="MER4" s="353"/>
      <c r="MES4" s="353"/>
      <c r="MET4" s="353"/>
      <c r="MEU4" s="353"/>
      <c r="MEV4" s="353"/>
      <c r="MEW4" s="353"/>
      <c r="MEX4" s="353"/>
      <c r="MEY4" s="353"/>
      <c r="MEZ4" s="353"/>
      <c r="MFA4" s="353"/>
      <c r="MFB4" s="353"/>
      <c r="MFC4" s="353"/>
      <c r="MFD4" s="353"/>
      <c r="MFE4" s="353"/>
      <c r="MFF4" s="353"/>
      <c r="MFG4" s="353"/>
      <c r="MFH4" s="353"/>
      <c r="MFI4" s="353"/>
      <c r="MFJ4" s="353"/>
      <c r="MFK4" s="353"/>
      <c r="MFL4" s="353"/>
      <c r="MFM4" s="353"/>
      <c r="MFN4" s="353"/>
      <c r="MFO4" s="353"/>
      <c r="MFP4" s="353"/>
      <c r="MFQ4" s="353"/>
      <c r="MFR4" s="353"/>
      <c r="MFS4" s="353"/>
      <c r="MFT4" s="353"/>
      <c r="MFU4" s="353"/>
      <c r="MFV4" s="353"/>
      <c r="MFW4" s="353"/>
      <c r="MFX4" s="353"/>
      <c r="MFY4" s="353"/>
      <c r="MFZ4" s="353"/>
      <c r="MGA4" s="353"/>
      <c r="MGB4" s="353"/>
      <c r="MGC4" s="353"/>
      <c r="MGD4" s="353"/>
      <c r="MGE4" s="353"/>
      <c r="MGF4" s="353"/>
      <c r="MGG4" s="353"/>
      <c r="MGH4" s="353"/>
      <c r="MGI4" s="353"/>
      <c r="MGJ4" s="353"/>
      <c r="MGK4" s="353"/>
      <c r="MGL4" s="353"/>
      <c r="MGM4" s="353"/>
      <c r="MGN4" s="353"/>
      <c r="MGO4" s="353"/>
      <c r="MGP4" s="353"/>
      <c r="MGQ4" s="353"/>
      <c r="MGR4" s="353"/>
      <c r="MGS4" s="353"/>
      <c r="MGT4" s="353"/>
      <c r="MGU4" s="353"/>
      <c r="MGV4" s="353"/>
      <c r="MGW4" s="353"/>
      <c r="MGX4" s="353"/>
      <c r="MGY4" s="353"/>
      <c r="MGZ4" s="353"/>
      <c r="MHA4" s="353"/>
      <c r="MHB4" s="353"/>
      <c r="MHC4" s="353"/>
      <c r="MHD4" s="353"/>
      <c r="MHE4" s="353"/>
      <c r="MHF4" s="353"/>
      <c r="MHG4" s="353"/>
      <c r="MHH4" s="353"/>
      <c r="MHI4" s="353"/>
      <c r="MHJ4" s="353"/>
      <c r="MHK4" s="353"/>
      <c r="MHL4" s="353"/>
      <c r="MHM4" s="353"/>
      <c r="MHN4" s="353"/>
      <c r="MHO4" s="353"/>
      <c r="MHP4" s="353"/>
      <c r="MHQ4" s="353"/>
      <c r="MHR4" s="353"/>
      <c r="MHS4" s="353"/>
      <c r="MHT4" s="353"/>
      <c r="MHU4" s="353"/>
      <c r="MHV4" s="353"/>
      <c r="MHW4" s="353"/>
      <c r="MHX4" s="353"/>
      <c r="MHY4" s="353"/>
      <c r="MHZ4" s="353"/>
      <c r="MIA4" s="353"/>
      <c r="MIB4" s="353"/>
      <c r="MIC4" s="353"/>
      <c r="MID4" s="353"/>
      <c r="MIE4" s="353"/>
      <c r="MIF4" s="353"/>
      <c r="MIG4" s="353"/>
      <c r="MIH4" s="353"/>
      <c r="MII4" s="353"/>
      <c r="MIJ4" s="353"/>
      <c r="MIK4" s="353"/>
      <c r="MIL4" s="353"/>
      <c r="MIM4" s="353"/>
      <c r="MIN4" s="353"/>
      <c r="MIO4" s="353"/>
      <c r="MIP4" s="353"/>
      <c r="MIQ4" s="353"/>
      <c r="MIR4" s="353"/>
      <c r="MIS4" s="353"/>
      <c r="MIT4" s="353"/>
      <c r="MIU4" s="353"/>
      <c r="MIV4" s="353"/>
      <c r="MIW4" s="353"/>
      <c r="MIX4" s="353"/>
      <c r="MIY4" s="353"/>
      <c r="MIZ4" s="353"/>
      <c r="MJA4" s="353"/>
      <c r="MJB4" s="353"/>
      <c r="MJC4" s="353"/>
      <c r="MJD4" s="353"/>
      <c r="MJE4" s="353"/>
      <c r="MJF4" s="353"/>
      <c r="MJG4" s="353"/>
      <c r="MJH4" s="353"/>
      <c r="MJI4" s="353"/>
      <c r="MJJ4" s="353"/>
      <c r="MJK4" s="353"/>
      <c r="MJL4" s="353"/>
      <c r="MJM4" s="353"/>
      <c r="MJN4" s="353"/>
      <c r="MJO4" s="353"/>
      <c r="MJP4" s="353"/>
      <c r="MJQ4" s="353"/>
      <c r="MJR4" s="353"/>
      <c r="MJS4" s="353"/>
      <c r="MJT4" s="353"/>
      <c r="MJU4" s="353"/>
      <c r="MJV4" s="353"/>
      <c r="MJW4" s="353"/>
      <c r="MJX4" s="353"/>
      <c r="MJY4" s="353"/>
      <c r="MJZ4" s="353"/>
      <c r="MKA4" s="353"/>
      <c r="MKB4" s="353"/>
      <c r="MKC4" s="353"/>
      <c r="MKD4" s="353"/>
      <c r="MKE4" s="353"/>
      <c r="MKF4" s="353"/>
      <c r="MKG4" s="353"/>
      <c r="MKH4" s="353"/>
      <c r="MKI4" s="353"/>
      <c r="MKJ4" s="353"/>
      <c r="MKK4" s="353"/>
      <c r="MKL4" s="353"/>
      <c r="MKM4" s="353"/>
      <c r="MKN4" s="353"/>
      <c r="MKO4" s="353"/>
      <c r="MKP4" s="353"/>
      <c r="MKQ4" s="353"/>
      <c r="MKR4" s="353"/>
      <c r="MKS4" s="353"/>
      <c r="MKT4" s="353"/>
      <c r="MKU4" s="353"/>
      <c r="MKV4" s="353"/>
      <c r="MKW4" s="353"/>
      <c r="MKX4" s="353"/>
      <c r="MKY4" s="353"/>
      <c r="MKZ4" s="353"/>
      <c r="MLA4" s="353"/>
      <c r="MLB4" s="353"/>
      <c r="MLC4" s="353"/>
      <c r="MLD4" s="353"/>
      <c r="MLE4" s="353"/>
      <c r="MLF4" s="353"/>
      <c r="MLG4" s="353"/>
      <c r="MLH4" s="353"/>
      <c r="MLI4" s="353"/>
      <c r="MLJ4" s="353"/>
      <c r="MLK4" s="353"/>
      <c r="MLL4" s="353"/>
      <c r="MLM4" s="353"/>
      <c r="MLN4" s="353"/>
      <c r="MLO4" s="353"/>
      <c r="MLP4" s="353"/>
      <c r="MLQ4" s="353"/>
      <c r="MLR4" s="353"/>
      <c r="MLS4" s="353"/>
      <c r="MLT4" s="353"/>
      <c r="MLU4" s="353"/>
      <c r="MLV4" s="353"/>
      <c r="MLW4" s="353"/>
      <c r="MLX4" s="353"/>
      <c r="MLY4" s="353"/>
      <c r="MLZ4" s="353"/>
      <c r="MMA4" s="353"/>
      <c r="MMB4" s="353"/>
      <c r="MMC4" s="353"/>
      <c r="MMD4" s="353"/>
      <c r="MME4" s="353"/>
      <c r="MMF4" s="353"/>
      <c r="MMG4" s="353"/>
      <c r="MMH4" s="353"/>
      <c r="MMI4" s="353"/>
      <c r="MMJ4" s="353"/>
      <c r="MMK4" s="353"/>
      <c r="MML4" s="353"/>
      <c r="MMM4" s="353"/>
      <c r="MMN4" s="353"/>
      <c r="MMO4" s="353"/>
      <c r="MMP4" s="353"/>
      <c r="MMQ4" s="353"/>
      <c r="MMR4" s="353"/>
      <c r="MMS4" s="353"/>
      <c r="MMT4" s="353"/>
      <c r="MMU4" s="353"/>
      <c r="MMV4" s="353"/>
      <c r="MMW4" s="353"/>
      <c r="MMX4" s="353"/>
      <c r="MMY4" s="353"/>
      <c r="MMZ4" s="353"/>
      <c r="MNA4" s="353"/>
      <c r="MNB4" s="353"/>
      <c r="MNC4" s="353"/>
      <c r="MND4" s="353"/>
      <c r="MNE4" s="353"/>
      <c r="MNF4" s="353"/>
      <c r="MNG4" s="353"/>
      <c r="MNH4" s="353"/>
      <c r="MNI4" s="353"/>
      <c r="MNJ4" s="353"/>
      <c r="MNK4" s="353"/>
      <c r="MNL4" s="353"/>
      <c r="MNM4" s="353"/>
      <c r="MNN4" s="353"/>
      <c r="MNO4" s="353"/>
      <c r="MNP4" s="353"/>
      <c r="MNQ4" s="353"/>
      <c r="MNR4" s="353"/>
      <c r="MNS4" s="353"/>
      <c r="MNT4" s="353"/>
      <c r="MNU4" s="353"/>
      <c r="MNV4" s="353"/>
      <c r="MNW4" s="353"/>
      <c r="MNX4" s="353"/>
      <c r="MNY4" s="353"/>
      <c r="MNZ4" s="353"/>
      <c r="MOA4" s="353"/>
      <c r="MOB4" s="353"/>
      <c r="MOC4" s="353"/>
      <c r="MOD4" s="353"/>
      <c r="MOE4" s="353"/>
      <c r="MOF4" s="353"/>
      <c r="MOG4" s="353"/>
      <c r="MOH4" s="353"/>
      <c r="MOI4" s="353"/>
      <c r="MOJ4" s="353"/>
      <c r="MOK4" s="353"/>
      <c r="MOL4" s="353"/>
      <c r="MOM4" s="353"/>
      <c r="MON4" s="353"/>
      <c r="MOO4" s="353"/>
      <c r="MOP4" s="353"/>
      <c r="MOQ4" s="353"/>
      <c r="MOR4" s="353"/>
      <c r="MOS4" s="353"/>
      <c r="MOT4" s="353"/>
      <c r="MOU4" s="353"/>
      <c r="MOV4" s="353"/>
      <c r="MOW4" s="353"/>
      <c r="MOX4" s="353"/>
      <c r="MOY4" s="353"/>
      <c r="MOZ4" s="353"/>
      <c r="MPA4" s="353"/>
      <c r="MPB4" s="353"/>
      <c r="MPC4" s="353"/>
      <c r="MPD4" s="353"/>
      <c r="MPE4" s="353"/>
      <c r="MPF4" s="353"/>
      <c r="MPG4" s="353"/>
      <c r="MPH4" s="353"/>
      <c r="MPI4" s="353"/>
      <c r="MPJ4" s="353"/>
      <c r="MPK4" s="353"/>
      <c r="MPL4" s="353"/>
      <c r="MPM4" s="353"/>
      <c r="MPN4" s="353"/>
      <c r="MPO4" s="353"/>
      <c r="MPP4" s="353"/>
      <c r="MPQ4" s="353"/>
      <c r="MPR4" s="353"/>
      <c r="MPS4" s="353"/>
      <c r="MPT4" s="353"/>
      <c r="MPU4" s="353"/>
      <c r="MPV4" s="353"/>
      <c r="MPW4" s="353"/>
      <c r="MPX4" s="353"/>
      <c r="MPY4" s="353"/>
      <c r="MPZ4" s="353"/>
      <c r="MQA4" s="353"/>
      <c r="MQB4" s="353"/>
      <c r="MQC4" s="353"/>
      <c r="MQD4" s="353"/>
      <c r="MQE4" s="353"/>
      <c r="MQF4" s="353"/>
      <c r="MQG4" s="353"/>
      <c r="MQH4" s="353"/>
      <c r="MQI4" s="353"/>
      <c r="MQJ4" s="353"/>
      <c r="MQK4" s="353"/>
      <c r="MQL4" s="353"/>
      <c r="MQM4" s="353"/>
      <c r="MQN4" s="353"/>
      <c r="MQO4" s="353"/>
      <c r="MQP4" s="353"/>
      <c r="MQQ4" s="353"/>
      <c r="MQR4" s="353"/>
      <c r="MQS4" s="353"/>
      <c r="MQT4" s="353"/>
      <c r="MQU4" s="353"/>
      <c r="MQV4" s="353"/>
      <c r="MQW4" s="353"/>
      <c r="MQX4" s="353"/>
      <c r="MQY4" s="353"/>
      <c r="MQZ4" s="353"/>
      <c r="MRA4" s="353"/>
      <c r="MRB4" s="353"/>
      <c r="MRC4" s="353"/>
      <c r="MRD4" s="353"/>
      <c r="MRE4" s="353"/>
      <c r="MRF4" s="353"/>
      <c r="MRG4" s="353"/>
      <c r="MRH4" s="353"/>
      <c r="MRI4" s="353"/>
      <c r="MRJ4" s="353"/>
      <c r="MRK4" s="353"/>
      <c r="MRL4" s="353"/>
      <c r="MRM4" s="353"/>
      <c r="MRN4" s="353"/>
      <c r="MRO4" s="353"/>
      <c r="MRP4" s="353"/>
      <c r="MRQ4" s="353"/>
      <c r="MRR4" s="353"/>
      <c r="MRS4" s="353"/>
      <c r="MRT4" s="353"/>
      <c r="MRU4" s="353"/>
      <c r="MRV4" s="353"/>
      <c r="MRW4" s="353"/>
      <c r="MRX4" s="353"/>
      <c r="MRY4" s="353"/>
      <c r="MRZ4" s="353"/>
      <c r="MSA4" s="353"/>
      <c r="MSB4" s="353"/>
      <c r="MSC4" s="353"/>
      <c r="MSD4" s="353"/>
      <c r="MSE4" s="353"/>
      <c r="MSF4" s="353"/>
      <c r="MSG4" s="353"/>
      <c r="MSH4" s="353"/>
      <c r="MSI4" s="353"/>
      <c r="MSJ4" s="353"/>
      <c r="MSK4" s="353"/>
      <c r="MSL4" s="353"/>
      <c r="MSM4" s="353"/>
      <c r="MSN4" s="353"/>
      <c r="MSO4" s="353"/>
      <c r="MSP4" s="353"/>
      <c r="MSQ4" s="353"/>
      <c r="MSR4" s="353"/>
      <c r="MSS4" s="353"/>
      <c r="MST4" s="353"/>
      <c r="MSU4" s="353"/>
      <c r="MSV4" s="353"/>
      <c r="MSW4" s="353"/>
      <c r="MSX4" s="353"/>
      <c r="MSY4" s="353"/>
      <c r="MSZ4" s="353"/>
      <c r="MTA4" s="353"/>
      <c r="MTB4" s="353"/>
      <c r="MTC4" s="353"/>
      <c r="MTD4" s="353"/>
      <c r="MTE4" s="353"/>
      <c r="MTF4" s="353"/>
      <c r="MTG4" s="353"/>
      <c r="MTH4" s="353"/>
      <c r="MTI4" s="353"/>
      <c r="MTJ4" s="353"/>
      <c r="MTK4" s="353"/>
      <c r="MTL4" s="353"/>
      <c r="MTM4" s="353"/>
      <c r="MTN4" s="353"/>
      <c r="MTO4" s="353"/>
      <c r="MTP4" s="353"/>
      <c r="MTQ4" s="353"/>
      <c r="MTR4" s="353"/>
      <c r="MTS4" s="353"/>
      <c r="MTT4" s="353"/>
      <c r="MTU4" s="353"/>
      <c r="MTV4" s="353"/>
      <c r="MTW4" s="353"/>
      <c r="MTX4" s="353"/>
      <c r="MTY4" s="353"/>
      <c r="MTZ4" s="353"/>
      <c r="MUA4" s="353"/>
      <c r="MUB4" s="353"/>
      <c r="MUC4" s="353"/>
      <c r="MUD4" s="353"/>
      <c r="MUE4" s="353"/>
      <c r="MUF4" s="353"/>
      <c r="MUG4" s="353"/>
      <c r="MUH4" s="353"/>
      <c r="MUI4" s="353"/>
      <c r="MUJ4" s="353"/>
      <c r="MUK4" s="353"/>
      <c r="MUL4" s="353"/>
      <c r="MUM4" s="353"/>
      <c r="MUN4" s="353"/>
      <c r="MUO4" s="353"/>
      <c r="MUP4" s="353"/>
      <c r="MUQ4" s="353"/>
      <c r="MUR4" s="353"/>
      <c r="MUS4" s="353"/>
      <c r="MUT4" s="353"/>
      <c r="MUU4" s="353"/>
      <c r="MUV4" s="353"/>
      <c r="MUW4" s="353"/>
      <c r="MUX4" s="353"/>
      <c r="MUY4" s="353"/>
      <c r="MUZ4" s="353"/>
      <c r="MVA4" s="353"/>
      <c r="MVB4" s="353"/>
      <c r="MVC4" s="353"/>
      <c r="MVD4" s="353"/>
      <c r="MVE4" s="353"/>
      <c r="MVF4" s="353"/>
      <c r="MVG4" s="353"/>
      <c r="MVH4" s="353"/>
      <c r="MVI4" s="353"/>
      <c r="MVJ4" s="353"/>
      <c r="MVK4" s="353"/>
      <c r="MVL4" s="353"/>
      <c r="MVM4" s="353"/>
      <c r="MVN4" s="353"/>
      <c r="MVO4" s="353"/>
      <c r="MVP4" s="353"/>
      <c r="MVQ4" s="353"/>
      <c r="MVR4" s="353"/>
      <c r="MVS4" s="353"/>
      <c r="MVT4" s="353"/>
      <c r="MVU4" s="353"/>
      <c r="MVV4" s="353"/>
      <c r="MVW4" s="353"/>
      <c r="MVX4" s="353"/>
      <c r="MVY4" s="353"/>
      <c r="MVZ4" s="353"/>
      <c r="MWA4" s="353"/>
      <c r="MWB4" s="353"/>
      <c r="MWC4" s="353"/>
      <c r="MWD4" s="353"/>
      <c r="MWE4" s="353"/>
      <c r="MWF4" s="353"/>
      <c r="MWG4" s="353"/>
      <c r="MWH4" s="353"/>
      <c r="MWI4" s="353"/>
      <c r="MWJ4" s="353"/>
      <c r="MWK4" s="353"/>
      <c r="MWL4" s="353"/>
      <c r="MWM4" s="353"/>
      <c r="MWN4" s="353"/>
      <c r="MWO4" s="353"/>
      <c r="MWP4" s="353"/>
      <c r="MWQ4" s="353"/>
      <c r="MWR4" s="353"/>
      <c r="MWS4" s="353"/>
      <c r="MWT4" s="353"/>
      <c r="MWU4" s="353"/>
      <c r="MWV4" s="353"/>
      <c r="MWW4" s="353"/>
      <c r="MWX4" s="353"/>
      <c r="MWY4" s="353"/>
      <c r="MWZ4" s="353"/>
      <c r="MXA4" s="353"/>
      <c r="MXB4" s="353"/>
      <c r="MXC4" s="353"/>
      <c r="MXD4" s="353"/>
      <c r="MXE4" s="353"/>
      <c r="MXF4" s="353"/>
      <c r="MXG4" s="353"/>
      <c r="MXH4" s="353"/>
      <c r="MXI4" s="353"/>
      <c r="MXJ4" s="353"/>
      <c r="MXK4" s="353"/>
      <c r="MXL4" s="353"/>
      <c r="MXM4" s="353"/>
      <c r="MXN4" s="353"/>
      <c r="MXO4" s="353"/>
      <c r="MXP4" s="353"/>
      <c r="MXQ4" s="353"/>
      <c r="MXR4" s="353"/>
      <c r="MXS4" s="353"/>
      <c r="MXT4" s="353"/>
      <c r="MXU4" s="353"/>
      <c r="MXV4" s="353"/>
      <c r="MXW4" s="353"/>
      <c r="MXX4" s="353"/>
      <c r="MXY4" s="353"/>
      <c r="MXZ4" s="353"/>
      <c r="MYA4" s="353"/>
      <c r="MYB4" s="353"/>
      <c r="MYC4" s="353"/>
      <c r="MYD4" s="353"/>
      <c r="MYE4" s="353"/>
      <c r="MYF4" s="353"/>
      <c r="MYG4" s="353"/>
      <c r="MYH4" s="353"/>
      <c r="MYI4" s="353"/>
      <c r="MYJ4" s="353"/>
      <c r="MYK4" s="353"/>
      <c r="MYL4" s="353"/>
      <c r="MYM4" s="353"/>
      <c r="MYN4" s="353"/>
      <c r="MYO4" s="353"/>
      <c r="MYP4" s="353"/>
      <c r="MYQ4" s="353"/>
      <c r="MYR4" s="353"/>
      <c r="MYS4" s="353"/>
      <c r="MYT4" s="353"/>
      <c r="MYU4" s="353"/>
      <c r="MYV4" s="353"/>
      <c r="MYW4" s="353"/>
      <c r="MYX4" s="353"/>
      <c r="MYY4" s="353"/>
      <c r="MYZ4" s="353"/>
      <c r="MZA4" s="353"/>
      <c r="MZB4" s="353"/>
      <c r="MZC4" s="353"/>
      <c r="MZD4" s="353"/>
      <c r="MZE4" s="353"/>
      <c r="MZF4" s="353"/>
      <c r="MZG4" s="353"/>
      <c r="MZH4" s="353"/>
      <c r="MZI4" s="353"/>
      <c r="MZJ4" s="353"/>
      <c r="MZK4" s="353"/>
      <c r="MZL4" s="353"/>
      <c r="MZM4" s="353"/>
      <c r="MZN4" s="353"/>
      <c r="MZO4" s="353"/>
      <c r="MZP4" s="353"/>
      <c r="MZQ4" s="353"/>
      <c r="MZR4" s="353"/>
      <c r="MZS4" s="353"/>
      <c r="MZT4" s="353"/>
      <c r="MZU4" s="353"/>
      <c r="MZV4" s="353"/>
      <c r="MZW4" s="353"/>
      <c r="MZX4" s="353"/>
      <c r="MZY4" s="353"/>
      <c r="MZZ4" s="353"/>
      <c r="NAA4" s="353"/>
      <c r="NAB4" s="353"/>
      <c r="NAC4" s="353"/>
      <c r="NAD4" s="353"/>
      <c r="NAE4" s="353"/>
      <c r="NAF4" s="353"/>
      <c r="NAG4" s="353"/>
      <c r="NAH4" s="353"/>
      <c r="NAI4" s="353"/>
      <c r="NAJ4" s="353"/>
      <c r="NAK4" s="353"/>
      <c r="NAL4" s="353"/>
      <c r="NAM4" s="353"/>
      <c r="NAN4" s="353"/>
      <c r="NAO4" s="353"/>
      <c r="NAP4" s="353"/>
      <c r="NAQ4" s="353"/>
      <c r="NAR4" s="353"/>
      <c r="NAS4" s="353"/>
      <c r="NAT4" s="353"/>
      <c r="NAU4" s="353"/>
      <c r="NAV4" s="353"/>
      <c r="NAW4" s="353"/>
      <c r="NAX4" s="353"/>
      <c r="NAY4" s="353"/>
      <c r="NAZ4" s="353"/>
      <c r="NBA4" s="353"/>
      <c r="NBB4" s="353"/>
      <c r="NBC4" s="353"/>
      <c r="NBD4" s="353"/>
      <c r="NBE4" s="353"/>
      <c r="NBF4" s="353"/>
      <c r="NBG4" s="353"/>
      <c r="NBH4" s="353"/>
      <c r="NBI4" s="353"/>
      <c r="NBJ4" s="353"/>
      <c r="NBK4" s="353"/>
      <c r="NBL4" s="353"/>
      <c r="NBM4" s="353"/>
      <c r="NBN4" s="353"/>
      <c r="NBO4" s="353"/>
      <c r="NBP4" s="353"/>
      <c r="NBQ4" s="353"/>
      <c r="NBR4" s="353"/>
      <c r="NBS4" s="353"/>
      <c r="NBT4" s="353"/>
      <c r="NBU4" s="353"/>
      <c r="NBV4" s="353"/>
      <c r="NBW4" s="353"/>
      <c r="NBX4" s="353"/>
      <c r="NBY4" s="353"/>
      <c r="NBZ4" s="353"/>
      <c r="NCA4" s="353"/>
      <c r="NCB4" s="353"/>
      <c r="NCC4" s="353"/>
      <c r="NCD4" s="353"/>
      <c r="NCE4" s="353"/>
      <c r="NCF4" s="353"/>
      <c r="NCG4" s="353"/>
      <c r="NCH4" s="353"/>
      <c r="NCI4" s="353"/>
      <c r="NCJ4" s="353"/>
      <c r="NCK4" s="353"/>
      <c r="NCL4" s="353"/>
      <c r="NCM4" s="353"/>
      <c r="NCN4" s="353"/>
      <c r="NCO4" s="353"/>
      <c r="NCP4" s="353"/>
      <c r="NCQ4" s="353"/>
      <c r="NCR4" s="353"/>
      <c r="NCS4" s="353"/>
      <c r="NCT4" s="353"/>
      <c r="NCU4" s="353"/>
      <c r="NCV4" s="353"/>
      <c r="NCW4" s="353"/>
      <c r="NCX4" s="353"/>
      <c r="NCY4" s="353"/>
      <c r="NCZ4" s="353"/>
      <c r="NDA4" s="353"/>
      <c r="NDB4" s="353"/>
      <c r="NDC4" s="353"/>
      <c r="NDD4" s="353"/>
      <c r="NDE4" s="353"/>
      <c r="NDF4" s="353"/>
      <c r="NDG4" s="353"/>
      <c r="NDH4" s="353"/>
      <c r="NDI4" s="353"/>
      <c r="NDJ4" s="353"/>
      <c r="NDK4" s="353"/>
      <c r="NDL4" s="353"/>
      <c r="NDM4" s="353"/>
      <c r="NDN4" s="353"/>
      <c r="NDO4" s="353"/>
      <c r="NDP4" s="353"/>
      <c r="NDQ4" s="353"/>
      <c r="NDR4" s="353"/>
      <c r="NDS4" s="353"/>
      <c r="NDT4" s="353"/>
      <c r="NDU4" s="353"/>
      <c r="NDV4" s="353"/>
      <c r="NDW4" s="353"/>
      <c r="NDX4" s="353"/>
      <c r="NDY4" s="353"/>
      <c r="NDZ4" s="353"/>
      <c r="NEA4" s="353"/>
      <c r="NEB4" s="353"/>
      <c r="NEC4" s="353"/>
      <c r="NED4" s="353"/>
      <c r="NEE4" s="353"/>
      <c r="NEF4" s="353"/>
      <c r="NEG4" s="353"/>
      <c r="NEH4" s="353"/>
      <c r="NEI4" s="353"/>
      <c r="NEJ4" s="353"/>
      <c r="NEK4" s="353"/>
      <c r="NEL4" s="353"/>
      <c r="NEM4" s="353"/>
      <c r="NEN4" s="353"/>
      <c r="NEO4" s="353"/>
      <c r="NEP4" s="353"/>
      <c r="NEQ4" s="353"/>
      <c r="NER4" s="353"/>
      <c r="NES4" s="353"/>
      <c r="NET4" s="353"/>
      <c r="NEU4" s="353"/>
      <c r="NEV4" s="353"/>
      <c r="NEW4" s="353"/>
      <c r="NEX4" s="353"/>
      <c r="NEY4" s="353"/>
      <c r="NEZ4" s="353"/>
      <c r="NFA4" s="353"/>
      <c r="NFB4" s="353"/>
      <c r="NFC4" s="353"/>
      <c r="NFD4" s="353"/>
      <c r="NFE4" s="353"/>
      <c r="NFF4" s="353"/>
      <c r="NFG4" s="353"/>
      <c r="NFH4" s="353"/>
      <c r="NFI4" s="353"/>
      <c r="NFJ4" s="353"/>
      <c r="NFK4" s="353"/>
      <c r="NFL4" s="353"/>
      <c r="NFM4" s="353"/>
      <c r="NFN4" s="353"/>
      <c r="NFO4" s="353"/>
      <c r="NFP4" s="353"/>
      <c r="NFQ4" s="353"/>
      <c r="NFR4" s="353"/>
      <c r="NFS4" s="353"/>
      <c r="NFT4" s="353"/>
      <c r="NFU4" s="353"/>
      <c r="NFV4" s="353"/>
      <c r="NFW4" s="353"/>
      <c r="NFX4" s="353"/>
      <c r="NFY4" s="353"/>
      <c r="NFZ4" s="353"/>
      <c r="NGA4" s="353"/>
      <c r="NGB4" s="353"/>
      <c r="NGC4" s="353"/>
      <c r="NGD4" s="353"/>
      <c r="NGE4" s="353"/>
      <c r="NGF4" s="353"/>
      <c r="NGG4" s="353"/>
      <c r="NGH4" s="353"/>
      <c r="NGI4" s="353"/>
      <c r="NGJ4" s="353"/>
      <c r="NGK4" s="353"/>
      <c r="NGL4" s="353"/>
      <c r="NGM4" s="353"/>
      <c r="NGN4" s="353"/>
      <c r="NGO4" s="353"/>
      <c r="NGP4" s="353"/>
      <c r="NGQ4" s="353"/>
      <c r="NGR4" s="353"/>
      <c r="NGS4" s="353"/>
      <c r="NGT4" s="353"/>
      <c r="NGU4" s="353"/>
      <c r="NGV4" s="353"/>
      <c r="NGW4" s="353"/>
      <c r="NGX4" s="353"/>
      <c r="NGY4" s="353"/>
      <c r="NGZ4" s="353"/>
      <c r="NHA4" s="353"/>
      <c r="NHB4" s="353"/>
      <c r="NHC4" s="353"/>
      <c r="NHD4" s="353"/>
      <c r="NHE4" s="353"/>
      <c r="NHF4" s="353"/>
      <c r="NHG4" s="353"/>
      <c r="NHH4" s="353"/>
      <c r="NHI4" s="353"/>
      <c r="NHJ4" s="353"/>
      <c r="NHK4" s="353"/>
      <c r="NHL4" s="353"/>
      <c r="NHM4" s="353"/>
      <c r="NHN4" s="353"/>
      <c r="NHO4" s="353"/>
      <c r="NHP4" s="353"/>
      <c r="NHQ4" s="353"/>
      <c r="NHR4" s="353"/>
      <c r="NHS4" s="353"/>
      <c r="NHT4" s="353"/>
      <c r="NHU4" s="353"/>
      <c r="NHV4" s="353"/>
      <c r="NHW4" s="353"/>
      <c r="NHX4" s="353"/>
      <c r="NHY4" s="353"/>
      <c r="NHZ4" s="353"/>
      <c r="NIA4" s="353"/>
      <c r="NIB4" s="353"/>
      <c r="NIC4" s="353"/>
      <c r="NID4" s="353"/>
      <c r="NIE4" s="353"/>
      <c r="NIF4" s="353"/>
      <c r="NIG4" s="353"/>
      <c r="NIH4" s="353"/>
      <c r="NII4" s="353"/>
      <c r="NIJ4" s="353"/>
      <c r="NIK4" s="353"/>
      <c r="NIL4" s="353"/>
      <c r="NIM4" s="353"/>
      <c r="NIN4" s="353"/>
      <c r="NIO4" s="353"/>
      <c r="NIP4" s="353"/>
      <c r="NIQ4" s="353"/>
      <c r="NIR4" s="353"/>
      <c r="NIS4" s="353"/>
      <c r="NIT4" s="353"/>
      <c r="NIU4" s="353"/>
      <c r="NIV4" s="353"/>
      <c r="NIW4" s="353"/>
      <c r="NIX4" s="353"/>
      <c r="NIY4" s="353"/>
      <c r="NIZ4" s="353"/>
      <c r="NJA4" s="353"/>
      <c r="NJB4" s="353"/>
      <c r="NJC4" s="353"/>
      <c r="NJD4" s="353"/>
      <c r="NJE4" s="353"/>
      <c r="NJF4" s="353"/>
      <c r="NJG4" s="353"/>
      <c r="NJH4" s="353"/>
      <c r="NJI4" s="353"/>
      <c r="NJJ4" s="353"/>
      <c r="NJK4" s="353"/>
      <c r="NJL4" s="353"/>
      <c r="NJM4" s="353"/>
      <c r="NJN4" s="353"/>
      <c r="NJO4" s="353"/>
      <c r="NJP4" s="353"/>
      <c r="NJQ4" s="353"/>
      <c r="NJR4" s="353"/>
      <c r="NJS4" s="353"/>
      <c r="NJT4" s="353"/>
      <c r="NJU4" s="353"/>
      <c r="NJV4" s="353"/>
      <c r="NJW4" s="353"/>
      <c r="NJX4" s="353"/>
      <c r="NJY4" s="353"/>
      <c r="NJZ4" s="353"/>
      <c r="NKA4" s="353"/>
      <c r="NKB4" s="353"/>
      <c r="NKC4" s="353"/>
      <c r="NKD4" s="353"/>
      <c r="NKE4" s="353"/>
      <c r="NKF4" s="353"/>
      <c r="NKG4" s="353"/>
      <c r="NKH4" s="353"/>
      <c r="NKI4" s="353"/>
      <c r="NKJ4" s="353"/>
      <c r="NKK4" s="353"/>
      <c r="NKL4" s="353"/>
      <c r="NKM4" s="353"/>
      <c r="NKN4" s="353"/>
      <c r="NKO4" s="353"/>
      <c r="NKP4" s="353"/>
      <c r="NKQ4" s="353"/>
      <c r="NKR4" s="353"/>
      <c r="NKS4" s="353"/>
      <c r="NKT4" s="353"/>
      <c r="NKU4" s="353"/>
      <c r="NKV4" s="353"/>
      <c r="NKW4" s="353"/>
      <c r="NKX4" s="353"/>
      <c r="NKY4" s="353"/>
      <c r="NKZ4" s="353"/>
      <c r="NLA4" s="353"/>
      <c r="NLB4" s="353"/>
      <c r="NLC4" s="353"/>
      <c r="NLD4" s="353"/>
      <c r="NLE4" s="353"/>
      <c r="NLF4" s="353"/>
      <c r="NLG4" s="353"/>
      <c r="NLH4" s="353"/>
      <c r="NLI4" s="353"/>
      <c r="NLJ4" s="353"/>
      <c r="NLK4" s="353"/>
      <c r="NLL4" s="353"/>
      <c r="NLM4" s="353"/>
      <c r="NLN4" s="353"/>
      <c r="NLO4" s="353"/>
      <c r="NLP4" s="353"/>
      <c r="NLQ4" s="353"/>
      <c r="NLR4" s="353"/>
      <c r="NLS4" s="353"/>
      <c r="NLT4" s="353"/>
      <c r="NLU4" s="353"/>
      <c r="NLV4" s="353"/>
      <c r="NLW4" s="353"/>
      <c r="NLX4" s="353"/>
      <c r="NLY4" s="353"/>
      <c r="NLZ4" s="353"/>
      <c r="NMA4" s="353"/>
      <c r="NMB4" s="353"/>
      <c r="NMC4" s="353"/>
      <c r="NMD4" s="353"/>
      <c r="NME4" s="353"/>
      <c r="NMF4" s="353"/>
      <c r="NMG4" s="353"/>
      <c r="NMH4" s="353"/>
      <c r="NMI4" s="353"/>
      <c r="NMJ4" s="353"/>
      <c r="NMK4" s="353"/>
      <c r="NML4" s="353"/>
      <c r="NMM4" s="353"/>
      <c r="NMN4" s="353"/>
      <c r="NMO4" s="353"/>
      <c r="NMP4" s="353"/>
      <c r="NMQ4" s="353"/>
      <c r="NMR4" s="353"/>
      <c r="NMS4" s="353"/>
      <c r="NMT4" s="353"/>
      <c r="NMU4" s="353"/>
      <c r="NMV4" s="353"/>
      <c r="NMW4" s="353"/>
      <c r="NMX4" s="353"/>
      <c r="NMY4" s="353"/>
      <c r="NMZ4" s="353"/>
      <c r="NNA4" s="353"/>
      <c r="NNB4" s="353"/>
      <c r="NNC4" s="353"/>
      <c r="NND4" s="353"/>
      <c r="NNE4" s="353"/>
      <c r="NNF4" s="353"/>
      <c r="NNG4" s="353"/>
      <c r="NNH4" s="353"/>
      <c r="NNI4" s="353"/>
      <c r="NNJ4" s="353"/>
      <c r="NNK4" s="353"/>
      <c r="NNL4" s="353"/>
      <c r="NNM4" s="353"/>
      <c r="NNN4" s="353"/>
      <c r="NNO4" s="353"/>
      <c r="NNP4" s="353"/>
      <c r="NNQ4" s="353"/>
      <c r="NNR4" s="353"/>
      <c r="NNS4" s="353"/>
      <c r="NNT4" s="353"/>
      <c r="NNU4" s="353"/>
      <c r="NNV4" s="353"/>
      <c r="NNW4" s="353"/>
      <c r="NNX4" s="353"/>
      <c r="NNY4" s="353"/>
      <c r="NNZ4" s="353"/>
      <c r="NOA4" s="353"/>
      <c r="NOB4" s="353"/>
      <c r="NOC4" s="353"/>
      <c r="NOD4" s="353"/>
      <c r="NOE4" s="353"/>
      <c r="NOF4" s="353"/>
      <c r="NOG4" s="353"/>
      <c r="NOH4" s="353"/>
      <c r="NOI4" s="353"/>
      <c r="NOJ4" s="353"/>
      <c r="NOK4" s="353"/>
      <c r="NOL4" s="353"/>
      <c r="NOM4" s="353"/>
      <c r="NON4" s="353"/>
      <c r="NOO4" s="353"/>
      <c r="NOP4" s="353"/>
      <c r="NOQ4" s="353"/>
      <c r="NOR4" s="353"/>
      <c r="NOS4" s="353"/>
      <c r="NOT4" s="353"/>
      <c r="NOU4" s="353"/>
      <c r="NOV4" s="353"/>
      <c r="NOW4" s="353"/>
      <c r="NOX4" s="353"/>
      <c r="NOY4" s="353"/>
      <c r="NOZ4" s="353"/>
      <c r="NPA4" s="353"/>
      <c r="NPB4" s="353"/>
      <c r="NPC4" s="353"/>
      <c r="NPD4" s="353"/>
      <c r="NPE4" s="353"/>
      <c r="NPF4" s="353"/>
      <c r="NPG4" s="353"/>
      <c r="NPH4" s="353"/>
      <c r="NPI4" s="353"/>
      <c r="NPJ4" s="353"/>
      <c r="NPK4" s="353"/>
      <c r="NPL4" s="353"/>
      <c r="NPM4" s="353"/>
      <c r="NPN4" s="353"/>
      <c r="NPO4" s="353"/>
      <c r="NPP4" s="353"/>
      <c r="NPQ4" s="353"/>
      <c r="NPR4" s="353"/>
      <c r="NPS4" s="353"/>
      <c r="NPT4" s="353"/>
      <c r="NPU4" s="353"/>
      <c r="NPV4" s="353"/>
      <c r="NPW4" s="353"/>
      <c r="NPX4" s="353"/>
      <c r="NPY4" s="353"/>
      <c r="NPZ4" s="353"/>
      <c r="NQA4" s="353"/>
      <c r="NQB4" s="353"/>
      <c r="NQC4" s="353"/>
      <c r="NQD4" s="353"/>
      <c r="NQE4" s="353"/>
      <c r="NQF4" s="353"/>
      <c r="NQG4" s="353"/>
      <c r="NQH4" s="353"/>
      <c r="NQI4" s="353"/>
      <c r="NQJ4" s="353"/>
      <c r="NQK4" s="353"/>
      <c r="NQL4" s="353"/>
      <c r="NQM4" s="353"/>
      <c r="NQN4" s="353"/>
      <c r="NQO4" s="353"/>
      <c r="NQP4" s="353"/>
      <c r="NQQ4" s="353"/>
      <c r="NQR4" s="353"/>
      <c r="NQS4" s="353"/>
      <c r="NQT4" s="353"/>
      <c r="NQU4" s="353"/>
      <c r="NQV4" s="353"/>
      <c r="NQW4" s="353"/>
      <c r="NQX4" s="353"/>
      <c r="NQY4" s="353"/>
      <c r="NQZ4" s="353"/>
      <c r="NRA4" s="353"/>
      <c r="NRB4" s="353"/>
      <c r="NRC4" s="353"/>
      <c r="NRD4" s="353"/>
      <c r="NRE4" s="353"/>
      <c r="NRF4" s="353"/>
      <c r="NRG4" s="353"/>
      <c r="NRH4" s="353"/>
      <c r="NRI4" s="353"/>
      <c r="NRJ4" s="353"/>
      <c r="NRK4" s="353"/>
      <c r="NRL4" s="353"/>
      <c r="NRM4" s="353"/>
      <c r="NRN4" s="353"/>
      <c r="NRO4" s="353"/>
      <c r="NRP4" s="353"/>
      <c r="NRQ4" s="353"/>
      <c r="NRR4" s="353"/>
      <c r="NRS4" s="353"/>
      <c r="NRT4" s="353"/>
      <c r="NRU4" s="353"/>
      <c r="NRV4" s="353"/>
      <c r="NRW4" s="353"/>
      <c r="NRX4" s="353"/>
      <c r="NRY4" s="353"/>
      <c r="NRZ4" s="353"/>
      <c r="NSA4" s="353"/>
      <c r="NSB4" s="353"/>
      <c r="NSC4" s="353"/>
      <c r="NSD4" s="353"/>
      <c r="NSE4" s="353"/>
      <c r="NSF4" s="353"/>
      <c r="NSG4" s="353"/>
      <c r="NSH4" s="353"/>
      <c r="NSI4" s="353"/>
      <c r="NSJ4" s="353"/>
      <c r="NSK4" s="353"/>
      <c r="NSL4" s="353"/>
      <c r="NSM4" s="353"/>
      <c r="NSN4" s="353"/>
      <c r="NSO4" s="353"/>
      <c r="NSP4" s="353"/>
      <c r="NSQ4" s="353"/>
      <c r="NSR4" s="353"/>
      <c r="NSS4" s="353"/>
      <c r="NST4" s="353"/>
      <c r="NSU4" s="353"/>
      <c r="NSV4" s="353"/>
      <c r="NSW4" s="353"/>
      <c r="NSX4" s="353"/>
      <c r="NSY4" s="353"/>
      <c r="NSZ4" s="353"/>
      <c r="NTA4" s="353"/>
      <c r="NTB4" s="353"/>
      <c r="NTC4" s="353"/>
      <c r="NTD4" s="353"/>
      <c r="NTE4" s="353"/>
      <c r="NTF4" s="353"/>
      <c r="NTG4" s="353"/>
      <c r="NTH4" s="353"/>
      <c r="NTI4" s="353"/>
      <c r="NTJ4" s="353"/>
      <c r="NTK4" s="353"/>
      <c r="NTL4" s="353"/>
      <c r="NTM4" s="353"/>
      <c r="NTN4" s="353"/>
      <c r="NTO4" s="353"/>
      <c r="NTP4" s="353"/>
      <c r="NTQ4" s="353"/>
      <c r="NTR4" s="353"/>
      <c r="NTS4" s="353"/>
      <c r="NTT4" s="353"/>
      <c r="NTU4" s="353"/>
      <c r="NTV4" s="353"/>
      <c r="NTW4" s="353"/>
      <c r="NTX4" s="353"/>
      <c r="NTY4" s="353"/>
      <c r="NTZ4" s="353"/>
      <c r="NUA4" s="353"/>
      <c r="NUB4" s="353"/>
      <c r="NUC4" s="353"/>
      <c r="NUD4" s="353"/>
      <c r="NUE4" s="353"/>
      <c r="NUF4" s="353"/>
      <c r="NUG4" s="353"/>
      <c r="NUH4" s="353"/>
      <c r="NUI4" s="353"/>
      <c r="NUJ4" s="353"/>
      <c r="NUK4" s="353"/>
      <c r="NUL4" s="353"/>
      <c r="NUM4" s="353"/>
      <c r="NUN4" s="353"/>
      <c r="NUO4" s="353"/>
      <c r="NUP4" s="353"/>
      <c r="NUQ4" s="353"/>
      <c r="NUR4" s="353"/>
      <c r="NUS4" s="353"/>
      <c r="NUT4" s="353"/>
      <c r="NUU4" s="353"/>
      <c r="NUV4" s="353"/>
      <c r="NUW4" s="353"/>
      <c r="NUX4" s="353"/>
      <c r="NUY4" s="353"/>
      <c r="NUZ4" s="353"/>
      <c r="NVA4" s="353"/>
      <c r="NVB4" s="353"/>
      <c r="NVC4" s="353"/>
      <c r="NVD4" s="353"/>
      <c r="NVE4" s="353"/>
      <c r="NVF4" s="353"/>
      <c r="NVG4" s="353"/>
      <c r="NVH4" s="353"/>
      <c r="NVI4" s="353"/>
      <c r="NVJ4" s="353"/>
      <c r="NVK4" s="353"/>
      <c r="NVL4" s="353"/>
      <c r="NVM4" s="353"/>
      <c r="NVN4" s="353"/>
      <c r="NVO4" s="353"/>
      <c r="NVP4" s="353"/>
      <c r="NVQ4" s="353"/>
      <c r="NVR4" s="353"/>
      <c r="NVS4" s="353"/>
      <c r="NVT4" s="353"/>
      <c r="NVU4" s="353"/>
      <c r="NVV4" s="353"/>
      <c r="NVW4" s="353"/>
      <c r="NVX4" s="353"/>
      <c r="NVY4" s="353"/>
      <c r="NVZ4" s="353"/>
      <c r="NWA4" s="353"/>
      <c r="NWB4" s="353"/>
      <c r="NWC4" s="353"/>
      <c r="NWD4" s="353"/>
      <c r="NWE4" s="353"/>
      <c r="NWF4" s="353"/>
      <c r="NWG4" s="353"/>
      <c r="NWH4" s="353"/>
      <c r="NWI4" s="353"/>
      <c r="NWJ4" s="353"/>
      <c r="NWK4" s="353"/>
      <c r="NWL4" s="353"/>
      <c r="NWM4" s="353"/>
      <c r="NWN4" s="353"/>
      <c r="NWO4" s="353"/>
      <c r="NWP4" s="353"/>
      <c r="NWQ4" s="353"/>
      <c r="NWR4" s="353"/>
      <c r="NWS4" s="353"/>
      <c r="NWT4" s="353"/>
      <c r="NWU4" s="353"/>
      <c r="NWV4" s="353"/>
      <c r="NWW4" s="353"/>
      <c r="NWX4" s="353"/>
      <c r="NWY4" s="353"/>
      <c r="NWZ4" s="353"/>
      <c r="NXA4" s="353"/>
      <c r="NXB4" s="353"/>
      <c r="NXC4" s="353"/>
      <c r="NXD4" s="353"/>
      <c r="NXE4" s="353"/>
      <c r="NXF4" s="353"/>
      <c r="NXG4" s="353"/>
      <c r="NXH4" s="353"/>
      <c r="NXI4" s="353"/>
      <c r="NXJ4" s="353"/>
      <c r="NXK4" s="353"/>
      <c r="NXL4" s="353"/>
      <c r="NXM4" s="353"/>
      <c r="NXN4" s="353"/>
      <c r="NXO4" s="353"/>
      <c r="NXP4" s="353"/>
      <c r="NXQ4" s="353"/>
      <c r="NXR4" s="353"/>
      <c r="NXS4" s="353"/>
      <c r="NXT4" s="353"/>
      <c r="NXU4" s="353"/>
      <c r="NXV4" s="353"/>
      <c r="NXW4" s="353"/>
      <c r="NXX4" s="353"/>
      <c r="NXY4" s="353"/>
      <c r="NXZ4" s="353"/>
      <c r="NYA4" s="353"/>
      <c r="NYB4" s="353"/>
      <c r="NYC4" s="353"/>
      <c r="NYD4" s="353"/>
      <c r="NYE4" s="353"/>
      <c r="NYF4" s="353"/>
      <c r="NYG4" s="353"/>
      <c r="NYH4" s="353"/>
      <c r="NYI4" s="353"/>
      <c r="NYJ4" s="353"/>
      <c r="NYK4" s="353"/>
      <c r="NYL4" s="353"/>
      <c r="NYM4" s="353"/>
      <c r="NYN4" s="353"/>
      <c r="NYO4" s="353"/>
      <c r="NYP4" s="353"/>
      <c r="NYQ4" s="353"/>
      <c r="NYR4" s="353"/>
      <c r="NYS4" s="353"/>
      <c r="NYT4" s="353"/>
      <c r="NYU4" s="353"/>
      <c r="NYV4" s="353"/>
      <c r="NYW4" s="353"/>
      <c r="NYX4" s="353"/>
      <c r="NYY4" s="353"/>
      <c r="NYZ4" s="353"/>
      <c r="NZA4" s="353"/>
      <c r="NZB4" s="353"/>
      <c r="NZC4" s="353"/>
      <c r="NZD4" s="353"/>
      <c r="NZE4" s="353"/>
      <c r="NZF4" s="353"/>
      <c r="NZG4" s="353"/>
      <c r="NZH4" s="353"/>
      <c r="NZI4" s="353"/>
      <c r="NZJ4" s="353"/>
      <c r="NZK4" s="353"/>
      <c r="NZL4" s="353"/>
      <c r="NZM4" s="353"/>
      <c r="NZN4" s="353"/>
      <c r="NZO4" s="353"/>
      <c r="NZP4" s="353"/>
      <c r="NZQ4" s="353"/>
      <c r="NZR4" s="353"/>
      <c r="NZS4" s="353"/>
      <c r="NZT4" s="353"/>
      <c r="NZU4" s="353"/>
      <c r="NZV4" s="353"/>
      <c r="NZW4" s="353"/>
      <c r="NZX4" s="353"/>
      <c r="NZY4" s="353"/>
      <c r="NZZ4" s="353"/>
      <c r="OAA4" s="353"/>
      <c r="OAB4" s="353"/>
      <c r="OAC4" s="353"/>
      <c r="OAD4" s="353"/>
      <c r="OAE4" s="353"/>
      <c r="OAF4" s="353"/>
      <c r="OAG4" s="353"/>
      <c r="OAH4" s="353"/>
      <c r="OAI4" s="353"/>
      <c r="OAJ4" s="353"/>
      <c r="OAK4" s="353"/>
      <c r="OAL4" s="353"/>
      <c r="OAM4" s="353"/>
      <c r="OAN4" s="353"/>
      <c r="OAO4" s="353"/>
      <c r="OAP4" s="353"/>
      <c r="OAQ4" s="353"/>
      <c r="OAR4" s="353"/>
      <c r="OAS4" s="353"/>
      <c r="OAT4" s="353"/>
      <c r="OAU4" s="353"/>
      <c r="OAV4" s="353"/>
      <c r="OAW4" s="353"/>
      <c r="OAX4" s="353"/>
      <c r="OAY4" s="353"/>
      <c r="OAZ4" s="353"/>
      <c r="OBA4" s="353"/>
      <c r="OBB4" s="353"/>
      <c r="OBC4" s="353"/>
      <c r="OBD4" s="353"/>
      <c r="OBE4" s="353"/>
      <c r="OBF4" s="353"/>
      <c r="OBG4" s="353"/>
      <c r="OBH4" s="353"/>
      <c r="OBI4" s="353"/>
      <c r="OBJ4" s="353"/>
      <c r="OBK4" s="353"/>
      <c r="OBL4" s="353"/>
      <c r="OBM4" s="353"/>
      <c r="OBN4" s="353"/>
      <c r="OBO4" s="353"/>
      <c r="OBP4" s="353"/>
      <c r="OBQ4" s="353"/>
      <c r="OBR4" s="353"/>
      <c r="OBS4" s="353"/>
      <c r="OBT4" s="353"/>
      <c r="OBU4" s="353"/>
      <c r="OBV4" s="353"/>
      <c r="OBW4" s="353"/>
      <c r="OBX4" s="353"/>
      <c r="OBY4" s="353"/>
      <c r="OBZ4" s="353"/>
      <c r="OCA4" s="353"/>
      <c r="OCB4" s="353"/>
      <c r="OCC4" s="353"/>
      <c r="OCD4" s="353"/>
      <c r="OCE4" s="353"/>
      <c r="OCF4" s="353"/>
      <c r="OCG4" s="353"/>
      <c r="OCH4" s="353"/>
      <c r="OCI4" s="353"/>
      <c r="OCJ4" s="353"/>
      <c r="OCK4" s="353"/>
      <c r="OCL4" s="353"/>
      <c r="OCM4" s="353"/>
      <c r="OCN4" s="353"/>
      <c r="OCO4" s="353"/>
      <c r="OCP4" s="353"/>
      <c r="OCQ4" s="353"/>
      <c r="OCR4" s="353"/>
      <c r="OCS4" s="353"/>
      <c r="OCT4" s="353"/>
      <c r="OCU4" s="353"/>
      <c r="OCV4" s="353"/>
      <c r="OCW4" s="353"/>
      <c r="OCX4" s="353"/>
      <c r="OCY4" s="353"/>
      <c r="OCZ4" s="353"/>
      <c r="ODA4" s="353"/>
      <c r="ODB4" s="353"/>
      <c r="ODC4" s="353"/>
      <c r="ODD4" s="353"/>
      <c r="ODE4" s="353"/>
      <c r="ODF4" s="353"/>
      <c r="ODG4" s="353"/>
      <c r="ODH4" s="353"/>
      <c r="ODI4" s="353"/>
      <c r="ODJ4" s="353"/>
      <c r="ODK4" s="353"/>
      <c r="ODL4" s="353"/>
      <c r="ODM4" s="353"/>
      <c r="ODN4" s="353"/>
      <c r="ODO4" s="353"/>
      <c r="ODP4" s="353"/>
      <c r="ODQ4" s="353"/>
      <c r="ODR4" s="353"/>
      <c r="ODS4" s="353"/>
      <c r="ODT4" s="353"/>
      <c r="ODU4" s="353"/>
      <c r="ODV4" s="353"/>
      <c r="ODW4" s="353"/>
      <c r="ODX4" s="353"/>
      <c r="ODY4" s="353"/>
      <c r="ODZ4" s="353"/>
      <c r="OEA4" s="353"/>
      <c r="OEB4" s="353"/>
      <c r="OEC4" s="353"/>
      <c r="OED4" s="353"/>
      <c r="OEE4" s="353"/>
      <c r="OEF4" s="353"/>
      <c r="OEG4" s="353"/>
      <c r="OEH4" s="353"/>
      <c r="OEI4" s="353"/>
      <c r="OEJ4" s="353"/>
      <c r="OEK4" s="353"/>
      <c r="OEL4" s="353"/>
      <c r="OEM4" s="353"/>
      <c r="OEN4" s="353"/>
      <c r="OEO4" s="353"/>
      <c r="OEP4" s="353"/>
      <c r="OEQ4" s="353"/>
      <c r="OER4" s="353"/>
      <c r="OES4" s="353"/>
      <c r="OET4" s="353"/>
      <c r="OEU4" s="353"/>
      <c r="OEV4" s="353"/>
      <c r="OEW4" s="353"/>
      <c r="OEX4" s="353"/>
      <c r="OEY4" s="353"/>
      <c r="OEZ4" s="353"/>
      <c r="OFA4" s="353"/>
      <c r="OFB4" s="353"/>
      <c r="OFC4" s="353"/>
      <c r="OFD4" s="353"/>
      <c r="OFE4" s="353"/>
      <c r="OFF4" s="353"/>
      <c r="OFG4" s="353"/>
      <c r="OFH4" s="353"/>
      <c r="OFI4" s="353"/>
      <c r="OFJ4" s="353"/>
      <c r="OFK4" s="353"/>
      <c r="OFL4" s="353"/>
      <c r="OFM4" s="353"/>
      <c r="OFN4" s="353"/>
      <c r="OFO4" s="353"/>
      <c r="OFP4" s="353"/>
      <c r="OFQ4" s="353"/>
      <c r="OFR4" s="353"/>
      <c r="OFS4" s="353"/>
      <c r="OFT4" s="353"/>
      <c r="OFU4" s="353"/>
      <c r="OFV4" s="353"/>
      <c r="OFW4" s="353"/>
      <c r="OFX4" s="353"/>
      <c r="OFY4" s="353"/>
      <c r="OFZ4" s="353"/>
      <c r="OGA4" s="353"/>
      <c r="OGB4" s="353"/>
      <c r="OGC4" s="353"/>
      <c r="OGD4" s="353"/>
      <c r="OGE4" s="353"/>
      <c r="OGF4" s="353"/>
      <c r="OGG4" s="353"/>
      <c r="OGH4" s="353"/>
      <c r="OGI4" s="353"/>
      <c r="OGJ4" s="353"/>
      <c r="OGK4" s="353"/>
      <c r="OGL4" s="353"/>
      <c r="OGM4" s="353"/>
      <c r="OGN4" s="353"/>
      <c r="OGO4" s="353"/>
      <c r="OGP4" s="353"/>
      <c r="OGQ4" s="353"/>
      <c r="OGR4" s="353"/>
      <c r="OGS4" s="353"/>
      <c r="OGT4" s="353"/>
      <c r="OGU4" s="353"/>
      <c r="OGV4" s="353"/>
      <c r="OGW4" s="353"/>
      <c r="OGX4" s="353"/>
      <c r="OGY4" s="353"/>
      <c r="OGZ4" s="353"/>
      <c r="OHA4" s="353"/>
      <c r="OHB4" s="353"/>
      <c r="OHC4" s="353"/>
      <c r="OHD4" s="353"/>
      <c r="OHE4" s="353"/>
      <c r="OHF4" s="353"/>
      <c r="OHG4" s="353"/>
      <c r="OHH4" s="353"/>
      <c r="OHI4" s="353"/>
      <c r="OHJ4" s="353"/>
      <c r="OHK4" s="353"/>
      <c r="OHL4" s="353"/>
      <c r="OHM4" s="353"/>
      <c r="OHN4" s="353"/>
      <c r="OHO4" s="353"/>
      <c r="OHP4" s="353"/>
      <c r="OHQ4" s="353"/>
      <c r="OHR4" s="353"/>
      <c r="OHS4" s="353"/>
      <c r="OHT4" s="353"/>
      <c r="OHU4" s="353"/>
      <c r="OHV4" s="353"/>
      <c r="OHW4" s="353"/>
      <c r="OHX4" s="353"/>
      <c r="OHY4" s="353"/>
      <c r="OHZ4" s="353"/>
      <c r="OIA4" s="353"/>
      <c r="OIB4" s="353"/>
      <c r="OIC4" s="353"/>
      <c r="OID4" s="353"/>
      <c r="OIE4" s="353"/>
      <c r="OIF4" s="353"/>
      <c r="OIG4" s="353"/>
      <c r="OIH4" s="353"/>
      <c r="OII4" s="353"/>
      <c r="OIJ4" s="353"/>
      <c r="OIK4" s="353"/>
      <c r="OIL4" s="353"/>
      <c r="OIM4" s="353"/>
      <c r="OIN4" s="353"/>
      <c r="OIO4" s="353"/>
      <c r="OIP4" s="353"/>
      <c r="OIQ4" s="353"/>
      <c r="OIR4" s="353"/>
      <c r="OIS4" s="353"/>
      <c r="OIT4" s="353"/>
      <c r="OIU4" s="353"/>
      <c r="OIV4" s="353"/>
      <c r="OIW4" s="353"/>
      <c r="OIX4" s="353"/>
      <c r="OIY4" s="353"/>
      <c r="OIZ4" s="353"/>
      <c r="OJA4" s="353"/>
      <c r="OJB4" s="353"/>
      <c r="OJC4" s="353"/>
      <c r="OJD4" s="353"/>
      <c r="OJE4" s="353"/>
      <c r="OJF4" s="353"/>
      <c r="OJG4" s="353"/>
      <c r="OJH4" s="353"/>
      <c r="OJI4" s="353"/>
      <c r="OJJ4" s="353"/>
      <c r="OJK4" s="353"/>
      <c r="OJL4" s="353"/>
      <c r="OJM4" s="353"/>
      <c r="OJN4" s="353"/>
      <c r="OJO4" s="353"/>
      <c r="OJP4" s="353"/>
      <c r="OJQ4" s="353"/>
      <c r="OJR4" s="353"/>
      <c r="OJS4" s="353"/>
      <c r="OJT4" s="353"/>
      <c r="OJU4" s="353"/>
      <c r="OJV4" s="353"/>
      <c r="OJW4" s="353"/>
      <c r="OJX4" s="353"/>
      <c r="OJY4" s="353"/>
      <c r="OJZ4" s="353"/>
      <c r="OKA4" s="353"/>
      <c r="OKB4" s="353"/>
      <c r="OKC4" s="353"/>
      <c r="OKD4" s="353"/>
      <c r="OKE4" s="353"/>
      <c r="OKF4" s="353"/>
      <c r="OKG4" s="353"/>
      <c r="OKH4" s="353"/>
      <c r="OKI4" s="353"/>
      <c r="OKJ4" s="353"/>
      <c r="OKK4" s="353"/>
      <c r="OKL4" s="353"/>
      <c r="OKM4" s="353"/>
      <c r="OKN4" s="353"/>
      <c r="OKO4" s="353"/>
      <c r="OKP4" s="353"/>
      <c r="OKQ4" s="353"/>
      <c r="OKR4" s="353"/>
      <c r="OKS4" s="353"/>
      <c r="OKT4" s="353"/>
      <c r="OKU4" s="353"/>
      <c r="OKV4" s="353"/>
      <c r="OKW4" s="353"/>
      <c r="OKX4" s="353"/>
      <c r="OKY4" s="353"/>
      <c r="OKZ4" s="353"/>
      <c r="OLA4" s="353"/>
      <c r="OLB4" s="353"/>
      <c r="OLC4" s="353"/>
      <c r="OLD4" s="353"/>
      <c r="OLE4" s="353"/>
      <c r="OLF4" s="353"/>
      <c r="OLG4" s="353"/>
      <c r="OLH4" s="353"/>
      <c r="OLI4" s="353"/>
      <c r="OLJ4" s="353"/>
      <c r="OLK4" s="353"/>
      <c r="OLL4" s="353"/>
      <c r="OLM4" s="353"/>
      <c r="OLN4" s="353"/>
      <c r="OLO4" s="353"/>
      <c r="OLP4" s="353"/>
      <c r="OLQ4" s="353"/>
      <c r="OLR4" s="353"/>
      <c r="OLS4" s="353"/>
      <c r="OLT4" s="353"/>
      <c r="OLU4" s="353"/>
      <c r="OLV4" s="353"/>
      <c r="OLW4" s="353"/>
      <c r="OLX4" s="353"/>
      <c r="OLY4" s="353"/>
      <c r="OLZ4" s="353"/>
      <c r="OMA4" s="353"/>
      <c r="OMB4" s="353"/>
      <c r="OMC4" s="353"/>
      <c r="OMD4" s="353"/>
      <c r="OME4" s="353"/>
      <c r="OMF4" s="353"/>
      <c r="OMG4" s="353"/>
      <c r="OMH4" s="353"/>
      <c r="OMI4" s="353"/>
      <c r="OMJ4" s="353"/>
      <c r="OMK4" s="353"/>
      <c r="OML4" s="353"/>
      <c r="OMM4" s="353"/>
      <c r="OMN4" s="353"/>
      <c r="OMO4" s="353"/>
      <c r="OMP4" s="353"/>
      <c r="OMQ4" s="353"/>
      <c r="OMR4" s="353"/>
      <c r="OMS4" s="353"/>
      <c r="OMT4" s="353"/>
      <c r="OMU4" s="353"/>
      <c r="OMV4" s="353"/>
      <c r="OMW4" s="353"/>
      <c r="OMX4" s="353"/>
      <c r="OMY4" s="353"/>
      <c r="OMZ4" s="353"/>
      <c r="ONA4" s="353"/>
      <c r="ONB4" s="353"/>
      <c r="ONC4" s="353"/>
      <c r="OND4" s="353"/>
      <c r="ONE4" s="353"/>
      <c r="ONF4" s="353"/>
      <c r="ONG4" s="353"/>
      <c r="ONH4" s="353"/>
      <c r="ONI4" s="353"/>
      <c r="ONJ4" s="353"/>
      <c r="ONK4" s="353"/>
      <c r="ONL4" s="353"/>
      <c r="ONM4" s="353"/>
      <c r="ONN4" s="353"/>
      <c r="ONO4" s="353"/>
      <c r="ONP4" s="353"/>
      <c r="ONQ4" s="353"/>
      <c r="ONR4" s="353"/>
      <c r="ONS4" s="353"/>
      <c r="ONT4" s="353"/>
      <c r="ONU4" s="353"/>
      <c r="ONV4" s="353"/>
      <c r="ONW4" s="353"/>
      <c r="ONX4" s="353"/>
      <c r="ONY4" s="353"/>
      <c r="ONZ4" s="353"/>
      <c r="OOA4" s="353"/>
      <c r="OOB4" s="353"/>
      <c r="OOC4" s="353"/>
      <c r="OOD4" s="353"/>
      <c r="OOE4" s="353"/>
      <c r="OOF4" s="353"/>
      <c r="OOG4" s="353"/>
      <c r="OOH4" s="353"/>
      <c r="OOI4" s="353"/>
      <c r="OOJ4" s="353"/>
      <c r="OOK4" s="353"/>
      <c r="OOL4" s="353"/>
      <c r="OOM4" s="353"/>
      <c r="OON4" s="353"/>
      <c r="OOO4" s="353"/>
      <c r="OOP4" s="353"/>
      <c r="OOQ4" s="353"/>
      <c r="OOR4" s="353"/>
      <c r="OOS4" s="353"/>
      <c r="OOT4" s="353"/>
      <c r="OOU4" s="353"/>
      <c r="OOV4" s="353"/>
      <c r="OOW4" s="353"/>
      <c r="OOX4" s="353"/>
      <c r="OOY4" s="353"/>
      <c r="OOZ4" s="353"/>
      <c r="OPA4" s="353"/>
      <c r="OPB4" s="353"/>
      <c r="OPC4" s="353"/>
      <c r="OPD4" s="353"/>
      <c r="OPE4" s="353"/>
      <c r="OPF4" s="353"/>
      <c r="OPG4" s="353"/>
      <c r="OPH4" s="353"/>
      <c r="OPI4" s="353"/>
      <c r="OPJ4" s="353"/>
      <c r="OPK4" s="353"/>
      <c r="OPL4" s="353"/>
      <c r="OPM4" s="353"/>
      <c r="OPN4" s="353"/>
      <c r="OPO4" s="353"/>
      <c r="OPP4" s="353"/>
      <c r="OPQ4" s="353"/>
      <c r="OPR4" s="353"/>
      <c r="OPS4" s="353"/>
      <c r="OPT4" s="353"/>
      <c r="OPU4" s="353"/>
      <c r="OPV4" s="353"/>
      <c r="OPW4" s="353"/>
      <c r="OPX4" s="353"/>
      <c r="OPY4" s="353"/>
      <c r="OPZ4" s="353"/>
      <c r="OQA4" s="353"/>
      <c r="OQB4" s="353"/>
      <c r="OQC4" s="353"/>
      <c r="OQD4" s="353"/>
      <c r="OQE4" s="353"/>
      <c r="OQF4" s="353"/>
      <c r="OQG4" s="353"/>
      <c r="OQH4" s="353"/>
      <c r="OQI4" s="353"/>
      <c r="OQJ4" s="353"/>
      <c r="OQK4" s="353"/>
      <c r="OQL4" s="353"/>
      <c r="OQM4" s="353"/>
      <c r="OQN4" s="353"/>
      <c r="OQO4" s="353"/>
      <c r="OQP4" s="353"/>
      <c r="OQQ4" s="353"/>
      <c r="OQR4" s="353"/>
      <c r="OQS4" s="353"/>
      <c r="OQT4" s="353"/>
      <c r="OQU4" s="353"/>
      <c r="OQV4" s="353"/>
      <c r="OQW4" s="353"/>
      <c r="OQX4" s="353"/>
      <c r="OQY4" s="353"/>
      <c r="OQZ4" s="353"/>
      <c r="ORA4" s="353"/>
      <c r="ORB4" s="353"/>
      <c r="ORC4" s="353"/>
      <c r="ORD4" s="353"/>
      <c r="ORE4" s="353"/>
      <c r="ORF4" s="353"/>
      <c r="ORG4" s="353"/>
      <c r="ORH4" s="353"/>
      <c r="ORI4" s="353"/>
      <c r="ORJ4" s="353"/>
      <c r="ORK4" s="353"/>
      <c r="ORL4" s="353"/>
      <c r="ORM4" s="353"/>
      <c r="ORN4" s="353"/>
      <c r="ORO4" s="353"/>
      <c r="ORP4" s="353"/>
      <c r="ORQ4" s="353"/>
      <c r="ORR4" s="353"/>
      <c r="ORS4" s="353"/>
      <c r="ORT4" s="353"/>
      <c r="ORU4" s="353"/>
      <c r="ORV4" s="353"/>
      <c r="ORW4" s="353"/>
      <c r="ORX4" s="353"/>
      <c r="ORY4" s="353"/>
      <c r="ORZ4" s="353"/>
      <c r="OSA4" s="353"/>
      <c r="OSB4" s="353"/>
      <c r="OSC4" s="353"/>
      <c r="OSD4" s="353"/>
      <c r="OSE4" s="353"/>
      <c r="OSF4" s="353"/>
      <c r="OSG4" s="353"/>
      <c r="OSH4" s="353"/>
      <c r="OSI4" s="353"/>
      <c r="OSJ4" s="353"/>
      <c r="OSK4" s="353"/>
      <c r="OSL4" s="353"/>
      <c r="OSM4" s="353"/>
      <c r="OSN4" s="353"/>
      <c r="OSO4" s="353"/>
      <c r="OSP4" s="353"/>
      <c r="OSQ4" s="353"/>
      <c r="OSR4" s="353"/>
      <c r="OSS4" s="353"/>
      <c r="OST4" s="353"/>
      <c r="OSU4" s="353"/>
      <c r="OSV4" s="353"/>
      <c r="OSW4" s="353"/>
      <c r="OSX4" s="353"/>
      <c r="OSY4" s="353"/>
      <c r="OSZ4" s="353"/>
      <c r="OTA4" s="353"/>
      <c r="OTB4" s="353"/>
      <c r="OTC4" s="353"/>
      <c r="OTD4" s="353"/>
      <c r="OTE4" s="353"/>
      <c r="OTF4" s="353"/>
      <c r="OTG4" s="353"/>
      <c r="OTH4" s="353"/>
      <c r="OTI4" s="353"/>
      <c r="OTJ4" s="353"/>
      <c r="OTK4" s="353"/>
      <c r="OTL4" s="353"/>
      <c r="OTM4" s="353"/>
      <c r="OTN4" s="353"/>
      <c r="OTO4" s="353"/>
      <c r="OTP4" s="353"/>
      <c r="OTQ4" s="353"/>
      <c r="OTR4" s="353"/>
      <c r="OTS4" s="353"/>
      <c r="OTT4" s="353"/>
      <c r="OTU4" s="353"/>
      <c r="OTV4" s="353"/>
      <c r="OTW4" s="353"/>
      <c r="OTX4" s="353"/>
      <c r="OTY4" s="353"/>
      <c r="OTZ4" s="353"/>
      <c r="OUA4" s="353"/>
      <c r="OUB4" s="353"/>
      <c r="OUC4" s="353"/>
      <c r="OUD4" s="353"/>
      <c r="OUE4" s="353"/>
      <c r="OUF4" s="353"/>
      <c r="OUG4" s="353"/>
      <c r="OUH4" s="353"/>
      <c r="OUI4" s="353"/>
      <c r="OUJ4" s="353"/>
      <c r="OUK4" s="353"/>
      <c r="OUL4" s="353"/>
      <c r="OUM4" s="353"/>
      <c r="OUN4" s="353"/>
      <c r="OUO4" s="353"/>
      <c r="OUP4" s="353"/>
      <c r="OUQ4" s="353"/>
      <c r="OUR4" s="353"/>
      <c r="OUS4" s="353"/>
      <c r="OUT4" s="353"/>
      <c r="OUU4" s="353"/>
      <c r="OUV4" s="353"/>
      <c r="OUW4" s="353"/>
      <c r="OUX4" s="353"/>
      <c r="OUY4" s="353"/>
      <c r="OUZ4" s="353"/>
      <c r="OVA4" s="353"/>
      <c r="OVB4" s="353"/>
      <c r="OVC4" s="353"/>
      <c r="OVD4" s="353"/>
      <c r="OVE4" s="353"/>
      <c r="OVF4" s="353"/>
      <c r="OVG4" s="353"/>
      <c r="OVH4" s="353"/>
      <c r="OVI4" s="353"/>
      <c r="OVJ4" s="353"/>
      <c r="OVK4" s="353"/>
      <c r="OVL4" s="353"/>
      <c r="OVM4" s="353"/>
      <c r="OVN4" s="353"/>
      <c r="OVO4" s="353"/>
      <c r="OVP4" s="353"/>
      <c r="OVQ4" s="353"/>
      <c r="OVR4" s="353"/>
      <c r="OVS4" s="353"/>
      <c r="OVT4" s="353"/>
      <c r="OVU4" s="353"/>
      <c r="OVV4" s="353"/>
      <c r="OVW4" s="353"/>
      <c r="OVX4" s="353"/>
      <c r="OVY4" s="353"/>
      <c r="OVZ4" s="353"/>
      <c r="OWA4" s="353"/>
      <c r="OWB4" s="353"/>
      <c r="OWC4" s="353"/>
      <c r="OWD4" s="353"/>
      <c r="OWE4" s="353"/>
      <c r="OWF4" s="353"/>
      <c r="OWG4" s="353"/>
      <c r="OWH4" s="353"/>
      <c r="OWI4" s="353"/>
      <c r="OWJ4" s="353"/>
      <c r="OWK4" s="353"/>
      <c r="OWL4" s="353"/>
      <c r="OWM4" s="353"/>
      <c r="OWN4" s="353"/>
      <c r="OWO4" s="353"/>
      <c r="OWP4" s="353"/>
      <c r="OWQ4" s="353"/>
      <c r="OWR4" s="353"/>
      <c r="OWS4" s="353"/>
      <c r="OWT4" s="353"/>
      <c r="OWU4" s="353"/>
      <c r="OWV4" s="353"/>
      <c r="OWW4" s="353"/>
      <c r="OWX4" s="353"/>
      <c r="OWY4" s="353"/>
      <c r="OWZ4" s="353"/>
      <c r="OXA4" s="353"/>
      <c r="OXB4" s="353"/>
      <c r="OXC4" s="353"/>
      <c r="OXD4" s="353"/>
      <c r="OXE4" s="353"/>
      <c r="OXF4" s="353"/>
      <c r="OXG4" s="353"/>
      <c r="OXH4" s="353"/>
      <c r="OXI4" s="353"/>
      <c r="OXJ4" s="353"/>
      <c r="OXK4" s="353"/>
      <c r="OXL4" s="353"/>
      <c r="OXM4" s="353"/>
      <c r="OXN4" s="353"/>
      <c r="OXO4" s="353"/>
      <c r="OXP4" s="353"/>
      <c r="OXQ4" s="353"/>
      <c r="OXR4" s="353"/>
      <c r="OXS4" s="353"/>
      <c r="OXT4" s="353"/>
      <c r="OXU4" s="353"/>
      <c r="OXV4" s="353"/>
      <c r="OXW4" s="353"/>
      <c r="OXX4" s="353"/>
      <c r="OXY4" s="353"/>
      <c r="OXZ4" s="353"/>
      <c r="OYA4" s="353"/>
      <c r="OYB4" s="353"/>
      <c r="OYC4" s="353"/>
      <c r="OYD4" s="353"/>
      <c r="OYE4" s="353"/>
      <c r="OYF4" s="353"/>
      <c r="OYG4" s="353"/>
      <c r="OYH4" s="353"/>
      <c r="OYI4" s="353"/>
      <c r="OYJ4" s="353"/>
      <c r="OYK4" s="353"/>
      <c r="OYL4" s="353"/>
      <c r="OYM4" s="353"/>
      <c r="OYN4" s="353"/>
      <c r="OYO4" s="353"/>
      <c r="OYP4" s="353"/>
      <c r="OYQ4" s="353"/>
      <c r="OYR4" s="353"/>
      <c r="OYS4" s="353"/>
      <c r="OYT4" s="353"/>
      <c r="OYU4" s="353"/>
      <c r="OYV4" s="353"/>
      <c r="OYW4" s="353"/>
      <c r="OYX4" s="353"/>
      <c r="OYY4" s="353"/>
      <c r="OYZ4" s="353"/>
      <c r="OZA4" s="353"/>
      <c r="OZB4" s="353"/>
      <c r="OZC4" s="353"/>
      <c r="OZD4" s="353"/>
      <c r="OZE4" s="353"/>
      <c r="OZF4" s="353"/>
      <c r="OZG4" s="353"/>
      <c r="OZH4" s="353"/>
      <c r="OZI4" s="353"/>
      <c r="OZJ4" s="353"/>
      <c r="OZK4" s="353"/>
      <c r="OZL4" s="353"/>
      <c r="OZM4" s="353"/>
      <c r="OZN4" s="353"/>
      <c r="OZO4" s="353"/>
      <c r="OZP4" s="353"/>
      <c r="OZQ4" s="353"/>
      <c r="OZR4" s="353"/>
      <c r="OZS4" s="353"/>
      <c r="OZT4" s="353"/>
      <c r="OZU4" s="353"/>
      <c r="OZV4" s="353"/>
      <c r="OZW4" s="353"/>
      <c r="OZX4" s="353"/>
      <c r="OZY4" s="353"/>
      <c r="OZZ4" s="353"/>
      <c r="PAA4" s="353"/>
      <c r="PAB4" s="353"/>
      <c r="PAC4" s="353"/>
      <c r="PAD4" s="353"/>
      <c r="PAE4" s="353"/>
      <c r="PAF4" s="353"/>
      <c r="PAG4" s="353"/>
      <c r="PAH4" s="353"/>
      <c r="PAI4" s="353"/>
      <c r="PAJ4" s="353"/>
      <c r="PAK4" s="353"/>
      <c r="PAL4" s="353"/>
      <c r="PAM4" s="353"/>
      <c r="PAN4" s="353"/>
      <c r="PAO4" s="353"/>
      <c r="PAP4" s="353"/>
      <c r="PAQ4" s="353"/>
      <c r="PAR4" s="353"/>
      <c r="PAS4" s="353"/>
      <c r="PAT4" s="353"/>
      <c r="PAU4" s="353"/>
      <c r="PAV4" s="353"/>
      <c r="PAW4" s="353"/>
      <c r="PAX4" s="353"/>
      <c r="PAY4" s="353"/>
      <c r="PAZ4" s="353"/>
      <c r="PBA4" s="353"/>
      <c r="PBB4" s="353"/>
      <c r="PBC4" s="353"/>
      <c r="PBD4" s="353"/>
      <c r="PBE4" s="353"/>
      <c r="PBF4" s="353"/>
      <c r="PBG4" s="353"/>
      <c r="PBH4" s="353"/>
      <c r="PBI4" s="353"/>
      <c r="PBJ4" s="353"/>
      <c r="PBK4" s="353"/>
      <c r="PBL4" s="353"/>
      <c r="PBM4" s="353"/>
      <c r="PBN4" s="353"/>
      <c r="PBO4" s="353"/>
      <c r="PBP4" s="353"/>
      <c r="PBQ4" s="353"/>
      <c r="PBR4" s="353"/>
      <c r="PBS4" s="353"/>
      <c r="PBT4" s="353"/>
      <c r="PBU4" s="353"/>
      <c r="PBV4" s="353"/>
      <c r="PBW4" s="353"/>
      <c r="PBX4" s="353"/>
      <c r="PBY4" s="353"/>
      <c r="PBZ4" s="353"/>
      <c r="PCA4" s="353"/>
      <c r="PCB4" s="353"/>
      <c r="PCC4" s="353"/>
      <c r="PCD4" s="353"/>
      <c r="PCE4" s="353"/>
      <c r="PCF4" s="353"/>
      <c r="PCG4" s="353"/>
      <c r="PCH4" s="353"/>
      <c r="PCI4" s="353"/>
      <c r="PCJ4" s="353"/>
      <c r="PCK4" s="353"/>
      <c r="PCL4" s="353"/>
      <c r="PCM4" s="353"/>
      <c r="PCN4" s="353"/>
      <c r="PCO4" s="353"/>
      <c r="PCP4" s="353"/>
      <c r="PCQ4" s="353"/>
      <c r="PCR4" s="353"/>
      <c r="PCS4" s="353"/>
      <c r="PCT4" s="353"/>
      <c r="PCU4" s="353"/>
      <c r="PCV4" s="353"/>
      <c r="PCW4" s="353"/>
      <c r="PCX4" s="353"/>
      <c r="PCY4" s="353"/>
      <c r="PCZ4" s="353"/>
      <c r="PDA4" s="353"/>
      <c r="PDB4" s="353"/>
      <c r="PDC4" s="353"/>
      <c r="PDD4" s="353"/>
      <c r="PDE4" s="353"/>
      <c r="PDF4" s="353"/>
      <c r="PDG4" s="353"/>
      <c r="PDH4" s="353"/>
      <c r="PDI4" s="353"/>
      <c r="PDJ4" s="353"/>
      <c r="PDK4" s="353"/>
      <c r="PDL4" s="353"/>
      <c r="PDM4" s="353"/>
      <c r="PDN4" s="353"/>
      <c r="PDO4" s="353"/>
      <c r="PDP4" s="353"/>
      <c r="PDQ4" s="353"/>
      <c r="PDR4" s="353"/>
      <c r="PDS4" s="353"/>
      <c r="PDT4" s="353"/>
      <c r="PDU4" s="353"/>
      <c r="PDV4" s="353"/>
      <c r="PDW4" s="353"/>
      <c r="PDX4" s="353"/>
      <c r="PDY4" s="353"/>
      <c r="PDZ4" s="353"/>
      <c r="PEA4" s="353"/>
      <c r="PEB4" s="353"/>
      <c r="PEC4" s="353"/>
      <c r="PED4" s="353"/>
      <c r="PEE4" s="353"/>
      <c r="PEF4" s="353"/>
      <c r="PEG4" s="353"/>
      <c r="PEH4" s="353"/>
      <c r="PEI4" s="353"/>
      <c r="PEJ4" s="353"/>
      <c r="PEK4" s="353"/>
      <c r="PEL4" s="353"/>
      <c r="PEM4" s="353"/>
      <c r="PEN4" s="353"/>
      <c r="PEO4" s="353"/>
      <c r="PEP4" s="353"/>
      <c r="PEQ4" s="353"/>
      <c r="PER4" s="353"/>
      <c r="PES4" s="353"/>
      <c r="PET4" s="353"/>
      <c r="PEU4" s="353"/>
      <c r="PEV4" s="353"/>
      <c r="PEW4" s="353"/>
      <c r="PEX4" s="353"/>
      <c r="PEY4" s="353"/>
      <c r="PEZ4" s="353"/>
      <c r="PFA4" s="353"/>
      <c r="PFB4" s="353"/>
      <c r="PFC4" s="353"/>
      <c r="PFD4" s="353"/>
      <c r="PFE4" s="353"/>
      <c r="PFF4" s="353"/>
      <c r="PFG4" s="353"/>
      <c r="PFH4" s="353"/>
      <c r="PFI4" s="353"/>
      <c r="PFJ4" s="353"/>
      <c r="PFK4" s="353"/>
      <c r="PFL4" s="353"/>
      <c r="PFM4" s="353"/>
      <c r="PFN4" s="353"/>
      <c r="PFO4" s="353"/>
      <c r="PFP4" s="353"/>
      <c r="PFQ4" s="353"/>
      <c r="PFR4" s="353"/>
      <c r="PFS4" s="353"/>
      <c r="PFT4" s="353"/>
      <c r="PFU4" s="353"/>
      <c r="PFV4" s="353"/>
      <c r="PFW4" s="353"/>
      <c r="PFX4" s="353"/>
      <c r="PFY4" s="353"/>
      <c r="PFZ4" s="353"/>
      <c r="PGA4" s="353"/>
      <c r="PGB4" s="353"/>
      <c r="PGC4" s="353"/>
      <c r="PGD4" s="353"/>
      <c r="PGE4" s="353"/>
      <c r="PGF4" s="353"/>
      <c r="PGG4" s="353"/>
      <c r="PGH4" s="353"/>
      <c r="PGI4" s="353"/>
      <c r="PGJ4" s="353"/>
      <c r="PGK4" s="353"/>
      <c r="PGL4" s="353"/>
      <c r="PGM4" s="353"/>
      <c r="PGN4" s="353"/>
      <c r="PGO4" s="353"/>
      <c r="PGP4" s="353"/>
      <c r="PGQ4" s="353"/>
      <c r="PGR4" s="353"/>
      <c r="PGS4" s="353"/>
      <c r="PGT4" s="353"/>
      <c r="PGU4" s="353"/>
      <c r="PGV4" s="353"/>
      <c r="PGW4" s="353"/>
      <c r="PGX4" s="353"/>
      <c r="PGY4" s="353"/>
      <c r="PGZ4" s="353"/>
      <c r="PHA4" s="353"/>
      <c r="PHB4" s="353"/>
      <c r="PHC4" s="353"/>
      <c r="PHD4" s="353"/>
      <c r="PHE4" s="353"/>
      <c r="PHF4" s="353"/>
      <c r="PHG4" s="353"/>
      <c r="PHH4" s="353"/>
      <c r="PHI4" s="353"/>
      <c r="PHJ4" s="353"/>
      <c r="PHK4" s="353"/>
      <c r="PHL4" s="353"/>
      <c r="PHM4" s="353"/>
      <c r="PHN4" s="353"/>
      <c r="PHO4" s="353"/>
      <c r="PHP4" s="353"/>
      <c r="PHQ4" s="353"/>
      <c r="PHR4" s="353"/>
      <c r="PHS4" s="353"/>
      <c r="PHT4" s="353"/>
      <c r="PHU4" s="353"/>
      <c r="PHV4" s="353"/>
      <c r="PHW4" s="353"/>
      <c r="PHX4" s="353"/>
      <c r="PHY4" s="353"/>
      <c r="PHZ4" s="353"/>
      <c r="PIA4" s="353"/>
      <c r="PIB4" s="353"/>
      <c r="PIC4" s="353"/>
      <c r="PID4" s="353"/>
      <c r="PIE4" s="353"/>
      <c r="PIF4" s="353"/>
      <c r="PIG4" s="353"/>
      <c r="PIH4" s="353"/>
      <c r="PII4" s="353"/>
      <c r="PIJ4" s="353"/>
      <c r="PIK4" s="353"/>
      <c r="PIL4" s="353"/>
      <c r="PIM4" s="353"/>
      <c r="PIN4" s="353"/>
      <c r="PIO4" s="353"/>
      <c r="PIP4" s="353"/>
      <c r="PIQ4" s="353"/>
      <c r="PIR4" s="353"/>
      <c r="PIS4" s="353"/>
      <c r="PIT4" s="353"/>
      <c r="PIU4" s="353"/>
      <c r="PIV4" s="353"/>
      <c r="PIW4" s="353"/>
      <c r="PIX4" s="353"/>
      <c r="PIY4" s="353"/>
      <c r="PIZ4" s="353"/>
      <c r="PJA4" s="353"/>
      <c r="PJB4" s="353"/>
      <c r="PJC4" s="353"/>
      <c r="PJD4" s="353"/>
      <c r="PJE4" s="353"/>
      <c r="PJF4" s="353"/>
      <c r="PJG4" s="353"/>
      <c r="PJH4" s="353"/>
      <c r="PJI4" s="353"/>
      <c r="PJJ4" s="353"/>
      <c r="PJK4" s="353"/>
      <c r="PJL4" s="353"/>
      <c r="PJM4" s="353"/>
      <c r="PJN4" s="353"/>
      <c r="PJO4" s="353"/>
      <c r="PJP4" s="353"/>
      <c r="PJQ4" s="353"/>
      <c r="PJR4" s="353"/>
      <c r="PJS4" s="353"/>
      <c r="PJT4" s="353"/>
      <c r="PJU4" s="353"/>
      <c r="PJV4" s="353"/>
      <c r="PJW4" s="353"/>
      <c r="PJX4" s="353"/>
      <c r="PJY4" s="353"/>
      <c r="PJZ4" s="353"/>
      <c r="PKA4" s="353"/>
      <c r="PKB4" s="353"/>
      <c r="PKC4" s="353"/>
      <c r="PKD4" s="353"/>
      <c r="PKE4" s="353"/>
      <c r="PKF4" s="353"/>
      <c r="PKG4" s="353"/>
      <c r="PKH4" s="353"/>
      <c r="PKI4" s="353"/>
      <c r="PKJ4" s="353"/>
      <c r="PKK4" s="353"/>
      <c r="PKL4" s="353"/>
      <c r="PKM4" s="353"/>
      <c r="PKN4" s="353"/>
      <c r="PKO4" s="353"/>
      <c r="PKP4" s="353"/>
      <c r="PKQ4" s="353"/>
      <c r="PKR4" s="353"/>
      <c r="PKS4" s="353"/>
      <c r="PKT4" s="353"/>
      <c r="PKU4" s="353"/>
      <c r="PKV4" s="353"/>
      <c r="PKW4" s="353"/>
      <c r="PKX4" s="353"/>
      <c r="PKY4" s="353"/>
      <c r="PKZ4" s="353"/>
      <c r="PLA4" s="353"/>
      <c r="PLB4" s="353"/>
      <c r="PLC4" s="353"/>
      <c r="PLD4" s="353"/>
      <c r="PLE4" s="353"/>
      <c r="PLF4" s="353"/>
      <c r="PLG4" s="353"/>
      <c r="PLH4" s="353"/>
      <c r="PLI4" s="353"/>
      <c r="PLJ4" s="353"/>
      <c r="PLK4" s="353"/>
      <c r="PLL4" s="353"/>
      <c r="PLM4" s="353"/>
      <c r="PLN4" s="353"/>
      <c r="PLO4" s="353"/>
      <c r="PLP4" s="353"/>
      <c r="PLQ4" s="353"/>
      <c r="PLR4" s="353"/>
      <c r="PLS4" s="353"/>
      <c r="PLT4" s="353"/>
      <c r="PLU4" s="353"/>
      <c r="PLV4" s="353"/>
      <c r="PLW4" s="353"/>
      <c r="PLX4" s="353"/>
      <c r="PLY4" s="353"/>
      <c r="PLZ4" s="353"/>
      <c r="PMA4" s="353"/>
      <c r="PMB4" s="353"/>
      <c r="PMC4" s="353"/>
      <c r="PMD4" s="353"/>
      <c r="PME4" s="353"/>
      <c r="PMF4" s="353"/>
      <c r="PMG4" s="353"/>
      <c r="PMH4" s="353"/>
      <c r="PMI4" s="353"/>
      <c r="PMJ4" s="353"/>
      <c r="PMK4" s="353"/>
      <c r="PML4" s="353"/>
      <c r="PMM4" s="353"/>
      <c r="PMN4" s="353"/>
      <c r="PMO4" s="353"/>
      <c r="PMP4" s="353"/>
      <c r="PMQ4" s="353"/>
      <c r="PMR4" s="353"/>
      <c r="PMS4" s="353"/>
      <c r="PMT4" s="353"/>
      <c r="PMU4" s="353"/>
      <c r="PMV4" s="353"/>
      <c r="PMW4" s="353"/>
      <c r="PMX4" s="353"/>
      <c r="PMY4" s="353"/>
      <c r="PMZ4" s="353"/>
      <c r="PNA4" s="353"/>
      <c r="PNB4" s="353"/>
      <c r="PNC4" s="353"/>
      <c r="PND4" s="353"/>
      <c r="PNE4" s="353"/>
      <c r="PNF4" s="353"/>
      <c r="PNG4" s="353"/>
      <c r="PNH4" s="353"/>
      <c r="PNI4" s="353"/>
      <c r="PNJ4" s="353"/>
      <c r="PNK4" s="353"/>
      <c r="PNL4" s="353"/>
      <c r="PNM4" s="353"/>
      <c r="PNN4" s="353"/>
      <c r="PNO4" s="353"/>
      <c r="PNP4" s="353"/>
      <c r="PNQ4" s="353"/>
      <c r="PNR4" s="353"/>
      <c r="PNS4" s="353"/>
      <c r="PNT4" s="353"/>
      <c r="PNU4" s="353"/>
      <c r="PNV4" s="353"/>
      <c r="PNW4" s="353"/>
      <c r="PNX4" s="353"/>
      <c r="PNY4" s="353"/>
      <c r="PNZ4" s="353"/>
      <c r="POA4" s="353"/>
      <c r="POB4" s="353"/>
      <c r="POC4" s="353"/>
      <c r="POD4" s="353"/>
      <c r="POE4" s="353"/>
      <c r="POF4" s="353"/>
      <c r="POG4" s="353"/>
      <c r="POH4" s="353"/>
      <c r="POI4" s="353"/>
      <c r="POJ4" s="353"/>
      <c r="POK4" s="353"/>
      <c r="POL4" s="353"/>
      <c r="POM4" s="353"/>
      <c r="PON4" s="353"/>
      <c r="POO4" s="353"/>
      <c r="POP4" s="353"/>
      <c r="POQ4" s="353"/>
      <c r="POR4" s="353"/>
      <c r="POS4" s="353"/>
      <c r="POT4" s="353"/>
      <c r="POU4" s="353"/>
      <c r="POV4" s="353"/>
      <c r="POW4" s="353"/>
      <c r="POX4" s="353"/>
      <c r="POY4" s="353"/>
      <c r="POZ4" s="353"/>
      <c r="PPA4" s="353"/>
      <c r="PPB4" s="353"/>
      <c r="PPC4" s="353"/>
      <c r="PPD4" s="353"/>
      <c r="PPE4" s="353"/>
      <c r="PPF4" s="353"/>
      <c r="PPG4" s="353"/>
      <c r="PPH4" s="353"/>
      <c r="PPI4" s="353"/>
      <c r="PPJ4" s="353"/>
      <c r="PPK4" s="353"/>
      <c r="PPL4" s="353"/>
      <c r="PPM4" s="353"/>
      <c r="PPN4" s="353"/>
      <c r="PPO4" s="353"/>
      <c r="PPP4" s="353"/>
      <c r="PPQ4" s="353"/>
      <c r="PPR4" s="353"/>
      <c r="PPS4" s="353"/>
      <c r="PPT4" s="353"/>
      <c r="PPU4" s="353"/>
      <c r="PPV4" s="353"/>
      <c r="PPW4" s="353"/>
      <c r="PPX4" s="353"/>
      <c r="PPY4" s="353"/>
      <c r="PPZ4" s="353"/>
      <c r="PQA4" s="353"/>
      <c r="PQB4" s="353"/>
      <c r="PQC4" s="353"/>
      <c r="PQD4" s="353"/>
      <c r="PQE4" s="353"/>
      <c r="PQF4" s="353"/>
      <c r="PQG4" s="353"/>
      <c r="PQH4" s="353"/>
      <c r="PQI4" s="353"/>
      <c r="PQJ4" s="353"/>
      <c r="PQK4" s="353"/>
      <c r="PQL4" s="353"/>
      <c r="PQM4" s="353"/>
      <c r="PQN4" s="353"/>
      <c r="PQO4" s="353"/>
      <c r="PQP4" s="353"/>
      <c r="PQQ4" s="353"/>
      <c r="PQR4" s="353"/>
      <c r="PQS4" s="353"/>
      <c r="PQT4" s="353"/>
      <c r="PQU4" s="353"/>
      <c r="PQV4" s="353"/>
      <c r="PQW4" s="353"/>
      <c r="PQX4" s="353"/>
      <c r="PQY4" s="353"/>
      <c r="PQZ4" s="353"/>
      <c r="PRA4" s="353"/>
      <c r="PRB4" s="353"/>
      <c r="PRC4" s="353"/>
      <c r="PRD4" s="353"/>
      <c r="PRE4" s="353"/>
      <c r="PRF4" s="353"/>
      <c r="PRG4" s="353"/>
      <c r="PRH4" s="353"/>
      <c r="PRI4" s="353"/>
      <c r="PRJ4" s="353"/>
      <c r="PRK4" s="353"/>
      <c r="PRL4" s="353"/>
      <c r="PRM4" s="353"/>
      <c r="PRN4" s="353"/>
      <c r="PRO4" s="353"/>
      <c r="PRP4" s="353"/>
      <c r="PRQ4" s="353"/>
      <c r="PRR4" s="353"/>
      <c r="PRS4" s="353"/>
      <c r="PRT4" s="353"/>
      <c r="PRU4" s="353"/>
      <c r="PRV4" s="353"/>
      <c r="PRW4" s="353"/>
      <c r="PRX4" s="353"/>
      <c r="PRY4" s="353"/>
      <c r="PRZ4" s="353"/>
      <c r="PSA4" s="353"/>
      <c r="PSB4" s="353"/>
      <c r="PSC4" s="353"/>
      <c r="PSD4" s="353"/>
      <c r="PSE4" s="353"/>
      <c r="PSF4" s="353"/>
      <c r="PSG4" s="353"/>
      <c r="PSH4" s="353"/>
      <c r="PSI4" s="353"/>
      <c r="PSJ4" s="353"/>
      <c r="PSK4" s="353"/>
      <c r="PSL4" s="353"/>
      <c r="PSM4" s="353"/>
      <c r="PSN4" s="353"/>
      <c r="PSO4" s="353"/>
      <c r="PSP4" s="353"/>
      <c r="PSQ4" s="353"/>
      <c r="PSR4" s="353"/>
      <c r="PSS4" s="353"/>
      <c r="PST4" s="353"/>
      <c r="PSU4" s="353"/>
      <c r="PSV4" s="353"/>
      <c r="PSW4" s="353"/>
      <c r="PSX4" s="353"/>
      <c r="PSY4" s="353"/>
      <c r="PSZ4" s="353"/>
      <c r="PTA4" s="353"/>
      <c r="PTB4" s="353"/>
      <c r="PTC4" s="353"/>
      <c r="PTD4" s="353"/>
      <c r="PTE4" s="353"/>
      <c r="PTF4" s="353"/>
      <c r="PTG4" s="353"/>
      <c r="PTH4" s="353"/>
      <c r="PTI4" s="353"/>
      <c r="PTJ4" s="353"/>
      <c r="PTK4" s="353"/>
      <c r="PTL4" s="353"/>
      <c r="PTM4" s="353"/>
      <c r="PTN4" s="353"/>
      <c r="PTO4" s="353"/>
      <c r="PTP4" s="353"/>
      <c r="PTQ4" s="353"/>
      <c r="PTR4" s="353"/>
      <c r="PTS4" s="353"/>
      <c r="PTT4" s="353"/>
      <c r="PTU4" s="353"/>
      <c r="PTV4" s="353"/>
      <c r="PTW4" s="353"/>
      <c r="PTX4" s="353"/>
      <c r="PTY4" s="353"/>
      <c r="PTZ4" s="353"/>
      <c r="PUA4" s="353"/>
      <c r="PUB4" s="353"/>
      <c r="PUC4" s="353"/>
      <c r="PUD4" s="353"/>
      <c r="PUE4" s="353"/>
      <c r="PUF4" s="353"/>
      <c r="PUG4" s="353"/>
      <c r="PUH4" s="353"/>
      <c r="PUI4" s="353"/>
      <c r="PUJ4" s="353"/>
      <c r="PUK4" s="353"/>
      <c r="PUL4" s="353"/>
      <c r="PUM4" s="353"/>
      <c r="PUN4" s="353"/>
      <c r="PUO4" s="353"/>
      <c r="PUP4" s="353"/>
      <c r="PUQ4" s="353"/>
      <c r="PUR4" s="353"/>
      <c r="PUS4" s="353"/>
      <c r="PUT4" s="353"/>
      <c r="PUU4" s="353"/>
      <c r="PUV4" s="353"/>
      <c r="PUW4" s="353"/>
      <c r="PUX4" s="353"/>
      <c r="PUY4" s="353"/>
      <c r="PUZ4" s="353"/>
      <c r="PVA4" s="353"/>
      <c r="PVB4" s="353"/>
      <c r="PVC4" s="353"/>
      <c r="PVD4" s="353"/>
      <c r="PVE4" s="353"/>
      <c r="PVF4" s="353"/>
      <c r="PVG4" s="353"/>
      <c r="PVH4" s="353"/>
      <c r="PVI4" s="353"/>
      <c r="PVJ4" s="353"/>
      <c r="PVK4" s="353"/>
      <c r="PVL4" s="353"/>
      <c r="PVM4" s="353"/>
      <c r="PVN4" s="353"/>
      <c r="PVO4" s="353"/>
      <c r="PVP4" s="353"/>
      <c r="PVQ4" s="353"/>
      <c r="PVR4" s="353"/>
      <c r="PVS4" s="353"/>
      <c r="PVT4" s="353"/>
      <c r="PVU4" s="353"/>
      <c r="PVV4" s="353"/>
      <c r="PVW4" s="353"/>
      <c r="PVX4" s="353"/>
      <c r="PVY4" s="353"/>
      <c r="PVZ4" s="353"/>
      <c r="PWA4" s="353"/>
      <c r="PWB4" s="353"/>
      <c r="PWC4" s="353"/>
      <c r="PWD4" s="353"/>
      <c r="PWE4" s="353"/>
      <c r="PWF4" s="353"/>
      <c r="PWG4" s="353"/>
      <c r="PWH4" s="353"/>
      <c r="PWI4" s="353"/>
      <c r="PWJ4" s="353"/>
      <c r="PWK4" s="353"/>
      <c r="PWL4" s="353"/>
      <c r="PWM4" s="353"/>
      <c r="PWN4" s="353"/>
      <c r="PWO4" s="353"/>
      <c r="PWP4" s="353"/>
      <c r="PWQ4" s="353"/>
      <c r="PWR4" s="353"/>
      <c r="PWS4" s="353"/>
      <c r="PWT4" s="353"/>
      <c r="PWU4" s="353"/>
      <c r="PWV4" s="353"/>
      <c r="PWW4" s="353"/>
      <c r="PWX4" s="353"/>
      <c r="PWY4" s="353"/>
      <c r="PWZ4" s="353"/>
      <c r="PXA4" s="353"/>
      <c r="PXB4" s="353"/>
      <c r="PXC4" s="353"/>
      <c r="PXD4" s="353"/>
      <c r="PXE4" s="353"/>
      <c r="PXF4" s="353"/>
      <c r="PXG4" s="353"/>
      <c r="PXH4" s="353"/>
      <c r="PXI4" s="353"/>
      <c r="PXJ4" s="353"/>
      <c r="PXK4" s="353"/>
      <c r="PXL4" s="353"/>
      <c r="PXM4" s="353"/>
      <c r="PXN4" s="353"/>
      <c r="PXO4" s="353"/>
      <c r="PXP4" s="353"/>
      <c r="PXQ4" s="353"/>
      <c r="PXR4" s="353"/>
      <c r="PXS4" s="353"/>
      <c r="PXT4" s="353"/>
      <c r="PXU4" s="353"/>
      <c r="PXV4" s="353"/>
      <c r="PXW4" s="353"/>
      <c r="PXX4" s="353"/>
      <c r="PXY4" s="353"/>
      <c r="PXZ4" s="353"/>
      <c r="PYA4" s="353"/>
      <c r="PYB4" s="353"/>
      <c r="PYC4" s="353"/>
      <c r="PYD4" s="353"/>
      <c r="PYE4" s="353"/>
      <c r="PYF4" s="353"/>
      <c r="PYG4" s="353"/>
      <c r="PYH4" s="353"/>
      <c r="PYI4" s="353"/>
      <c r="PYJ4" s="353"/>
      <c r="PYK4" s="353"/>
      <c r="PYL4" s="353"/>
      <c r="PYM4" s="353"/>
      <c r="PYN4" s="353"/>
      <c r="PYO4" s="353"/>
      <c r="PYP4" s="353"/>
      <c r="PYQ4" s="353"/>
      <c r="PYR4" s="353"/>
      <c r="PYS4" s="353"/>
      <c r="PYT4" s="353"/>
      <c r="PYU4" s="353"/>
      <c r="PYV4" s="353"/>
      <c r="PYW4" s="353"/>
      <c r="PYX4" s="353"/>
      <c r="PYY4" s="353"/>
      <c r="PYZ4" s="353"/>
      <c r="PZA4" s="353"/>
      <c r="PZB4" s="353"/>
      <c r="PZC4" s="353"/>
      <c r="PZD4" s="353"/>
      <c r="PZE4" s="353"/>
      <c r="PZF4" s="353"/>
      <c r="PZG4" s="353"/>
      <c r="PZH4" s="353"/>
      <c r="PZI4" s="353"/>
      <c r="PZJ4" s="353"/>
      <c r="PZK4" s="353"/>
      <c r="PZL4" s="353"/>
      <c r="PZM4" s="353"/>
      <c r="PZN4" s="353"/>
      <c r="PZO4" s="353"/>
      <c r="PZP4" s="353"/>
      <c r="PZQ4" s="353"/>
      <c r="PZR4" s="353"/>
      <c r="PZS4" s="353"/>
      <c r="PZT4" s="353"/>
      <c r="PZU4" s="353"/>
      <c r="PZV4" s="353"/>
      <c r="PZW4" s="353"/>
      <c r="PZX4" s="353"/>
      <c r="PZY4" s="353"/>
      <c r="PZZ4" s="353"/>
      <c r="QAA4" s="353"/>
      <c r="QAB4" s="353"/>
      <c r="QAC4" s="353"/>
      <c r="QAD4" s="353"/>
      <c r="QAE4" s="353"/>
      <c r="QAF4" s="353"/>
      <c r="QAG4" s="353"/>
      <c r="QAH4" s="353"/>
      <c r="QAI4" s="353"/>
      <c r="QAJ4" s="353"/>
      <c r="QAK4" s="353"/>
      <c r="QAL4" s="353"/>
      <c r="QAM4" s="353"/>
      <c r="QAN4" s="353"/>
      <c r="QAO4" s="353"/>
      <c r="QAP4" s="353"/>
      <c r="QAQ4" s="353"/>
      <c r="QAR4" s="353"/>
      <c r="QAS4" s="353"/>
      <c r="QAT4" s="353"/>
      <c r="QAU4" s="353"/>
      <c r="QAV4" s="353"/>
      <c r="QAW4" s="353"/>
      <c r="QAX4" s="353"/>
      <c r="QAY4" s="353"/>
      <c r="QAZ4" s="353"/>
      <c r="QBA4" s="353"/>
      <c r="QBB4" s="353"/>
      <c r="QBC4" s="353"/>
      <c r="QBD4" s="353"/>
      <c r="QBE4" s="353"/>
      <c r="QBF4" s="353"/>
      <c r="QBG4" s="353"/>
      <c r="QBH4" s="353"/>
      <c r="QBI4" s="353"/>
      <c r="QBJ4" s="353"/>
      <c r="QBK4" s="353"/>
      <c r="QBL4" s="353"/>
      <c r="QBM4" s="353"/>
      <c r="QBN4" s="353"/>
      <c r="QBO4" s="353"/>
      <c r="QBP4" s="353"/>
      <c r="QBQ4" s="353"/>
      <c r="QBR4" s="353"/>
      <c r="QBS4" s="353"/>
      <c r="QBT4" s="353"/>
      <c r="QBU4" s="353"/>
      <c r="QBV4" s="353"/>
      <c r="QBW4" s="353"/>
      <c r="QBX4" s="353"/>
      <c r="QBY4" s="353"/>
      <c r="QBZ4" s="353"/>
      <c r="QCA4" s="353"/>
      <c r="QCB4" s="353"/>
      <c r="QCC4" s="353"/>
      <c r="QCD4" s="353"/>
      <c r="QCE4" s="353"/>
      <c r="QCF4" s="353"/>
      <c r="QCG4" s="353"/>
      <c r="QCH4" s="353"/>
      <c r="QCI4" s="353"/>
      <c r="QCJ4" s="353"/>
      <c r="QCK4" s="353"/>
      <c r="QCL4" s="353"/>
      <c r="QCM4" s="353"/>
      <c r="QCN4" s="353"/>
      <c r="QCO4" s="353"/>
      <c r="QCP4" s="353"/>
      <c r="QCQ4" s="353"/>
      <c r="QCR4" s="353"/>
      <c r="QCS4" s="353"/>
      <c r="QCT4" s="353"/>
      <c r="QCU4" s="353"/>
      <c r="QCV4" s="353"/>
      <c r="QCW4" s="353"/>
      <c r="QCX4" s="353"/>
      <c r="QCY4" s="353"/>
      <c r="QCZ4" s="353"/>
      <c r="QDA4" s="353"/>
      <c r="QDB4" s="353"/>
      <c r="QDC4" s="353"/>
      <c r="QDD4" s="353"/>
      <c r="QDE4" s="353"/>
      <c r="QDF4" s="353"/>
      <c r="QDG4" s="353"/>
      <c r="QDH4" s="353"/>
      <c r="QDI4" s="353"/>
      <c r="QDJ4" s="353"/>
      <c r="QDK4" s="353"/>
      <c r="QDL4" s="353"/>
      <c r="QDM4" s="353"/>
      <c r="QDN4" s="353"/>
      <c r="QDO4" s="353"/>
      <c r="QDP4" s="353"/>
      <c r="QDQ4" s="353"/>
      <c r="QDR4" s="353"/>
      <c r="QDS4" s="353"/>
      <c r="QDT4" s="353"/>
      <c r="QDU4" s="353"/>
      <c r="QDV4" s="353"/>
      <c r="QDW4" s="353"/>
      <c r="QDX4" s="353"/>
      <c r="QDY4" s="353"/>
      <c r="QDZ4" s="353"/>
      <c r="QEA4" s="353"/>
      <c r="QEB4" s="353"/>
      <c r="QEC4" s="353"/>
      <c r="QED4" s="353"/>
      <c r="QEE4" s="353"/>
      <c r="QEF4" s="353"/>
      <c r="QEG4" s="353"/>
      <c r="QEH4" s="353"/>
      <c r="QEI4" s="353"/>
      <c r="QEJ4" s="353"/>
      <c r="QEK4" s="353"/>
      <c r="QEL4" s="353"/>
      <c r="QEM4" s="353"/>
      <c r="QEN4" s="353"/>
      <c r="QEO4" s="353"/>
      <c r="QEP4" s="353"/>
      <c r="QEQ4" s="353"/>
      <c r="QER4" s="353"/>
      <c r="QES4" s="353"/>
      <c r="QET4" s="353"/>
      <c r="QEU4" s="353"/>
      <c r="QEV4" s="353"/>
      <c r="QEW4" s="353"/>
      <c r="QEX4" s="353"/>
      <c r="QEY4" s="353"/>
      <c r="QEZ4" s="353"/>
      <c r="QFA4" s="353"/>
      <c r="QFB4" s="353"/>
      <c r="QFC4" s="353"/>
      <c r="QFD4" s="353"/>
      <c r="QFE4" s="353"/>
      <c r="QFF4" s="353"/>
      <c r="QFG4" s="353"/>
      <c r="QFH4" s="353"/>
      <c r="QFI4" s="353"/>
      <c r="QFJ4" s="353"/>
      <c r="QFK4" s="353"/>
      <c r="QFL4" s="353"/>
      <c r="QFM4" s="353"/>
      <c r="QFN4" s="353"/>
      <c r="QFO4" s="353"/>
      <c r="QFP4" s="353"/>
      <c r="QFQ4" s="353"/>
      <c r="QFR4" s="353"/>
      <c r="QFS4" s="353"/>
      <c r="QFT4" s="353"/>
      <c r="QFU4" s="353"/>
      <c r="QFV4" s="353"/>
      <c r="QFW4" s="353"/>
      <c r="QFX4" s="353"/>
      <c r="QFY4" s="353"/>
      <c r="QFZ4" s="353"/>
      <c r="QGA4" s="353"/>
      <c r="QGB4" s="353"/>
      <c r="QGC4" s="353"/>
      <c r="QGD4" s="353"/>
      <c r="QGE4" s="353"/>
      <c r="QGF4" s="353"/>
      <c r="QGG4" s="353"/>
      <c r="QGH4" s="353"/>
      <c r="QGI4" s="353"/>
      <c r="QGJ4" s="353"/>
      <c r="QGK4" s="353"/>
      <c r="QGL4" s="353"/>
      <c r="QGM4" s="353"/>
      <c r="QGN4" s="353"/>
      <c r="QGO4" s="353"/>
      <c r="QGP4" s="353"/>
      <c r="QGQ4" s="353"/>
      <c r="QGR4" s="353"/>
      <c r="QGS4" s="353"/>
      <c r="QGT4" s="353"/>
      <c r="QGU4" s="353"/>
      <c r="QGV4" s="353"/>
      <c r="QGW4" s="353"/>
      <c r="QGX4" s="353"/>
      <c r="QGY4" s="353"/>
      <c r="QGZ4" s="353"/>
      <c r="QHA4" s="353"/>
      <c r="QHB4" s="353"/>
      <c r="QHC4" s="353"/>
      <c r="QHD4" s="353"/>
      <c r="QHE4" s="353"/>
      <c r="QHF4" s="353"/>
      <c r="QHG4" s="353"/>
      <c r="QHH4" s="353"/>
      <c r="QHI4" s="353"/>
      <c r="QHJ4" s="353"/>
      <c r="QHK4" s="353"/>
      <c r="QHL4" s="353"/>
      <c r="QHM4" s="353"/>
      <c r="QHN4" s="353"/>
      <c r="QHO4" s="353"/>
      <c r="QHP4" s="353"/>
      <c r="QHQ4" s="353"/>
      <c r="QHR4" s="353"/>
      <c r="QHS4" s="353"/>
      <c r="QHT4" s="353"/>
      <c r="QHU4" s="353"/>
      <c r="QHV4" s="353"/>
      <c r="QHW4" s="353"/>
      <c r="QHX4" s="353"/>
      <c r="QHY4" s="353"/>
      <c r="QHZ4" s="353"/>
      <c r="QIA4" s="353"/>
      <c r="QIB4" s="353"/>
      <c r="QIC4" s="353"/>
      <c r="QID4" s="353"/>
      <c r="QIE4" s="353"/>
      <c r="QIF4" s="353"/>
      <c r="QIG4" s="353"/>
      <c r="QIH4" s="353"/>
      <c r="QII4" s="353"/>
      <c r="QIJ4" s="353"/>
      <c r="QIK4" s="353"/>
      <c r="QIL4" s="353"/>
      <c r="QIM4" s="353"/>
      <c r="QIN4" s="353"/>
      <c r="QIO4" s="353"/>
      <c r="QIP4" s="353"/>
      <c r="QIQ4" s="353"/>
      <c r="QIR4" s="353"/>
      <c r="QIS4" s="353"/>
      <c r="QIT4" s="353"/>
      <c r="QIU4" s="353"/>
      <c r="QIV4" s="353"/>
      <c r="QIW4" s="353"/>
      <c r="QIX4" s="353"/>
      <c r="QIY4" s="353"/>
      <c r="QIZ4" s="353"/>
      <c r="QJA4" s="353"/>
      <c r="QJB4" s="353"/>
      <c r="QJC4" s="353"/>
      <c r="QJD4" s="353"/>
      <c r="QJE4" s="353"/>
      <c r="QJF4" s="353"/>
      <c r="QJG4" s="353"/>
      <c r="QJH4" s="353"/>
      <c r="QJI4" s="353"/>
      <c r="QJJ4" s="353"/>
      <c r="QJK4" s="353"/>
      <c r="QJL4" s="353"/>
      <c r="QJM4" s="353"/>
      <c r="QJN4" s="353"/>
      <c r="QJO4" s="353"/>
      <c r="QJP4" s="353"/>
      <c r="QJQ4" s="353"/>
      <c r="QJR4" s="353"/>
      <c r="QJS4" s="353"/>
      <c r="QJT4" s="353"/>
      <c r="QJU4" s="353"/>
      <c r="QJV4" s="353"/>
      <c r="QJW4" s="353"/>
      <c r="QJX4" s="353"/>
      <c r="QJY4" s="353"/>
      <c r="QJZ4" s="353"/>
      <c r="QKA4" s="353"/>
      <c r="QKB4" s="353"/>
      <c r="QKC4" s="353"/>
      <c r="QKD4" s="353"/>
      <c r="QKE4" s="353"/>
      <c r="QKF4" s="353"/>
      <c r="QKG4" s="353"/>
      <c r="QKH4" s="353"/>
      <c r="QKI4" s="353"/>
      <c r="QKJ4" s="353"/>
      <c r="QKK4" s="353"/>
      <c r="QKL4" s="353"/>
      <c r="QKM4" s="353"/>
      <c r="QKN4" s="353"/>
      <c r="QKO4" s="353"/>
      <c r="QKP4" s="353"/>
      <c r="QKQ4" s="353"/>
      <c r="QKR4" s="353"/>
      <c r="QKS4" s="353"/>
      <c r="QKT4" s="353"/>
      <c r="QKU4" s="353"/>
      <c r="QKV4" s="353"/>
      <c r="QKW4" s="353"/>
      <c r="QKX4" s="353"/>
      <c r="QKY4" s="353"/>
      <c r="QKZ4" s="353"/>
      <c r="QLA4" s="353"/>
      <c r="QLB4" s="353"/>
      <c r="QLC4" s="353"/>
      <c r="QLD4" s="353"/>
      <c r="QLE4" s="353"/>
      <c r="QLF4" s="353"/>
      <c r="QLG4" s="353"/>
      <c r="QLH4" s="353"/>
      <c r="QLI4" s="353"/>
      <c r="QLJ4" s="353"/>
      <c r="QLK4" s="353"/>
      <c r="QLL4" s="353"/>
      <c r="QLM4" s="353"/>
      <c r="QLN4" s="353"/>
      <c r="QLO4" s="353"/>
      <c r="QLP4" s="353"/>
      <c r="QLQ4" s="353"/>
      <c r="QLR4" s="353"/>
      <c r="QLS4" s="353"/>
      <c r="QLT4" s="353"/>
      <c r="QLU4" s="353"/>
      <c r="QLV4" s="353"/>
      <c r="QLW4" s="353"/>
      <c r="QLX4" s="353"/>
      <c r="QLY4" s="353"/>
      <c r="QLZ4" s="353"/>
      <c r="QMA4" s="353"/>
      <c r="QMB4" s="353"/>
      <c r="QMC4" s="353"/>
      <c r="QMD4" s="353"/>
      <c r="QME4" s="353"/>
      <c r="QMF4" s="353"/>
      <c r="QMG4" s="353"/>
      <c r="QMH4" s="353"/>
      <c r="QMI4" s="353"/>
      <c r="QMJ4" s="353"/>
      <c r="QMK4" s="353"/>
      <c r="QML4" s="353"/>
      <c r="QMM4" s="353"/>
      <c r="QMN4" s="353"/>
      <c r="QMO4" s="353"/>
      <c r="QMP4" s="353"/>
      <c r="QMQ4" s="353"/>
      <c r="QMR4" s="353"/>
      <c r="QMS4" s="353"/>
      <c r="QMT4" s="353"/>
      <c r="QMU4" s="353"/>
      <c r="QMV4" s="353"/>
      <c r="QMW4" s="353"/>
      <c r="QMX4" s="353"/>
      <c r="QMY4" s="353"/>
      <c r="QMZ4" s="353"/>
      <c r="QNA4" s="353"/>
      <c r="QNB4" s="353"/>
      <c r="QNC4" s="353"/>
      <c r="QND4" s="353"/>
      <c r="QNE4" s="353"/>
      <c r="QNF4" s="353"/>
      <c r="QNG4" s="353"/>
      <c r="QNH4" s="353"/>
      <c r="QNI4" s="353"/>
      <c r="QNJ4" s="353"/>
      <c r="QNK4" s="353"/>
      <c r="QNL4" s="353"/>
      <c r="QNM4" s="353"/>
      <c r="QNN4" s="353"/>
      <c r="QNO4" s="353"/>
      <c r="QNP4" s="353"/>
      <c r="QNQ4" s="353"/>
      <c r="QNR4" s="353"/>
      <c r="QNS4" s="353"/>
      <c r="QNT4" s="353"/>
      <c r="QNU4" s="353"/>
      <c r="QNV4" s="353"/>
      <c r="QNW4" s="353"/>
      <c r="QNX4" s="353"/>
      <c r="QNY4" s="353"/>
      <c r="QNZ4" s="353"/>
      <c r="QOA4" s="353"/>
      <c r="QOB4" s="353"/>
      <c r="QOC4" s="353"/>
      <c r="QOD4" s="353"/>
      <c r="QOE4" s="353"/>
      <c r="QOF4" s="353"/>
      <c r="QOG4" s="353"/>
      <c r="QOH4" s="353"/>
      <c r="QOI4" s="353"/>
      <c r="QOJ4" s="353"/>
      <c r="QOK4" s="353"/>
      <c r="QOL4" s="353"/>
      <c r="QOM4" s="353"/>
      <c r="QON4" s="353"/>
      <c r="QOO4" s="353"/>
      <c r="QOP4" s="353"/>
      <c r="QOQ4" s="353"/>
      <c r="QOR4" s="353"/>
      <c r="QOS4" s="353"/>
      <c r="QOT4" s="353"/>
      <c r="QOU4" s="353"/>
      <c r="QOV4" s="353"/>
      <c r="QOW4" s="353"/>
      <c r="QOX4" s="353"/>
      <c r="QOY4" s="353"/>
      <c r="QOZ4" s="353"/>
      <c r="QPA4" s="353"/>
      <c r="QPB4" s="353"/>
      <c r="QPC4" s="353"/>
      <c r="QPD4" s="353"/>
      <c r="QPE4" s="353"/>
      <c r="QPF4" s="353"/>
      <c r="QPG4" s="353"/>
      <c r="QPH4" s="353"/>
      <c r="QPI4" s="353"/>
      <c r="QPJ4" s="353"/>
      <c r="QPK4" s="353"/>
      <c r="QPL4" s="353"/>
      <c r="QPM4" s="353"/>
      <c r="QPN4" s="353"/>
      <c r="QPO4" s="353"/>
      <c r="QPP4" s="353"/>
      <c r="QPQ4" s="353"/>
      <c r="QPR4" s="353"/>
      <c r="QPS4" s="353"/>
      <c r="QPT4" s="353"/>
      <c r="QPU4" s="353"/>
      <c r="QPV4" s="353"/>
      <c r="QPW4" s="353"/>
      <c r="QPX4" s="353"/>
      <c r="QPY4" s="353"/>
      <c r="QPZ4" s="353"/>
      <c r="QQA4" s="353"/>
      <c r="QQB4" s="353"/>
      <c r="QQC4" s="353"/>
      <c r="QQD4" s="353"/>
      <c r="QQE4" s="353"/>
      <c r="QQF4" s="353"/>
      <c r="QQG4" s="353"/>
      <c r="QQH4" s="353"/>
      <c r="QQI4" s="353"/>
      <c r="QQJ4" s="353"/>
      <c r="QQK4" s="353"/>
      <c r="QQL4" s="353"/>
      <c r="QQM4" s="353"/>
      <c r="QQN4" s="353"/>
      <c r="QQO4" s="353"/>
      <c r="QQP4" s="353"/>
      <c r="QQQ4" s="353"/>
      <c r="QQR4" s="353"/>
      <c r="QQS4" s="353"/>
      <c r="QQT4" s="353"/>
      <c r="QQU4" s="353"/>
      <c r="QQV4" s="353"/>
      <c r="QQW4" s="353"/>
      <c r="QQX4" s="353"/>
      <c r="QQY4" s="353"/>
      <c r="QQZ4" s="353"/>
      <c r="QRA4" s="353"/>
      <c r="QRB4" s="353"/>
      <c r="QRC4" s="353"/>
      <c r="QRD4" s="353"/>
      <c r="QRE4" s="353"/>
      <c r="QRF4" s="353"/>
      <c r="QRG4" s="353"/>
      <c r="QRH4" s="353"/>
      <c r="QRI4" s="353"/>
      <c r="QRJ4" s="353"/>
      <c r="QRK4" s="353"/>
      <c r="QRL4" s="353"/>
      <c r="QRM4" s="353"/>
      <c r="QRN4" s="353"/>
      <c r="QRO4" s="353"/>
      <c r="QRP4" s="353"/>
      <c r="QRQ4" s="353"/>
      <c r="QRR4" s="353"/>
      <c r="QRS4" s="353"/>
      <c r="QRT4" s="353"/>
      <c r="QRU4" s="353"/>
      <c r="QRV4" s="353"/>
      <c r="QRW4" s="353"/>
      <c r="QRX4" s="353"/>
      <c r="QRY4" s="353"/>
      <c r="QRZ4" s="353"/>
      <c r="QSA4" s="353"/>
      <c r="QSB4" s="353"/>
      <c r="QSC4" s="353"/>
      <c r="QSD4" s="353"/>
      <c r="QSE4" s="353"/>
      <c r="QSF4" s="353"/>
      <c r="QSG4" s="353"/>
      <c r="QSH4" s="353"/>
      <c r="QSI4" s="353"/>
      <c r="QSJ4" s="353"/>
      <c r="QSK4" s="353"/>
      <c r="QSL4" s="353"/>
      <c r="QSM4" s="353"/>
      <c r="QSN4" s="353"/>
      <c r="QSO4" s="353"/>
      <c r="QSP4" s="353"/>
      <c r="QSQ4" s="353"/>
      <c r="QSR4" s="353"/>
      <c r="QSS4" s="353"/>
      <c r="QST4" s="353"/>
      <c r="QSU4" s="353"/>
      <c r="QSV4" s="353"/>
      <c r="QSW4" s="353"/>
      <c r="QSX4" s="353"/>
      <c r="QSY4" s="353"/>
      <c r="QSZ4" s="353"/>
      <c r="QTA4" s="353"/>
      <c r="QTB4" s="353"/>
      <c r="QTC4" s="353"/>
      <c r="QTD4" s="353"/>
      <c r="QTE4" s="353"/>
      <c r="QTF4" s="353"/>
      <c r="QTG4" s="353"/>
      <c r="QTH4" s="353"/>
      <c r="QTI4" s="353"/>
      <c r="QTJ4" s="353"/>
      <c r="QTK4" s="353"/>
      <c r="QTL4" s="353"/>
      <c r="QTM4" s="353"/>
      <c r="QTN4" s="353"/>
      <c r="QTO4" s="353"/>
      <c r="QTP4" s="353"/>
      <c r="QTQ4" s="353"/>
      <c r="QTR4" s="353"/>
      <c r="QTS4" s="353"/>
      <c r="QTT4" s="353"/>
      <c r="QTU4" s="353"/>
      <c r="QTV4" s="353"/>
      <c r="QTW4" s="353"/>
      <c r="QTX4" s="353"/>
      <c r="QTY4" s="353"/>
      <c r="QTZ4" s="353"/>
      <c r="QUA4" s="353"/>
      <c r="QUB4" s="353"/>
      <c r="QUC4" s="353"/>
      <c r="QUD4" s="353"/>
      <c r="QUE4" s="353"/>
      <c r="QUF4" s="353"/>
      <c r="QUG4" s="353"/>
      <c r="QUH4" s="353"/>
      <c r="QUI4" s="353"/>
      <c r="QUJ4" s="353"/>
      <c r="QUK4" s="353"/>
      <c r="QUL4" s="353"/>
      <c r="QUM4" s="353"/>
      <c r="QUN4" s="353"/>
      <c r="QUO4" s="353"/>
      <c r="QUP4" s="353"/>
      <c r="QUQ4" s="353"/>
      <c r="QUR4" s="353"/>
      <c r="QUS4" s="353"/>
      <c r="QUT4" s="353"/>
      <c r="QUU4" s="353"/>
      <c r="QUV4" s="353"/>
      <c r="QUW4" s="353"/>
      <c r="QUX4" s="353"/>
      <c r="QUY4" s="353"/>
      <c r="QUZ4" s="353"/>
      <c r="QVA4" s="353"/>
      <c r="QVB4" s="353"/>
      <c r="QVC4" s="353"/>
      <c r="QVD4" s="353"/>
      <c r="QVE4" s="353"/>
      <c r="QVF4" s="353"/>
      <c r="QVG4" s="353"/>
      <c r="QVH4" s="353"/>
      <c r="QVI4" s="353"/>
      <c r="QVJ4" s="353"/>
      <c r="QVK4" s="353"/>
      <c r="QVL4" s="353"/>
      <c r="QVM4" s="353"/>
      <c r="QVN4" s="353"/>
      <c r="QVO4" s="353"/>
      <c r="QVP4" s="353"/>
      <c r="QVQ4" s="353"/>
      <c r="QVR4" s="353"/>
      <c r="QVS4" s="353"/>
      <c r="QVT4" s="353"/>
      <c r="QVU4" s="353"/>
      <c r="QVV4" s="353"/>
      <c r="QVW4" s="353"/>
      <c r="QVX4" s="353"/>
      <c r="QVY4" s="353"/>
      <c r="QVZ4" s="353"/>
      <c r="QWA4" s="353"/>
      <c r="QWB4" s="353"/>
      <c r="QWC4" s="353"/>
      <c r="QWD4" s="353"/>
      <c r="QWE4" s="353"/>
      <c r="QWF4" s="353"/>
      <c r="QWG4" s="353"/>
      <c r="QWH4" s="353"/>
      <c r="QWI4" s="353"/>
      <c r="QWJ4" s="353"/>
      <c r="QWK4" s="353"/>
      <c r="QWL4" s="353"/>
      <c r="QWM4" s="353"/>
      <c r="QWN4" s="353"/>
      <c r="QWO4" s="353"/>
      <c r="QWP4" s="353"/>
      <c r="QWQ4" s="353"/>
      <c r="QWR4" s="353"/>
      <c r="QWS4" s="353"/>
      <c r="QWT4" s="353"/>
      <c r="QWU4" s="353"/>
      <c r="QWV4" s="353"/>
      <c r="QWW4" s="353"/>
      <c r="QWX4" s="353"/>
      <c r="QWY4" s="353"/>
      <c r="QWZ4" s="353"/>
      <c r="QXA4" s="353"/>
      <c r="QXB4" s="353"/>
      <c r="QXC4" s="353"/>
      <c r="QXD4" s="353"/>
      <c r="QXE4" s="353"/>
      <c r="QXF4" s="353"/>
      <c r="QXG4" s="353"/>
      <c r="QXH4" s="353"/>
      <c r="QXI4" s="353"/>
      <c r="QXJ4" s="353"/>
      <c r="QXK4" s="353"/>
      <c r="QXL4" s="353"/>
      <c r="QXM4" s="353"/>
      <c r="QXN4" s="353"/>
      <c r="QXO4" s="353"/>
      <c r="QXP4" s="353"/>
      <c r="QXQ4" s="353"/>
      <c r="QXR4" s="353"/>
      <c r="QXS4" s="353"/>
      <c r="QXT4" s="353"/>
      <c r="QXU4" s="353"/>
      <c r="QXV4" s="353"/>
      <c r="QXW4" s="353"/>
      <c r="QXX4" s="353"/>
      <c r="QXY4" s="353"/>
      <c r="QXZ4" s="353"/>
      <c r="QYA4" s="353"/>
      <c r="QYB4" s="353"/>
      <c r="QYC4" s="353"/>
      <c r="QYD4" s="353"/>
      <c r="QYE4" s="353"/>
      <c r="QYF4" s="353"/>
      <c r="QYG4" s="353"/>
      <c r="QYH4" s="353"/>
      <c r="QYI4" s="353"/>
      <c r="QYJ4" s="353"/>
      <c r="QYK4" s="353"/>
      <c r="QYL4" s="353"/>
      <c r="QYM4" s="353"/>
      <c r="QYN4" s="353"/>
      <c r="QYO4" s="353"/>
      <c r="QYP4" s="353"/>
      <c r="QYQ4" s="353"/>
      <c r="QYR4" s="353"/>
      <c r="QYS4" s="353"/>
      <c r="QYT4" s="353"/>
      <c r="QYU4" s="353"/>
      <c r="QYV4" s="353"/>
      <c r="QYW4" s="353"/>
      <c r="QYX4" s="353"/>
      <c r="QYY4" s="353"/>
      <c r="QYZ4" s="353"/>
      <c r="QZA4" s="353"/>
      <c r="QZB4" s="353"/>
      <c r="QZC4" s="353"/>
      <c r="QZD4" s="353"/>
      <c r="QZE4" s="353"/>
      <c r="QZF4" s="353"/>
      <c r="QZG4" s="353"/>
      <c r="QZH4" s="353"/>
      <c r="QZI4" s="353"/>
      <c r="QZJ4" s="353"/>
      <c r="QZK4" s="353"/>
      <c r="QZL4" s="353"/>
      <c r="QZM4" s="353"/>
      <c r="QZN4" s="353"/>
      <c r="QZO4" s="353"/>
      <c r="QZP4" s="353"/>
      <c r="QZQ4" s="353"/>
      <c r="QZR4" s="353"/>
      <c r="QZS4" s="353"/>
      <c r="QZT4" s="353"/>
      <c r="QZU4" s="353"/>
      <c r="QZV4" s="353"/>
      <c r="QZW4" s="353"/>
      <c r="QZX4" s="353"/>
      <c r="QZY4" s="353"/>
      <c r="QZZ4" s="353"/>
      <c r="RAA4" s="353"/>
      <c r="RAB4" s="353"/>
      <c r="RAC4" s="353"/>
      <c r="RAD4" s="353"/>
      <c r="RAE4" s="353"/>
      <c r="RAF4" s="353"/>
      <c r="RAG4" s="353"/>
      <c r="RAH4" s="353"/>
      <c r="RAI4" s="353"/>
      <c r="RAJ4" s="353"/>
      <c r="RAK4" s="353"/>
      <c r="RAL4" s="353"/>
      <c r="RAM4" s="353"/>
      <c r="RAN4" s="353"/>
      <c r="RAO4" s="353"/>
      <c r="RAP4" s="353"/>
      <c r="RAQ4" s="353"/>
      <c r="RAR4" s="353"/>
      <c r="RAS4" s="353"/>
      <c r="RAT4" s="353"/>
      <c r="RAU4" s="353"/>
      <c r="RAV4" s="353"/>
      <c r="RAW4" s="353"/>
      <c r="RAX4" s="353"/>
      <c r="RAY4" s="353"/>
      <c r="RAZ4" s="353"/>
      <c r="RBA4" s="353"/>
      <c r="RBB4" s="353"/>
      <c r="RBC4" s="353"/>
      <c r="RBD4" s="353"/>
      <c r="RBE4" s="353"/>
      <c r="RBF4" s="353"/>
      <c r="RBG4" s="353"/>
      <c r="RBH4" s="353"/>
      <c r="RBI4" s="353"/>
      <c r="RBJ4" s="353"/>
      <c r="RBK4" s="353"/>
      <c r="RBL4" s="353"/>
      <c r="RBM4" s="353"/>
      <c r="RBN4" s="353"/>
      <c r="RBO4" s="353"/>
      <c r="RBP4" s="353"/>
      <c r="RBQ4" s="353"/>
      <c r="RBR4" s="353"/>
      <c r="RBS4" s="353"/>
      <c r="RBT4" s="353"/>
      <c r="RBU4" s="353"/>
      <c r="RBV4" s="353"/>
      <c r="RBW4" s="353"/>
      <c r="RBX4" s="353"/>
      <c r="RBY4" s="353"/>
      <c r="RBZ4" s="353"/>
      <c r="RCA4" s="353"/>
      <c r="RCB4" s="353"/>
      <c r="RCC4" s="353"/>
      <c r="RCD4" s="353"/>
      <c r="RCE4" s="353"/>
      <c r="RCF4" s="353"/>
      <c r="RCG4" s="353"/>
      <c r="RCH4" s="353"/>
      <c r="RCI4" s="353"/>
      <c r="RCJ4" s="353"/>
      <c r="RCK4" s="353"/>
      <c r="RCL4" s="353"/>
      <c r="RCM4" s="353"/>
      <c r="RCN4" s="353"/>
      <c r="RCO4" s="353"/>
      <c r="RCP4" s="353"/>
      <c r="RCQ4" s="353"/>
      <c r="RCR4" s="353"/>
      <c r="RCS4" s="353"/>
      <c r="RCT4" s="353"/>
      <c r="RCU4" s="353"/>
      <c r="RCV4" s="353"/>
      <c r="RCW4" s="353"/>
      <c r="RCX4" s="353"/>
      <c r="RCY4" s="353"/>
      <c r="RCZ4" s="353"/>
      <c r="RDA4" s="353"/>
      <c r="RDB4" s="353"/>
      <c r="RDC4" s="353"/>
      <c r="RDD4" s="353"/>
      <c r="RDE4" s="353"/>
      <c r="RDF4" s="353"/>
      <c r="RDG4" s="353"/>
      <c r="RDH4" s="353"/>
      <c r="RDI4" s="353"/>
      <c r="RDJ4" s="353"/>
      <c r="RDK4" s="353"/>
      <c r="RDL4" s="353"/>
      <c r="RDM4" s="353"/>
      <c r="RDN4" s="353"/>
      <c r="RDO4" s="353"/>
      <c r="RDP4" s="353"/>
      <c r="RDQ4" s="353"/>
      <c r="RDR4" s="353"/>
      <c r="RDS4" s="353"/>
      <c r="RDT4" s="353"/>
      <c r="RDU4" s="353"/>
      <c r="RDV4" s="353"/>
      <c r="RDW4" s="353"/>
      <c r="RDX4" s="353"/>
      <c r="RDY4" s="353"/>
      <c r="RDZ4" s="353"/>
      <c r="REA4" s="353"/>
      <c r="REB4" s="353"/>
      <c r="REC4" s="353"/>
      <c r="RED4" s="353"/>
      <c r="REE4" s="353"/>
      <c r="REF4" s="353"/>
      <c r="REG4" s="353"/>
      <c r="REH4" s="353"/>
      <c r="REI4" s="353"/>
      <c r="REJ4" s="353"/>
      <c r="REK4" s="353"/>
      <c r="REL4" s="353"/>
      <c r="REM4" s="353"/>
      <c r="REN4" s="353"/>
      <c r="REO4" s="353"/>
      <c r="REP4" s="353"/>
      <c r="REQ4" s="353"/>
      <c r="RER4" s="353"/>
      <c r="RES4" s="353"/>
      <c r="RET4" s="353"/>
      <c r="REU4" s="353"/>
      <c r="REV4" s="353"/>
      <c r="REW4" s="353"/>
      <c r="REX4" s="353"/>
      <c r="REY4" s="353"/>
      <c r="REZ4" s="353"/>
      <c r="RFA4" s="353"/>
      <c r="RFB4" s="353"/>
      <c r="RFC4" s="353"/>
      <c r="RFD4" s="353"/>
      <c r="RFE4" s="353"/>
      <c r="RFF4" s="353"/>
      <c r="RFG4" s="353"/>
      <c r="RFH4" s="353"/>
      <c r="RFI4" s="353"/>
      <c r="RFJ4" s="353"/>
      <c r="RFK4" s="353"/>
      <c r="RFL4" s="353"/>
      <c r="RFM4" s="353"/>
      <c r="RFN4" s="353"/>
      <c r="RFO4" s="353"/>
      <c r="RFP4" s="353"/>
      <c r="RFQ4" s="353"/>
      <c r="RFR4" s="353"/>
      <c r="RFS4" s="353"/>
      <c r="RFT4" s="353"/>
      <c r="RFU4" s="353"/>
      <c r="RFV4" s="353"/>
      <c r="RFW4" s="353"/>
      <c r="RFX4" s="353"/>
      <c r="RFY4" s="353"/>
      <c r="RFZ4" s="353"/>
      <c r="RGA4" s="353"/>
      <c r="RGB4" s="353"/>
      <c r="RGC4" s="353"/>
      <c r="RGD4" s="353"/>
      <c r="RGE4" s="353"/>
      <c r="RGF4" s="353"/>
      <c r="RGG4" s="353"/>
      <c r="RGH4" s="353"/>
      <c r="RGI4" s="353"/>
      <c r="RGJ4" s="353"/>
      <c r="RGK4" s="353"/>
      <c r="RGL4" s="353"/>
      <c r="RGM4" s="353"/>
      <c r="RGN4" s="353"/>
      <c r="RGO4" s="353"/>
      <c r="RGP4" s="353"/>
      <c r="RGQ4" s="353"/>
      <c r="RGR4" s="353"/>
      <c r="RGS4" s="353"/>
      <c r="RGT4" s="353"/>
      <c r="RGU4" s="353"/>
      <c r="RGV4" s="353"/>
      <c r="RGW4" s="353"/>
      <c r="RGX4" s="353"/>
      <c r="RGY4" s="353"/>
      <c r="RGZ4" s="353"/>
      <c r="RHA4" s="353"/>
      <c r="RHB4" s="353"/>
      <c r="RHC4" s="353"/>
      <c r="RHD4" s="353"/>
      <c r="RHE4" s="353"/>
      <c r="RHF4" s="353"/>
      <c r="RHG4" s="353"/>
      <c r="RHH4" s="353"/>
      <c r="RHI4" s="353"/>
      <c r="RHJ4" s="353"/>
      <c r="RHK4" s="353"/>
      <c r="RHL4" s="353"/>
      <c r="RHM4" s="353"/>
      <c r="RHN4" s="353"/>
      <c r="RHO4" s="353"/>
      <c r="RHP4" s="353"/>
      <c r="RHQ4" s="353"/>
      <c r="RHR4" s="353"/>
      <c r="RHS4" s="353"/>
      <c r="RHT4" s="353"/>
      <c r="RHU4" s="353"/>
      <c r="RHV4" s="353"/>
      <c r="RHW4" s="353"/>
      <c r="RHX4" s="353"/>
      <c r="RHY4" s="353"/>
      <c r="RHZ4" s="353"/>
      <c r="RIA4" s="353"/>
      <c r="RIB4" s="353"/>
      <c r="RIC4" s="353"/>
      <c r="RID4" s="353"/>
      <c r="RIE4" s="353"/>
      <c r="RIF4" s="353"/>
      <c r="RIG4" s="353"/>
      <c r="RIH4" s="353"/>
      <c r="RII4" s="353"/>
      <c r="RIJ4" s="353"/>
      <c r="RIK4" s="353"/>
      <c r="RIL4" s="353"/>
      <c r="RIM4" s="353"/>
      <c r="RIN4" s="353"/>
      <c r="RIO4" s="353"/>
      <c r="RIP4" s="353"/>
      <c r="RIQ4" s="353"/>
      <c r="RIR4" s="353"/>
      <c r="RIS4" s="353"/>
      <c r="RIT4" s="353"/>
      <c r="RIU4" s="353"/>
      <c r="RIV4" s="353"/>
      <c r="RIW4" s="353"/>
      <c r="RIX4" s="353"/>
      <c r="RIY4" s="353"/>
      <c r="RIZ4" s="353"/>
      <c r="RJA4" s="353"/>
      <c r="RJB4" s="353"/>
      <c r="RJC4" s="353"/>
      <c r="RJD4" s="353"/>
      <c r="RJE4" s="353"/>
      <c r="RJF4" s="353"/>
      <c r="RJG4" s="353"/>
      <c r="RJH4" s="353"/>
      <c r="RJI4" s="353"/>
      <c r="RJJ4" s="353"/>
      <c r="RJK4" s="353"/>
      <c r="RJL4" s="353"/>
      <c r="RJM4" s="353"/>
      <c r="RJN4" s="353"/>
      <c r="RJO4" s="353"/>
      <c r="RJP4" s="353"/>
      <c r="RJQ4" s="353"/>
      <c r="RJR4" s="353"/>
      <c r="RJS4" s="353"/>
      <c r="RJT4" s="353"/>
      <c r="RJU4" s="353"/>
      <c r="RJV4" s="353"/>
      <c r="RJW4" s="353"/>
      <c r="RJX4" s="353"/>
      <c r="RJY4" s="353"/>
      <c r="RJZ4" s="353"/>
      <c r="RKA4" s="353"/>
      <c r="RKB4" s="353"/>
      <c r="RKC4" s="353"/>
      <c r="RKD4" s="353"/>
      <c r="RKE4" s="353"/>
      <c r="RKF4" s="353"/>
      <c r="RKG4" s="353"/>
      <c r="RKH4" s="353"/>
      <c r="RKI4" s="353"/>
      <c r="RKJ4" s="353"/>
      <c r="RKK4" s="353"/>
      <c r="RKL4" s="353"/>
      <c r="RKM4" s="353"/>
      <c r="RKN4" s="353"/>
      <c r="RKO4" s="353"/>
      <c r="RKP4" s="353"/>
      <c r="RKQ4" s="353"/>
      <c r="RKR4" s="353"/>
      <c r="RKS4" s="353"/>
      <c r="RKT4" s="353"/>
      <c r="RKU4" s="353"/>
      <c r="RKV4" s="353"/>
      <c r="RKW4" s="353"/>
      <c r="RKX4" s="353"/>
      <c r="RKY4" s="353"/>
      <c r="RKZ4" s="353"/>
      <c r="RLA4" s="353"/>
      <c r="RLB4" s="353"/>
      <c r="RLC4" s="353"/>
      <c r="RLD4" s="353"/>
      <c r="RLE4" s="353"/>
      <c r="RLF4" s="353"/>
      <c r="RLG4" s="353"/>
      <c r="RLH4" s="353"/>
      <c r="RLI4" s="353"/>
      <c r="RLJ4" s="353"/>
      <c r="RLK4" s="353"/>
      <c r="RLL4" s="353"/>
      <c r="RLM4" s="353"/>
      <c r="RLN4" s="353"/>
      <c r="RLO4" s="353"/>
      <c r="RLP4" s="353"/>
      <c r="RLQ4" s="353"/>
      <c r="RLR4" s="353"/>
      <c r="RLS4" s="353"/>
      <c r="RLT4" s="353"/>
      <c r="RLU4" s="353"/>
      <c r="RLV4" s="353"/>
      <c r="RLW4" s="353"/>
      <c r="RLX4" s="353"/>
      <c r="RLY4" s="353"/>
      <c r="RLZ4" s="353"/>
      <c r="RMA4" s="353"/>
      <c r="RMB4" s="353"/>
      <c r="RMC4" s="353"/>
      <c r="RMD4" s="353"/>
      <c r="RME4" s="353"/>
      <c r="RMF4" s="353"/>
      <c r="RMG4" s="353"/>
      <c r="RMH4" s="353"/>
      <c r="RMI4" s="353"/>
      <c r="RMJ4" s="353"/>
      <c r="RMK4" s="353"/>
      <c r="RML4" s="353"/>
      <c r="RMM4" s="353"/>
      <c r="RMN4" s="353"/>
      <c r="RMO4" s="353"/>
      <c r="RMP4" s="353"/>
      <c r="RMQ4" s="353"/>
      <c r="RMR4" s="353"/>
      <c r="RMS4" s="353"/>
      <c r="RMT4" s="353"/>
      <c r="RMU4" s="353"/>
      <c r="RMV4" s="353"/>
      <c r="RMW4" s="353"/>
      <c r="RMX4" s="353"/>
      <c r="RMY4" s="353"/>
      <c r="RMZ4" s="353"/>
      <c r="RNA4" s="353"/>
      <c r="RNB4" s="353"/>
      <c r="RNC4" s="353"/>
      <c r="RND4" s="353"/>
      <c r="RNE4" s="353"/>
      <c r="RNF4" s="353"/>
      <c r="RNG4" s="353"/>
      <c r="RNH4" s="353"/>
      <c r="RNI4" s="353"/>
      <c r="RNJ4" s="353"/>
      <c r="RNK4" s="353"/>
      <c r="RNL4" s="353"/>
      <c r="RNM4" s="353"/>
      <c r="RNN4" s="353"/>
      <c r="RNO4" s="353"/>
      <c r="RNP4" s="353"/>
      <c r="RNQ4" s="353"/>
      <c r="RNR4" s="353"/>
      <c r="RNS4" s="353"/>
      <c r="RNT4" s="353"/>
      <c r="RNU4" s="353"/>
      <c r="RNV4" s="353"/>
      <c r="RNW4" s="353"/>
      <c r="RNX4" s="353"/>
      <c r="RNY4" s="353"/>
      <c r="RNZ4" s="353"/>
      <c r="ROA4" s="353"/>
      <c r="ROB4" s="353"/>
      <c r="ROC4" s="353"/>
      <c r="ROD4" s="353"/>
      <c r="ROE4" s="353"/>
      <c r="ROF4" s="353"/>
      <c r="ROG4" s="353"/>
      <c r="ROH4" s="353"/>
      <c r="ROI4" s="353"/>
      <c r="ROJ4" s="353"/>
      <c r="ROK4" s="353"/>
      <c r="ROL4" s="353"/>
      <c r="ROM4" s="353"/>
      <c r="RON4" s="353"/>
      <c r="ROO4" s="353"/>
      <c r="ROP4" s="353"/>
      <c r="ROQ4" s="353"/>
      <c r="ROR4" s="353"/>
      <c r="ROS4" s="353"/>
      <c r="ROT4" s="353"/>
      <c r="ROU4" s="353"/>
      <c r="ROV4" s="353"/>
      <c r="ROW4" s="353"/>
      <c r="ROX4" s="353"/>
      <c r="ROY4" s="353"/>
      <c r="ROZ4" s="353"/>
      <c r="RPA4" s="353"/>
      <c r="RPB4" s="353"/>
      <c r="RPC4" s="353"/>
      <c r="RPD4" s="353"/>
      <c r="RPE4" s="353"/>
      <c r="RPF4" s="353"/>
      <c r="RPG4" s="353"/>
      <c r="RPH4" s="353"/>
      <c r="RPI4" s="353"/>
      <c r="RPJ4" s="353"/>
      <c r="RPK4" s="353"/>
      <c r="RPL4" s="353"/>
      <c r="RPM4" s="353"/>
      <c r="RPN4" s="353"/>
      <c r="RPO4" s="353"/>
      <c r="RPP4" s="353"/>
      <c r="RPQ4" s="353"/>
      <c r="RPR4" s="353"/>
      <c r="RPS4" s="353"/>
      <c r="RPT4" s="353"/>
      <c r="RPU4" s="353"/>
      <c r="RPV4" s="353"/>
      <c r="RPW4" s="353"/>
      <c r="RPX4" s="353"/>
      <c r="RPY4" s="353"/>
      <c r="RPZ4" s="353"/>
      <c r="RQA4" s="353"/>
      <c r="RQB4" s="353"/>
      <c r="RQC4" s="353"/>
      <c r="RQD4" s="353"/>
      <c r="RQE4" s="353"/>
      <c r="RQF4" s="353"/>
      <c r="RQG4" s="353"/>
      <c r="RQH4" s="353"/>
      <c r="RQI4" s="353"/>
      <c r="RQJ4" s="353"/>
      <c r="RQK4" s="353"/>
      <c r="RQL4" s="353"/>
      <c r="RQM4" s="353"/>
      <c r="RQN4" s="353"/>
      <c r="RQO4" s="353"/>
      <c r="RQP4" s="353"/>
      <c r="RQQ4" s="353"/>
      <c r="RQR4" s="353"/>
      <c r="RQS4" s="353"/>
      <c r="RQT4" s="353"/>
      <c r="RQU4" s="353"/>
      <c r="RQV4" s="353"/>
      <c r="RQW4" s="353"/>
      <c r="RQX4" s="353"/>
      <c r="RQY4" s="353"/>
      <c r="RQZ4" s="353"/>
      <c r="RRA4" s="353"/>
      <c r="RRB4" s="353"/>
      <c r="RRC4" s="353"/>
      <c r="RRD4" s="353"/>
      <c r="RRE4" s="353"/>
      <c r="RRF4" s="353"/>
      <c r="RRG4" s="353"/>
      <c r="RRH4" s="353"/>
      <c r="RRI4" s="353"/>
      <c r="RRJ4" s="353"/>
      <c r="RRK4" s="353"/>
      <c r="RRL4" s="353"/>
      <c r="RRM4" s="353"/>
      <c r="RRN4" s="353"/>
      <c r="RRO4" s="353"/>
      <c r="RRP4" s="353"/>
      <c r="RRQ4" s="353"/>
      <c r="RRR4" s="353"/>
      <c r="RRS4" s="353"/>
      <c r="RRT4" s="353"/>
      <c r="RRU4" s="353"/>
      <c r="RRV4" s="353"/>
      <c r="RRW4" s="353"/>
      <c r="RRX4" s="353"/>
      <c r="RRY4" s="353"/>
      <c r="RRZ4" s="353"/>
      <c r="RSA4" s="353"/>
      <c r="RSB4" s="353"/>
      <c r="RSC4" s="353"/>
      <c r="RSD4" s="353"/>
      <c r="RSE4" s="353"/>
      <c r="RSF4" s="353"/>
      <c r="RSG4" s="353"/>
      <c r="RSH4" s="353"/>
      <c r="RSI4" s="353"/>
      <c r="RSJ4" s="353"/>
      <c r="RSK4" s="353"/>
      <c r="RSL4" s="353"/>
      <c r="RSM4" s="353"/>
      <c r="RSN4" s="353"/>
      <c r="RSO4" s="353"/>
      <c r="RSP4" s="353"/>
      <c r="RSQ4" s="353"/>
      <c r="RSR4" s="353"/>
      <c r="RSS4" s="353"/>
      <c r="RST4" s="353"/>
      <c r="RSU4" s="353"/>
      <c r="RSV4" s="353"/>
      <c r="RSW4" s="353"/>
      <c r="RSX4" s="353"/>
      <c r="RSY4" s="353"/>
      <c r="RSZ4" s="353"/>
      <c r="RTA4" s="353"/>
      <c r="RTB4" s="353"/>
      <c r="RTC4" s="353"/>
      <c r="RTD4" s="353"/>
      <c r="RTE4" s="353"/>
      <c r="RTF4" s="353"/>
      <c r="RTG4" s="353"/>
      <c r="RTH4" s="353"/>
      <c r="RTI4" s="353"/>
      <c r="RTJ4" s="353"/>
      <c r="RTK4" s="353"/>
      <c r="RTL4" s="353"/>
      <c r="RTM4" s="353"/>
      <c r="RTN4" s="353"/>
      <c r="RTO4" s="353"/>
      <c r="RTP4" s="353"/>
      <c r="RTQ4" s="353"/>
      <c r="RTR4" s="353"/>
      <c r="RTS4" s="353"/>
      <c r="RTT4" s="353"/>
      <c r="RTU4" s="353"/>
      <c r="RTV4" s="353"/>
      <c r="RTW4" s="353"/>
      <c r="RTX4" s="353"/>
      <c r="RTY4" s="353"/>
      <c r="RTZ4" s="353"/>
      <c r="RUA4" s="353"/>
      <c r="RUB4" s="353"/>
      <c r="RUC4" s="353"/>
      <c r="RUD4" s="353"/>
      <c r="RUE4" s="353"/>
      <c r="RUF4" s="353"/>
      <c r="RUG4" s="353"/>
      <c r="RUH4" s="353"/>
      <c r="RUI4" s="353"/>
      <c r="RUJ4" s="353"/>
      <c r="RUK4" s="353"/>
      <c r="RUL4" s="353"/>
      <c r="RUM4" s="353"/>
      <c r="RUN4" s="353"/>
      <c r="RUO4" s="353"/>
      <c r="RUP4" s="353"/>
      <c r="RUQ4" s="353"/>
      <c r="RUR4" s="353"/>
      <c r="RUS4" s="353"/>
      <c r="RUT4" s="353"/>
      <c r="RUU4" s="353"/>
      <c r="RUV4" s="353"/>
      <c r="RUW4" s="353"/>
      <c r="RUX4" s="353"/>
      <c r="RUY4" s="353"/>
      <c r="RUZ4" s="353"/>
      <c r="RVA4" s="353"/>
      <c r="RVB4" s="353"/>
      <c r="RVC4" s="353"/>
      <c r="RVD4" s="353"/>
      <c r="RVE4" s="353"/>
      <c r="RVF4" s="353"/>
      <c r="RVG4" s="353"/>
      <c r="RVH4" s="353"/>
      <c r="RVI4" s="353"/>
      <c r="RVJ4" s="353"/>
      <c r="RVK4" s="353"/>
      <c r="RVL4" s="353"/>
      <c r="RVM4" s="353"/>
      <c r="RVN4" s="353"/>
      <c r="RVO4" s="353"/>
      <c r="RVP4" s="353"/>
      <c r="RVQ4" s="353"/>
      <c r="RVR4" s="353"/>
      <c r="RVS4" s="353"/>
      <c r="RVT4" s="353"/>
      <c r="RVU4" s="353"/>
      <c r="RVV4" s="353"/>
      <c r="RVW4" s="353"/>
      <c r="RVX4" s="353"/>
      <c r="RVY4" s="353"/>
      <c r="RVZ4" s="353"/>
      <c r="RWA4" s="353"/>
      <c r="RWB4" s="353"/>
      <c r="RWC4" s="353"/>
      <c r="RWD4" s="353"/>
      <c r="RWE4" s="353"/>
      <c r="RWF4" s="353"/>
      <c r="RWG4" s="353"/>
      <c r="RWH4" s="353"/>
      <c r="RWI4" s="353"/>
      <c r="RWJ4" s="353"/>
      <c r="RWK4" s="353"/>
      <c r="RWL4" s="353"/>
      <c r="RWM4" s="353"/>
      <c r="RWN4" s="353"/>
      <c r="RWO4" s="353"/>
      <c r="RWP4" s="353"/>
      <c r="RWQ4" s="353"/>
      <c r="RWR4" s="353"/>
      <c r="RWS4" s="353"/>
      <c r="RWT4" s="353"/>
      <c r="RWU4" s="353"/>
      <c r="RWV4" s="353"/>
      <c r="RWW4" s="353"/>
      <c r="RWX4" s="353"/>
      <c r="RWY4" s="353"/>
      <c r="RWZ4" s="353"/>
      <c r="RXA4" s="353"/>
      <c r="RXB4" s="353"/>
      <c r="RXC4" s="353"/>
      <c r="RXD4" s="353"/>
      <c r="RXE4" s="353"/>
      <c r="RXF4" s="353"/>
      <c r="RXG4" s="353"/>
      <c r="RXH4" s="353"/>
      <c r="RXI4" s="353"/>
      <c r="RXJ4" s="353"/>
      <c r="RXK4" s="353"/>
      <c r="RXL4" s="353"/>
      <c r="RXM4" s="353"/>
      <c r="RXN4" s="353"/>
      <c r="RXO4" s="353"/>
      <c r="RXP4" s="353"/>
      <c r="RXQ4" s="353"/>
      <c r="RXR4" s="353"/>
      <c r="RXS4" s="353"/>
      <c r="RXT4" s="353"/>
      <c r="RXU4" s="353"/>
      <c r="RXV4" s="353"/>
      <c r="RXW4" s="353"/>
      <c r="RXX4" s="353"/>
      <c r="RXY4" s="353"/>
      <c r="RXZ4" s="353"/>
      <c r="RYA4" s="353"/>
      <c r="RYB4" s="353"/>
      <c r="RYC4" s="353"/>
      <c r="RYD4" s="353"/>
      <c r="RYE4" s="353"/>
      <c r="RYF4" s="353"/>
      <c r="RYG4" s="353"/>
      <c r="RYH4" s="353"/>
      <c r="RYI4" s="353"/>
      <c r="RYJ4" s="353"/>
      <c r="RYK4" s="353"/>
      <c r="RYL4" s="353"/>
      <c r="RYM4" s="353"/>
      <c r="RYN4" s="353"/>
      <c r="RYO4" s="353"/>
      <c r="RYP4" s="353"/>
      <c r="RYQ4" s="353"/>
      <c r="RYR4" s="353"/>
      <c r="RYS4" s="353"/>
      <c r="RYT4" s="353"/>
      <c r="RYU4" s="353"/>
      <c r="RYV4" s="353"/>
      <c r="RYW4" s="353"/>
      <c r="RYX4" s="353"/>
      <c r="RYY4" s="353"/>
      <c r="RYZ4" s="353"/>
      <c r="RZA4" s="353"/>
      <c r="RZB4" s="353"/>
      <c r="RZC4" s="353"/>
      <c r="RZD4" s="353"/>
      <c r="RZE4" s="353"/>
      <c r="RZF4" s="353"/>
      <c r="RZG4" s="353"/>
      <c r="RZH4" s="353"/>
      <c r="RZI4" s="353"/>
      <c r="RZJ4" s="353"/>
      <c r="RZK4" s="353"/>
      <c r="RZL4" s="353"/>
      <c r="RZM4" s="353"/>
      <c r="RZN4" s="353"/>
      <c r="RZO4" s="353"/>
      <c r="RZP4" s="353"/>
      <c r="RZQ4" s="353"/>
      <c r="RZR4" s="353"/>
      <c r="RZS4" s="353"/>
      <c r="RZT4" s="353"/>
      <c r="RZU4" s="353"/>
      <c r="RZV4" s="353"/>
      <c r="RZW4" s="353"/>
      <c r="RZX4" s="353"/>
      <c r="RZY4" s="353"/>
      <c r="RZZ4" s="353"/>
      <c r="SAA4" s="353"/>
      <c r="SAB4" s="353"/>
      <c r="SAC4" s="353"/>
      <c r="SAD4" s="353"/>
      <c r="SAE4" s="353"/>
      <c r="SAF4" s="353"/>
      <c r="SAG4" s="353"/>
      <c r="SAH4" s="353"/>
      <c r="SAI4" s="353"/>
      <c r="SAJ4" s="353"/>
      <c r="SAK4" s="353"/>
      <c r="SAL4" s="353"/>
      <c r="SAM4" s="353"/>
      <c r="SAN4" s="353"/>
      <c r="SAO4" s="353"/>
      <c r="SAP4" s="353"/>
      <c r="SAQ4" s="353"/>
      <c r="SAR4" s="353"/>
      <c r="SAS4" s="353"/>
      <c r="SAT4" s="353"/>
      <c r="SAU4" s="353"/>
      <c r="SAV4" s="353"/>
      <c r="SAW4" s="353"/>
      <c r="SAX4" s="353"/>
      <c r="SAY4" s="353"/>
      <c r="SAZ4" s="353"/>
      <c r="SBA4" s="353"/>
      <c r="SBB4" s="353"/>
      <c r="SBC4" s="353"/>
      <c r="SBD4" s="353"/>
      <c r="SBE4" s="353"/>
      <c r="SBF4" s="353"/>
      <c r="SBG4" s="353"/>
      <c r="SBH4" s="353"/>
      <c r="SBI4" s="353"/>
      <c r="SBJ4" s="353"/>
      <c r="SBK4" s="353"/>
      <c r="SBL4" s="353"/>
      <c r="SBM4" s="353"/>
      <c r="SBN4" s="353"/>
      <c r="SBO4" s="353"/>
      <c r="SBP4" s="353"/>
      <c r="SBQ4" s="353"/>
      <c r="SBR4" s="353"/>
      <c r="SBS4" s="353"/>
      <c r="SBT4" s="353"/>
      <c r="SBU4" s="353"/>
      <c r="SBV4" s="353"/>
      <c r="SBW4" s="353"/>
      <c r="SBX4" s="353"/>
      <c r="SBY4" s="353"/>
      <c r="SBZ4" s="353"/>
      <c r="SCA4" s="353"/>
      <c r="SCB4" s="353"/>
      <c r="SCC4" s="353"/>
      <c r="SCD4" s="353"/>
      <c r="SCE4" s="353"/>
      <c r="SCF4" s="353"/>
      <c r="SCG4" s="353"/>
      <c r="SCH4" s="353"/>
      <c r="SCI4" s="353"/>
      <c r="SCJ4" s="353"/>
      <c r="SCK4" s="353"/>
      <c r="SCL4" s="353"/>
      <c r="SCM4" s="353"/>
      <c r="SCN4" s="353"/>
      <c r="SCO4" s="353"/>
      <c r="SCP4" s="353"/>
      <c r="SCQ4" s="353"/>
      <c r="SCR4" s="353"/>
      <c r="SCS4" s="353"/>
      <c r="SCT4" s="353"/>
      <c r="SCU4" s="353"/>
      <c r="SCV4" s="353"/>
      <c r="SCW4" s="353"/>
      <c r="SCX4" s="353"/>
      <c r="SCY4" s="353"/>
      <c r="SCZ4" s="353"/>
      <c r="SDA4" s="353"/>
      <c r="SDB4" s="353"/>
      <c r="SDC4" s="353"/>
      <c r="SDD4" s="353"/>
      <c r="SDE4" s="353"/>
      <c r="SDF4" s="353"/>
      <c r="SDG4" s="353"/>
      <c r="SDH4" s="353"/>
      <c r="SDI4" s="353"/>
      <c r="SDJ4" s="353"/>
      <c r="SDK4" s="353"/>
      <c r="SDL4" s="353"/>
      <c r="SDM4" s="353"/>
      <c r="SDN4" s="353"/>
      <c r="SDO4" s="353"/>
      <c r="SDP4" s="353"/>
      <c r="SDQ4" s="353"/>
      <c r="SDR4" s="353"/>
      <c r="SDS4" s="353"/>
      <c r="SDT4" s="353"/>
      <c r="SDU4" s="353"/>
      <c r="SDV4" s="353"/>
      <c r="SDW4" s="353"/>
      <c r="SDX4" s="353"/>
      <c r="SDY4" s="353"/>
      <c r="SDZ4" s="353"/>
      <c r="SEA4" s="353"/>
      <c r="SEB4" s="353"/>
      <c r="SEC4" s="353"/>
      <c r="SED4" s="353"/>
      <c r="SEE4" s="353"/>
      <c r="SEF4" s="353"/>
      <c r="SEG4" s="353"/>
      <c r="SEH4" s="353"/>
      <c r="SEI4" s="353"/>
      <c r="SEJ4" s="353"/>
      <c r="SEK4" s="353"/>
      <c r="SEL4" s="353"/>
      <c r="SEM4" s="353"/>
      <c r="SEN4" s="353"/>
      <c r="SEO4" s="353"/>
      <c r="SEP4" s="353"/>
      <c r="SEQ4" s="353"/>
      <c r="SER4" s="353"/>
      <c r="SES4" s="353"/>
      <c r="SET4" s="353"/>
      <c r="SEU4" s="353"/>
      <c r="SEV4" s="353"/>
      <c r="SEW4" s="353"/>
      <c r="SEX4" s="353"/>
      <c r="SEY4" s="353"/>
      <c r="SEZ4" s="353"/>
      <c r="SFA4" s="353"/>
      <c r="SFB4" s="353"/>
      <c r="SFC4" s="353"/>
      <c r="SFD4" s="353"/>
      <c r="SFE4" s="353"/>
      <c r="SFF4" s="353"/>
      <c r="SFG4" s="353"/>
      <c r="SFH4" s="353"/>
      <c r="SFI4" s="353"/>
      <c r="SFJ4" s="353"/>
      <c r="SFK4" s="353"/>
      <c r="SFL4" s="353"/>
      <c r="SFM4" s="353"/>
      <c r="SFN4" s="353"/>
      <c r="SFO4" s="353"/>
      <c r="SFP4" s="353"/>
      <c r="SFQ4" s="353"/>
      <c r="SFR4" s="353"/>
      <c r="SFS4" s="353"/>
      <c r="SFT4" s="353"/>
      <c r="SFU4" s="353"/>
      <c r="SFV4" s="353"/>
      <c r="SFW4" s="353"/>
      <c r="SFX4" s="353"/>
      <c r="SFY4" s="353"/>
      <c r="SFZ4" s="353"/>
      <c r="SGA4" s="353"/>
      <c r="SGB4" s="353"/>
      <c r="SGC4" s="353"/>
      <c r="SGD4" s="353"/>
      <c r="SGE4" s="353"/>
      <c r="SGF4" s="353"/>
      <c r="SGG4" s="353"/>
      <c r="SGH4" s="353"/>
      <c r="SGI4" s="353"/>
      <c r="SGJ4" s="353"/>
      <c r="SGK4" s="353"/>
      <c r="SGL4" s="353"/>
      <c r="SGM4" s="353"/>
      <c r="SGN4" s="353"/>
      <c r="SGO4" s="353"/>
      <c r="SGP4" s="353"/>
      <c r="SGQ4" s="353"/>
      <c r="SGR4" s="353"/>
      <c r="SGS4" s="353"/>
      <c r="SGT4" s="353"/>
      <c r="SGU4" s="353"/>
      <c r="SGV4" s="353"/>
      <c r="SGW4" s="353"/>
      <c r="SGX4" s="353"/>
      <c r="SGY4" s="353"/>
      <c r="SGZ4" s="353"/>
      <c r="SHA4" s="353"/>
      <c r="SHB4" s="353"/>
      <c r="SHC4" s="353"/>
      <c r="SHD4" s="353"/>
      <c r="SHE4" s="353"/>
      <c r="SHF4" s="353"/>
      <c r="SHG4" s="353"/>
      <c r="SHH4" s="353"/>
      <c r="SHI4" s="353"/>
      <c r="SHJ4" s="353"/>
      <c r="SHK4" s="353"/>
      <c r="SHL4" s="353"/>
      <c r="SHM4" s="353"/>
      <c r="SHN4" s="353"/>
      <c r="SHO4" s="353"/>
      <c r="SHP4" s="353"/>
      <c r="SHQ4" s="353"/>
      <c r="SHR4" s="353"/>
      <c r="SHS4" s="353"/>
      <c r="SHT4" s="353"/>
      <c r="SHU4" s="353"/>
      <c r="SHV4" s="353"/>
      <c r="SHW4" s="353"/>
      <c r="SHX4" s="353"/>
      <c r="SHY4" s="353"/>
      <c r="SHZ4" s="353"/>
      <c r="SIA4" s="353"/>
      <c r="SIB4" s="353"/>
      <c r="SIC4" s="353"/>
      <c r="SID4" s="353"/>
      <c r="SIE4" s="353"/>
      <c r="SIF4" s="353"/>
      <c r="SIG4" s="353"/>
      <c r="SIH4" s="353"/>
      <c r="SII4" s="353"/>
      <c r="SIJ4" s="353"/>
      <c r="SIK4" s="353"/>
      <c r="SIL4" s="353"/>
      <c r="SIM4" s="353"/>
      <c r="SIN4" s="353"/>
      <c r="SIO4" s="353"/>
      <c r="SIP4" s="353"/>
      <c r="SIQ4" s="353"/>
      <c r="SIR4" s="353"/>
      <c r="SIS4" s="353"/>
      <c r="SIT4" s="353"/>
      <c r="SIU4" s="353"/>
      <c r="SIV4" s="353"/>
      <c r="SIW4" s="353"/>
      <c r="SIX4" s="353"/>
      <c r="SIY4" s="353"/>
      <c r="SIZ4" s="353"/>
      <c r="SJA4" s="353"/>
      <c r="SJB4" s="353"/>
      <c r="SJC4" s="353"/>
      <c r="SJD4" s="353"/>
      <c r="SJE4" s="353"/>
      <c r="SJF4" s="353"/>
      <c r="SJG4" s="353"/>
      <c r="SJH4" s="353"/>
      <c r="SJI4" s="353"/>
      <c r="SJJ4" s="353"/>
      <c r="SJK4" s="353"/>
      <c r="SJL4" s="353"/>
      <c r="SJM4" s="353"/>
      <c r="SJN4" s="353"/>
      <c r="SJO4" s="353"/>
      <c r="SJP4" s="353"/>
      <c r="SJQ4" s="353"/>
      <c r="SJR4" s="353"/>
      <c r="SJS4" s="353"/>
      <c r="SJT4" s="353"/>
      <c r="SJU4" s="353"/>
      <c r="SJV4" s="353"/>
      <c r="SJW4" s="353"/>
      <c r="SJX4" s="353"/>
      <c r="SJY4" s="353"/>
      <c r="SJZ4" s="353"/>
      <c r="SKA4" s="353"/>
      <c r="SKB4" s="353"/>
      <c r="SKC4" s="353"/>
      <c r="SKD4" s="353"/>
      <c r="SKE4" s="353"/>
      <c r="SKF4" s="353"/>
      <c r="SKG4" s="353"/>
      <c r="SKH4" s="353"/>
      <c r="SKI4" s="353"/>
      <c r="SKJ4" s="353"/>
      <c r="SKK4" s="353"/>
      <c r="SKL4" s="353"/>
      <c r="SKM4" s="353"/>
      <c r="SKN4" s="353"/>
      <c r="SKO4" s="353"/>
      <c r="SKP4" s="353"/>
      <c r="SKQ4" s="353"/>
      <c r="SKR4" s="353"/>
      <c r="SKS4" s="353"/>
      <c r="SKT4" s="353"/>
      <c r="SKU4" s="353"/>
      <c r="SKV4" s="353"/>
      <c r="SKW4" s="353"/>
      <c r="SKX4" s="353"/>
      <c r="SKY4" s="353"/>
      <c r="SKZ4" s="353"/>
      <c r="SLA4" s="353"/>
      <c r="SLB4" s="353"/>
      <c r="SLC4" s="353"/>
      <c r="SLD4" s="353"/>
      <c r="SLE4" s="353"/>
      <c r="SLF4" s="353"/>
      <c r="SLG4" s="353"/>
      <c r="SLH4" s="353"/>
      <c r="SLI4" s="353"/>
      <c r="SLJ4" s="353"/>
      <c r="SLK4" s="353"/>
      <c r="SLL4" s="353"/>
      <c r="SLM4" s="353"/>
      <c r="SLN4" s="353"/>
      <c r="SLO4" s="353"/>
      <c r="SLP4" s="353"/>
      <c r="SLQ4" s="353"/>
      <c r="SLR4" s="353"/>
      <c r="SLS4" s="353"/>
      <c r="SLT4" s="353"/>
      <c r="SLU4" s="353"/>
      <c r="SLV4" s="353"/>
      <c r="SLW4" s="353"/>
      <c r="SLX4" s="353"/>
      <c r="SLY4" s="353"/>
      <c r="SLZ4" s="353"/>
      <c r="SMA4" s="353"/>
      <c r="SMB4" s="353"/>
      <c r="SMC4" s="353"/>
      <c r="SMD4" s="353"/>
      <c r="SME4" s="353"/>
      <c r="SMF4" s="353"/>
      <c r="SMG4" s="353"/>
      <c r="SMH4" s="353"/>
      <c r="SMI4" s="353"/>
      <c r="SMJ4" s="353"/>
      <c r="SMK4" s="353"/>
      <c r="SML4" s="353"/>
      <c r="SMM4" s="353"/>
      <c r="SMN4" s="353"/>
      <c r="SMO4" s="353"/>
      <c r="SMP4" s="353"/>
      <c r="SMQ4" s="353"/>
      <c r="SMR4" s="353"/>
      <c r="SMS4" s="353"/>
      <c r="SMT4" s="353"/>
      <c r="SMU4" s="353"/>
      <c r="SMV4" s="353"/>
      <c r="SMW4" s="353"/>
      <c r="SMX4" s="353"/>
      <c r="SMY4" s="353"/>
      <c r="SMZ4" s="353"/>
      <c r="SNA4" s="353"/>
      <c r="SNB4" s="353"/>
      <c r="SNC4" s="353"/>
      <c r="SND4" s="353"/>
      <c r="SNE4" s="353"/>
      <c r="SNF4" s="353"/>
      <c r="SNG4" s="353"/>
      <c r="SNH4" s="353"/>
      <c r="SNI4" s="353"/>
      <c r="SNJ4" s="353"/>
      <c r="SNK4" s="353"/>
      <c r="SNL4" s="353"/>
      <c r="SNM4" s="353"/>
      <c r="SNN4" s="353"/>
      <c r="SNO4" s="353"/>
      <c r="SNP4" s="353"/>
      <c r="SNQ4" s="353"/>
      <c r="SNR4" s="353"/>
      <c r="SNS4" s="353"/>
      <c r="SNT4" s="353"/>
      <c r="SNU4" s="353"/>
      <c r="SNV4" s="353"/>
      <c r="SNW4" s="353"/>
      <c r="SNX4" s="353"/>
      <c r="SNY4" s="353"/>
      <c r="SNZ4" s="353"/>
      <c r="SOA4" s="353"/>
      <c r="SOB4" s="353"/>
      <c r="SOC4" s="353"/>
      <c r="SOD4" s="353"/>
      <c r="SOE4" s="353"/>
      <c r="SOF4" s="353"/>
      <c r="SOG4" s="353"/>
      <c r="SOH4" s="353"/>
      <c r="SOI4" s="353"/>
      <c r="SOJ4" s="353"/>
      <c r="SOK4" s="353"/>
      <c r="SOL4" s="353"/>
      <c r="SOM4" s="353"/>
      <c r="SON4" s="353"/>
      <c r="SOO4" s="353"/>
      <c r="SOP4" s="353"/>
      <c r="SOQ4" s="353"/>
      <c r="SOR4" s="353"/>
      <c r="SOS4" s="353"/>
      <c r="SOT4" s="353"/>
      <c r="SOU4" s="353"/>
      <c r="SOV4" s="353"/>
      <c r="SOW4" s="353"/>
      <c r="SOX4" s="353"/>
      <c r="SOY4" s="353"/>
      <c r="SOZ4" s="353"/>
      <c r="SPA4" s="353"/>
      <c r="SPB4" s="353"/>
      <c r="SPC4" s="353"/>
      <c r="SPD4" s="353"/>
      <c r="SPE4" s="353"/>
      <c r="SPF4" s="353"/>
      <c r="SPG4" s="353"/>
      <c r="SPH4" s="353"/>
      <c r="SPI4" s="353"/>
      <c r="SPJ4" s="353"/>
      <c r="SPK4" s="353"/>
      <c r="SPL4" s="353"/>
      <c r="SPM4" s="353"/>
      <c r="SPN4" s="353"/>
      <c r="SPO4" s="353"/>
      <c r="SPP4" s="353"/>
      <c r="SPQ4" s="353"/>
      <c r="SPR4" s="353"/>
      <c r="SPS4" s="353"/>
      <c r="SPT4" s="353"/>
      <c r="SPU4" s="353"/>
      <c r="SPV4" s="353"/>
      <c r="SPW4" s="353"/>
      <c r="SPX4" s="353"/>
      <c r="SPY4" s="353"/>
      <c r="SPZ4" s="353"/>
      <c r="SQA4" s="353"/>
      <c r="SQB4" s="353"/>
      <c r="SQC4" s="353"/>
      <c r="SQD4" s="353"/>
      <c r="SQE4" s="353"/>
      <c r="SQF4" s="353"/>
      <c r="SQG4" s="353"/>
      <c r="SQH4" s="353"/>
      <c r="SQI4" s="353"/>
      <c r="SQJ4" s="353"/>
      <c r="SQK4" s="353"/>
      <c r="SQL4" s="353"/>
      <c r="SQM4" s="353"/>
      <c r="SQN4" s="353"/>
      <c r="SQO4" s="353"/>
      <c r="SQP4" s="353"/>
      <c r="SQQ4" s="353"/>
      <c r="SQR4" s="353"/>
      <c r="SQS4" s="353"/>
      <c r="SQT4" s="353"/>
      <c r="SQU4" s="353"/>
      <c r="SQV4" s="353"/>
      <c r="SQW4" s="353"/>
      <c r="SQX4" s="353"/>
      <c r="SQY4" s="353"/>
      <c r="SQZ4" s="353"/>
      <c r="SRA4" s="353"/>
      <c r="SRB4" s="353"/>
      <c r="SRC4" s="353"/>
      <c r="SRD4" s="353"/>
      <c r="SRE4" s="353"/>
      <c r="SRF4" s="353"/>
      <c r="SRG4" s="353"/>
      <c r="SRH4" s="353"/>
      <c r="SRI4" s="353"/>
      <c r="SRJ4" s="353"/>
      <c r="SRK4" s="353"/>
      <c r="SRL4" s="353"/>
      <c r="SRM4" s="353"/>
      <c r="SRN4" s="353"/>
      <c r="SRO4" s="353"/>
      <c r="SRP4" s="353"/>
      <c r="SRQ4" s="353"/>
      <c r="SRR4" s="353"/>
      <c r="SRS4" s="353"/>
      <c r="SRT4" s="353"/>
      <c r="SRU4" s="353"/>
      <c r="SRV4" s="353"/>
      <c r="SRW4" s="353"/>
      <c r="SRX4" s="353"/>
      <c r="SRY4" s="353"/>
      <c r="SRZ4" s="353"/>
      <c r="SSA4" s="353"/>
      <c r="SSB4" s="353"/>
      <c r="SSC4" s="353"/>
      <c r="SSD4" s="353"/>
      <c r="SSE4" s="353"/>
      <c r="SSF4" s="353"/>
      <c r="SSG4" s="353"/>
      <c r="SSH4" s="353"/>
      <c r="SSI4" s="353"/>
      <c r="SSJ4" s="353"/>
      <c r="SSK4" s="353"/>
      <c r="SSL4" s="353"/>
      <c r="SSM4" s="353"/>
      <c r="SSN4" s="353"/>
      <c r="SSO4" s="353"/>
      <c r="SSP4" s="353"/>
      <c r="SSQ4" s="353"/>
      <c r="SSR4" s="353"/>
      <c r="SSS4" s="353"/>
      <c r="SST4" s="353"/>
      <c r="SSU4" s="353"/>
      <c r="SSV4" s="353"/>
      <c r="SSW4" s="353"/>
      <c r="SSX4" s="353"/>
      <c r="SSY4" s="353"/>
      <c r="SSZ4" s="353"/>
      <c r="STA4" s="353"/>
      <c r="STB4" s="353"/>
      <c r="STC4" s="353"/>
      <c r="STD4" s="353"/>
      <c r="STE4" s="353"/>
      <c r="STF4" s="353"/>
      <c r="STG4" s="353"/>
      <c r="STH4" s="353"/>
      <c r="STI4" s="353"/>
      <c r="STJ4" s="353"/>
      <c r="STK4" s="353"/>
      <c r="STL4" s="353"/>
      <c r="STM4" s="353"/>
      <c r="STN4" s="353"/>
      <c r="STO4" s="353"/>
      <c r="STP4" s="353"/>
      <c r="STQ4" s="353"/>
      <c r="STR4" s="353"/>
      <c r="STS4" s="353"/>
      <c r="STT4" s="353"/>
      <c r="STU4" s="353"/>
      <c r="STV4" s="353"/>
      <c r="STW4" s="353"/>
      <c r="STX4" s="353"/>
      <c r="STY4" s="353"/>
      <c r="STZ4" s="353"/>
      <c r="SUA4" s="353"/>
      <c r="SUB4" s="353"/>
      <c r="SUC4" s="353"/>
      <c r="SUD4" s="353"/>
      <c r="SUE4" s="353"/>
      <c r="SUF4" s="353"/>
      <c r="SUG4" s="353"/>
      <c r="SUH4" s="353"/>
      <c r="SUI4" s="353"/>
      <c r="SUJ4" s="353"/>
      <c r="SUK4" s="353"/>
      <c r="SUL4" s="353"/>
      <c r="SUM4" s="353"/>
      <c r="SUN4" s="353"/>
      <c r="SUO4" s="353"/>
      <c r="SUP4" s="353"/>
      <c r="SUQ4" s="353"/>
      <c r="SUR4" s="353"/>
      <c r="SUS4" s="353"/>
      <c r="SUT4" s="353"/>
      <c r="SUU4" s="353"/>
      <c r="SUV4" s="353"/>
      <c r="SUW4" s="353"/>
      <c r="SUX4" s="353"/>
      <c r="SUY4" s="353"/>
      <c r="SUZ4" s="353"/>
      <c r="SVA4" s="353"/>
      <c r="SVB4" s="353"/>
      <c r="SVC4" s="353"/>
      <c r="SVD4" s="353"/>
      <c r="SVE4" s="353"/>
      <c r="SVF4" s="353"/>
      <c r="SVG4" s="353"/>
      <c r="SVH4" s="353"/>
      <c r="SVI4" s="353"/>
      <c r="SVJ4" s="353"/>
      <c r="SVK4" s="353"/>
      <c r="SVL4" s="353"/>
      <c r="SVM4" s="353"/>
      <c r="SVN4" s="353"/>
      <c r="SVO4" s="353"/>
      <c r="SVP4" s="353"/>
      <c r="SVQ4" s="353"/>
      <c r="SVR4" s="353"/>
      <c r="SVS4" s="353"/>
      <c r="SVT4" s="353"/>
      <c r="SVU4" s="353"/>
      <c r="SVV4" s="353"/>
      <c r="SVW4" s="353"/>
      <c r="SVX4" s="353"/>
      <c r="SVY4" s="353"/>
      <c r="SVZ4" s="353"/>
      <c r="SWA4" s="353"/>
      <c r="SWB4" s="353"/>
      <c r="SWC4" s="353"/>
      <c r="SWD4" s="353"/>
      <c r="SWE4" s="353"/>
      <c r="SWF4" s="353"/>
      <c r="SWG4" s="353"/>
      <c r="SWH4" s="353"/>
      <c r="SWI4" s="353"/>
      <c r="SWJ4" s="353"/>
      <c r="SWK4" s="353"/>
      <c r="SWL4" s="353"/>
      <c r="SWM4" s="353"/>
      <c r="SWN4" s="353"/>
      <c r="SWO4" s="353"/>
      <c r="SWP4" s="353"/>
      <c r="SWQ4" s="353"/>
      <c r="SWR4" s="353"/>
      <c r="SWS4" s="353"/>
      <c r="SWT4" s="353"/>
      <c r="SWU4" s="353"/>
      <c r="SWV4" s="353"/>
      <c r="SWW4" s="353"/>
      <c r="SWX4" s="353"/>
      <c r="SWY4" s="353"/>
      <c r="SWZ4" s="353"/>
      <c r="SXA4" s="353"/>
      <c r="SXB4" s="353"/>
      <c r="SXC4" s="353"/>
      <c r="SXD4" s="353"/>
      <c r="SXE4" s="353"/>
      <c r="SXF4" s="353"/>
      <c r="SXG4" s="353"/>
      <c r="SXH4" s="353"/>
      <c r="SXI4" s="353"/>
      <c r="SXJ4" s="353"/>
      <c r="SXK4" s="353"/>
      <c r="SXL4" s="353"/>
      <c r="SXM4" s="353"/>
      <c r="SXN4" s="353"/>
      <c r="SXO4" s="353"/>
      <c r="SXP4" s="353"/>
      <c r="SXQ4" s="353"/>
      <c r="SXR4" s="353"/>
      <c r="SXS4" s="353"/>
      <c r="SXT4" s="353"/>
      <c r="SXU4" s="353"/>
      <c r="SXV4" s="353"/>
      <c r="SXW4" s="353"/>
      <c r="SXX4" s="353"/>
      <c r="SXY4" s="353"/>
      <c r="SXZ4" s="353"/>
      <c r="SYA4" s="353"/>
      <c r="SYB4" s="353"/>
      <c r="SYC4" s="353"/>
      <c r="SYD4" s="353"/>
      <c r="SYE4" s="353"/>
      <c r="SYF4" s="353"/>
      <c r="SYG4" s="353"/>
      <c r="SYH4" s="353"/>
      <c r="SYI4" s="353"/>
      <c r="SYJ4" s="353"/>
      <c r="SYK4" s="353"/>
      <c r="SYL4" s="353"/>
      <c r="SYM4" s="353"/>
      <c r="SYN4" s="353"/>
      <c r="SYO4" s="353"/>
      <c r="SYP4" s="353"/>
      <c r="SYQ4" s="353"/>
      <c r="SYR4" s="353"/>
      <c r="SYS4" s="353"/>
      <c r="SYT4" s="353"/>
      <c r="SYU4" s="353"/>
      <c r="SYV4" s="353"/>
      <c r="SYW4" s="353"/>
      <c r="SYX4" s="353"/>
      <c r="SYY4" s="353"/>
      <c r="SYZ4" s="353"/>
      <c r="SZA4" s="353"/>
      <c r="SZB4" s="353"/>
      <c r="SZC4" s="353"/>
      <c r="SZD4" s="353"/>
      <c r="SZE4" s="353"/>
      <c r="SZF4" s="353"/>
      <c r="SZG4" s="353"/>
      <c r="SZH4" s="353"/>
      <c r="SZI4" s="353"/>
      <c r="SZJ4" s="353"/>
      <c r="SZK4" s="353"/>
      <c r="SZL4" s="353"/>
      <c r="SZM4" s="353"/>
      <c r="SZN4" s="353"/>
      <c r="SZO4" s="353"/>
      <c r="SZP4" s="353"/>
      <c r="SZQ4" s="353"/>
      <c r="SZR4" s="353"/>
      <c r="SZS4" s="353"/>
      <c r="SZT4" s="353"/>
      <c r="SZU4" s="353"/>
      <c r="SZV4" s="353"/>
      <c r="SZW4" s="353"/>
      <c r="SZX4" s="353"/>
      <c r="SZY4" s="353"/>
      <c r="SZZ4" s="353"/>
      <c r="TAA4" s="353"/>
      <c r="TAB4" s="353"/>
      <c r="TAC4" s="353"/>
      <c r="TAD4" s="353"/>
      <c r="TAE4" s="353"/>
      <c r="TAF4" s="353"/>
      <c r="TAG4" s="353"/>
      <c r="TAH4" s="353"/>
      <c r="TAI4" s="353"/>
      <c r="TAJ4" s="353"/>
      <c r="TAK4" s="353"/>
      <c r="TAL4" s="353"/>
      <c r="TAM4" s="353"/>
      <c r="TAN4" s="353"/>
      <c r="TAO4" s="353"/>
      <c r="TAP4" s="353"/>
      <c r="TAQ4" s="353"/>
      <c r="TAR4" s="353"/>
      <c r="TAS4" s="353"/>
      <c r="TAT4" s="353"/>
      <c r="TAU4" s="353"/>
      <c r="TAV4" s="353"/>
      <c r="TAW4" s="353"/>
      <c r="TAX4" s="353"/>
      <c r="TAY4" s="353"/>
      <c r="TAZ4" s="353"/>
      <c r="TBA4" s="353"/>
      <c r="TBB4" s="353"/>
      <c r="TBC4" s="353"/>
      <c r="TBD4" s="353"/>
      <c r="TBE4" s="353"/>
      <c r="TBF4" s="353"/>
      <c r="TBG4" s="353"/>
      <c r="TBH4" s="353"/>
      <c r="TBI4" s="353"/>
      <c r="TBJ4" s="353"/>
      <c r="TBK4" s="353"/>
      <c r="TBL4" s="353"/>
      <c r="TBM4" s="353"/>
      <c r="TBN4" s="353"/>
      <c r="TBO4" s="353"/>
      <c r="TBP4" s="353"/>
      <c r="TBQ4" s="353"/>
      <c r="TBR4" s="353"/>
      <c r="TBS4" s="353"/>
      <c r="TBT4" s="353"/>
      <c r="TBU4" s="353"/>
      <c r="TBV4" s="353"/>
      <c r="TBW4" s="353"/>
      <c r="TBX4" s="353"/>
      <c r="TBY4" s="353"/>
      <c r="TBZ4" s="353"/>
      <c r="TCA4" s="353"/>
      <c r="TCB4" s="353"/>
      <c r="TCC4" s="353"/>
      <c r="TCD4" s="353"/>
      <c r="TCE4" s="353"/>
      <c r="TCF4" s="353"/>
      <c r="TCG4" s="353"/>
      <c r="TCH4" s="353"/>
      <c r="TCI4" s="353"/>
      <c r="TCJ4" s="353"/>
      <c r="TCK4" s="353"/>
      <c r="TCL4" s="353"/>
      <c r="TCM4" s="353"/>
      <c r="TCN4" s="353"/>
      <c r="TCO4" s="353"/>
      <c r="TCP4" s="353"/>
      <c r="TCQ4" s="353"/>
      <c r="TCR4" s="353"/>
      <c r="TCS4" s="353"/>
      <c r="TCT4" s="353"/>
      <c r="TCU4" s="353"/>
      <c r="TCV4" s="353"/>
      <c r="TCW4" s="353"/>
      <c r="TCX4" s="353"/>
      <c r="TCY4" s="353"/>
      <c r="TCZ4" s="353"/>
      <c r="TDA4" s="353"/>
      <c r="TDB4" s="353"/>
      <c r="TDC4" s="353"/>
      <c r="TDD4" s="353"/>
      <c r="TDE4" s="353"/>
      <c r="TDF4" s="353"/>
      <c r="TDG4" s="353"/>
      <c r="TDH4" s="353"/>
      <c r="TDI4" s="353"/>
      <c r="TDJ4" s="353"/>
      <c r="TDK4" s="353"/>
      <c r="TDL4" s="353"/>
      <c r="TDM4" s="353"/>
      <c r="TDN4" s="353"/>
      <c r="TDO4" s="353"/>
      <c r="TDP4" s="353"/>
      <c r="TDQ4" s="353"/>
      <c r="TDR4" s="353"/>
      <c r="TDS4" s="353"/>
      <c r="TDT4" s="353"/>
      <c r="TDU4" s="353"/>
      <c r="TDV4" s="353"/>
      <c r="TDW4" s="353"/>
      <c r="TDX4" s="353"/>
      <c r="TDY4" s="353"/>
      <c r="TDZ4" s="353"/>
      <c r="TEA4" s="353"/>
      <c r="TEB4" s="353"/>
      <c r="TEC4" s="353"/>
      <c r="TED4" s="353"/>
      <c r="TEE4" s="353"/>
      <c r="TEF4" s="353"/>
      <c r="TEG4" s="353"/>
      <c r="TEH4" s="353"/>
      <c r="TEI4" s="353"/>
      <c r="TEJ4" s="353"/>
      <c r="TEK4" s="353"/>
      <c r="TEL4" s="353"/>
      <c r="TEM4" s="353"/>
      <c r="TEN4" s="353"/>
      <c r="TEO4" s="353"/>
      <c r="TEP4" s="353"/>
      <c r="TEQ4" s="353"/>
      <c r="TER4" s="353"/>
      <c r="TES4" s="353"/>
      <c r="TET4" s="353"/>
      <c r="TEU4" s="353"/>
      <c r="TEV4" s="353"/>
      <c r="TEW4" s="353"/>
      <c r="TEX4" s="353"/>
      <c r="TEY4" s="353"/>
      <c r="TEZ4" s="353"/>
      <c r="TFA4" s="353"/>
      <c r="TFB4" s="353"/>
      <c r="TFC4" s="353"/>
      <c r="TFD4" s="353"/>
      <c r="TFE4" s="353"/>
      <c r="TFF4" s="353"/>
      <c r="TFG4" s="353"/>
      <c r="TFH4" s="353"/>
      <c r="TFI4" s="353"/>
      <c r="TFJ4" s="353"/>
      <c r="TFK4" s="353"/>
      <c r="TFL4" s="353"/>
      <c r="TFM4" s="353"/>
      <c r="TFN4" s="353"/>
      <c r="TFO4" s="353"/>
      <c r="TFP4" s="353"/>
      <c r="TFQ4" s="353"/>
      <c r="TFR4" s="353"/>
      <c r="TFS4" s="353"/>
      <c r="TFT4" s="353"/>
      <c r="TFU4" s="353"/>
      <c r="TFV4" s="353"/>
      <c r="TFW4" s="353"/>
      <c r="TFX4" s="353"/>
      <c r="TFY4" s="353"/>
      <c r="TFZ4" s="353"/>
      <c r="TGA4" s="353"/>
      <c r="TGB4" s="353"/>
      <c r="TGC4" s="353"/>
      <c r="TGD4" s="353"/>
      <c r="TGE4" s="353"/>
      <c r="TGF4" s="353"/>
      <c r="TGG4" s="353"/>
      <c r="TGH4" s="353"/>
      <c r="TGI4" s="353"/>
      <c r="TGJ4" s="353"/>
      <c r="TGK4" s="353"/>
      <c r="TGL4" s="353"/>
      <c r="TGM4" s="353"/>
      <c r="TGN4" s="353"/>
      <c r="TGO4" s="353"/>
      <c r="TGP4" s="353"/>
      <c r="TGQ4" s="353"/>
      <c r="TGR4" s="353"/>
      <c r="TGS4" s="353"/>
      <c r="TGT4" s="353"/>
      <c r="TGU4" s="353"/>
      <c r="TGV4" s="353"/>
      <c r="TGW4" s="353"/>
      <c r="TGX4" s="353"/>
      <c r="TGY4" s="353"/>
      <c r="TGZ4" s="353"/>
      <c r="THA4" s="353"/>
      <c r="THB4" s="353"/>
      <c r="THC4" s="353"/>
      <c r="THD4" s="353"/>
      <c r="THE4" s="353"/>
      <c r="THF4" s="353"/>
      <c r="THG4" s="353"/>
      <c r="THH4" s="353"/>
      <c r="THI4" s="353"/>
      <c r="THJ4" s="353"/>
      <c r="THK4" s="353"/>
      <c r="THL4" s="353"/>
      <c r="THM4" s="353"/>
      <c r="THN4" s="353"/>
      <c r="THO4" s="353"/>
      <c r="THP4" s="353"/>
      <c r="THQ4" s="353"/>
      <c r="THR4" s="353"/>
      <c r="THS4" s="353"/>
      <c r="THT4" s="353"/>
      <c r="THU4" s="353"/>
      <c r="THV4" s="353"/>
      <c r="THW4" s="353"/>
      <c r="THX4" s="353"/>
      <c r="THY4" s="353"/>
      <c r="THZ4" s="353"/>
      <c r="TIA4" s="353"/>
      <c r="TIB4" s="353"/>
      <c r="TIC4" s="353"/>
      <c r="TID4" s="353"/>
      <c r="TIE4" s="353"/>
      <c r="TIF4" s="353"/>
      <c r="TIG4" s="353"/>
      <c r="TIH4" s="353"/>
      <c r="TII4" s="353"/>
      <c r="TIJ4" s="353"/>
      <c r="TIK4" s="353"/>
      <c r="TIL4" s="353"/>
      <c r="TIM4" s="353"/>
      <c r="TIN4" s="353"/>
      <c r="TIO4" s="353"/>
      <c r="TIP4" s="353"/>
      <c r="TIQ4" s="353"/>
      <c r="TIR4" s="353"/>
      <c r="TIS4" s="353"/>
      <c r="TIT4" s="353"/>
      <c r="TIU4" s="353"/>
      <c r="TIV4" s="353"/>
      <c r="TIW4" s="353"/>
      <c r="TIX4" s="353"/>
      <c r="TIY4" s="353"/>
      <c r="TIZ4" s="353"/>
      <c r="TJA4" s="353"/>
      <c r="TJB4" s="353"/>
      <c r="TJC4" s="353"/>
      <c r="TJD4" s="353"/>
      <c r="TJE4" s="353"/>
      <c r="TJF4" s="353"/>
      <c r="TJG4" s="353"/>
      <c r="TJH4" s="353"/>
      <c r="TJI4" s="353"/>
      <c r="TJJ4" s="353"/>
      <c r="TJK4" s="353"/>
      <c r="TJL4" s="353"/>
      <c r="TJM4" s="353"/>
      <c r="TJN4" s="353"/>
      <c r="TJO4" s="353"/>
      <c r="TJP4" s="353"/>
      <c r="TJQ4" s="353"/>
      <c r="TJR4" s="353"/>
      <c r="TJS4" s="353"/>
      <c r="TJT4" s="353"/>
      <c r="TJU4" s="353"/>
      <c r="TJV4" s="353"/>
      <c r="TJW4" s="353"/>
      <c r="TJX4" s="353"/>
      <c r="TJY4" s="353"/>
      <c r="TJZ4" s="353"/>
      <c r="TKA4" s="353"/>
      <c r="TKB4" s="353"/>
      <c r="TKC4" s="353"/>
      <c r="TKD4" s="353"/>
      <c r="TKE4" s="353"/>
      <c r="TKF4" s="353"/>
      <c r="TKG4" s="353"/>
      <c r="TKH4" s="353"/>
      <c r="TKI4" s="353"/>
      <c r="TKJ4" s="353"/>
      <c r="TKK4" s="353"/>
      <c r="TKL4" s="353"/>
      <c r="TKM4" s="353"/>
      <c r="TKN4" s="353"/>
      <c r="TKO4" s="353"/>
      <c r="TKP4" s="353"/>
      <c r="TKQ4" s="353"/>
      <c r="TKR4" s="353"/>
      <c r="TKS4" s="353"/>
      <c r="TKT4" s="353"/>
      <c r="TKU4" s="353"/>
      <c r="TKV4" s="353"/>
      <c r="TKW4" s="353"/>
      <c r="TKX4" s="353"/>
      <c r="TKY4" s="353"/>
      <c r="TKZ4" s="353"/>
      <c r="TLA4" s="353"/>
      <c r="TLB4" s="353"/>
      <c r="TLC4" s="353"/>
      <c r="TLD4" s="353"/>
      <c r="TLE4" s="353"/>
      <c r="TLF4" s="353"/>
      <c r="TLG4" s="353"/>
      <c r="TLH4" s="353"/>
      <c r="TLI4" s="353"/>
      <c r="TLJ4" s="353"/>
      <c r="TLK4" s="353"/>
      <c r="TLL4" s="353"/>
      <c r="TLM4" s="353"/>
      <c r="TLN4" s="353"/>
      <c r="TLO4" s="353"/>
      <c r="TLP4" s="353"/>
      <c r="TLQ4" s="353"/>
      <c r="TLR4" s="353"/>
      <c r="TLS4" s="353"/>
      <c r="TLT4" s="353"/>
      <c r="TLU4" s="353"/>
      <c r="TLV4" s="353"/>
      <c r="TLW4" s="353"/>
      <c r="TLX4" s="353"/>
      <c r="TLY4" s="353"/>
      <c r="TLZ4" s="353"/>
      <c r="TMA4" s="353"/>
      <c r="TMB4" s="353"/>
      <c r="TMC4" s="353"/>
      <c r="TMD4" s="353"/>
      <c r="TME4" s="353"/>
      <c r="TMF4" s="353"/>
      <c r="TMG4" s="353"/>
      <c r="TMH4" s="353"/>
      <c r="TMI4" s="353"/>
      <c r="TMJ4" s="353"/>
      <c r="TMK4" s="353"/>
      <c r="TML4" s="353"/>
      <c r="TMM4" s="353"/>
      <c r="TMN4" s="353"/>
      <c r="TMO4" s="353"/>
      <c r="TMP4" s="353"/>
      <c r="TMQ4" s="353"/>
      <c r="TMR4" s="353"/>
      <c r="TMS4" s="353"/>
      <c r="TMT4" s="353"/>
      <c r="TMU4" s="353"/>
      <c r="TMV4" s="353"/>
      <c r="TMW4" s="353"/>
      <c r="TMX4" s="353"/>
      <c r="TMY4" s="353"/>
      <c r="TMZ4" s="353"/>
      <c r="TNA4" s="353"/>
      <c r="TNB4" s="353"/>
      <c r="TNC4" s="353"/>
      <c r="TND4" s="353"/>
      <c r="TNE4" s="353"/>
      <c r="TNF4" s="353"/>
      <c r="TNG4" s="353"/>
      <c r="TNH4" s="353"/>
      <c r="TNI4" s="353"/>
      <c r="TNJ4" s="353"/>
      <c r="TNK4" s="353"/>
      <c r="TNL4" s="353"/>
      <c r="TNM4" s="353"/>
      <c r="TNN4" s="353"/>
      <c r="TNO4" s="353"/>
      <c r="TNP4" s="353"/>
      <c r="TNQ4" s="353"/>
      <c r="TNR4" s="353"/>
      <c r="TNS4" s="353"/>
      <c r="TNT4" s="353"/>
      <c r="TNU4" s="353"/>
      <c r="TNV4" s="353"/>
      <c r="TNW4" s="353"/>
      <c r="TNX4" s="353"/>
      <c r="TNY4" s="353"/>
      <c r="TNZ4" s="353"/>
      <c r="TOA4" s="353"/>
      <c r="TOB4" s="353"/>
      <c r="TOC4" s="353"/>
      <c r="TOD4" s="353"/>
      <c r="TOE4" s="353"/>
      <c r="TOF4" s="353"/>
      <c r="TOG4" s="353"/>
      <c r="TOH4" s="353"/>
      <c r="TOI4" s="353"/>
      <c r="TOJ4" s="353"/>
      <c r="TOK4" s="353"/>
      <c r="TOL4" s="353"/>
      <c r="TOM4" s="353"/>
      <c r="TON4" s="353"/>
      <c r="TOO4" s="353"/>
      <c r="TOP4" s="353"/>
      <c r="TOQ4" s="353"/>
      <c r="TOR4" s="353"/>
      <c r="TOS4" s="353"/>
      <c r="TOT4" s="353"/>
      <c r="TOU4" s="353"/>
      <c r="TOV4" s="353"/>
      <c r="TOW4" s="353"/>
      <c r="TOX4" s="353"/>
      <c r="TOY4" s="353"/>
      <c r="TOZ4" s="353"/>
      <c r="TPA4" s="353"/>
      <c r="TPB4" s="353"/>
      <c r="TPC4" s="353"/>
      <c r="TPD4" s="353"/>
      <c r="TPE4" s="353"/>
      <c r="TPF4" s="353"/>
      <c r="TPG4" s="353"/>
      <c r="TPH4" s="353"/>
      <c r="TPI4" s="353"/>
      <c r="TPJ4" s="353"/>
      <c r="TPK4" s="353"/>
      <c r="TPL4" s="353"/>
      <c r="TPM4" s="353"/>
      <c r="TPN4" s="353"/>
      <c r="TPO4" s="353"/>
      <c r="TPP4" s="353"/>
      <c r="TPQ4" s="353"/>
      <c r="TPR4" s="353"/>
      <c r="TPS4" s="353"/>
      <c r="TPT4" s="353"/>
      <c r="TPU4" s="353"/>
      <c r="TPV4" s="353"/>
      <c r="TPW4" s="353"/>
      <c r="TPX4" s="353"/>
      <c r="TPY4" s="353"/>
      <c r="TPZ4" s="353"/>
      <c r="TQA4" s="353"/>
      <c r="TQB4" s="353"/>
      <c r="TQC4" s="353"/>
      <c r="TQD4" s="353"/>
      <c r="TQE4" s="353"/>
      <c r="TQF4" s="353"/>
      <c r="TQG4" s="353"/>
      <c r="TQH4" s="353"/>
      <c r="TQI4" s="353"/>
      <c r="TQJ4" s="353"/>
      <c r="TQK4" s="353"/>
      <c r="TQL4" s="353"/>
      <c r="TQM4" s="353"/>
      <c r="TQN4" s="353"/>
      <c r="TQO4" s="353"/>
      <c r="TQP4" s="353"/>
      <c r="TQQ4" s="353"/>
      <c r="TQR4" s="353"/>
      <c r="TQS4" s="353"/>
      <c r="TQT4" s="353"/>
      <c r="TQU4" s="353"/>
      <c r="TQV4" s="353"/>
      <c r="TQW4" s="353"/>
      <c r="TQX4" s="353"/>
      <c r="TQY4" s="353"/>
      <c r="TQZ4" s="353"/>
      <c r="TRA4" s="353"/>
      <c r="TRB4" s="353"/>
      <c r="TRC4" s="353"/>
      <c r="TRD4" s="353"/>
      <c r="TRE4" s="353"/>
      <c r="TRF4" s="353"/>
      <c r="TRG4" s="353"/>
      <c r="TRH4" s="353"/>
      <c r="TRI4" s="353"/>
      <c r="TRJ4" s="353"/>
      <c r="TRK4" s="353"/>
      <c r="TRL4" s="353"/>
      <c r="TRM4" s="353"/>
      <c r="TRN4" s="353"/>
      <c r="TRO4" s="353"/>
      <c r="TRP4" s="353"/>
      <c r="TRQ4" s="353"/>
      <c r="TRR4" s="353"/>
      <c r="TRS4" s="353"/>
      <c r="TRT4" s="353"/>
      <c r="TRU4" s="353"/>
      <c r="TRV4" s="353"/>
      <c r="TRW4" s="353"/>
      <c r="TRX4" s="353"/>
      <c r="TRY4" s="353"/>
      <c r="TRZ4" s="353"/>
      <c r="TSA4" s="353"/>
      <c r="TSB4" s="353"/>
      <c r="TSC4" s="353"/>
      <c r="TSD4" s="353"/>
      <c r="TSE4" s="353"/>
      <c r="TSF4" s="353"/>
      <c r="TSG4" s="353"/>
      <c r="TSH4" s="353"/>
      <c r="TSI4" s="353"/>
      <c r="TSJ4" s="353"/>
      <c r="TSK4" s="353"/>
      <c r="TSL4" s="353"/>
      <c r="TSM4" s="353"/>
      <c r="TSN4" s="353"/>
      <c r="TSO4" s="353"/>
      <c r="TSP4" s="353"/>
      <c r="TSQ4" s="353"/>
      <c r="TSR4" s="353"/>
      <c r="TSS4" s="353"/>
      <c r="TST4" s="353"/>
      <c r="TSU4" s="353"/>
      <c r="TSV4" s="353"/>
      <c r="TSW4" s="353"/>
      <c r="TSX4" s="353"/>
      <c r="TSY4" s="353"/>
      <c r="TSZ4" s="353"/>
      <c r="TTA4" s="353"/>
      <c r="TTB4" s="353"/>
      <c r="TTC4" s="353"/>
      <c r="TTD4" s="353"/>
      <c r="TTE4" s="353"/>
      <c r="TTF4" s="353"/>
      <c r="TTG4" s="353"/>
      <c r="TTH4" s="353"/>
      <c r="TTI4" s="353"/>
      <c r="TTJ4" s="353"/>
      <c r="TTK4" s="353"/>
      <c r="TTL4" s="353"/>
      <c r="TTM4" s="353"/>
      <c r="TTN4" s="353"/>
      <c r="TTO4" s="353"/>
      <c r="TTP4" s="353"/>
      <c r="TTQ4" s="353"/>
      <c r="TTR4" s="353"/>
      <c r="TTS4" s="353"/>
      <c r="TTT4" s="353"/>
      <c r="TTU4" s="353"/>
      <c r="TTV4" s="353"/>
      <c r="TTW4" s="353"/>
      <c r="TTX4" s="353"/>
      <c r="TTY4" s="353"/>
      <c r="TTZ4" s="353"/>
      <c r="TUA4" s="353"/>
      <c r="TUB4" s="353"/>
      <c r="TUC4" s="353"/>
      <c r="TUD4" s="353"/>
      <c r="TUE4" s="353"/>
      <c r="TUF4" s="353"/>
      <c r="TUG4" s="353"/>
      <c r="TUH4" s="353"/>
      <c r="TUI4" s="353"/>
      <c r="TUJ4" s="353"/>
      <c r="TUK4" s="353"/>
      <c r="TUL4" s="353"/>
      <c r="TUM4" s="353"/>
      <c r="TUN4" s="353"/>
      <c r="TUO4" s="353"/>
      <c r="TUP4" s="353"/>
      <c r="TUQ4" s="353"/>
      <c r="TUR4" s="353"/>
      <c r="TUS4" s="353"/>
      <c r="TUT4" s="353"/>
      <c r="TUU4" s="353"/>
      <c r="TUV4" s="353"/>
      <c r="TUW4" s="353"/>
      <c r="TUX4" s="353"/>
      <c r="TUY4" s="353"/>
      <c r="TUZ4" s="353"/>
      <c r="TVA4" s="353"/>
      <c r="TVB4" s="353"/>
      <c r="TVC4" s="353"/>
      <c r="TVD4" s="353"/>
      <c r="TVE4" s="353"/>
      <c r="TVF4" s="353"/>
      <c r="TVG4" s="353"/>
      <c r="TVH4" s="353"/>
      <c r="TVI4" s="353"/>
      <c r="TVJ4" s="353"/>
      <c r="TVK4" s="353"/>
      <c r="TVL4" s="353"/>
      <c r="TVM4" s="353"/>
      <c r="TVN4" s="353"/>
      <c r="TVO4" s="353"/>
      <c r="TVP4" s="353"/>
      <c r="TVQ4" s="353"/>
      <c r="TVR4" s="353"/>
      <c r="TVS4" s="353"/>
      <c r="TVT4" s="353"/>
      <c r="TVU4" s="353"/>
      <c r="TVV4" s="353"/>
      <c r="TVW4" s="353"/>
      <c r="TVX4" s="353"/>
      <c r="TVY4" s="353"/>
      <c r="TVZ4" s="353"/>
      <c r="TWA4" s="353"/>
      <c r="TWB4" s="353"/>
      <c r="TWC4" s="353"/>
      <c r="TWD4" s="353"/>
      <c r="TWE4" s="353"/>
      <c r="TWF4" s="353"/>
      <c r="TWG4" s="353"/>
      <c r="TWH4" s="353"/>
      <c r="TWI4" s="353"/>
      <c r="TWJ4" s="353"/>
      <c r="TWK4" s="353"/>
      <c r="TWL4" s="353"/>
      <c r="TWM4" s="353"/>
      <c r="TWN4" s="353"/>
      <c r="TWO4" s="353"/>
      <c r="TWP4" s="353"/>
      <c r="TWQ4" s="353"/>
      <c r="TWR4" s="353"/>
      <c r="TWS4" s="353"/>
      <c r="TWT4" s="353"/>
      <c r="TWU4" s="353"/>
      <c r="TWV4" s="353"/>
      <c r="TWW4" s="353"/>
      <c r="TWX4" s="353"/>
      <c r="TWY4" s="353"/>
      <c r="TWZ4" s="353"/>
      <c r="TXA4" s="353"/>
      <c r="TXB4" s="353"/>
      <c r="TXC4" s="353"/>
      <c r="TXD4" s="353"/>
      <c r="TXE4" s="353"/>
      <c r="TXF4" s="353"/>
      <c r="TXG4" s="353"/>
      <c r="TXH4" s="353"/>
      <c r="TXI4" s="353"/>
      <c r="TXJ4" s="353"/>
      <c r="TXK4" s="353"/>
      <c r="TXL4" s="353"/>
      <c r="TXM4" s="353"/>
      <c r="TXN4" s="353"/>
      <c r="TXO4" s="353"/>
      <c r="TXP4" s="353"/>
      <c r="TXQ4" s="353"/>
      <c r="TXR4" s="353"/>
      <c r="TXS4" s="353"/>
      <c r="TXT4" s="353"/>
      <c r="TXU4" s="353"/>
      <c r="TXV4" s="353"/>
      <c r="TXW4" s="353"/>
      <c r="TXX4" s="353"/>
      <c r="TXY4" s="353"/>
      <c r="TXZ4" s="353"/>
      <c r="TYA4" s="353"/>
      <c r="TYB4" s="353"/>
      <c r="TYC4" s="353"/>
      <c r="TYD4" s="353"/>
      <c r="TYE4" s="353"/>
      <c r="TYF4" s="353"/>
      <c r="TYG4" s="353"/>
      <c r="TYH4" s="353"/>
      <c r="TYI4" s="353"/>
      <c r="TYJ4" s="353"/>
      <c r="TYK4" s="353"/>
      <c r="TYL4" s="353"/>
      <c r="TYM4" s="353"/>
      <c r="TYN4" s="353"/>
      <c r="TYO4" s="353"/>
      <c r="TYP4" s="353"/>
      <c r="TYQ4" s="353"/>
      <c r="TYR4" s="353"/>
      <c r="TYS4" s="353"/>
      <c r="TYT4" s="353"/>
      <c r="TYU4" s="353"/>
      <c r="TYV4" s="353"/>
      <c r="TYW4" s="353"/>
      <c r="TYX4" s="353"/>
      <c r="TYY4" s="353"/>
      <c r="TYZ4" s="353"/>
      <c r="TZA4" s="353"/>
      <c r="TZB4" s="353"/>
      <c r="TZC4" s="353"/>
      <c r="TZD4" s="353"/>
      <c r="TZE4" s="353"/>
      <c r="TZF4" s="353"/>
      <c r="TZG4" s="353"/>
      <c r="TZH4" s="353"/>
      <c r="TZI4" s="353"/>
      <c r="TZJ4" s="353"/>
      <c r="TZK4" s="353"/>
      <c r="TZL4" s="353"/>
      <c r="TZM4" s="353"/>
      <c r="TZN4" s="353"/>
      <c r="TZO4" s="353"/>
      <c r="TZP4" s="353"/>
      <c r="TZQ4" s="353"/>
      <c r="TZR4" s="353"/>
      <c r="TZS4" s="353"/>
      <c r="TZT4" s="353"/>
      <c r="TZU4" s="353"/>
      <c r="TZV4" s="353"/>
      <c r="TZW4" s="353"/>
      <c r="TZX4" s="353"/>
      <c r="TZY4" s="353"/>
      <c r="TZZ4" s="353"/>
      <c r="UAA4" s="353"/>
      <c r="UAB4" s="353"/>
      <c r="UAC4" s="353"/>
      <c r="UAD4" s="353"/>
      <c r="UAE4" s="353"/>
      <c r="UAF4" s="353"/>
      <c r="UAG4" s="353"/>
      <c r="UAH4" s="353"/>
      <c r="UAI4" s="353"/>
      <c r="UAJ4" s="353"/>
      <c r="UAK4" s="353"/>
      <c r="UAL4" s="353"/>
      <c r="UAM4" s="353"/>
      <c r="UAN4" s="353"/>
      <c r="UAO4" s="353"/>
      <c r="UAP4" s="353"/>
      <c r="UAQ4" s="353"/>
      <c r="UAR4" s="353"/>
      <c r="UAS4" s="353"/>
      <c r="UAT4" s="353"/>
      <c r="UAU4" s="353"/>
      <c r="UAV4" s="353"/>
      <c r="UAW4" s="353"/>
      <c r="UAX4" s="353"/>
      <c r="UAY4" s="353"/>
      <c r="UAZ4" s="353"/>
      <c r="UBA4" s="353"/>
      <c r="UBB4" s="353"/>
      <c r="UBC4" s="353"/>
      <c r="UBD4" s="353"/>
      <c r="UBE4" s="353"/>
      <c r="UBF4" s="353"/>
      <c r="UBG4" s="353"/>
      <c r="UBH4" s="353"/>
      <c r="UBI4" s="353"/>
      <c r="UBJ4" s="353"/>
      <c r="UBK4" s="353"/>
      <c r="UBL4" s="353"/>
      <c r="UBM4" s="353"/>
      <c r="UBN4" s="353"/>
      <c r="UBO4" s="353"/>
      <c r="UBP4" s="353"/>
      <c r="UBQ4" s="353"/>
      <c r="UBR4" s="353"/>
      <c r="UBS4" s="353"/>
      <c r="UBT4" s="353"/>
      <c r="UBU4" s="353"/>
      <c r="UBV4" s="353"/>
      <c r="UBW4" s="353"/>
      <c r="UBX4" s="353"/>
      <c r="UBY4" s="353"/>
      <c r="UBZ4" s="353"/>
      <c r="UCA4" s="353"/>
      <c r="UCB4" s="353"/>
      <c r="UCC4" s="353"/>
      <c r="UCD4" s="353"/>
      <c r="UCE4" s="353"/>
      <c r="UCF4" s="353"/>
      <c r="UCG4" s="353"/>
      <c r="UCH4" s="353"/>
      <c r="UCI4" s="353"/>
      <c r="UCJ4" s="353"/>
      <c r="UCK4" s="353"/>
      <c r="UCL4" s="353"/>
      <c r="UCM4" s="353"/>
      <c r="UCN4" s="353"/>
      <c r="UCO4" s="353"/>
      <c r="UCP4" s="353"/>
      <c r="UCQ4" s="353"/>
      <c r="UCR4" s="353"/>
      <c r="UCS4" s="353"/>
      <c r="UCT4" s="353"/>
      <c r="UCU4" s="353"/>
      <c r="UCV4" s="353"/>
      <c r="UCW4" s="353"/>
      <c r="UCX4" s="353"/>
      <c r="UCY4" s="353"/>
      <c r="UCZ4" s="353"/>
      <c r="UDA4" s="353"/>
      <c r="UDB4" s="353"/>
      <c r="UDC4" s="353"/>
      <c r="UDD4" s="353"/>
      <c r="UDE4" s="353"/>
      <c r="UDF4" s="353"/>
      <c r="UDG4" s="353"/>
      <c r="UDH4" s="353"/>
      <c r="UDI4" s="353"/>
      <c r="UDJ4" s="353"/>
      <c r="UDK4" s="353"/>
      <c r="UDL4" s="353"/>
      <c r="UDM4" s="353"/>
      <c r="UDN4" s="353"/>
      <c r="UDO4" s="353"/>
      <c r="UDP4" s="353"/>
      <c r="UDQ4" s="353"/>
      <c r="UDR4" s="353"/>
      <c r="UDS4" s="353"/>
      <c r="UDT4" s="353"/>
      <c r="UDU4" s="353"/>
      <c r="UDV4" s="353"/>
      <c r="UDW4" s="353"/>
      <c r="UDX4" s="353"/>
      <c r="UDY4" s="353"/>
      <c r="UDZ4" s="353"/>
      <c r="UEA4" s="353"/>
      <c r="UEB4" s="353"/>
      <c r="UEC4" s="353"/>
      <c r="UED4" s="353"/>
      <c r="UEE4" s="353"/>
      <c r="UEF4" s="353"/>
      <c r="UEG4" s="353"/>
      <c r="UEH4" s="353"/>
      <c r="UEI4" s="353"/>
      <c r="UEJ4" s="353"/>
      <c r="UEK4" s="353"/>
      <c r="UEL4" s="353"/>
      <c r="UEM4" s="353"/>
      <c r="UEN4" s="353"/>
      <c r="UEO4" s="353"/>
      <c r="UEP4" s="353"/>
      <c r="UEQ4" s="353"/>
      <c r="UER4" s="353"/>
      <c r="UES4" s="353"/>
      <c r="UET4" s="353"/>
      <c r="UEU4" s="353"/>
      <c r="UEV4" s="353"/>
      <c r="UEW4" s="353"/>
      <c r="UEX4" s="353"/>
      <c r="UEY4" s="353"/>
      <c r="UEZ4" s="353"/>
      <c r="UFA4" s="353"/>
      <c r="UFB4" s="353"/>
      <c r="UFC4" s="353"/>
      <c r="UFD4" s="353"/>
      <c r="UFE4" s="353"/>
      <c r="UFF4" s="353"/>
      <c r="UFG4" s="353"/>
      <c r="UFH4" s="353"/>
      <c r="UFI4" s="353"/>
      <c r="UFJ4" s="353"/>
      <c r="UFK4" s="353"/>
      <c r="UFL4" s="353"/>
      <c r="UFM4" s="353"/>
      <c r="UFN4" s="353"/>
      <c r="UFO4" s="353"/>
      <c r="UFP4" s="353"/>
      <c r="UFQ4" s="353"/>
      <c r="UFR4" s="353"/>
      <c r="UFS4" s="353"/>
      <c r="UFT4" s="353"/>
      <c r="UFU4" s="353"/>
      <c r="UFV4" s="353"/>
      <c r="UFW4" s="353"/>
      <c r="UFX4" s="353"/>
      <c r="UFY4" s="353"/>
      <c r="UFZ4" s="353"/>
      <c r="UGA4" s="353"/>
      <c r="UGB4" s="353"/>
      <c r="UGC4" s="353"/>
      <c r="UGD4" s="353"/>
      <c r="UGE4" s="353"/>
      <c r="UGF4" s="353"/>
      <c r="UGG4" s="353"/>
      <c r="UGH4" s="353"/>
      <c r="UGI4" s="353"/>
      <c r="UGJ4" s="353"/>
      <c r="UGK4" s="353"/>
      <c r="UGL4" s="353"/>
      <c r="UGM4" s="353"/>
      <c r="UGN4" s="353"/>
      <c r="UGO4" s="353"/>
      <c r="UGP4" s="353"/>
      <c r="UGQ4" s="353"/>
      <c r="UGR4" s="353"/>
      <c r="UGS4" s="353"/>
      <c r="UGT4" s="353"/>
      <c r="UGU4" s="353"/>
      <c r="UGV4" s="353"/>
      <c r="UGW4" s="353"/>
      <c r="UGX4" s="353"/>
      <c r="UGY4" s="353"/>
      <c r="UGZ4" s="353"/>
      <c r="UHA4" s="353"/>
      <c r="UHB4" s="353"/>
      <c r="UHC4" s="353"/>
      <c r="UHD4" s="353"/>
      <c r="UHE4" s="353"/>
      <c r="UHF4" s="353"/>
      <c r="UHG4" s="353"/>
      <c r="UHH4" s="353"/>
      <c r="UHI4" s="353"/>
      <c r="UHJ4" s="353"/>
      <c r="UHK4" s="353"/>
      <c r="UHL4" s="353"/>
      <c r="UHM4" s="353"/>
      <c r="UHN4" s="353"/>
      <c r="UHO4" s="353"/>
      <c r="UHP4" s="353"/>
      <c r="UHQ4" s="353"/>
      <c r="UHR4" s="353"/>
      <c r="UHS4" s="353"/>
      <c r="UHT4" s="353"/>
      <c r="UHU4" s="353"/>
      <c r="UHV4" s="353"/>
      <c r="UHW4" s="353"/>
      <c r="UHX4" s="353"/>
      <c r="UHY4" s="353"/>
      <c r="UHZ4" s="353"/>
      <c r="UIA4" s="353"/>
      <c r="UIB4" s="353"/>
      <c r="UIC4" s="353"/>
      <c r="UID4" s="353"/>
      <c r="UIE4" s="353"/>
      <c r="UIF4" s="353"/>
      <c r="UIG4" s="353"/>
      <c r="UIH4" s="353"/>
      <c r="UII4" s="353"/>
      <c r="UIJ4" s="353"/>
      <c r="UIK4" s="353"/>
      <c r="UIL4" s="353"/>
      <c r="UIM4" s="353"/>
      <c r="UIN4" s="353"/>
      <c r="UIO4" s="353"/>
      <c r="UIP4" s="353"/>
      <c r="UIQ4" s="353"/>
      <c r="UIR4" s="353"/>
      <c r="UIS4" s="353"/>
      <c r="UIT4" s="353"/>
      <c r="UIU4" s="353"/>
      <c r="UIV4" s="353"/>
      <c r="UIW4" s="353"/>
      <c r="UIX4" s="353"/>
      <c r="UIY4" s="353"/>
      <c r="UIZ4" s="353"/>
      <c r="UJA4" s="353"/>
      <c r="UJB4" s="353"/>
      <c r="UJC4" s="353"/>
      <c r="UJD4" s="353"/>
      <c r="UJE4" s="353"/>
      <c r="UJF4" s="353"/>
      <c r="UJG4" s="353"/>
      <c r="UJH4" s="353"/>
      <c r="UJI4" s="353"/>
      <c r="UJJ4" s="353"/>
      <c r="UJK4" s="353"/>
      <c r="UJL4" s="353"/>
      <c r="UJM4" s="353"/>
      <c r="UJN4" s="353"/>
      <c r="UJO4" s="353"/>
      <c r="UJP4" s="353"/>
      <c r="UJQ4" s="353"/>
      <c r="UJR4" s="353"/>
      <c r="UJS4" s="353"/>
      <c r="UJT4" s="353"/>
      <c r="UJU4" s="353"/>
      <c r="UJV4" s="353"/>
      <c r="UJW4" s="353"/>
      <c r="UJX4" s="353"/>
      <c r="UJY4" s="353"/>
      <c r="UJZ4" s="353"/>
      <c r="UKA4" s="353"/>
      <c r="UKB4" s="353"/>
      <c r="UKC4" s="353"/>
      <c r="UKD4" s="353"/>
      <c r="UKE4" s="353"/>
      <c r="UKF4" s="353"/>
      <c r="UKG4" s="353"/>
      <c r="UKH4" s="353"/>
      <c r="UKI4" s="353"/>
      <c r="UKJ4" s="353"/>
      <c r="UKK4" s="353"/>
      <c r="UKL4" s="353"/>
      <c r="UKM4" s="353"/>
      <c r="UKN4" s="353"/>
      <c r="UKO4" s="353"/>
      <c r="UKP4" s="353"/>
      <c r="UKQ4" s="353"/>
      <c r="UKR4" s="353"/>
      <c r="UKS4" s="353"/>
      <c r="UKT4" s="353"/>
      <c r="UKU4" s="353"/>
      <c r="UKV4" s="353"/>
      <c r="UKW4" s="353"/>
      <c r="UKX4" s="353"/>
      <c r="UKY4" s="353"/>
      <c r="UKZ4" s="353"/>
      <c r="ULA4" s="353"/>
      <c r="ULB4" s="353"/>
      <c r="ULC4" s="353"/>
      <c r="ULD4" s="353"/>
      <c r="ULE4" s="353"/>
      <c r="ULF4" s="353"/>
      <c r="ULG4" s="353"/>
      <c r="ULH4" s="353"/>
      <c r="ULI4" s="353"/>
      <c r="ULJ4" s="353"/>
      <c r="ULK4" s="353"/>
      <c r="ULL4" s="353"/>
      <c r="ULM4" s="353"/>
      <c r="ULN4" s="353"/>
      <c r="ULO4" s="353"/>
      <c r="ULP4" s="353"/>
      <c r="ULQ4" s="353"/>
      <c r="ULR4" s="353"/>
      <c r="ULS4" s="353"/>
      <c r="ULT4" s="353"/>
      <c r="ULU4" s="353"/>
      <c r="ULV4" s="353"/>
      <c r="ULW4" s="353"/>
      <c r="ULX4" s="353"/>
      <c r="ULY4" s="353"/>
      <c r="ULZ4" s="353"/>
      <c r="UMA4" s="353"/>
      <c r="UMB4" s="353"/>
      <c r="UMC4" s="353"/>
      <c r="UMD4" s="353"/>
      <c r="UME4" s="353"/>
      <c r="UMF4" s="353"/>
      <c r="UMG4" s="353"/>
      <c r="UMH4" s="353"/>
      <c r="UMI4" s="353"/>
      <c r="UMJ4" s="353"/>
      <c r="UMK4" s="353"/>
      <c r="UML4" s="353"/>
      <c r="UMM4" s="353"/>
      <c r="UMN4" s="353"/>
      <c r="UMO4" s="353"/>
      <c r="UMP4" s="353"/>
      <c r="UMQ4" s="353"/>
      <c r="UMR4" s="353"/>
      <c r="UMS4" s="353"/>
      <c r="UMT4" s="353"/>
      <c r="UMU4" s="353"/>
      <c r="UMV4" s="353"/>
      <c r="UMW4" s="353"/>
      <c r="UMX4" s="353"/>
      <c r="UMY4" s="353"/>
      <c r="UMZ4" s="353"/>
      <c r="UNA4" s="353"/>
      <c r="UNB4" s="353"/>
      <c r="UNC4" s="353"/>
      <c r="UND4" s="353"/>
      <c r="UNE4" s="353"/>
      <c r="UNF4" s="353"/>
      <c r="UNG4" s="353"/>
      <c r="UNH4" s="353"/>
      <c r="UNI4" s="353"/>
      <c r="UNJ4" s="353"/>
      <c r="UNK4" s="353"/>
      <c r="UNL4" s="353"/>
      <c r="UNM4" s="353"/>
      <c r="UNN4" s="353"/>
      <c r="UNO4" s="353"/>
      <c r="UNP4" s="353"/>
      <c r="UNQ4" s="353"/>
      <c r="UNR4" s="353"/>
      <c r="UNS4" s="353"/>
      <c r="UNT4" s="353"/>
      <c r="UNU4" s="353"/>
      <c r="UNV4" s="353"/>
      <c r="UNW4" s="353"/>
      <c r="UNX4" s="353"/>
      <c r="UNY4" s="353"/>
      <c r="UNZ4" s="353"/>
      <c r="UOA4" s="353"/>
      <c r="UOB4" s="353"/>
      <c r="UOC4" s="353"/>
      <c r="UOD4" s="353"/>
      <c r="UOE4" s="353"/>
      <c r="UOF4" s="353"/>
      <c r="UOG4" s="353"/>
      <c r="UOH4" s="353"/>
      <c r="UOI4" s="353"/>
      <c r="UOJ4" s="353"/>
      <c r="UOK4" s="353"/>
      <c r="UOL4" s="353"/>
      <c r="UOM4" s="353"/>
      <c r="UON4" s="353"/>
      <c r="UOO4" s="353"/>
      <c r="UOP4" s="353"/>
      <c r="UOQ4" s="353"/>
      <c r="UOR4" s="353"/>
      <c r="UOS4" s="353"/>
      <c r="UOT4" s="353"/>
      <c r="UOU4" s="353"/>
      <c r="UOV4" s="353"/>
      <c r="UOW4" s="353"/>
      <c r="UOX4" s="353"/>
      <c r="UOY4" s="353"/>
      <c r="UOZ4" s="353"/>
      <c r="UPA4" s="353"/>
      <c r="UPB4" s="353"/>
      <c r="UPC4" s="353"/>
      <c r="UPD4" s="353"/>
      <c r="UPE4" s="353"/>
      <c r="UPF4" s="353"/>
      <c r="UPG4" s="353"/>
      <c r="UPH4" s="353"/>
      <c r="UPI4" s="353"/>
      <c r="UPJ4" s="353"/>
      <c r="UPK4" s="353"/>
      <c r="UPL4" s="353"/>
      <c r="UPM4" s="353"/>
      <c r="UPN4" s="353"/>
      <c r="UPO4" s="353"/>
      <c r="UPP4" s="353"/>
      <c r="UPQ4" s="353"/>
      <c r="UPR4" s="353"/>
      <c r="UPS4" s="353"/>
      <c r="UPT4" s="353"/>
      <c r="UPU4" s="353"/>
      <c r="UPV4" s="353"/>
      <c r="UPW4" s="353"/>
      <c r="UPX4" s="353"/>
      <c r="UPY4" s="353"/>
      <c r="UPZ4" s="353"/>
      <c r="UQA4" s="353"/>
      <c r="UQB4" s="353"/>
      <c r="UQC4" s="353"/>
      <c r="UQD4" s="353"/>
      <c r="UQE4" s="353"/>
      <c r="UQF4" s="353"/>
      <c r="UQG4" s="353"/>
      <c r="UQH4" s="353"/>
      <c r="UQI4" s="353"/>
      <c r="UQJ4" s="353"/>
      <c r="UQK4" s="353"/>
      <c r="UQL4" s="353"/>
      <c r="UQM4" s="353"/>
      <c r="UQN4" s="353"/>
      <c r="UQO4" s="353"/>
      <c r="UQP4" s="353"/>
      <c r="UQQ4" s="353"/>
      <c r="UQR4" s="353"/>
      <c r="UQS4" s="353"/>
      <c r="UQT4" s="353"/>
      <c r="UQU4" s="353"/>
      <c r="UQV4" s="353"/>
      <c r="UQW4" s="353"/>
      <c r="UQX4" s="353"/>
      <c r="UQY4" s="353"/>
      <c r="UQZ4" s="353"/>
      <c r="URA4" s="353"/>
      <c r="URB4" s="353"/>
      <c r="URC4" s="353"/>
      <c r="URD4" s="353"/>
      <c r="URE4" s="353"/>
      <c r="URF4" s="353"/>
      <c r="URG4" s="353"/>
      <c r="URH4" s="353"/>
      <c r="URI4" s="353"/>
      <c r="URJ4" s="353"/>
      <c r="URK4" s="353"/>
      <c r="URL4" s="353"/>
      <c r="URM4" s="353"/>
      <c r="URN4" s="353"/>
      <c r="URO4" s="353"/>
      <c r="URP4" s="353"/>
      <c r="URQ4" s="353"/>
      <c r="URR4" s="353"/>
      <c r="URS4" s="353"/>
      <c r="URT4" s="353"/>
      <c r="URU4" s="353"/>
      <c r="URV4" s="353"/>
      <c r="URW4" s="353"/>
      <c r="URX4" s="353"/>
      <c r="URY4" s="353"/>
      <c r="URZ4" s="353"/>
      <c r="USA4" s="353"/>
      <c r="USB4" s="353"/>
      <c r="USC4" s="353"/>
      <c r="USD4" s="353"/>
      <c r="USE4" s="353"/>
      <c r="USF4" s="353"/>
      <c r="USG4" s="353"/>
      <c r="USH4" s="353"/>
      <c r="USI4" s="353"/>
      <c r="USJ4" s="353"/>
      <c r="USK4" s="353"/>
      <c r="USL4" s="353"/>
      <c r="USM4" s="353"/>
      <c r="USN4" s="353"/>
      <c r="USO4" s="353"/>
      <c r="USP4" s="353"/>
      <c r="USQ4" s="353"/>
      <c r="USR4" s="353"/>
      <c r="USS4" s="353"/>
      <c r="UST4" s="353"/>
      <c r="USU4" s="353"/>
      <c r="USV4" s="353"/>
      <c r="USW4" s="353"/>
      <c r="USX4" s="353"/>
      <c r="USY4" s="353"/>
      <c r="USZ4" s="353"/>
      <c r="UTA4" s="353"/>
      <c r="UTB4" s="353"/>
      <c r="UTC4" s="353"/>
      <c r="UTD4" s="353"/>
      <c r="UTE4" s="353"/>
      <c r="UTF4" s="353"/>
      <c r="UTG4" s="353"/>
      <c r="UTH4" s="353"/>
      <c r="UTI4" s="353"/>
      <c r="UTJ4" s="353"/>
      <c r="UTK4" s="353"/>
      <c r="UTL4" s="353"/>
      <c r="UTM4" s="353"/>
      <c r="UTN4" s="353"/>
      <c r="UTO4" s="353"/>
      <c r="UTP4" s="353"/>
      <c r="UTQ4" s="353"/>
      <c r="UTR4" s="353"/>
      <c r="UTS4" s="353"/>
      <c r="UTT4" s="353"/>
      <c r="UTU4" s="353"/>
      <c r="UTV4" s="353"/>
      <c r="UTW4" s="353"/>
      <c r="UTX4" s="353"/>
      <c r="UTY4" s="353"/>
      <c r="UTZ4" s="353"/>
      <c r="UUA4" s="353"/>
      <c r="UUB4" s="353"/>
      <c r="UUC4" s="353"/>
      <c r="UUD4" s="353"/>
      <c r="UUE4" s="353"/>
      <c r="UUF4" s="353"/>
      <c r="UUG4" s="353"/>
      <c r="UUH4" s="353"/>
      <c r="UUI4" s="353"/>
      <c r="UUJ4" s="353"/>
      <c r="UUK4" s="353"/>
      <c r="UUL4" s="353"/>
      <c r="UUM4" s="353"/>
      <c r="UUN4" s="353"/>
      <c r="UUO4" s="353"/>
      <c r="UUP4" s="353"/>
      <c r="UUQ4" s="353"/>
      <c r="UUR4" s="353"/>
      <c r="UUS4" s="353"/>
      <c r="UUT4" s="353"/>
      <c r="UUU4" s="353"/>
      <c r="UUV4" s="353"/>
      <c r="UUW4" s="353"/>
      <c r="UUX4" s="353"/>
      <c r="UUY4" s="353"/>
      <c r="UUZ4" s="353"/>
      <c r="UVA4" s="353"/>
      <c r="UVB4" s="353"/>
      <c r="UVC4" s="353"/>
      <c r="UVD4" s="353"/>
      <c r="UVE4" s="353"/>
      <c r="UVF4" s="353"/>
      <c r="UVG4" s="353"/>
      <c r="UVH4" s="353"/>
      <c r="UVI4" s="353"/>
      <c r="UVJ4" s="353"/>
      <c r="UVK4" s="353"/>
      <c r="UVL4" s="353"/>
      <c r="UVM4" s="353"/>
      <c r="UVN4" s="353"/>
      <c r="UVO4" s="353"/>
      <c r="UVP4" s="353"/>
      <c r="UVQ4" s="353"/>
      <c r="UVR4" s="353"/>
      <c r="UVS4" s="353"/>
      <c r="UVT4" s="353"/>
      <c r="UVU4" s="353"/>
      <c r="UVV4" s="353"/>
      <c r="UVW4" s="353"/>
      <c r="UVX4" s="353"/>
      <c r="UVY4" s="353"/>
      <c r="UVZ4" s="353"/>
      <c r="UWA4" s="353"/>
      <c r="UWB4" s="353"/>
      <c r="UWC4" s="353"/>
      <c r="UWD4" s="353"/>
      <c r="UWE4" s="353"/>
      <c r="UWF4" s="353"/>
      <c r="UWG4" s="353"/>
      <c r="UWH4" s="353"/>
      <c r="UWI4" s="353"/>
      <c r="UWJ4" s="353"/>
      <c r="UWK4" s="353"/>
      <c r="UWL4" s="353"/>
      <c r="UWM4" s="353"/>
      <c r="UWN4" s="353"/>
      <c r="UWO4" s="353"/>
      <c r="UWP4" s="353"/>
      <c r="UWQ4" s="353"/>
      <c r="UWR4" s="353"/>
      <c r="UWS4" s="353"/>
      <c r="UWT4" s="353"/>
      <c r="UWU4" s="353"/>
      <c r="UWV4" s="353"/>
      <c r="UWW4" s="353"/>
      <c r="UWX4" s="353"/>
      <c r="UWY4" s="353"/>
      <c r="UWZ4" s="353"/>
      <c r="UXA4" s="353"/>
      <c r="UXB4" s="353"/>
      <c r="UXC4" s="353"/>
      <c r="UXD4" s="353"/>
      <c r="UXE4" s="353"/>
      <c r="UXF4" s="353"/>
      <c r="UXG4" s="353"/>
      <c r="UXH4" s="353"/>
      <c r="UXI4" s="353"/>
      <c r="UXJ4" s="353"/>
      <c r="UXK4" s="353"/>
      <c r="UXL4" s="353"/>
      <c r="UXM4" s="353"/>
      <c r="UXN4" s="353"/>
      <c r="UXO4" s="353"/>
      <c r="UXP4" s="353"/>
      <c r="UXQ4" s="353"/>
      <c r="UXR4" s="353"/>
      <c r="UXS4" s="353"/>
      <c r="UXT4" s="353"/>
      <c r="UXU4" s="353"/>
      <c r="UXV4" s="353"/>
      <c r="UXW4" s="353"/>
      <c r="UXX4" s="353"/>
      <c r="UXY4" s="353"/>
      <c r="UXZ4" s="353"/>
      <c r="UYA4" s="353"/>
      <c r="UYB4" s="353"/>
      <c r="UYC4" s="353"/>
      <c r="UYD4" s="353"/>
      <c r="UYE4" s="353"/>
      <c r="UYF4" s="353"/>
      <c r="UYG4" s="353"/>
      <c r="UYH4" s="353"/>
      <c r="UYI4" s="353"/>
      <c r="UYJ4" s="353"/>
      <c r="UYK4" s="353"/>
      <c r="UYL4" s="353"/>
      <c r="UYM4" s="353"/>
      <c r="UYN4" s="353"/>
      <c r="UYO4" s="353"/>
      <c r="UYP4" s="353"/>
      <c r="UYQ4" s="353"/>
      <c r="UYR4" s="353"/>
      <c r="UYS4" s="353"/>
      <c r="UYT4" s="353"/>
      <c r="UYU4" s="353"/>
      <c r="UYV4" s="353"/>
      <c r="UYW4" s="353"/>
      <c r="UYX4" s="353"/>
      <c r="UYY4" s="353"/>
      <c r="UYZ4" s="353"/>
      <c r="UZA4" s="353"/>
      <c r="UZB4" s="353"/>
      <c r="UZC4" s="353"/>
      <c r="UZD4" s="353"/>
      <c r="UZE4" s="353"/>
      <c r="UZF4" s="353"/>
      <c r="UZG4" s="353"/>
      <c r="UZH4" s="353"/>
      <c r="UZI4" s="353"/>
      <c r="UZJ4" s="353"/>
      <c r="UZK4" s="353"/>
      <c r="UZL4" s="353"/>
      <c r="UZM4" s="353"/>
      <c r="UZN4" s="353"/>
      <c r="UZO4" s="353"/>
      <c r="UZP4" s="353"/>
      <c r="UZQ4" s="353"/>
      <c r="UZR4" s="353"/>
      <c r="UZS4" s="353"/>
      <c r="UZT4" s="353"/>
      <c r="UZU4" s="353"/>
      <c r="UZV4" s="353"/>
      <c r="UZW4" s="353"/>
      <c r="UZX4" s="353"/>
      <c r="UZY4" s="353"/>
      <c r="UZZ4" s="353"/>
      <c r="VAA4" s="353"/>
      <c r="VAB4" s="353"/>
      <c r="VAC4" s="353"/>
      <c r="VAD4" s="353"/>
      <c r="VAE4" s="353"/>
      <c r="VAF4" s="353"/>
      <c r="VAG4" s="353"/>
      <c r="VAH4" s="353"/>
      <c r="VAI4" s="353"/>
      <c r="VAJ4" s="353"/>
      <c r="VAK4" s="353"/>
      <c r="VAL4" s="353"/>
      <c r="VAM4" s="353"/>
      <c r="VAN4" s="353"/>
      <c r="VAO4" s="353"/>
      <c r="VAP4" s="353"/>
      <c r="VAQ4" s="353"/>
      <c r="VAR4" s="353"/>
      <c r="VAS4" s="353"/>
      <c r="VAT4" s="353"/>
      <c r="VAU4" s="353"/>
      <c r="VAV4" s="353"/>
      <c r="VAW4" s="353"/>
      <c r="VAX4" s="353"/>
      <c r="VAY4" s="353"/>
      <c r="VAZ4" s="353"/>
      <c r="VBA4" s="353"/>
      <c r="VBB4" s="353"/>
      <c r="VBC4" s="353"/>
      <c r="VBD4" s="353"/>
      <c r="VBE4" s="353"/>
      <c r="VBF4" s="353"/>
      <c r="VBG4" s="353"/>
      <c r="VBH4" s="353"/>
      <c r="VBI4" s="353"/>
      <c r="VBJ4" s="353"/>
      <c r="VBK4" s="353"/>
      <c r="VBL4" s="353"/>
      <c r="VBM4" s="353"/>
      <c r="VBN4" s="353"/>
      <c r="VBO4" s="353"/>
      <c r="VBP4" s="353"/>
      <c r="VBQ4" s="353"/>
      <c r="VBR4" s="353"/>
      <c r="VBS4" s="353"/>
      <c r="VBT4" s="353"/>
      <c r="VBU4" s="353"/>
      <c r="VBV4" s="353"/>
      <c r="VBW4" s="353"/>
      <c r="VBX4" s="353"/>
      <c r="VBY4" s="353"/>
      <c r="VBZ4" s="353"/>
      <c r="VCA4" s="353"/>
      <c r="VCB4" s="353"/>
      <c r="VCC4" s="353"/>
      <c r="VCD4" s="353"/>
      <c r="VCE4" s="353"/>
      <c r="VCF4" s="353"/>
      <c r="VCG4" s="353"/>
      <c r="VCH4" s="353"/>
      <c r="VCI4" s="353"/>
      <c r="VCJ4" s="353"/>
      <c r="VCK4" s="353"/>
      <c r="VCL4" s="353"/>
      <c r="VCM4" s="353"/>
      <c r="VCN4" s="353"/>
      <c r="VCO4" s="353"/>
      <c r="VCP4" s="353"/>
      <c r="VCQ4" s="353"/>
      <c r="VCR4" s="353"/>
      <c r="VCS4" s="353"/>
      <c r="VCT4" s="353"/>
      <c r="VCU4" s="353"/>
      <c r="VCV4" s="353"/>
      <c r="VCW4" s="353"/>
      <c r="VCX4" s="353"/>
      <c r="VCY4" s="353"/>
      <c r="VCZ4" s="353"/>
      <c r="VDA4" s="353"/>
      <c r="VDB4" s="353"/>
      <c r="VDC4" s="353"/>
      <c r="VDD4" s="353"/>
      <c r="VDE4" s="353"/>
      <c r="VDF4" s="353"/>
      <c r="VDG4" s="353"/>
      <c r="VDH4" s="353"/>
      <c r="VDI4" s="353"/>
      <c r="VDJ4" s="353"/>
      <c r="VDK4" s="353"/>
      <c r="VDL4" s="353"/>
      <c r="VDM4" s="353"/>
      <c r="VDN4" s="353"/>
      <c r="VDO4" s="353"/>
      <c r="VDP4" s="353"/>
      <c r="VDQ4" s="353"/>
      <c r="VDR4" s="353"/>
      <c r="VDS4" s="353"/>
      <c r="VDT4" s="353"/>
      <c r="VDU4" s="353"/>
      <c r="VDV4" s="353"/>
      <c r="VDW4" s="353"/>
      <c r="VDX4" s="353"/>
      <c r="VDY4" s="353"/>
      <c r="VDZ4" s="353"/>
      <c r="VEA4" s="353"/>
      <c r="VEB4" s="353"/>
      <c r="VEC4" s="353"/>
      <c r="VED4" s="353"/>
      <c r="VEE4" s="353"/>
      <c r="VEF4" s="353"/>
      <c r="VEG4" s="353"/>
      <c r="VEH4" s="353"/>
      <c r="VEI4" s="353"/>
      <c r="VEJ4" s="353"/>
      <c r="VEK4" s="353"/>
      <c r="VEL4" s="353"/>
      <c r="VEM4" s="353"/>
      <c r="VEN4" s="353"/>
      <c r="VEO4" s="353"/>
      <c r="VEP4" s="353"/>
      <c r="VEQ4" s="353"/>
      <c r="VER4" s="353"/>
      <c r="VES4" s="353"/>
      <c r="VET4" s="353"/>
      <c r="VEU4" s="353"/>
      <c r="VEV4" s="353"/>
      <c r="VEW4" s="353"/>
      <c r="VEX4" s="353"/>
      <c r="VEY4" s="353"/>
      <c r="VEZ4" s="353"/>
      <c r="VFA4" s="353"/>
      <c r="VFB4" s="353"/>
      <c r="VFC4" s="353"/>
      <c r="VFD4" s="353"/>
      <c r="VFE4" s="353"/>
      <c r="VFF4" s="353"/>
      <c r="VFG4" s="353"/>
      <c r="VFH4" s="353"/>
      <c r="VFI4" s="353"/>
      <c r="VFJ4" s="353"/>
      <c r="VFK4" s="353"/>
      <c r="VFL4" s="353"/>
      <c r="VFM4" s="353"/>
      <c r="VFN4" s="353"/>
      <c r="VFO4" s="353"/>
      <c r="VFP4" s="353"/>
      <c r="VFQ4" s="353"/>
      <c r="VFR4" s="353"/>
      <c r="VFS4" s="353"/>
      <c r="VFT4" s="353"/>
      <c r="VFU4" s="353"/>
      <c r="VFV4" s="353"/>
      <c r="VFW4" s="353"/>
      <c r="VFX4" s="353"/>
      <c r="VFY4" s="353"/>
      <c r="VFZ4" s="353"/>
      <c r="VGA4" s="353"/>
      <c r="VGB4" s="353"/>
      <c r="VGC4" s="353"/>
      <c r="VGD4" s="353"/>
      <c r="VGE4" s="353"/>
      <c r="VGF4" s="353"/>
      <c r="VGG4" s="353"/>
      <c r="VGH4" s="353"/>
      <c r="VGI4" s="353"/>
      <c r="VGJ4" s="353"/>
      <c r="VGK4" s="353"/>
      <c r="VGL4" s="353"/>
      <c r="VGM4" s="353"/>
      <c r="VGN4" s="353"/>
      <c r="VGO4" s="353"/>
      <c r="VGP4" s="353"/>
      <c r="VGQ4" s="353"/>
      <c r="VGR4" s="353"/>
      <c r="VGS4" s="353"/>
      <c r="VGT4" s="353"/>
      <c r="VGU4" s="353"/>
      <c r="VGV4" s="353"/>
      <c r="VGW4" s="353"/>
      <c r="VGX4" s="353"/>
      <c r="VGY4" s="353"/>
      <c r="VGZ4" s="353"/>
      <c r="VHA4" s="353"/>
      <c r="VHB4" s="353"/>
      <c r="VHC4" s="353"/>
      <c r="VHD4" s="353"/>
      <c r="VHE4" s="353"/>
      <c r="VHF4" s="353"/>
      <c r="VHG4" s="353"/>
      <c r="VHH4" s="353"/>
      <c r="VHI4" s="353"/>
      <c r="VHJ4" s="353"/>
      <c r="VHK4" s="353"/>
      <c r="VHL4" s="353"/>
      <c r="VHM4" s="353"/>
      <c r="VHN4" s="353"/>
      <c r="VHO4" s="353"/>
      <c r="VHP4" s="353"/>
      <c r="VHQ4" s="353"/>
      <c r="VHR4" s="353"/>
      <c r="VHS4" s="353"/>
      <c r="VHT4" s="353"/>
      <c r="VHU4" s="353"/>
      <c r="VHV4" s="353"/>
      <c r="VHW4" s="353"/>
      <c r="VHX4" s="353"/>
      <c r="VHY4" s="353"/>
      <c r="VHZ4" s="353"/>
      <c r="VIA4" s="353"/>
      <c r="VIB4" s="353"/>
      <c r="VIC4" s="353"/>
      <c r="VID4" s="353"/>
      <c r="VIE4" s="353"/>
      <c r="VIF4" s="353"/>
      <c r="VIG4" s="353"/>
      <c r="VIH4" s="353"/>
      <c r="VII4" s="353"/>
      <c r="VIJ4" s="353"/>
      <c r="VIK4" s="353"/>
      <c r="VIL4" s="353"/>
      <c r="VIM4" s="353"/>
      <c r="VIN4" s="353"/>
      <c r="VIO4" s="353"/>
      <c r="VIP4" s="353"/>
      <c r="VIQ4" s="353"/>
      <c r="VIR4" s="353"/>
      <c r="VIS4" s="353"/>
      <c r="VIT4" s="353"/>
      <c r="VIU4" s="353"/>
      <c r="VIV4" s="353"/>
      <c r="VIW4" s="353"/>
      <c r="VIX4" s="353"/>
      <c r="VIY4" s="353"/>
      <c r="VIZ4" s="353"/>
      <c r="VJA4" s="353"/>
      <c r="VJB4" s="353"/>
      <c r="VJC4" s="353"/>
      <c r="VJD4" s="353"/>
      <c r="VJE4" s="353"/>
      <c r="VJF4" s="353"/>
      <c r="VJG4" s="353"/>
      <c r="VJH4" s="353"/>
      <c r="VJI4" s="353"/>
      <c r="VJJ4" s="353"/>
      <c r="VJK4" s="353"/>
      <c r="VJL4" s="353"/>
      <c r="VJM4" s="353"/>
      <c r="VJN4" s="353"/>
      <c r="VJO4" s="353"/>
      <c r="VJP4" s="353"/>
      <c r="VJQ4" s="353"/>
      <c r="VJR4" s="353"/>
      <c r="VJS4" s="353"/>
      <c r="VJT4" s="353"/>
      <c r="VJU4" s="353"/>
      <c r="VJV4" s="353"/>
      <c r="VJW4" s="353"/>
      <c r="VJX4" s="353"/>
      <c r="VJY4" s="353"/>
      <c r="VJZ4" s="353"/>
      <c r="VKA4" s="353"/>
      <c r="VKB4" s="353"/>
      <c r="VKC4" s="353"/>
      <c r="VKD4" s="353"/>
      <c r="VKE4" s="353"/>
      <c r="VKF4" s="353"/>
      <c r="VKG4" s="353"/>
      <c r="VKH4" s="353"/>
      <c r="VKI4" s="353"/>
      <c r="VKJ4" s="353"/>
      <c r="VKK4" s="353"/>
      <c r="VKL4" s="353"/>
      <c r="VKM4" s="353"/>
      <c r="VKN4" s="353"/>
      <c r="VKO4" s="353"/>
      <c r="VKP4" s="353"/>
      <c r="VKQ4" s="353"/>
      <c r="VKR4" s="353"/>
      <c r="VKS4" s="353"/>
      <c r="VKT4" s="353"/>
      <c r="VKU4" s="353"/>
      <c r="VKV4" s="353"/>
      <c r="VKW4" s="353"/>
      <c r="VKX4" s="353"/>
      <c r="VKY4" s="353"/>
      <c r="VKZ4" s="353"/>
      <c r="VLA4" s="353"/>
      <c r="VLB4" s="353"/>
      <c r="VLC4" s="353"/>
      <c r="VLD4" s="353"/>
      <c r="VLE4" s="353"/>
      <c r="VLF4" s="353"/>
      <c r="VLG4" s="353"/>
      <c r="VLH4" s="353"/>
      <c r="VLI4" s="353"/>
      <c r="VLJ4" s="353"/>
      <c r="VLK4" s="353"/>
      <c r="VLL4" s="353"/>
      <c r="VLM4" s="353"/>
      <c r="VLN4" s="353"/>
      <c r="VLO4" s="353"/>
      <c r="VLP4" s="353"/>
      <c r="VLQ4" s="353"/>
      <c r="VLR4" s="353"/>
      <c r="VLS4" s="353"/>
      <c r="VLT4" s="353"/>
      <c r="VLU4" s="353"/>
      <c r="VLV4" s="353"/>
      <c r="VLW4" s="353"/>
      <c r="VLX4" s="353"/>
      <c r="VLY4" s="353"/>
      <c r="VLZ4" s="353"/>
      <c r="VMA4" s="353"/>
      <c r="VMB4" s="353"/>
      <c r="VMC4" s="353"/>
      <c r="VMD4" s="353"/>
      <c r="VME4" s="353"/>
      <c r="VMF4" s="353"/>
      <c r="VMG4" s="353"/>
      <c r="VMH4" s="353"/>
      <c r="VMI4" s="353"/>
      <c r="VMJ4" s="353"/>
      <c r="VMK4" s="353"/>
      <c r="VML4" s="353"/>
      <c r="VMM4" s="353"/>
      <c r="VMN4" s="353"/>
      <c r="VMO4" s="353"/>
      <c r="VMP4" s="353"/>
      <c r="VMQ4" s="353"/>
      <c r="VMR4" s="353"/>
      <c r="VMS4" s="353"/>
      <c r="VMT4" s="353"/>
      <c r="VMU4" s="353"/>
      <c r="VMV4" s="353"/>
      <c r="VMW4" s="353"/>
      <c r="VMX4" s="353"/>
      <c r="VMY4" s="353"/>
      <c r="VMZ4" s="353"/>
      <c r="VNA4" s="353"/>
      <c r="VNB4" s="353"/>
      <c r="VNC4" s="353"/>
      <c r="VND4" s="353"/>
      <c r="VNE4" s="353"/>
      <c r="VNF4" s="353"/>
      <c r="VNG4" s="353"/>
      <c r="VNH4" s="353"/>
      <c r="VNI4" s="353"/>
      <c r="VNJ4" s="353"/>
      <c r="VNK4" s="353"/>
      <c r="VNL4" s="353"/>
      <c r="VNM4" s="353"/>
      <c r="VNN4" s="353"/>
      <c r="VNO4" s="353"/>
      <c r="VNP4" s="353"/>
      <c r="VNQ4" s="353"/>
      <c r="VNR4" s="353"/>
      <c r="VNS4" s="353"/>
      <c r="VNT4" s="353"/>
      <c r="VNU4" s="353"/>
      <c r="VNV4" s="353"/>
      <c r="VNW4" s="353"/>
      <c r="VNX4" s="353"/>
      <c r="VNY4" s="353"/>
      <c r="VNZ4" s="353"/>
      <c r="VOA4" s="353"/>
      <c r="VOB4" s="353"/>
      <c r="VOC4" s="353"/>
      <c r="VOD4" s="353"/>
      <c r="VOE4" s="353"/>
      <c r="VOF4" s="353"/>
      <c r="VOG4" s="353"/>
      <c r="VOH4" s="353"/>
      <c r="VOI4" s="353"/>
      <c r="VOJ4" s="353"/>
      <c r="VOK4" s="353"/>
      <c r="VOL4" s="353"/>
      <c r="VOM4" s="353"/>
      <c r="VON4" s="353"/>
      <c r="VOO4" s="353"/>
      <c r="VOP4" s="353"/>
      <c r="VOQ4" s="353"/>
      <c r="VOR4" s="353"/>
      <c r="VOS4" s="353"/>
      <c r="VOT4" s="353"/>
      <c r="VOU4" s="353"/>
      <c r="VOV4" s="353"/>
      <c r="VOW4" s="353"/>
      <c r="VOX4" s="353"/>
      <c r="VOY4" s="353"/>
      <c r="VOZ4" s="353"/>
      <c r="VPA4" s="353"/>
      <c r="VPB4" s="353"/>
      <c r="VPC4" s="353"/>
      <c r="VPD4" s="353"/>
      <c r="VPE4" s="353"/>
      <c r="VPF4" s="353"/>
      <c r="VPG4" s="353"/>
      <c r="VPH4" s="353"/>
      <c r="VPI4" s="353"/>
      <c r="VPJ4" s="353"/>
      <c r="VPK4" s="353"/>
      <c r="VPL4" s="353"/>
      <c r="VPM4" s="353"/>
      <c r="VPN4" s="353"/>
      <c r="VPO4" s="353"/>
      <c r="VPP4" s="353"/>
      <c r="VPQ4" s="353"/>
      <c r="VPR4" s="353"/>
      <c r="VPS4" s="353"/>
      <c r="VPT4" s="353"/>
      <c r="VPU4" s="353"/>
      <c r="VPV4" s="353"/>
      <c r="VPW4" s="353"/>
      <c r="VPX4" s="353"/>
      <c r="VPY4" s="353"/>
      <c r="VPZ4" s="353"/>
      <c r="VQA4" s="353"/>
      <c r="VQB4" s="353"/>
      <c r="VQC4" s="353"/>
      <c r="VQD4" s="353"/>
      <c r="VQE4" s="353"/>
      <c r="VQF4" s="353"/>
      <c r="VQG4" s="353"/>
      <c r="VQH4" s="353"/>
      <c r="VQI4" s="353"/>
      <c r="VQJ4" s="353"/>
      <c r="VQK4" s="353"/>
      <c r="VQL4" s="353"/>
      <c r="VQM4" s="353"/>
      <c r="VQN4" s="353"/>
      <c r="VQO4" s="353"/>
      <c r="VQP4" s="353"/>
      <c r="VQQ4" s="353"/>
      <c r="VQR4" s="353"/>
      <c r="VQS4" s="353"/>
      <c r="VQT4" s="353"/>
      <c r="VQU4" s="353"/>
      <c r="VQV4" s="353"/>
      <c r="VQW4" s="353"/>
      <c r="VQX4" s="353"/>
      <c r="VQY4" s="353"/>
      <c r="VQZ4" s="353"/>
      <c r="VRA4" s="353"/>
      <c r="VRB4" s="353"/>
      <c r="VRC4" s="353"/>
      <c r="VRD4" s="353"/>
      <c r="VRE4" s="353"/>
      <c r="VRF4" s="353"/>
      <c r="VRG4" s="353"/>
      <c r="VRH4" s="353"/>
      <c r="VRI4" s="353"/>
      <c r="VRJ4" s="353"/>
      <c r="VRK4" s="353"/>
      <c r="VRL4" s="353"/>
      <c r="VRM4" s="353"/>
      <c r="VRN4" s="353"/>
      <c r="VRO4" s="353"/>
      <c r="VRP4" s="353"/>
      <c r="VRQ4" s="353"/>
      <c r="VRR4" s="353"/>
      <c r="VRS4" s="353"/>
      <c r="VRT4" s="353"/>
      <c r="VRU4" s="353"/>
      <c r="VRV4" s="353"/>
      <c r="VRW4" s="353"/>
      <c r="VRX4" s="353"/>
      <c r="VRY4" s="353"/>
      <c r="VRZ4" s="353"/>
      <c r="VSA4" s="353"/>
      <c r="VSB4" s="353"/>
      <c r="VSC4" s="353"/>
      <c r="VSD4" s="353"/>
      <c r="VSE4" s="353"/>
      <c r="VSF4" s="353"/>
      <c r="VSG4" s="353"/>
      <c r="VSH4" s="353"/>
      <c r="VSI4" s="353"/>
      <c r="VSJ4" s="353"/>
      <c r="VSK4" s="353"/>
      <c r="VSL4" s="353"/>
      <c r="VSM4" s="353"/>
      <c r="VSN4" s="353"/>
      <c r="VSO4" s="353"/>
      <c r="VSP4" s="353"/>
      <c r="VSQ4" s="353"/>
      <c r="VSR4" s="353"/>
      <c r="VSS4" s="353"/>
      <c r="VST4" s="353"/>
      <c r="VSU4" s="353"/>
      <c r="VSV4" s="353"/>
      <c r="VSW4" s="353"/>
      <c r="VSX4" s="353"/>
      <c r="VSY4" s="353"/>
      <c r="VSZ4" s="353"/>
      <c r="VTA4" s="353"/>
      <c r="VTB4" s="353"/>
      <c r="VTC4" s="353"/>
      <c r="VTD4" s="353"/>
      <c r="VTE4" s="353"/>
      <c r="VTF4" s="353"/>
      <c r="VTG4" s="353"/>
      <c r="VTH4" s="353"/>
      <c r="VTI4" s="353"/>
      <c r="VTJ4" s="353"/>
      <c r="VTK4" s="353"/>
      <c r="VTL4" s="353"/>
      <c r="VTM4" s="353"/>
      <c r="VTN4" s="353"/>
      <c r="VTO4" s="353"/>
      <c r="VTP4" s="353"/>
      <c r="VTQ4" s="353"/>
      <c r="VTR4" s="353"/>
      <c r="VTS4" s="353"/>
      <c r="VTT4" s="353"/>
      <c r="VTU4" s="353"/>
      <c r="VTV4" s="353"/>
      <c r="VTW4" s="353"/>
      <c r="VTX4" s="353"/>
      <c r="VTY4" s="353"/>
      <c r="VTZ4" s="353"/>
      <c r="VUA4" s="353"/>
      <c r="VUB4" s="353"/>
      <c r="VUC4" s="353"/>
      <c r="VUD4" s="353"/>
      <c r="VUE4" s="353"/>
      <c r="VUF4" s="353"/>
      <c r="VUG4" s="353"/>
      <c r="VUH4" s="353"/>
      <c r="VUI4" s="353"/>
      <c r="VUJ4" s="353"/>
      <c r="VUK4" s="353"/>
      <c r="VUL4" s="353"/>
      <c r="VUM4" s="353"/>
      <c r="VUN4" s="353"/>
      <c r="VUO4" s="353"/>
      <c r="VUP4" s="353"/>
      <c r="VUQ4" s="353"/>
      <c r="VUR4" s="353"/>
      <c r="VUS4" s="353"/>
      <c r="VUT4" s="353"/>
      <c r="VUU4" s="353"/>
      <c r="VUV4" s="353"/>
      <c r="VUW4" s="353"/>
      <c r="VUX4" s="353"/>
      <c r="VUY4" s="353"/>
      <c r="VUZ4" s="353"/>
      <c r="VVA4" s="353"/>
      <c r="VVB4" s="353"/>
      <c r="VVC4" s="353"/>
      <c r="VVD4" s="353"/>
      <c r="VVE4" s="353"/>
      <c r="VVF4" s="353"/>
      <c r="VVG4" s="353"/>
      <c r="VVH4" s="353"/>
      <c r="VVI4" s="353"/>
      <c r="VVJ4" s="353"/>
      <c r="VVK4" s="353"/>
      <c r="VVL4" s="353"/>
      <c r="VVM4" s="353"/>
      <c r="VVN4" s="353"/>
      <c r="VVO4" s="353"/>
      <c r="VVP4" s="353"/>
      <c r="VVQ4" s="353"/>
      <c r="VVR4" s="353"/>
      <c r="VVS4" s="353"/>
      <c r="VVT4" s="353"/>
      <c r="VVU4" s="353"/>
      <c r="VVV4" s="353"/>
      <c r="VVW4" s="353"/>
      <c r="VVX4" s="353"/>
      <c r="VVY4" s="353"/>
      <c r="VVZ4" s="353"/>
      <c r="VWA4" s="353"/>
      <c r="VWB4" s="353"/>
      <c r="VWC4" s="353"/>
      <c r="VWD4" s="353"/>
      <c r="VWE4" s="353"/>
      <c r="VWF4" s="353"/>
      <c r="VWG4" s="353"/>
      <c r="VWH4" s="353"/>
      <c r="VWI4" s="353"/>
      <c r="VWJ4" s="353"/>
      <c r="VWK4" s="353"/>
      <c r="VWL4" s="353"/>
      <c r="VWM4" s="353"/>
      <c r="VWN4" s="353"/>
      <c r="VWO4" s="353"/>
      <c r="VWP4" s="353"/>
      <c r="VWQ4" s="353"/>
      <c r="VWR4" s="353"/>
      <c r="VWS4" s="353"/>
      <c r="VWT4" s="353"/>
      <c r="VWU4" s="353"/>
      <c r="VWV4" s="353"/>
      <c r="VWW4" s="353"/>
      <c r="VWX4" s="353"/>
      <c r="VWY4" s="353"/>
      <c r="VWZ4" s="353"/>
      <c r="VXA4" s="353"/>
      <c r="VXB4" s="353"/>
      <c r="VXC4" s="353"/>
      <c r="VXD4" s="353"/>
      <c r="VXE4" s="353"/>
      <c r="VXF4" s="353"/>
      <c r="VXG4" s="353"/>
      <c r="VXH4" s="353"/>
      <c r="VXI4" s="353"/>
      <c r="VXJ4" s="353"/>
      <c r="VXK4" s="353"/>
      <c r="VXL4" s="353"/>
      <c r="VXM4" s="353"/>
      <c r="VXN4" s="353"/>
      <c r="VXO4" s="353"/>
      <c r="VXP4" s="353"/>
      <c r="VXQ4" s="353"/>
      <c r="VXR4" s="353"/>
      <c r="VXS4" s="353"/>
      <c r="VXT4" s="353"/>
      <c r="VXU4" s="353"/>
      <c r="VXV4" s="353"/>
      <c r="VXW4" s="353"/>
      <c r="VXX4" s="353"/>
      <c r="VXY4" s="353"/>
      <c r="VXZ4" s="353"/>
      <c r="VYA4" s="353"/>
      <c r="VYB4" s="353"/>
      <c r="VYC4" s="353"/>
      <c r="VYD4" s="353"/>
      <c r="VYE4" s="353"/>
      <c r="VYF4" s="353"/>
      <c r="VYG4" s="353"/>
      <c r="VYH4" s="353"/>
      <c r="VYI4" s="353"/>
      <c r="VYJ4" s="353"/>
      <c r="VYK4" s="353"/>
      <c r="VYL4" s="353"/>
      <c r="VYM4" s="353"/>
      <c r="VYN4" s="353"/>
      <c r="VYO4" s="353"/>
      <c r="VYP4" s="353"/>
      <c r="VYQ4" s="353"/>
      <c r="VYR4" s="353"/>
      <c r="VYS4" s="353"/>
      <c r="VYT4" s="353"/>
      <c r="VYU4" s="353"/>
      <c r="VYV4" s="353"/>
      <c r="VYW4" s="353"/>
      <c r="VYX4" s="353"/>
      <c r="VYY4" s="353"/>
      <c r="VYZ4" s="353"/>
      <c r="VZA4" s="353"/>
      <c r="VZB4" s="353"/>
      <c r="VZC4" s="353"/>
      <c r="VZD4" s="353"/>
      <c r="VZE4" s="353"/>
      <c r="VZF4" s="353"/>
      <c r="VZG4" s="353"/>
      <c r="VZH4" s="353"/>
      <c r="VZI4" s="353"/>
      <c r="VZJ4" s="353"/>
      <c r="VZK4" s="353"/>
      <c r="VZL4" s="353"/>
      <c r="VZM4" s="353"/>
      <c r="VZN4" s="353"/>
      <c r="VZO4" s="353"/>
      <c r="VZP4" s="353"/>
      <c r="VZQ4" s="353"/>
      <c r="VZR4" s="353"/>
      <c r="VZS4" s="353"/>
      <c r="VZT4" s="353"/>
      <c r="VZU4" s="353"/>
      <c r="VZV4" s="353"/>
      <c r="VZW4" s="353"/>
      <c r="VZX4" s="353"/>
      <c r="VZY4" s="353"/>
      <c r="VZZ4" s="353"/>
      <c r="WAA4" s="353"/>
      <c r="WAB4" s="353"/>
      <c r="WAC4" s="353"/>
      <c r="WAD4" s="353"/>
      <c r="WAE4" s="353"/>
      <c r="WAF4" s="353"/>
      <c r="WAG4" s="353"/>
      <c r="WAH4" s="353"/>
      <c r="WAI4" s="353"/>
      <c r="WAJ4" s="353"/>
      <c r="WAK4" s="353"/>
      <c r="WAL4" s="353"/>
      <c r="WAM4" s="353"/>
      <c r="WAN4" s="353"/>
      <c r="WAO4" s="353"/>
      <c r="WAP4" s="353"/>
      <c r="WAQ4" s="353"/>
      <c r="WAR4" s="353"/>
      <c r="WAS4" s="353"/>
      <c r="WAT4" s="353"/>
      <c r="WAU4" s="353"/>
      <c r="WAV4" s="353"/>
      <c r="WAW4" s="353"/>
      <c r="WAX4" s="353"/>
      <c r="WAY4" s="353"/>
      <c r="WAZ4" s="353"/>
      <c r="WBA4" s="353"/>
      <c r="WBB4" s="353"/>
      <c r="WBC4" s="353"/>
      <c r="WBD4" s="353"/>
      <c r="WBE4" s="353"/>
      <c r="WBF4" s="353"/>
      <c r="WBG4" s="353"/>
      <c r="WBH4" s="353"/>
      <c r="WBI4" s="353"/>
      <c r="WBJ4" s="353"/>
      <c r="WBK4" s="353"/>
      <c r="WBL4" s="353"/>
      <c r="WBM4" s="353"/>
      <c r="WBN4" s="353"/>
      <c r="WBO4" s="353"/>
      <c r="WBP4" s="353"/>
      <c r="WBQ4" s="353"/>
      <c r="WBR4" s="353"/>
      <c r="WBS4" s="353"/>
      <c r="WBT4" s="353"/>
      <c r="WBU4" s="353"/>
      <c r="WBV4" s="353"/>
      <c r="WBW4" s="353"/>
      <c r="WBX4" s="353"/>
      <c r="WBY4" s="353"/>
      <c r="WBZ4" s="353"/>
      <c r="WCA4" s="353"/>
      <c r="WCB4" s="353"/>
      <c r="WCC4" s="353"/>
      <c r="WCD4" s="353"/>
      <c r="WCE4" s="353"/>
      <c r="WCF4" s="353"/>
      <c r="WCG4" s="353"/>
      <c r="WCH4" s="353"/>
      <c r="WCI4" s="353"/>
      <c r="WCJ4" s="353"/>
      <c r="WCK4" s="353"/>
      <c r="WCL4" s="353"/>
      <c r="WCM4" s="353"/>
      <c r="WCN4" s="353"/>
      <c r="WCO4" s="353"/>
      <c r="WCP4" s="353"/>
      <c r="WCQ4" s="353"/>
      <c r="WCR4" s="353"/>
      <c r="WCS4" s="353"/>
      <c r="WCT4" s="353"/>
      <c r="WCU4" s="353"/>
      <c r="WCV4" s="353"/>
      <c r="WCW4" s="353"/>
      <c r="WCX4" s="353"/>
      <c r="WCY4" s="353"/>
      <c r="WCZ4" s="353"/>
      <c r="WDA4" s="353"/>
      <c r="WDB4" s="353"/>
      <c r="WDC4" s="353"/>
      <c r="WDD4" s="353"/>
      <c r="WDE4" s="353"/>
      <c r="WDF4" s="353"/>
      <c r="WDG4" s="353"/>
      <c r="WDH4" s="353"/>
      <c r="WDI4" s="353"/>
      <c r="WDJ4" s="353"/>
      <c r="WDK4" s="353"/>
      <c r="WDL4" s="353"/>
      <c r="WDM4" s="353"/>
      <c r="WDN4" s="353"/>
      <c r="WDO4" s="353"/>
      <c r="WDP4" s="353"/>
      <c r="WDQ4" s="353"/>
      <c r="WDR4" s="353"/>
      <c r="WDS4" s="353"/>
      <c r="WDT4" s="353"/>
      <c r="WDU4" s="353"/>
      <c r="WDV4" s="353"/>
      <c r="WDW4" s="353"/>
      <c r="WDX4" s="353"/>
      <c r="WDY4" s="353"/>
      <c r="WDZ4" s="353"/>
      <c r="WEA4" s="353"/>
      <c r="WEB4" s="353"/>
      <c r="WEC4" s="353"/>
      <c r="WED4" s="353"/>
      <c r="WEE4" s="353"/>
      <c r="WEF4" s="353"/>
      <c r="WEG4" s="353"/>
      <c r="WEH4" s="353"/>
      <c r="WEI4" s="353"/>
      <c r="WEJ4" s="353"/>
      <c r="WEK4" s="353"/>
      <c r="WEL4" s="353"/>
      <c r="WEM4" s="353"/>
      <c r="WEN4" s="353"/>
      <c r="WEO4" s="353"/>
      <c r="WEP4" s="353"/>
      <c r="WEQ4" s="353"/>
      <c r="WER4" s="353"/>
      <c r="WES4" s="353"/>
      <c r="WET4" s="353"/>
      <c r="WEU4" s="353"/>
      <c r="WEV4" s="353"/>
      <c r="WEW4" s="353"/>
      <c r="WEX4" s="353"/>
      <c r="WEY4" s="353"/>
      <c r="WEZ4" s="353"/>
      <c r="WFA4" s="353"/>
      <c r="WFB4" s="353"/>
      <c r="WFC4" s="353"/>
      <c r="WFD4" s="353"/>
      <c r="WFE4" s="353"/>
      <c r="WFF4" s="353"/>
      <c r="WFG4" s="353"/>
      <c r="WFH4" s="353"/>
      <c r="WFI4" s="353"/>
      <c r="WFJ4" s="353"/>
      <c r="WFK4" s="353"/>
      <c r="WFL4" s="353"/>
      <c r="WFM4" s="353"/>
      <c r="WFN4" s="353"/>
      <c r="WFO4" s="353"/>
      <c r="WFP4" s="353"/>
      <c r="WFQ4" s="353"/>
      <c r="WFR4" s="353"/>
      <c r="WFS4" s="353"/>
      <c r="WFT4" s="353"/>
      <c r="WFU4" s="353"/>
      <c r="WFV4" s="353"/>
      <c r="WFW4" s="353"/>
      <c r="WFX4" s="353"/>
      <c r="WFY4" s="353"/>
      <c r="WFZ4" s="353"/>
      <c r="WGA4" s="353"/>
      <c r="WGB4" s="353"/>
      <c r="WGC4" s="353"/>
      <c r="WGD4" s="353"/>
      <c r="WGE4" s="353"/>
      <c r="WGF4" s="353"/>
      <c r="WGG4" s="353"/>
      <c r="WGH4" s="353"/>
      <c r="WGI4" s="353"/>
      <c r="WGJ4" s="353"/>
      <c r="WGK4" s="353"/>
      <c r="WGL4" s="353"/>
      <c r="WGM4" s="353"/>
      <c r="WGN4" s="353"/>
      <c r="WGO4" s="353"/>
      <c r="WGP4" s="353"/>
      <c r="WGQ4" s="353"/>
      <c r="WGR4" s="353"/>
      <c r="WGS4" s="353"/>
      <c r="WGT4" s="353"/>
      <c r="WGU4" s="353"/>
      <c r="WGV4" s="353"/>
      <c r="WGW4" s="353"/>
      <c r="WGX4" s="353"/>
      <c r="WGY4" s="353"/>
      <c r="WGZ4" s="353"/>
      <c r="WHA4" s="353"/>
      <c r="WHB4" s="353"/>
      <c r="WHC4" s="353"/>
      <c r="WHD4" s="353"/>
      <c r="WHE4" s="353"/>
      <c r="WHF4" s="353"/>
      <c r="WHG4" s="353"/>
      <c r="WHH4" s="353"/>
      <c r="WHI4" s="353"/>
      <c r="WHJ4" s="353"/>
      <c r="WHK4" s="353"/>
      <c r="WHL4" s="353"/>
      <c r="WHM4" s="353"/>
      <c r="WHN4" s="353"/>
      <c r="WHO4" s="353"/>
      <c r="WHP4" s="353"/>
      <c r="WHQ4" s="353"/>
      <c r="WHR4" s="353"/>
      <c r="WHS4" s="353"/>
      <c r="WHT4" s="353"/>
      <c r="WHU4" s="353"/>
      <c r="WHV4" s="353"/>
      <c r="WHW4" s="353"/>
      <c r="WHX4" s="353"/>
      <c r="WHY4" s="353"/>
      <c r="WHZ4" s="353"/>
      <c r="WIA4" s="353"/>
      <c r="WIB4" s="353"/>
      <c r="WIC4" s="353"/>
      <c r="WID4" s="353"/>
      <c r="WIE4" s="353"/>
      <c r="WIF4" s="353"/>
      <c r="WIG4" s="353"/>
      <c r="WIH4" s="353"/>
      <c r="WII4" s="353"/>
      <c r="WIJ4" s="353"/>
      <c r="WIK4" s="353"/>
      <c r="WIL4" s="353"/>
      <c r="WIM4" s="353"/>
      <c r="WIN4" s="353"/>
      <c r="WIO4" s="353"/>
      <c r="WIP4" s="353"/>
      <c r="WIQ4" s="353"/>
      <c r="WIR4" s="353"/>
      <c r="WIS4" s="353"/>
      <c r="WIT4" s="353"/>
      <c r="WIU4" s="353"/>
      <c r="WIV4" s="353"/>
      <c r="WIW4" s="353"/>
      <c r="WIX4" s="353"/>
      <c r="WIY4" s="353"/>
      <c r="WIZ4" s="353"/>
      <c r="WJA4" s="353"/>
      <c r="WJB4" s="353"/>
      <c r="WJC4" s="353"/>
      <c r="WJD4" s="353"/>
      <c r="WJE4" s="353"/>
      <c r="WJF4" s="353"/>
      <c r="WJG4" s="353"/>
      <c r="WJH4" s="353"/>
      <c r="WJI4" s="353"/>
      <c r="WJJ4" s="353"/>
      <c r="WJK4" s="353"/>
      <c r="WJL4" s="353"/>
      <c r="WJM4" s="353"/>
      <c r="WJN4" s="353"/>
      <c r="WJO4" s="353"/>
      <c r="WJP4" s="353"/>
      <c r="WJQ4" s="353"/>
      <c r="WJR4" s="353"/>
      <c r="WJS4" s="353"/>
      <c r="WJT4" s="353"/>
      <c r="WJU4" s="353"/>
      <c r="WJV4" s="353"/>
      <c r="WJW4" s="353"/>
      <c r="WJX4" s="353"/>
      <c r="WJY4" s="353"/>
      <c r="WJZ4" s="353"/>
      <c r="WKA4" s="353"/>
      <c r="WKB4" s="353"/>
      <c r="WKC4" s="353"/>
      <c r="WKD4" s="353"/>
      <c r="WKE4" s="353"/>
      <c r="WKF4" s="353"/>
      <c r="WKG4" s="353"/>
      <c r="WKH4" s="353"/>
      <c r="WKI4" s="353"/>
      <c r="WKJ4" s="353"/>
      <c r="WKK4" s="353"/>
      <c r="WKL4" s="353"/>
      <c r="WKM4" s="353"/>
      <c r="WKN4" s="353"/>
      <c r="WKO4" s="353"/>
      <c r="WKP4" s="353"/>
      <c r="WKQ4" s="353"/>
      <c r="WKR4" s="353"/>
      <c r="WKS4" s="353"/>
      <c r="WKT4" s="353"/>
      <c r="WKU4" s="353"/>
      <c r="WKV4" s="353"/>
      <c r="WKW4" s="353"/>
      <c r="WKX4" s="353"/>
      <c r="WKY4" s="353"/>
      <c r="WKZ4" s="353"/>
      <c r="WLA4" s="353"/>
      <c r="WLB4" s="353"/>
      <c r="WLC4" s="353"/>
      <c r="WLD4" s="353"/>
      <c r="WLE4" s="353"/>
      <c r="WLF4" s="353"/>
      <c r="WLG4" s="353"/>
      <c r="WLH4" s="353"/>
      <c r="WLI4" s="353"/>
      <c r="WLJ4" s="353"/>
      <c r="WLK4" s="353"/>
      <c r="WLL4" s="353"/>
      <c r="WLM4" s="353"/>
      <c r="WLN4" s="353"/>
      <c r="WLO4" s="353"/>
      <c r="WLP4" s="353"/>
      <c r="WLQ4" s="353"/>
      <c r="WLR4" s="353"/>
      <c r="WLS4" s="353"/>
      <c r="WLT4" s="353"/>
      <c r="WLU4" s="353"/>
      <c r="WLV4" s="353"/>
      <c r="WLW4" s="353"/>
      <c r="WLX4" s="353"/>
      <c r="WLY4" s="353"/>
      <c r="WLZ4" s="353"/>
      <c r="WMA4" s="353"/>
      <c r="WMB4" s="353"/>
      <c r="WMC4" s="353"/>
      <c r="WMD4" s="353"/>
      <c r="WME4" s="353"/>
      <c r="WMF4" s="353"/>
      <c r="WMG4" s="353"/>
      <c r="WMH4" s="353"/>
      <c r="WMI4" s="353"/>
      <c r="WMJ4" s="353"/>
      <c r="WMK4" s="353"/>
      <c r="WML4" s="353"/>
      <c r="WMM4" s="353"/>
      <c r="WMN4" s="353"/>
      <c r="WMO4" s="353"/>
      <c r="WMP4" s="353"/>
      <c r="WMQ4" s="353"/>
      <c r="WMR4" s="353"/>
      <c r="WMS4" s="353"/>
      <c r="WMT4" s="353"/>
      <c r="WMU4" s="353"/>
      <c r="WMV4" s="353"/>
      <c r="WMW4" s="353"/>
      <c r="WMX4" s="353"/>
      <c r="WMY4" s="353"/>
      <c r="WMZ4" s="353"/>
      <c r="WNA4" s="353"/>
      <c r="WNB4" s="353"/>
      <c r="WNC4" s="353"/>
      <c r="WND4" s="353"/>
      <c r="WNE4" s="353"/>
      <c r="WNF4" s="353"/>
      <c r="WNG4" s="353"/>
      <c r="WNH4" s="353"/>
      <c r="WNI4" s="353"/>
      <c r="WNJ4" s="353"/>
      <c r="WNK4" s="353"/>
      <c r="WNL4" s="353"/>
      <c r="WNM4" s="353"/>
      <c r="WNN4" s="353"/>
      <c r="WNO4" s="353"/>
      <c r="WNP4" s="353"/>
      <c r="WNQ4" s="353"/>
      <c r="WNR4" s="353"/>
      <c r="WNS4" s="353"/>
      <c r="WNT4" s="353"/>
      <c r="WNU4" s="353"/>
      <c r="WNV4" s="353"/>
      <c r="WNW4" s="353"/>
      <c r="WNX4" s="353"/>
      <c r="WNY4" s="353"/>
      <c r="WNZ4" s="353"/>
      <c r="WOA4" s="353"/>
      <c r="WOB4" s="353"/>
      <c r="WOC4" s="353"/>
      <c r="WOD4" s="353"/>
      <c r="WOE4" s="353"/>
      <c r="WOF4" s="353"/>
      <c r="WOG4" s="353"/>
      <c r="WOH4" s="353"/>
      <c r="WOI4" s="353"/>
      <c r="WOJ4" s="353"/>
      <c r="WOK4" s="353"/>
      <c r="WOL4" s="353"/>
      <c r="WOM4" s="353"/>
      <c r="WON4" s="353"/>
      <c r="WOO4" s="353"/>
      <c r="WOP4" s="353"/>
      <c r="WOQ4" s="353"/>
      <c r="WOR4" s="353"/>
      <c r="WOS4" s="353"/>
      <c r="WOT4" s="353"/>
      <c r="WOU4" s="353"/>
      <c r="WOV4" s="353"/>
      <c r="WOW4" s="353"/>
      <c r="WOX4" s="353"/>
      <c r="WOY4" s="353"/>
      <c r="WOZ4" s="353"/>
      <c r="WPA4" s="353"/>
      <c r="WPB4" s="353"/>
      <c r="WPC4" s="353"/>
      <c r="WPD4" s="353"/>
      <c r="WPE4" s="353"/>
      <c r="WPF4" s="353"/>
      <c r="WPG4" s="353"/>
      <c r="WPH4" s="353"/>
      <c r="WPI4" s="353"/>
      <c r="WPJ4" s="353"/>
      <c r="WPK4" s="353"/>
      <c r="WPL4" s="353"/>
      <c r="WPM4" s="353"/>
      <c r="WPN4" s="353"/>
      <c r="WPO4" s="353"/>
      <c r="WPP4" s="353"/>
      <c r="WPQ4" s="353"/>
      <c r="WPR4" s="353"/>
      <c r="WPS4" s="353"/>
      <c r="WPT4" s="353"/>
      <c r="WPU4" s="353"/>
      <c r="WPV4" s="353"/>
      <c r="WPW4" s="353"/>
      <c r="WPX4" s="353"/>
      <c r="WPY4" s="353"/>
      <c r="WPZ4" s="353"/>
      <c r="WQA4" s="353"/>
      <c r="WQB4" s="353"/>
      <c r="WQC4" s="353"/>
      <c r="WQD4" s="353"/>
      <c r="WQE4" s="353"/>
      <c r="WQF4" s="353"/>
      <c r="WQG4" s="353"/>
      <c r="WQH4" s="353"/>
      <c r="WQI4" s="353"/>
      <c r="WQJ4" s="353"/>
      <c r="WQK4" s="353"/>
      <c r="WQL4" s="353"/>
      <c r="WQM4" s="353"/>
      <c r="WQN4" s="353"/>
      <c r="WQO4" s="353"/>
      <c r="WQP4" s="353"/>
      <c r="WQQ4" s="353"/>
      <c r="WQR4" s="353"/>
      <c r="WQS4" s="353"/>
      <c r="WQT4" s="353"/>
      <c r="WQU4" s="353"/>
      <c r="WQV4" s="353"/>
      <c r="WQW4" s="353"/>
      <c r="WQX4" s="353"/>
      <c r="WQY4" s="353"/>
      <c r="WQZ4" s="353"/>
      <c r="WRA4" s="353"/>
      <c r="WRB4" s="353"/>
      <c r="WRC4" s="353"/>
      <c r="WRD4" s="353"/>
      <c r="WRE4" s="353"/>
      <c r="WRF4" s="353"/>
      <c r="WRG4" s="353"/>
      <c r="WRH4" s="353"/>
      <c r="WRI4" s="353"/>
      <c r="WRJ4" s="353"/>
      <c r="WRK4" s="353"/>
      <c r="WRL4" s="353"/>
      <c r="WRM4" s="353"/>
      <c r="WRN4" s="353"/>
      <c r="WRO4" s="353"/>
      <c r="WRP4" s="353"/>
      <c r="WRQ4" s="353"/>
      <c r="WRR4" s="353"/>
      <c r="WRS4" s="353"/>
      <c r="WRT4" s="353"/>
      <c r="WRU4" s="353"/>
      <c r="WRV4" s="353"/>
      <c r="WRW4" s="353"/>
      <c r="WRX4" s="353"/>
      <c r="WRY4" s="353"/>
      <c r="WRZ4" s="353"/>
      <c r="WSA4" s="353"/>
      <c r="WSB4" s="353"/>
      <c r="WSC4" s="353"/>
      <c r="WSD4" s="353"/>
      <c r="WSE4" s="353"/>
      <c r="WSF4" s="353"/>
      <c r="WSG4" s="353"/>
      <c r="WSH4" s="353"/>
      <c r="WSI4" s="353"/>
      <c r="WSJ4" s="353"/>
      <c r="WSK4" s="353"/>
      <c r="WSL4" s="353"/>
      <c r="WSM4" s="353"/>
      <c r="WSN4" s="353"/>
      <c r="WSO4" s="353"/>
      <c r="WSP4" s="353"/>
      <c r="WSQ4" s="353"/>
      <c r="WSR4" s="353"/>
      <c r="WSS4" s="353"/>
      <c r="WST4" s="353"/>
      <c r="WSU4" s="353"/>
      <c r="WSV4" s="353"/>
      <c r="WSW4" s="353"/>
      <c r="WSX4" s="353"/>
      <c r="WSY4" s="353"/>
      <c r="WSZ4" s="353"/>
      <c r="WTA4" s="353"/>
      <c r="WTB4" s="353"/>
      <c r="WTC4" s="353"/>
      <c r="WTD4" s="353"/>
      <c r="WTE4" s="353"/>
      <c r="WTF4" s="353"/>
      <c r="WTG4" s="353"/>
      <c r="WTH4" s="353"/>
      <c r="WTI4" s="353"/>
      <c r="WTJ4" s="353"/>
      <c r="WTK4" s="353"/>
      <c r="WTL4" s="353"/>
      <c r="WTM4" s="353"/>
      <c r="WTN4" s="353"/>
      <c r="WTO4" s="353"/>
      <c r="WTP4" s="353"/>
      <c r="WTQ4" s="353"/>
      <c r="WTR4" s="353"/>
      <c r="WTS4" s="353"/>
      <c r="WTT4" s="353"/>
      <c r="WTU4" s="353"/>
      <c r="WTV4" s="353"/>
      <c r="WTW4" s="353"/>
      <c r="WTX4" s="353"/>
      <c r="WTY4" s="353"/>
      <c r="WTZ4" s="353"/>
      <c r="WUA4" s="353"/>
      <c r="WUB4" s="353"/>
      <c r="WUC4" s="353"/>
      <c r="WUD4" s="353"/>
      <c r="WUE4" s="353"/>
      <c r="WUF4" s="353"/>
      <c r="WUG4" s="353"/>
      <c r="WUH4" s="353"/>
      <c r="WUI4" s="353"/>
      <c r="WUJ4" s="353"/>
      <c r="WUK4" s="353"/>
      <c r="WUL4" s="353"/>
      <c r="WUM4" s="353"/>
      <c r="WUN4" s="353"/>
      <c r="WUO4" s="353"/>
      <c r="WUP4" s="353"/>
      <c r="WUQ4" s="353"/>
      <c r="WUR4" s="353"/>
      <c r="WUS4" s="353"/>
      <c r="WUT4" s="353"/>
      <c r="WUU4" s="353"/>
      <c r="WUV4" s="353"/>
      <c r="WUW4" s="353"/>
      <c r="WUX4" s="353"/>
      <c r="WUY4" s="353"/>
      <c r="WUZ4" s="353"/>
      <c r="WVA4" s="353"/>
      <c r="WVB4" s="353"/>
      <c r="WVC4" s="353"/>
      <c r="WVD4" s="353"/>
      <c r="WVE4" s="353"/>
      <c r="WVF4" s="353"/>
      <c r="WVG4" s="353"/>
      <c r="WVH4" s="353"/>
      <c r="WVI4" s="353"/>
      <c r="WVJ4" s="353"/>
      <c r="WVK4" s="353"/>
      <c r="WVL4" s="353"/>
      <c r="WVM4" s="353"/>
      <c r="WVN4" s="353"/>
      <c r="WVO4" s="353"/>
      <c r="WVP4" s="353"/>
      <c r="WVQ4" s="353"/>
      <c r="WVR4" s="353"/>
      <c r="WVS4" s="353"/>
      <c r="WVT4" s="353"/>
      <c r="WVU4" s="353"/>
      <c r="WVV4" s="353"/>
      <c r="WVW4" s="353"/>
      <c r="WVX4" s="353"/>
      <c r="WVY4" s="353"/>
      <c r="WVZ4" s="353"/>
      <c r="WWA4" s="353"/>
      <c r="WWB4" s="353"/>
      <c r="WWC4" s="353"/>
      <c r="WWD4" s="353"/>
      <c r="WWE4" s="353"/>
      <c r="WWF4" s="353"/>
      <c r="WWG4" s="353"/>
      <c r="WWH4" s="353"/>
      <c r="WWI4" s="353"/>
      <c r="WWJ4" s="353"/>
      <c r="WWK4" s="353"/>
      <c r="WWL4" s="353"/>
      <c r="WWM4" s="353"/>
      <c r="WWN4" s="353"/>
      <c r="WWO4" s="353"/>
      <c r="WWP4" s="353"/>
      <c r="WWQ4" s="353"/>
      <c r="WWR4" s="353"/>
      <c r="WWS4" s="353"/>
      <c r="WWT4" s="353"/>
      <c r="WWU4" s="353"/>
      <c r="WWV4" s="353"/>
      <c r="WWW4" s="353"/>
      <c r="WWX4" s="353"/>
      <c r="WWY4" s="353"/>
      <c r="WWZ4" s="353"/>
      <c r="WXA4" s="353"/>
      <c r="WXB4" s="353"/>
      <c r="WXC4" s="353"/>
      <c r="WXD4" s="353"/>
      <c r="WXE4" s="353"/>
      <c r="WXF4" s="353"/>
      <c r="WXG4" s="353"/>
      <c r="WXH4" s="353"/>
      <c r="WXI4" s="353"/>
      <c r="WXJ4" s="353"/>
      <c r="WXK4" s="353"/>
      <c r="WXL4" s="353"/>
      <c r="WXM4" s="353"/>
      <c r="WXN4" s="353"/>
      <c r="WXO4" s="353"/>
      <c r="WXP4" s="353"/>
      <c r="WXQ4" s="353"/>
      <c r="WXR4" s="353"/>
      <c r="WXS4" s="353"/>
      <c r="WXT4" s="353"/>
      <c r="WXU4" s="353"/>
      <c r="WXV4" s="353"/>
      <c r="WXW4" s="353"/>
      <c r="WXX4" s="353"/>
      <c r="WXY4" s="353"/>
      <c r="WXZ4" s="353"/>
      <c r="WYA4" s="353"/>
      <c r="WYB4" s="353"/>
      <c r="WYC4" s="353"/>
      <c r="WYD4" s="353"/>
      <c r="WYE4" s="353"/>
      <c r="WYF4" s="353"/>
      <c r="WYG4" s="353"/>
      <c r="WYH4" s="353"/>
      <c r="WYI4" s="353"/>
      <c r="WYJ4" s="353"/>
      <c r="WYK4" s="353"/>
      <c r="WYL4" s="353"/>
      <c r="WYM4" s="353"/>
      <c r="WYN4" s="353"/>
      <c r="WYO4" s="353"/>
      <c r="WYP4" s="353"/>
      <c r="WYQ4" s="353"/>
      <c r="WYR4" s="353"/>
      <c r="WYS4" s="353"/>
      <c r="WYT4" s="353"/>
      <c r="WYU4" s="353"/>
      <c r="WYV4" s="353"/>
      <c r="WYW4" s="353"/>
      <c r="WYX4" s="353"/>
      <c r="WYY4" s="353"/>
      <c r="WYZ4" s="353"/>
      <c r="WZA4" s="353"/>
      <c r="WZB4" s="353"/>
      <c r="WZC4" s="353"/>
      <c r="WZD4" s="353"/>
      <c r="WZE4" s="353"/>
      <c r="WZF4" s="353"/>
      <c r="WZG4" s="353"/>
      <c r="WZH4" s="353"/>
      <c r="WZI4" s="353"/>
      <c r="WZJ4" s="353"/>
      <c r="WZK4" s="353"/>
      <c r="WZL4" s="353"/>
      <c r="WZM4" s="353"/>
      <c r="WZN4" s="353"/>
      <c r="WZO4" s="353"/>
      <c r="WZP4" s="353"/>
      <c r="WZQ4" s="353"/>
      <c r="WZR4" s="353"/>
      <c r="WZS4" s="353"/>
      <c r="WZT4" s="353"/>
      <c r="WZU4" s="353"/>
      <c r="WZV4" s="353"/>
      <c r="WZW4" s="353"/>
      <c r="WZX4" s="353"/>
      <c r="WZY4" s="353"/>
      <c r="WZZ4" s="353"/>
      <c r="XAA4" s="353"/>
      <c r="XAB4" s="353"/>
      <c r="XAC4" s="353"/>
      <c r="XAD4" s="353"/>
      <c r="XAE4" s="353"/>
      <c r="XAF4" s="353"/>
      <c r="XAG4" s="353"/>
      <c r="XAH4" s="353"/>
      <c r="XAI4" s="353"/>
      <c r="XAJ4" s="353"/>
      <c r="XAK4" s="353"/>
      <c r="XAL4" s="353"/>
      <c r="XAM4" s="353"/>
      <c r="XAN4" s="353"/>
      <c r="XAO4" s="353"/>
      <c r="XAP4" s="353"/>
      <c r="XAQ4" s="353"/>
      <c r="XAR4" s="353"/>
      <c r="XAS4" s="353"/>
      <c r="XAT4" s="353"/>
      <c r="XAU4" s="353"/>
      <c r="XAV4" s="353"/>
      <c r="XAW4" s="353"/>
      <c r="XAX4" s="353"/>
      <c r="XAY4" s="353"/>
      <c r="XAZ4" s="353"/>
      <c r="XBA4" s="353"/>
      <c r="XBB4" s="353"/>
      <c r="XBC4" s="353"/>
      <c r="XBD4" s="353"/>
      <c r="XBE4" s="353"/>
      <c r="XBF4" s="353"/>
      <c r="XBG4" s="353"/>
      <c r="XBH4" s="353"/>
      <c r="XBI4" s="353"/>
      <c r="XBJ4" s="353"/>
      <c r="XBK4" s="353"/>
      <c r="XBL4" s="353"/>
      <c r="XBM4" s="353"/>
      <c r="XBN4" s="353"/>
      <c r="XBO4" s="353"/>
      <c r="XBP4" s="353"/>
      <c r="XBQ4" s="353"/>
      <c r="XBR4" s="353"/>
      <c r="XBS4" s="353"/>
      <c r="XBT4" s="353"/>
      <c r="XBU4" s="353"/>
      <c r="XBV4" s="353"/>
      <c r="XBW4" s="353"/>
      <c r="XBX4" s="353"/>
      <c r="XBY4" s="353"/>
      <c r="XBZ4" s="353"/>
      <c r="XCA4" s="353"/>
      <c r="XCB4" s="353"/>
      <c r="XCC4" s="353"/>
      <c r="XCD4" s="353"/>
      <c r="XCE4" s="353"/>
      <c r="XCF4" s="353"/>
      <c r="XCG4" s="353"/>
      <c r="XCH4" s="353"/>
      <c r="XCI4" s="353"/>
      <c r="XCJ4" s="353"/>
      <c r="XCK4" s="353"/>
      <c r="XCL4" s="353"/>
      <c r="XCM4" s="353"/>
      <c r="XCN4" s="353"/>
      <c r="XCO4" s="353"/>
      <c r="XCP4" s="353"/>
      <c r="XCQ4" s="353"/>
      <c r="XCR4" s="353"/>
      <c r="XCS4" s="353"/>
      <c r="XCT4" s="353"/>
      <c r="XCU4" s="353"/>
      <c r="XCV4" s="353"/>
      <c r="XCW4" s="353"/>
      <c r="XCX4" s="353"/>
      <c r="XCY4" s="353"/>
      <c r="XCZ4" s="353"/>
      <c r="XDA4" s="353"/>
      <c r="XDB4" s="353"/>
      <c r="XDC4" s="353"/>
      <c r="XDD4" s="353"/>
      <c r="XDE4" s="353"/>
      <c r="XDF4" s="353"/>
      <c r="XDG4" s="353"/>
      <c r="XDH4" s="353"/>
      <c r="XDI4" s="353"/>
      <c r="XDJ4" s="353"/>
      <c r="XDK4" s="353"/>
      <c r="XDL4" s="353"/>
      <c r="XDM4" s="353"/>
      <c r="XDN4" s="353"/>
      <c r="XDO4" s="353"/>
      <c r="XDP4" s="353"/>
      <c r="XDQ4" s="353"/>
      <c r="XDR4" s="353"/>
      <c r="XDS4" s="353"/>
      <c r="XDT4" s="353"/>
      <c r="XDU4" s="353"/>
      <c r="XDV4" s="353"/>
      <c r="XDW4" s="353"/>
      <c r="XDX4" s="353"/>
      <c r="XDY4" s="353"/>
      <c r="XDZ4" s="353"/>
      <c r="XEA4" s="353"/>
      <c r="XEB4" s="353"/>
      <c r="XEC4" s="353"/>
      <c r="XED4" s="353"/>
      <c r="XEE4" s="353"/>
      <c r="XEF4" s="353"/>
      <c r="XEG4" s="353"/>
      <c r="XEH4" s="353"/>
      <c r="XEI4" s="353"/>
      <c r="XEJ4" s="353"/>
      <c r="XEK4" s="353"/>
      <c r="XEL4" s="353"/>
      <c r="XEM4" s="353"/>
      <c r="XEN4" s="353"/>
      <c r="XEO4" s="353"/>
      <c r="XEP4" s="353"/>
      <c r="XEQ4" s="353"/>
      <c r="XER4" s="353"/>
      <c r="XES4" s="353"/>
      <c r="XET4" s="353"/>
      <c r="XEU4" s="353"/>
      <c r="XEV4" s="353"/>
      <c r="XEW4" s="353"/>
      <c r="XEX4" s="353"/>
      <c r="XEY4" s="353"/>
      <c r="XEZ4" s="353"/>
      <c r="XFA4" s="353"/>
      <c r="XFB4" s="353"/>
      <c r="XFC4" s="353"/>
      <c r="XFD4" s="353"/>
    </row>
    <row r="5" spans="2:16384" ht="15.75" thickBot="1" x14ac:dyDescent="0.3">
      <c r="X5" s="353"/>
      <c r="Y5" s="353"/>
      <c r="Z5" s="353"/>
      <c r="AA5" s="353"/>
      <c r="AB5" s="353"/>
    </row>
    <row r="6" spans="2:16384" ht="15" customHeight="1" x14ac:dyDescent="0.25">
      <c r="B6" s="720" t="s">
        <v>975</v>
      </c>
      <c r="C6" s="721"/>
      <c r="D6" s="721"/>
      <c r="E6" s="721"/>
      <c r="F6" s="721"/>
      <c r="G6" s="490"/>
      <c r="H6" s="491"/>
      <c r="I6" s="491"/>
      <c r="J6" s="491"/>
      <c r="K6" s="491"/>
      <c r="L6" s="491"/>
      <c r="M6" s="491"/>
      <c r="N6" s="491"/>
      <c r="O6" s="491"/>
      <c r="P6" s="491"/>
      <c r="Q6" s="492"/>
      <c r="R6" s="492"/>
      <c r="S6" s="492"/>
      <c r="T6" s="492"/>
      <c r="U6" s="492"/>
      <c r="V6" s="492"/>
      <c r="W6" s="492"/>
      <c r="X6" s="492"/>
      <c r="Y6" s="492"/>
      <c r="Z6" s="492"/>
      <c r="AA6" s="493"/>
      <c r="AB6" s="353"/>
    </row>
    <row r="7" spans="2:16384" ht="15" customHeight="1" x14ac:dyDescent="0.25">
      <c r="B7" s="722"/>
      <c r="C7" s="723"/>
      <c r="D7" s="723"/>
      <c r="E7" s="723"/>
      <c r="F7" s="723"/>
      <c r="G7" s="494"/>
      <c r="H7" s="484"/>
      <c r="I7" s="484"/>
      <c r="J7" s="484"/>
      <c r="K7" s="484"/>
      <c r="L7" s="484"/>
      <c r="M7" s="484"/>
      <c r="N7" s="484"/>
      <c r="O7" s="484"/>
      <c r="P7" s="484"/>
      <c r="Q7" s="485"/>
      <c r="R7" s="485"/>
      <c r="S7" s="485"/>
      <c r="T7" s="485"/>
      <c r="U7" s="485"/>
      <c r="V7" s="485"/>
      <c r="W7" s="485"/>
      <c r="X7" s="485"/>
      <c r="Y7" s="485"/>
      <c r="Z7" s="485"/>
      <c r="AA7" s="495"/>
      <c r="AB7" s="353"/>
    </row>
    <row r="8" spans="2:16384" ht="15" customHeight="1" x14ac:dyDescent="0.25">
      <c r="B8" s="722"/>
      <c r="C8" s="723"/>
      <c r="D8" s="723"/>
      <c r="E8" s="723"/>
      <c r="F8" s="723"/>
      <c r="G8" s="494"/>
      <c r="H8" s="484"/>
      <c r="I8" s="484"/>
      <c r="J8" s="484"/>
      <c r="K8" s="484"/>
      <c r="L8" s="484"/>
      <c r="M8" s="484"/>
      <c r="N8" s="484"/>
      <c r="O8" s="484"/>
      <c r="P8" s="484"/>
      <c r="Q8" s="485"/>
      <c r="R8" s="485"/>
      <c r="S8" s="485"/>
      <c r="T8" s="485"/>
      <c r="U8" s="485"/>
      <c r="V8" s="485"/>
      <c r="W8" s="485"/>
      <c r="X8" s="485"/>
      <c r="Y8" s="485"/>
      <c r="Z8" s="485"/>
      <c r="AA8" s="495"/>
      <c r="AB8" s="353"/>
    </row>
    <row r="9" spans="2:16384" ht="15" customHeight="1" x14ac:dyDescent="0.25">
      <c r="B9" s="722"/>
      <c r="C9" s="723"/>
      <c r="D9" s="723"/>
      <c r="E9" s="723"/>
      <c r="F9" s="723"/>
      <c r="G9" s="494"/>
      <c r="H9" s="484"/>
      <c r="I9" s="484"/>
      <c r="J9" s="484"/>
      <c r="K9" s="484"/>
      <c r="L9" s="484"/>
      <c r="M9" s="484"/>
      <c r="N9" s="484"/>
      <c r="O9" s="484"/>
      <c r="P9" s="484"/>
      <c r="Q9" s="485"/>
      <c r="R9" s="485"/>
      <c r="S9" s="485"/>
      <c r="T9" s="485"/>
      <c r="U9" s="485"/>
      <c r="V9" s="485"/>
      <c r="W9" s="485"/>
      <c r="X9" s="485"/>
      <c r="Y9" s="485"/>
      <c r="Z9" s="485"/>
      <c r="AA9" s="495"/>
      <c r="AB9" s="353"/>
    </row>
    <row r="10" spans="2:16384" ht="15" customHeight="1" x14ac:dyDescent="0.25">
      <c r="B10" s="722"/>
      <c r="C10" s="723"/>
      <c r="D10" s="723"/>
      <c r="E10" s="723"/>
      <c r="F10" s="723"/>
      <c r="G10" s="494"/>
      <c r="H10" s="484"/>
      <c r="I10" s="484"/>
      <c r="J10" s="484"/>
      <c r="K10" s="484"/>
      <c r="L10" s="484"/>
      <c r="M10" s="484"/>
      <c r="N10" s="484"/>
      <c r="O10" s="484"/>
      <c r="P10" s="484"/>
      <c r="Q10" s="485"/>
      <c r="R10" s="485"/>
      <c r="S10" s="485"/>
      <c r="T10" s="485"/>
      <c r="U10" s="485"/>
      <c r="V10" s="485"/>
      <c r="W10" s="485"/>
      <c r="X10" s="485"/>
      <c r="Y10" s="485"/>
      <c r="Z10" s="485"/>
      <c r="AA10" s="495"/>
      <c r="AB10" s="353"/>
    </row>
    <row r="11" spans="2:16384" ht="15" customHeight="1" x14ac:dyDescent="0.25">
      <c r="B11" s="722"/>
      <c r="C11" s="723"/>
      <c r="D11" s="723"/>
      <c r="E11" s="723"/>
      <c r="F11" s="723"/>
      <c r="G11" s="494"/>
      <c r="H11" s="484"/>
      <c r="I11" s="484"/>
      <c r="J11" s="484"/>
      <c r="K11" s="484"/>
      <c r="L11" s="484"/>
      <c r="M11" s="484"/>
      <c r="N11" s="484"/>
      <c r="O11" s="484"/>
      <c r="P11" s="484"/>
      <c r="Q11" s="485"/>
      <c r="R11" s="485"/>
      <c r="S11" s="485"/>
      <c r="T11" s="485"/>
      <c r="U11" s="485"/>
      <c r="V11" s="485"/>
      <c r="W11" s="485"/>
      <c r="X11" s="485"/>
      <c r="Y11" s="485"/>
      <c r="Z11" s="485"/>
      <c r="AA11" s="495"/>
      <c r="AB11" s="353"/>
    </row>
    <row r="12" spans="2:16384" ht="15" customHeight="1" x14ac:dyDescent="0.25">
      <c r="B12" s="722"/>
      <c r="C12" s="723"/>
      <c r="D12" s="723"/>
      <c r="E12" s="723"/>
      <c r="F12" s="723"/>
      <c r="G12" s="494"/>
      <c r="H12" s="484"/>
      <c r="I12" s="484"/>
      <c r="J12" s="484"/>
      <c r="K12" s="484"/>
      <c r="L12" s="484"/>
      <c r="M12" s="484"/>
      <c r="N12" s="484"/>
      <c r="O12" s="484"/>
      <c r="P12" s="484"/>
      <c r="Q12" s="485"/>
      <c r="R12" s="485"/>
      <c r="S12" s="485"/>
      <c r="T12" s="485"/>
      <c r="U12" s="485"/>
      <c r="V12" s="485"/>
      <c r="W12" s="485"/>
      <c r="X12" s="485"/>
      <c r="Y12" s="485"/>
      <c r="Z12" s="485"/>
      <c r="AA12" s="495"/>
      <c r="AB12" s="353"/>
    </row>
    <row r="13" spans="2:16384" ht="15" customHeight="1" thickBot="1" x14ac:dyDescent="0.3">
      <c r="B13" s="724"/>
      <c r="C13" s="725"/>
      <c r="D13" s="725"/>
      <c r="E13" s="725"/>
      <c r="F13" s="725"/>
      <c r="G13" s="496"/>
      <c r="H13" s="497"/>
      <c r="I13" s="497"/>
      <c r="J13" s="497"/>
      <c r="K13" s="497"/>
      <c r="L13" s="497"/>
      <c r="M13" s="497"/>
      <c r="N13" s="497"/>
      <c r="O13" s="497"/>
      <c r="P13" s="497"/>
      <c r="Q13" s="498"/>
      <c r="R13" s="498"/>
      <c r="S13" s="498"/>
      <c r="T13" s="498"/>
      <c r="U13" s="498"/>
      <c r="V13" s="498"/>
      <c r="W13" s="498"/>
      <c r="X13" s="498"/>
      <c r="Y13" s="498"/>
      <c r="Z13" s="498"/>
      <c r="AA13" s="499"/>
      <c r="AB13" s="353"/>
    </row>
    <row r="14" spans="2:16384" x14ac:dyDescent="0.25">
      <c r="X14" s="353"/>
      <c r="Y14" s="353"/>
      <c r="Z14" s="353"/>
      <c r="AA14" s="353"/>
      <c r="AB14" s="353"/>
    </row>
    <row r="15" spans="2:16384" ht="6" customHeight="1" x14ac:dyDescent="0.25">
      <c r="B15" s="358"/>
      <c r="C15" s="358"/>
      <c r="D15" s="358"/>
      <c r="E15" s="358"/>
      <c r="F15" s="358"/>
      <c r="G15" s="358"/>
      <c r="H15" s="358"/>
      <c r="I15" s="359"/>
      <c r="J15" s="359"/>
      <c r="K15" s="358"/>
      <c r="L15" s="358"/>
      <c r="M15" s="358"/>
      <c r="N15" s="358"/>
      <c r="O15" s="358"/>
      <c r="P15" s="358"/>
      <c r="Q15" s="358"/>
      <c r="R15" s="358"/>
      <c r="S15" s="358"/>
      <c r="T15" s="358"/>
      <c r="U15" s="358"/>
      <c r="V15" s="358"/>
      <c r="W15" s="358"/>
      <c r="X15" s="358"/>
      <c r="Y15" s="358"/>
      <c r="Z15" s="358"/>
      <c r="AA15" s="358"/>
      <c r="AB15" s="353"/>
    </row>
    <row r="16" spans="2:16384" x14ac:dyDescent="0.25">
      <c r="X16" s="353"/>
      <c r="Y16" s="353"/>
      <c r="Z16" s="353"/>
      <c r="AA16" s="353"/>
      <c r="AB16" s="353"/>
    </row>
    <row r="17" spans="2:28" x14ac:dyDescent="0.25">
      <c r="B17" s="781" t="s">
        <v>1221</v>
      </c>
      <c r="C17" s="782"/>
      <c r="D17" s="782"/>
      <c r="E17" s="782"/>
      <c r="F17" s="782"/>
      <c r="G17" s="783"/>
      <c r="I17" s="360" t="s">
        <v>0</v>
      </c>
      <c r="J17" s="361"/>
      <c r="K17" s="361"/>
      <c r="L17" s="362"/>
      <c r="M17" s="796">
        <v>2014</v>
      </c>
      <c r="N17" s="796"/>
      <c r="P17" s="363" t="s">
        <v>1233</v>
      </c>
      <c r="Q17" s="364"/>
      <c r="R17" s="364"/>
      <c r="S17" s="365"/>
      <c r="T17" s="800" t="s">
        <v>476</v>
      </c>
      <c r="U17" s="800"/>
      <c r="X17" s="353"/>
      <c r="Y17" s="353"/>
      <c r="Z17" s="353"/>
      <c r="AA17" s="353"/>
      <c r="AB17" s="353"/>
    </row>
    <row r="18" spans="2:28" x14ac:dyDescent="0.25">
      <c r="B18" s="784"/>
      <c r="C18" s="785"/>
      <c r="D18" s="785"/>
      <c r="E18" s="785"/>
      <c r="F18" s="785"/>
      <c r="G18" s="786"/>
      <c r="I18" s="366" t="s">
        <v>1</v>
      </c>
      <c r="J18" s="367"/>
      <c r="K18" s="367"/>
      <c r="L18" s="368"/>
      <c r="M18" s="796">
        <v>12</v>
      </c>
      <c r="N18" s="796"/>
      <c r="X18" s="353"/>
      <c r="Y18" s="353"/>
      <c r="Z18" s="353"/>
      <c r="AA18" s="353"/>
      <c r="AB18" s="353"/>
    </row>
    <row r="19" spans="2:28" ht="15" customHeight="1" x14ac:dyDescent="0.25">
      <c r="B19" s="787"/>
      <c r="C19" s="788"/>
      <c r="D19" s="788"/>
      <c r="E19" s="788"/>
      <c r="F19" s="788"/>
      <c r="G19" s="789"/>
      <c r="I19" s="366" t="s">
        <v>2</v>
      </c>
      <c r="J19" s="367"/>
      <c r="K19" s="367"/>
      <c r="L19" s="368"/>
      <c r="M19" s="797">
        <v>1000000</v>
      </c>
      <c r="N19" s="797"/>
      <c r="P19" s="662" t="s">
        <v>1397</v>
      </c>
      <c r="Q19" s="663"/>
      <c r="R19" s="663"/>
      <c r="S19" s="663"/>
      <c r="T19" s="663"/>
      <c r="U19" s="664"/>
      <c r="V19" s="671" t="s">
        <v>1400</v>
      </c>
      <c r="W19" s="672"/>
      <c r="X19" s="672"/>
      <c r="Y19" s="672"/>
      <c r="Z19" s="673"/>
      <c r="AA19" s="353"/>
      <c r="AB19" s="353"/>
    </row>
    <row r="20" spans="2:28" ht="15" customHeight="1" x14ac:dyDescent="0.25">
      <c r="B20" s="790" t="s">
        <v>1394</v>
      </c>
      <c r="C20" s="791"/>
      <c r="D20" s="791"/>
      <c r="E20" s="791"/>
      <c r="F20" s="791"/>
      <c r="G20" s="792"/>
      <c r="I20" s="366" t="s">
        <v>3</v>
      </c>
      <c r="J20" s="367"/>
      <c r="K20" s="367"/>
      <c r="L20" s="368"/>
      <c r="M20" s="796" t="s">
        <v>161</v>
      </c>
      <c r="N20" s="796"/>
      <c r="P20" s="665"/>
      <c r="Q20" s="666"/>
      <c r="R20" s="666"/>
      <c r="S20" s="666"/>
      <c r="T20" s="666"/>
      <c r="U20" s="667"/>
      <c r="V20" s="674"/>
      <c r="W20" s="675"/>
      <c r="X20" s="675"/>
      <c r="Y20" s="675"/>
      <c r="Z20" s="676"/>
      <c r="AA20" s="353"/>
      <c r="AB20" s="353"/>
    </row>
    <row r="21" spans="2:28" ht="15" customHeight="1" x14ac:dyDescent="0.25">
      <c r="B21" s="793"/>
      <c r="C21" s="794"/>
      <c r="D21" s="794"/>
      <c r="E21" s="794"/>
      <c r="F21" s="794"/>
      <c r="G21" s="795"/>
      <c r="I21" s="369" t="s">
        <v>4</v>
      </c>
      <c r="J21" s="370"/>
      <c r="K21" s="370"/>
      <c r="L21" s="371"/>
      <c r="M21" s="798">
        <v>1</v>
      </c>
      <c r="N21" s="798"/>
      <c r="P21" s="668"/>
      <c r="Q21" s="669"/>
      <c r="R21" s="669"/>
      <c r="S21" s="669"/>
      <c r="T21" s="669"/>
      <c r="U21" s="670"/>
      <c r="V21" s="677"/>
      <c r="W21" s="678"/>
      <c r="X21" s="678"/>
      <c r="Y21" s="678"/>
      <c r="Z21" s="679"/>
      <c r="AA21" s="353"/>
      <c r="AB21" s="353"/>
    </row>
    <row r="22" spans="2:28" x14ac:dyDescent="0.25">
      <c r="X22" s="353"/>
      <c r="Y22" s="353"/>
      <c r="Z22" s="353"/>
      <c r="AA22" s="353"/>
      <c r="AB22" s="353"/>
    </row>
    <row r="23" spans="2:28" ht="6" customHeight="1" x14ac:dyDescent="0.25">
      <c r="B23" s="358"/>
      <c r="C23" s="358"/>
      <c r="D23" s="358"/>
      <c r="E23" s="358"/>
      <c r="F23" s="358"/>
      <c r="G23" s="358"/>
      <c r="H23" s="358"/>
      <c r="I23" s="359"/>
      <c r="J23" s="359"/>
      <c r="K23" s="358"/>
      <c r="L23" s="358"/>
      <c r="M23" s="358"/>
      <c r="N23" s="358"/>
      <c r="O23" s="358"/>
      <c r="P23" s="358"/>
      <c r="Q23" s="358"/>
      <c r="R23" s="358"/>
      <c r="S23" s="358"/>
      <c r="T23" s="358"/>
      <c r="U23" s="358"/>
      <c r="V23" s="358"/>
      <c r="W23" s="358"/>
      <c r="X23" s="358"/>
      <c r="Y23" s="358"/>
      <c r="Z23" s="358"/>
      <c r="AA23" s="358"/>
      <c r="AB23" s="353"/>
    </row>
    <row r="24" spans="2:28" s="353" customFormat="1" x14ac:dyDescent="0.25">
      <c r="B24" s="337"/>
      <c r="C24" s="337"/>
      <c r="D24" s="337"/>
      <c r="E24" s="337"/>
      <c r="F24" s="337"/>
      <c r="G24" s="337"/>
      <c r="H24" s="337"/>
      <c r="I24" s="345"/>
      <c r="J24" s="345"/>
      <c r="K24" s="337"/>
      <c r="L24" s="337"/>
      <c r="M24" s="337"/>
      <c r="N24" s="337"/>
      <c r="O24" s="337"/>
      <c r="P24" s="337"/>
      <c r="Q24" s="337"/>
      <c r="R24" s="337"/>
      <c r="S24" s="337"/>
      <c r="T24" s="337"/>
      <c r="U24" s="337"/>
      <c r="V24" s="337"/>
      <c r="W24" s="337"/>
      <c r="X24" s="337"/>
      <c r="Y24" s="337"/>
      <c r="Z24" s="337"/>
      <c r="AA24" s="337"/>
    </row>
    <row r="25" spans="2:28" s="353" customFormat="1" ht="18.75" x14ac:dyDescent="0.25">
      <c r="B25" s="372" t="s">
        <v>35</v>
      </c>
      <c r="C25" s="373"/>
      <c r="D25" s="373"/>
      <c r="E25" s="373"/>
      <c r="F25" s="373"/>
      <c r="G25" s="373"/>
      <c r="H25" s="373"/>
      <c r="I25" s="373"/>
      <c r="J25" s="373"/>
      <c r="K25" s="373"/>
      <c r="L25" s="373"/>
      <c r="M25" s="373"/>
      <c r="N25" s="373"/>
      <c r="O25" s="373"/>
      <c r="P25" s="373"/>
      <c r="Q25" s="373"/>
      <c r="R25" s="373"/>
      <c r="S25" s="373"/>
      <c r="T25" s="373"/>
      <c r="U25" s="373"/>
      <c r="V25" s="373"/>
      <c r="W25" s="373"/>
      <c r="X25" s="373"/>
      <c r="Y25" s="373"/>
      <c r="Z25" s="373"/>
      <c r="AA25" s="345"/>
    </row>
    <row r="26" spans="2:28" x14ac:dyDescent="0.25">
      <c r="B26" s="337"/>
      <c r="C26" s="337"/>
      <c r="D26" s="337"/>
      <c r="E26" s="337"/>
      <c r="F26" s="337"/>
      <c r="G26" s="337"/>
      <c r="H26" s="337"/>
      <c r="I26" s="345"/>
      <c r="J26" s="345"/>
      <c r="K26" s="337"/>
      <c r="L26" s="337"/>
      <c r="M26" s="337"/>
      <c r="N26" s="337"/>
      <c r="O26" s="337"/>
      <c r="P26" s="337"/>
      <c r="Q26" s="337"/>
      <c r="R26" s="337"/>
      <c r="S26" s="337"/>
      <c r="T26" s="337"/>
      <c r="U26" s="337"/>
      <c r="V26" s="337"/>
      <c r="W26" s="337"/>
      <c r="X26" s="337"/>
      <c r="Y26" s="337"/>
      <c r="Z26" s="337"/>
      <c r="AA26" s="337"/>
      <c r="AB26" s="353"/>
    </row>
    <row r="27" spans="2:28" s="353" customFormat="1" x14ac:dyDescent="0.25">
      <c r="B27" s="363" t="s">
        <v>5</v>
      </c>
      <c r="C27" s="364"/>
      <c r="D27" s="364"/>
      <c r="E27" s="364"/>
      <c r="F27" s="365"/>
      <c r="G27" s="726">
        <f>SUM(G29:G46)</f>
        <v>4563.5</v>
      </c>
      <c r="H27" s="726"/>
      <c r="I27" s="374"/>
      <c r="J27" s="363" t="s">
        <v>21</v>
      </c>
      <c r="K27" s="364"/>
      <c r="L27" s="364"/>
      <c r="M27" s="364"/>
      <c r="N27" s="365"/>
      <c r="O27" s="726">
        <f>SUM(O29:O44)+((G27+SUM(O29:O44))-W27)</f>
        <v>15731.34</v>
      </c>
      <c r="P27" s="726"/>
      <c r="Q27" s="345"/>
      <c r="R27" s="363" t="s">
        <v>36</v>
      </c>
      <c r="S27" s="364"/>
      <c r="T27" s="364"/>
      <c r="U27" s="364"/>
      <c r="V27" s="365"/>
      <c r="W27" s="728">
        <f>SUM(W29:W33)</f>
        <v>315.2</v>
      </c>
      <c r="X27" s="729"/>
      <c r="Y27" s="337"/>
      <c r="Z27" s="337"/>
      <c r="AA27" s="337"/>
    </row>
    <row r="28" spans="2:28" s="353" customFormat="1" x14ac:dyDescent="0.25">
      <c r="B28" s="337"/>
      <c r="C28" s="337"/>
      <c r="D28" s="337"/>
      <c r="E28" s="337"/>
      <c r="F28" s="337"/>
      <c r="G28" s="337"/>
      <c r="H28" s="337"/>
      <c r="I28" s="345"/>
      <c r="J28" s="345"/>
      <c r="K28" s="337"/>
      <c r="L28" s="337"/>
      <c r="M28" s="337"/>
      <c r="N28" s="337"/>
      <c r="O28" s="337"/>
      <c r="P28" s="337"/>
      <c r="Q28" s="345"/>
      <c r="R28" s="337"/>
      <c r="S28" s="337"/>
      <c r="T28" s="337"/>
      <c r="U28" s="337"/>
      <c r="V28" s="337"/>
      <c r="W28" s="337"/>
      <c r="X28" s="337"/>
      <c r="Y28" s="337"/>
      <c r="Z28" s="337"/>
      <c r="AA28" s="337"/>
    </row>
    <row r="29" spans="2:28" s="353" customFormat="1" x14ac:dyDescent="0.25">
      <c r="B29" s="375" t="s">
        <v>6</v>
      </c>
      <c r="C29" s="361"/>
      <c r="D29" s="361"/>
      <c r="E29" s="361"/>
      <c r="F29" s="362"/>
      <c r="G29" s="726">
        <v>1524.4</v>
      </c>
      <c r="H29" s="726"/>
      <c r="I29" s="374"/>
      <c r="J29" s="375" t="s">
        <v>22</v>
      </c>
      <c r="K29" s="361"/>
      <c r="L29" s="361"/>
      <c r="M29" s="361"/>
      <c r="N29" s="362"/>
      <c r="O29" s="726">
        <v>1456.5</v>
      </c>
      <c r="P29" s="726"/>
      <c r="Q29" s="345"/>
      <c r="R29" s="375" t="s">
        <v>37</v>
      </c>
      <c r="S29" s="361"/>
      <c r="T29" s="361"/>
      <c r="U29" s="361"/>
      <c r="V29" s="362"/>
      <c r="W29" s="728">
        <v>43.8</v>
      </c>
      <c r="X29" s="729"/>
      <c r="Y29" s="337"/>
      <c r="Z29" s="337"/>
      <c r="AA29" s="337"/>
    </row>
    <row r="30" spans="2:28" s="353" customFormat="1" x14ac:dyDescent="0.25">
      <c r="B30" s="376" t="s">
        <v>7</v>
      </c>
      <c r="C30" s="367"/>
      <c r="D30" s="367"/>
      <c r="E30" s="367"/>
      <c r="F30" s="368"/>
      <c r="G30" s="726">
        <v>1299.5</v>
      </c>
      <c r="H30" s="726"/>
      <c r="I30" s="374"/>
      <c r="J30" s="376" t="s">
        <v>23</v>
      </c>
      <c r="K30" s="367"/>
      <c r="L30" s="367"/>
      <c r="M30" s="367"/>
      <c r="N30" s="368"/>
      <c r="O30" s="726">
        <v>1378.6</v>
      </c>
      <c r="P30" s="726"/>
      <c r="Q30" s="345"/>
      <c r="R30" s="376" t="s">
        <v>38</v>
      </c>
      <c r="S30" s="367"/>
      <c r="T30" s="367"/>
      <c r="U30" s="367"/>
      <c r="V30" s="368"/>
      <c r="W30" s="728">
        <v>241</v>
      </c>
      <c r="X30" s="729"/>
      <c r="Y30" s="337"/>
      <c r="Z30" s="337"/>
      <c r="AA30" s="337"/>
    </row>
    <row r="31" spans="2:28" s="353" customFormat="1" x14ac:dyDescent="0.25">
      <c r="B31" s="377" t="s">
        <v>8</v>
      </c>
      <c r="C31" s="370"/>
      <c r="D31" s="370"/>
      <c r="E31" s="370"/>
      <c r="F31" s="371"/>
      <c r="G31" s="726">
        <v>224.9</v>
      </c>
      <c r="H31" s="726"/>
      <c r="I31" s="374"/>
      <c r="J31" s="376" t="s">
        <v>24</v>
      </c>
      <c r="K31" s="367"/>
      <c r="L31" s="367"/>
      <c r="M31" s="367"/>
      <c r="N31" s="368"/>
      <c r="O31" s="726">
        <v>189.8</v>
      </c>
      <c r="P31" s="726"/>
      <c r="Q31" s="345"/>
      <c r="R31" s="376" t="s">
        <v>39</v>
      </c>
      <c r="S31" s="367"/>
      <c r="T31" s="367" t="s">
        <v>1401</v>
      </c>
      <c r="U31" s="367"/>
      <c r="V31" s="368"/>
      <c r="W31" s="728">
        <v>30.4</v>
      </c>
      <c r="X31" s="729"/>
      <c r="Y31" s="337"/>
      <c r="Z31" s="337"/>
      <c r="AA31" s="337"/>
    </row>
    <row r="32" spans="2:28" s="353" customFormat="1" x14ac:dyDescent="0.25">
      <c r="B32" s="337"/>
      <c r="C32" s="337"/>
      <c r="D32" s="337"/>
      <c r="E32" s="337"/>
      <c r="F32" s="337"/>
      <c r="G32" s="337"/>
      <c r="H32" s="337"/>
      <c r="I32" s="345"/>
      <c r="J32" s="376" t="s">
        <v>25</v>
      </c>
      <c r="K32" s="367"/>
      <c r="L32" s="367"/>
      <c r="M32" s="367"/>
      <c r="N32" s="368"/>
      <c r="O32" s="726">
        <v>1055.7000000000003</v>
      </c>
      <c r="P32" s="726"/>
      <c r="Q32" s="345"/>
      <c r="R32" s="376" t="s">
        <v>40</v>
      </c>
      <c r="S32" s="367"/>
      <c r="T32" s="367"/>
      <c r="U32" s="367"/>
      <c r="V32" s="368"/>
      <c r="W32" s="728"/>
      <c r="X32" s="729"/>
      <c r="Y32" s="337"/>
      <c r="Z32" s="337"/>
      <c r="AA32" s="337"/>
    </row>
    <row r="33" spans="2:27" s="353" customFormat="1" x14ac:dyDescent="0.25">
      <c r="B33" s="375" t="s">
        <v>9</v>
      </c>
      <c r="C33" s="361"/>
      <c r="D33" s="361"/>
      <c r="E33" s="361"/>
      <c r="F33" s="362"/>
      <c r="G33" s="726">
        <v>549.29999999999995</v>
      </c>
      <c r="H33" s="726"/>
      <c r="I33" s="374"/>
      <c r="J33" s="377" t="s">
        <v>26</v>
      </c>
      <c r="K33" s="370"/>
      <c r="L33" s="370"/>
      <c r="M33" s="370"/>
      <c r="N33" s="371"/>
      <c r="O33" s="726">
        <v>633.42000000000007</v>
      </c>
      <c r="P33" s="726"/>
      <c r="Q33" s="345"/>
      <c r="R33" s="377" t="s">
        <v>41</v>
      </c>
      <c r="S33" s="370"/>
      <c r="T33" s="370"/>
      <c r="U33" s="370"/>
      <c r="V33" s="371"/>
      <c r="W33" s="728"/>
      <c r="X33" s="729"/>
      <c r="Y33" s="337"/>
      <c r="Z33" s="337"/>
      <c r="AA33" s="337"/>
    </row>
    <row r="34" spans="2:27" s="353" customFormat="1" x14ac:dyDescent="0.25">
      <c r="B34" s="376" t="s">
        <v>10</v>
      </c>
      <c r="C34" s="367"/>
      <c r="D34" s="367"/>
      <c r="E34" s="367"/>
      <c r="F34" s="368"/>
      <c r="G34" s="726">
        <v>0</v>
      </c>
      <c r="H34" s="726"/>
      <c r="I34" s="374"/>
      <c r="J34" s="345"/>
      <c r="K34" s="337"/>
      <c r="L34" s="337"/>
      <c r="M34" s="337"/>
      <c r="N34" s="337"/>
      <c r="O34" s="337"/>
      <c r="P34" s="337"/>
      <c r="Q34" s="345"/>
      <c r="R34" s="345"/>
      <c r="S34" s="345"/>
      <c r="T34" s="345"/>
      <c r="U34" s="345"/>
      <c r="V34" s="337"/>
      <c r="W34" s="337"/>
      <c r="X34" s="337"/>
      <c r="Y34" s="337"/>
      <c r="Z34" s="337"/>
      <c r="AA34" s="337"/>
    </row>
    <row r="35" spans="2:27" s="353" customFormat="1" x14ac:dyDescent="0.25">
      <c r="B35" s="376" t="s">
        <v>11</v>
      </c>
      <c r="C35" s="367"/>
      <c r="D35" s="367"/>
      <c r="E35" s="367"/>
      <c r="F35" s="368"/>
      <c r="G35" s="726">
        <v>463</v>
      </c>
      <c r="H35" s="726"/>
      <c r="I35" s="374"/>
      <c r="J35" s="375" t="s">
        <v>27</v>
      </c>
      <c r="K35" s="361"/>
      <c r="L35" s="361"/>
      <c r="M35" s="361"/>
      <c r="N35" s="362"/>
      <c r="O35" s="726">
        <v>230.5</v>
      </c>
      <c r="P35" s="726"/>
      <c r="Q35" s="345"/>
      <c r="R35" s="345"/>
      <c r="S35" s="730"/>
      <c r="T35" s="730"/>
      <c r="U35" s="345"/>
      <c r="V35" s="337"/>
      <c r="W35" s="337"/>
      <c r="X35" s="337"/>
      <c r="Y35" s="337"/>
      <c r="Z35" s="337"/>
      <c r="AA35" s="337"/>
    </row>
    <row r="36" spans="2:27" s="353" customFormat="1" x14ac:dyDescent="0.25">
      <c r="B36" s="376" t="s">
        <v>12</v>
      </c>
      <c r="C36" s="367"/>
      <c r="D36" s="367"/>
      <c r="E36" s="367"/>
      <c r="F36" s="368"/>
      <c r="G36" s="726">
        <v>315.2</v>
      </c>
      <c r="H36" s="726"/>
      <c r="I36" s="374"/>
      <c r="J36" s="376" t="s">
        <v>28</v>
      </c>
      <c r="K36" s="367"/>
      <c r="L36" s="367"/>
      <c r="M36" s="367"/>
      <c r="N36" s="368"/>
      <c r="O36" s="726">
        <v>0</v>
      </c>
      <c r="P36" s="726"/>
      <c r="Q36" s="345"/>
      <c r="R36" s="345"/>
      <c r="S36" s="730"/>
      <c r="T36" s="730"/>
      <c r="U36" s="345"/>
      <c r="V36" s="337"/>
      <c r="W36" s="337"/>
      <c r="X36" s="337"/>
      <c r="Y36" s="337"/>
      <c r="Z36" s="337"/>
      <c r="AA36" s="337"/>
    </row>
    <row r="37" spans="2:27" s="353" customFormat="1" x14ac:dyDescent="0.25">
      <c r="B37" s="376" t="s">
        <v>13</v>
      </c>
      <c r="C37" s="367"/>
      <c r="D37" s="367"/>
      <c r="E37" s="367"/>
      <c r="F37" s="368"/>
      <c r="G37" s="726">
        <v>0</v>
      </c>
      <c r="H37" s="726"/>
      <c r="I37" s="374"/>
      <c r="J37" s="376" t="s">
        <v>29</v>
      </c>
      <c r="K37" s="367"/>
      <c r="L37" s="367"/>
      <c r="M37" s="367"/>
      <c r="N37" s="368"/>
      <c r="O37" s="726">
        <v>230.5</v>
      </c>
      <c r="P37" s="726"/>
      <c r="Q37" s="345"/>
      <c r="R37" s="345"/>
      <c r="S37" s="730"/>
      <c r="T37" s="730"/>
      <c r="U37" s="345"/>
      <c r="V37" s="337"/>
      <c r="W37" s="337"/>
      <c r="X37" s="337"/>
      <c r="Y37" s="337"/>
      <c r="Z37" s="337"/>
      <c r="AA37" s="337"/>
    </row>
    <row r="38" spans="2:27" s="353" customFormat="1" x14ac:dyDescent="0.25">
      <c r="B38" s="376" t="s">
        <v>14</v>
      </c>
      <c r="C38" s="367"/>
      <c r="D38" s="367"/>
      <c r="E38" s="367"/>
      <c r="F38" s="368"/>
      <c r="G38" s="726">
        <v>0</v>
      </c>
      <c r="H38" s="726"/>
      <c r="I38" s="374"/>
      <c r="J38" s="376" t="s">
        <v>30</v>
      </c>
      <c r="K38" s="367"/>
      <c r="L38" s="367"/>
      <c r="M38" s="367"/>
      <c r="N38" s="368"/>
      <c r="O38" s="726">
        <v>0</v>
      </c>
      <c r="P38" s="726"/>
      <c r="Q38" s="345"/>
      <c r="R38" s="345"/>
      <c r="S38" s="730"/>
      <c r="T38" s="730"/>
      <c r="U38" s="345"/>
      <c r="V38" s="337"/>
      <c r="W38" s="337"/>
      <c r="X38" s="337"/>
      <c r="Y38" s="337"/>
      <c r="Z38" s="337"/>
      <c r="AA38" s="337"/>
    </row>
    <row r="39" spans="2:27" s="353" customFormat="1" x14ac:dyDescent="0.25">
      <c r="B39" s="376" t="s">
        <v>15</v>
      </c>
      <c r="C39" s="367"/>
      <c r="D39" s="367"/>
      <c r="E39" s="367"/>
      <c r="F39" s="368"/>
      <c r="G39" s="726">
        <v>0</v>
      </c>
      <c r="H39" s="726"/>
      <c r="I39" s="374"/>
      <c r="J39" s="377" t="s">
        <v>31</v>
      </c>
      <c r="K39" s="370"/>
      <c r="L39" s="370"/>
      <c r="M39" s="370"/>
      <c r="N39" s="371"/>
      <c r="O39" s="726">
        <v>0</v>
      </c>
      <c r="P39" s="726"/>
      <c r="Q39" s="345"/>
      <c r="R39" s="345"/>
      <c r="S39" s="730"/>
      <c r="T39" s="730"/>
      <c r="U39" s="345"/>
      <c r="V39" s="337"/>
      <c r="W39" s="337"/>
      <c r="X39" s="337"/>
      <c r="Y39" s="337"/>
      <c r="Z39" s="337"/>
      <c r="AA39" s="337"/>
    </row>
    <row r="40" spans="2:27" s="353" customFormat="1" x14ac:dyDescent="0.25">
      <c r="B40" s="376" t="s">
        <v>16</v>
      </c>
      <c r="C40" s="367"/>
      <c r="D40" s="367"/>
      <c r="E40" s="367"/>
      <c r="F40" s="368"/>
      <c r="G40" s="726">
        <v>0</v>
      </c>
      <c r="H40" s="726"/>
      <c r="I40" s="374"/>
      <c r="J40" s="345"/>
      <c r="K40" s="337"/>
      <c r="L40" s="337"/>
      <c r="M40" s="337"/>
      <c r="N40" s="337"/>
      <c r="O40" s="337"/>
      <c r="P40" s="337"/>
      <c r="Q40" s="345"/>
      <c r="R40" s="345"/>
      <c r="S40" s="345"/>
      <c r="T40" s="345"/>
      <c r="U40" s="345"/>
      <c r="V40" s="337"/>
      <c r="W40" s="337"/>
      <c r="X40" s="337"/>
      <c r="Y40" s="337"/>
      <c r="Z40" s="337"/>
      <c r="AA40" s="337"/>
    </row>
    <row r="41" spans="2:27" s="353" customFormat="1" x14ac:dyDescent="0.25">
      <c r="B41" s="376" t="s">
        <v>17</v>
      </c>
      <c r="C41" s="367"/>
      <c r="D41" s="367"/>
      <c r="E41" s="367"/>
      <c r="F41" s="368"/>
      <c r="G41" s="726">
        <v>0</v>
      </c>
      <c r="H41" s="726"/>
      <c r="I41" s="374"/>
      <c r="J41" s="375" t="s">
        <v>32</v>
      </c>
      <c r="K41" s="361"/>
      <c r="L41" s="361"/>
      <c r="M41" s="361"/>
      <c r="N41" s="362"/>
      <c r="O41" s="726">
        <v>195.7</v>
      </c>
      <c r="P41" s="726"/>
      <c r="Q41" s="345"/>
      <c r="R41" s="345"/>
      <c r="S41" s="730"/>
      <c r="T41" s="730"/>
      <c r="U41" s="345"/>
      <c r="V41" s="337"/>
      <c r="W41" s="337"/>
      <c r="X41" s="337"/>
      <c r="Y41" s="337"/>
      <c r="Z41" s="337"/>
      <c r="AA41" s="337"/>
    </row>
    <row r="42" spans="2:27" s="353" customFormat="1" x14ac:dyDescent="0.25">
      <c r="B42" s="377" t="s">
        <v>18</v>
      </c>
      <c r="C42" s="370"/>
      <c r="D42" s="370"/>
      <c r="E42" s="370"/>
      <c r="F42" s="371"/>
      <c r="G42" s="726">
        <v>147.80000000000001</v>
      </c>
      <c r="H42" s="726"/>
      <c r="I42" s="374"/>
      <c r="J42" s="377" t="s">
        <v>33</v>
      </c>
      <c r="K42" s="370"/>
      <c r="L42" s="370"/>
      <c r="M42" s="370"/>
      <c r="N42" s="371"/>
      <c r="O42" s="726">
        <v>370.80000000000007</v>
      </c>
      <c r="P42" s="726"/>
      <c r="Q42" s="345"/>
      <c r="R42" s="345"/>
      <c r="S42" s="730"/>
      <c r="T42" s="730"/>
      <c r="U42" s="345"/>
      <c r="V42" s="337"/>
      <c r="W42" s="337"/>
      <c r="X42" s="337"/>
      <c r="Y42" s="337"/>
      <c r="Z42" s="337"/>
      <c r="AA42" s="337"/>
    </row>
    <row r="43" spans="2:27" s="353" customFormat="1" x14ac:dyDescent="0.25">
      <c r="B43" s="337"/>
      <c r="C43" s="337"/>
      <c r="D43" s="337"/>
      <c r="E43" s="337"/>
      <c r="F43" s="337"/>
      <c r="G43" s="337"/>
      <c r="H43" s="337"/>
      <c r="I43" s="345"/>
      <c r="J43" s="345"/>
      <c r="K43" s="337"/>
      <c r="L43" s="337"/>
      <c r="M43" s="337"/>
      <c r="N43" s="337"/>
      <c r="O43" s="337"/>
      <c r="P43" s="337"/>
      <c r="Q43" s="345"/>
      <c r="R43" s="345"/>
      <c r="S43" s="345"/>
      <c r="T43" s="345"/>
      <c r="U43" s="345"/>
      <c r="V43" s="337"/>
      <c r="W43" s="337"/>
      <c r="X43" s="337"/>
      <c r="Y43" s="337"/>
      <c r="Z43" s="337"/>
      <c r="AA43" s="337"/>
    </row>
    <row r="44" spans="2:27" s="353" customFormat="1" x14ac:dyDescent="0.25">
      <c r="B44" s="378" t="s">
        <v>19</v>
      </c>
      <c r="C44" s="364"/>
      <c r="D44" s="364"/>
      <c r="E44" s="364"/>
      <c r="F44" s="365"/>
      <c r="G44" s="726">
        <v>0</v>
      </c>
      <c r="H44" s="726"/>
      <c r="I44" s="374"/>
      <c r="J44" s="378" t="s">
        <v>34</v>
      </c>
      <c r="K44" s="364"/>
      <c r="L44" s="364"/>
      <c r="M44" s="364"/>
      <c r="N44" s="365"/>
      <c r="O44" s="726"/>
      <c r="P44" s="726"/>
      <c r="Q44" s="345"/>
      <c r="R44" s="345"/>
      <c r="S44" s="730"/>
      <c r="T44" s="730"/>
      <c r="U44" s="345"/>
      <c r="V44" s="337"/>
      <c r="W44" s="337"/>
      <c r="X44" s="337"/>
      <c r="Y44" s="337"/>
      <c r="Z44" s="337"/>
      <c r="AA44" s="337"/>
    </row>
    <row r="45" spans="2:27" s="353" customFormat="1" x14ac:dyDescent="0.25">
      <c r="B45" s="337"/>
      <c r="C45" s="337"/>
      <c r="D45" s="337"/>
      <c r="E45" s="337"/>
      <c r="F45" s="337"/>
      <c r="G45" s="337"/>
      <c r="H45" s="337"/>
      <c r="I45" s="345"/>
      <c r="J45" s="345"/>
      <c r="K45" s="337"/>
      <c r="L45" s="337"/>
      <c r="M45" s="337"/>
      <c r="N45" s="337"/>
      <c r="O45" s="337"/>
      <c r="P45" s="337"/>
      <c r="Q45" s="345"/>
      <c r="R45" s="345"/>
      <c r="S45" s="345"/>
      <c r="T45" s="345"/>
      <c r="U45" s="345"/>
      <c r="V45" s="337"/>
      <c r="W45" s="337"/>
      <c r="X45" s="337"/>
      <c r="Y45" s="337"/>
      <c r="Z45" s="337"/>
      <c r="AA45" s="337"/>
    </row>
    <row r="46" spans="2:27" s="353" customFormat="1" x14ac:dyDescent="0.25">
      <c r="B46" s="378" t="s">
        <v>20</v>
      </c>
      <c r="C46" s="364"/>
      <c r="D46" s="364"/>
      <c r="E46" s="364"/>
      <c r="F46" s="365"/>
      <c r="G46" s="726">
        <v>39.4</v>
      </c>
      <c r="H46" s="726"/>
      <c r="I46" s="374"/>
      <c r="J46" s="374"/>
      <c r="K46" s="337"/>
      <c r="L46" s="337"/>
      <c r="M46" s="337"/>
      <c r="N46" s="337"/>
      <c r="O46" s="337"/>
      <c r="P46" s="337"/>
      <c r="Q46" s="337"/>
      <c r="R46" s="337"/>
      <c r="S46" s="337"/>
      <c r="T46" s="337"/>
      <c r="U46" s="337"/>
      <c r="V46" s="337"/>
      <c r="W46" s="337"/>
      <c r="X46" s="337"/>
      <c r="Y46" s="337"/>
      <c r="Z46" s="337"/>
      <c r="AA46" s="337"/>
    </row>
    <row r="47" spans="2:27" s="353" customFormat="1" x14ac:dyDescent="0.25">
      <c r="B47" s="379"/>
      <c r="C47" s="379"/>
      <c r="D47" s="379"/>
      <c r="E47" s="379"/>
      <c r="F47" s="379"/>
      <c r="G47" s="379"/>
      <c r="H47" s="379"/>
      <c r="I47" s="379"/>
      <c r="J47" s="379"/>
      <c r="K47" s="379"/>
      <c r="L47" s="379"/>
      <c r="M47" s="379"/>
      <c r="N47" s="379"/>
      <c r="O47" s="379"/>
      <c r="P47" s="379"/>
      <c r="Q47" s="379"/>
      <c r="R47" s="379"/>
      <c r="S47" s="379"/>
      <c r="T47" s="379"/>
      <c r="U47" s="379"/>
      <c r="V47" s="379"/>
      <c r="W47" s="379"/>
      <c r="X47" s="379"/>
      <c r="Y47" s="379"/>
      <c r="Z47" s="379"/>
      <c r="AA47" s="345"/>
    </row>
    <row r="48" spans="2:27" s="353" customFormat="1" ht="18.75" x14ac:dyDescent="0.25">
      <c r="B48" s="380" t="s">
        <v>42</v>
      </c>
      <c r="C48" s="337"/>
      <c r="D48" s="337"/>
      <c r="E48" s="337"/>
      <c r="F48" s="337"/>
      <c r="G48" s="337"/>
      <c r="H48" s="337"/>
      <c r="I48" s="345"/>
      <c r="J48" s="345"/>
      <c r="K48" s="337"/>
      <c r="L48" s="337"/>
      <c r="M48" s="337"/>
      <c r="N48" s="337"/>
      <c r="O48" s="337"/>
      <c r="P48" s="337"/>
      <c r="Q48" s="337"/>
      <c r="R48" s="337"/>
      <c r="S48" s="337"/>
      <c r="T48" s="337"/>
      <c r="U48" s="337"/>
      <c r="V48" s="337"/>
      <c r="W48" s="337"/>
      <c r="X48" s="337"/>
      <c r="Y48" s="337"/>
      <c r="Z48" s="337"/>
      <c r="AA48" s="337"/>
    </row>
    <row r="49" spans="2:27" s="353" customFormat="1" x14ac:dyDescent="0.25">
      <c r="B49" s="337"/>
      <c r="C49" s="337"/>
      <c r="D49" s="337"/>
      <c r="E49" s="337"/>
      <c r="F49" s="337"/>
      <c r="G49" s="337"/>
      <c r="H49" s="337"/>
      <c r="I49" s="345"/>
      <c r="J49" s="345"/>
      <c r="K49" s="337"/>
      <c r="L49" s="337"/>
      <c r="M49" s="337"/>
      <c r="N49" s="337"/>
      <c r="O49" s="337"/>
      <c r="P49" s="337"/>
      <c r="Q49" s="337"/>
      <c r="R49" s="337"/>
      <c r="S49" s="337"/>
      <c r="T49" s="337"/>
      <c r="U49" s="337"/>
      <c r="V49" s="337"/>
      <c r="W49" s="337"/>
      <c r="X49" s="337"/>
      <c r="Y49" s="337"/>
      <c r="Z49" s="337"/>
      <c r="AA49" s="337"/>
    </row>
    <row r="50" spans="2:27" s="353" customFormat="1" x14ac:dyDescent="0.25">
      <c r="B50" s="375" t="s">
        <v>43</v>
      </c>
      <c r="C50" s="361"/>
      <c r="D50" s="361"/>
      <c r="E50" s="361"/>
      <c r="F50" s="362"/>
      <c r="G50" s="726">
        <f>G51-G52</f>
        <v>54.100000000000009</v>
      </c>
      <c r="H50" s="726"/>
      <c r="I50" s="374"/>
      <c r="J50" s="375" t="s">
        <v>55</v>
      </c>
      <c r="K50" s="361"/>
      <c r="L50" s="361"/>
      <c r="M50" s="361"/>
      <c r="N50" s="362"/>
      <c r="O50" s="726">
        <v>57.6</v>
      </c>
      <c r="P50" s="726"/>
      <c r="Q50" s="345"/>
      <c r="R50" s="375" t="s">
        <v>67</v>
      </c>
      <c r="S50" s="361"/>
      <c r="T50" s="361"/>
      <c r="U50" s="361"/>
      <c r="V50" s="362"/>
      <c r="W50" s="731">
        <f>IF(ISNUMBER(G62/G61),G62/G61,"N/A")</f>
        <v>0.42564559216384684</v>
      </c>
      <c r="X50" s="732" t="str">
        <f>IF(ISNUMBER(#REF!/X33),#REF!/X33,"n.a.")</f>
        <v>n.a.</v>
      </c>
      <c r="Y50" s="337"/>
      <c r="Z50" s="337"/>
      <c r="AA50" s="337"/>
    </row>
    <row r="51" spans="2:27" s="353" customFormat="1" x14ac:dyDescent="0.25">
      <c r="B51" s="376" t="s">
        <v>44</v>
      </c>
      <c r="C51" s="367"/>
      <c r="D51" s="367"/>
      <c r="E51" s="367"/>
      <c r="F51" s="368"/>
      <c r="G51" s="726">
        <v>130.9</v>
      </c>
      <c r="H51" s="726"/>
      <c r="I51" s="374"/>
      <c r="J51" s="376" t="s">
        <v>56</v>
      </c>
      <c r="K51" s="367"/>
      <c r="L51" s="367"/>
      <c r="M51" s="367"/>
      <c r="N51" s="368"/>
      <c r="O51" s="726">
        <v>57.6</v>
      </c>
      <c r="P51" s="726"/>
      <c r="Q51" s="345"/>
      <c r="R51" s="376" t="s">
        <v>68</v>
      </c>
      <c r="S51" s="367"/>
      <c r="T51" s="367"/>
      <c r="U51" s="367"/>
      <c r="V51" s="368"/>
      <c r="W51" s="731">
        <f>IF(ISNUMBER(G50/G29),G50/G29,"N/A")</f>
        <v>3.5489372868013645E-2</v>
      </c>
      <c r="X51" s="732"/>
      <c r="Y51" s="337"/>
      <c r="Z51" s="337"/>
      <c r="AA51" s="337"/>
    </row>
    <row r="52" spans="2:27" s="353" customFormat="1" x14ac:dyDescent="0.25">
      <c r="B52" s="376" t="s">
        <v>45</v>
      </c>
      <c r="C52" s="367"/>
      <c r="D52" s="367"/>
      <c r="E52" s="367"/>
      <c r="F52" s="368"/>
      <c r="G52" s="726">
        <v>76.8</v>
      </c>
      <c r="H52" s="726"/>
      <c r="I52" s="374"/>
      <c r="J52" s="376" t="s">
        <v>57</v>
      </c>
      <c r="K52" s="367"/>
      <c r="L52" s="367"/>
      <c r="M52" s="367"/>
      <c r="N52" s="368"/>
      <c r="O52" s="726">
        <f>G50+G53 + G56 + G59</f>
        <v>166.6</v>
      </c>
      <c r="P52" s="726"/>
      <c r="Q52" s="345"/>
      <c r="R52" s="376" t="s">
        <v>69</v>
      </c>
      <c r="S52" s="367"/>
      <c r="T52" s="367"/>
      <c r="U52" s="367"/>
      <c r="V52" s="368"/>
      <c r="W52" s="731">
        <f>IF(ISNUMBER((SUM(G61,O53,O54)-G50)/SUM(G61,O53,O54)),(SUM(G61,O53,O54)-G50)/SUM(G61,O53,O54),"N/A")</f>
        <v>0.75912733748886907</v>
      </c>
      <c r="X52" s="732"/>
      <c r="Y52" s="337"/>
      <c r="Z52" s="337"/>
      <c r="AA52" s="337"/>
    </row>
    <row r="53" spans="2:27" s="353" customFormat="1" x14ac:dyDescent="0.25">
      <c r="B53" s="376" t="s">
        <v>46</v>
      </c>
      <c r="C53" s="367"/>
      <c r="D53" s="367"/>
      <c r="E53" s="367"/>
      <c r="F53" s="368"/>
      <c r="G53" s="726">
        <f>G54+G55</f>
        <v>76.599999999999994</v>
      </c>
      <c r="H53" s="726"/>
      <c r="I53" s="374"/>
      <c r="J53" s="376" t="s">
        <v>58</v>
      </c>
      <c r="K53" s="367"/>
      <c r="L53" s="367"/>
      <c r="M53" s="367"/>
      <c r="N53" s="368"/>
      <c r="O53" s="726"/>
      <c r="P53" s="726"/>
      <c r="Q53" s="345"/>
      <c r="R53" s="376" t="s">
        <v>70</v>
      </c>
      <c r="S53" s="367"/>
      <c r="T53" s="367"/>
      <c r="U53" s="367"/>
      <c r="V53" s="368"/>
      <c r="W53" s="731">
        <f>IF(ISNUMBER(O29/G29),O29/G29,"N/A")</f>
        <v>0.95545788506953555</v>
      </c>
      <c r="X53" s="732"/>
      <c r="Y53" s="337"/>
      <c r="Z53" s="337"/>
      <c r="AA53" s="337"/>
    </row>
    <row r="54" spans="2:27" s="353" customFormat="1" x14ac:dyDescent="0.25">
      <c r="B54" s="376" t="s">
        <v>47</v>
      </c>
      <c r="C54" s="367"/>
      <c r="D54" s="367"/>
      <c r="E54" s="367"/>
      <c r="F54" s="368"/>
      <c r="G54" s="726">
        <v>57.8</v>
      </c>
      <c r="H54" s="726"/>
      <c r="I54" s="374"/>
      <c r="J54" s="377" t="s">
        <v>59</v>
      </c>
      <c r="K54" s="370"/>
      <c r="L54" s="370"/>
      <c r="M54" s="370"/>
      <c r="N54" s="371"/>
      <c r="O54" s="726"/>
      <c r="P54" s="726"/>
      <c r="Q54" s="345"/>
      <c r="R54" s="376" t="s">
        <v>71</v>
      </c>
      <c r="S54" s="367"/>
      <c r="T54" s="367"/>
      <c r="U54" s="367"/>
      <c r="V54" s="368"/>
      <c r="W54" s="731">
        <f>IF(ISNUMBER(O58/G27),O58/G27,"N/A")</f>
        <v>5.6535553851210698E-3</v>
      </c>
      <c r="X54" s="732"/>
      <c r="Y54" s="337"/>
      <c r="Z54" s="337"/>
      <c r="AA54" s="337"/>
    </row>
    <row r="55" spans="2:27" s="353" customFormat="1" x14ac:dyDescent="0.25">
      <c r="B55" s="376" t="s">
        <v>48</v>
      </c>
      <c r="C55" s="367"/>
      <c r="D55" s="367"/>
      <c r="E55" s="367"/>
      <c r="F55" s="368"/>
      <c r="G55" s="726">
        <v>18.8</v>
      </c>
      <c r="H55" s="726"/>
      <c r="I55" s="374"/>
      <c r="J55" s="345"/>
      <c r="K55" s="337"/>
      <c r="L55" s="337"/>
      <c r="M55" s="337"/>
      <c r="N55" s="337"/>
      <c r="O55" s="337"/>
      <c r="P55" s="337"/>
      <c r="Q55" s="345"/>
      <c r="R55" s="376" t="s">
        <v>72</v>
      </c>
      <c r="S55" s="367"/>
      <c r="T55" s="367"/>
      <c r="U55" s="367"/>
      <c r="V55" s="368"/>
      <c r="W55" s="731">
        <f>IF(ISNUMBER((O50+O56)/G27),(O50+O56)/G27,"N/A")</f>
        <v>1.8341185493590446E-2</v>
      </c>
      <c r="X55" s="732"/>
      <c r="Y55" s="337"/>
      <c r="Z55" s="337"/>
      <c r="AA55" s="337"/>
    </row>
    <row r="56" spans="2:27" s="353" customFormat="1" x14ac:dyDescent="0.25">
      <c r="B56" s="376" t="s">
        <v>49</v>
      </c>
      <c r="C56" s="367"/>
      <c r="D56" s="367"/>
      <c r="E56" s="367"/>
      <c r="F56" s="368"/>
      <c r="G56" s="726">
        <f>G57 + G58</f>
        <v>0</v>
      </c>
      <c r="H56" s="726"/>
      <c r="I56" s="374"/>
      <c r="J56" s="375" t="s">
        <v>60</v>
      </c>
      <c r="K56" s="361"/>
      <c r="L56" s="361"/>
      <c r="M56" s="361"/>
      <c r="N56" s="362"/>
      <c r="O56" s="726">
        <v>26.1</v>
      </c>
      <c r="P56" s="726"/>
      <c r="Q56" s="345"/>
      <c r="R56" s="376" t="s">
        <v>73</v>
      </c>
      <c r="S56" s="367"/>
      <c r="T56" s="367"/>
      <c r="U56" s="367"/>
      <c r="V56" s="368"/>
      <c r="W56" s="731">
        <f>IF(ISNUMBER(O58/W27),O58/W27,"N/A")</f>
        <v>8.1852791878172598E-2</v>
      </c>
      <c r="X56" s="732"/>
      <c r="Y56" s="337"/>
      <c r="Z56" s="337"/>
      <c r="AA56" s="337"/>
    </row>
    <row r="57" spans="2:27" s="353" customFormat="1" x14ac:dyDescent="0.25">
      <c r="B57" s="376" t="s">
        <v>50</v>
      </c>
      <c r="C57" s="367"/>
      <c r="D57" s="367"/>
      <c r="E57" s="367"/>
      <c r="F57" s="368"/>
      <c r="G57" s="726">
        <v>0</v>
      </c>
      <c r="H57" s="726"/>
      <c r="I57" s="374"/>
      <c r="J57" s="376" t="s">
        <v>61</v>
      </c>
      <c r="K57" s="367"/>
      <c r="L57" s="367"/>
      <c r="M57" s="367"/>
      <c r="N57" s="368"/>
      <c r="O57" s="726">
        <v>0.3</v>
      </c>
      <c r="P57" s="726"/>
      <c r="Q57" s="345"/>
      <c r="R57" s="377" t="s">
        <v>74</v>
      </c>
      <c r="S57" s="370"/>
      <c r="T57" s="370"/>
      <c r="U57" s="370"/>
      <c r="V57" s="371"/>
      <c r="W57" s="731" t="str">
        <f>IF(ISNUMBER(O58/W74),O58/W74,"N/A")</f>
        <v>N/A</v>
      </c>
      <c r="X57" s="732"/>
      <c r="Y57" s="337"/>
      <c r="Z57" s="337"/>
      <c r="AA57" s="337"/>
    </row>
    <row r="58" spans="2:27" s="353" customFormat="1" x14ac:dyDescent="0.25">
      <c r="B58" s="376" t="s">
        <v>51</v>
      </c>
      <c r="C58" s="367"/>
      <c r="D58" s="367"/>
      <c r="E58" s="367"/>
      <c r="F58" s="368"/>
      <c r="G58" s="726">
        <v>0</v>
      </c>
      <c r="H58" s="726"/>
      <c r="I58" s="374"/>
      <c r="J58" s="376" t="s">
        <v>62</v>
      </c>
      <c r="K58" s="367"/>
      <c r="L58" s="367"/>
      <c r="M58" s="367"/>
      <c r="N58" s="368"/>
      <c r="O58" s="726">
        <v>25.8</v>
      </c>
      <c r="P58" s="726"/>
      <c r="Q58" s="345"/>
      <c r="R58" s="345"/>
      <c r="S58" s="730"/>
      <c r="T58" s="730"/>
      <c r="U58" s="337"/>
      <c r="V58" s="337"/>
      <c r="W58" s="337"/>
      <c r="X58" s="337"/>
      <c r="Y58" s="337"/>
      <c r="Z58" s="337"/>
      <c r="AA58" s="337"/>
    </row>
    <row r="59" spans="2:27" s="353" customFormat="1" x14ac:dyDescent="0.25">
      <c r="B59" s="377" t="s">
        <v>52</v>
      </c>
      <c r="C59" s="370"/>
      <c r="D59" s="370"/>
      <c r="E59" s="370"/>
      <c r="F59" s="371"/>
      <c r="G59" s="726">
        <v>35.9</v>
      </c>
      <c r="H59" s="726"/>
      <c r="I59" s="374"/>
      <c r="J59" s="376" t="s">
        <v>63</v>
      </c>
      <c r="K59" s="367"/>
      <c r="L59" s="367"/>
      <c r="M59" s="367"/>
      <c r="N59" s="368"/>
      <c r="O59" s="726">
        <v>29</v>
      </c>
      <c r="P59" s="726"/>
      <c r="Q59" s="345"/>
      <c r="R59" s="345"/>
      <c r="S59" s="730"/>
      <c r="T59" s="730"/>
      <c r="U59" s="337"/>
      <c r="V59" s="337"/>
      <c r="W59" s="337"/>
      <c r="X59" s="337"/>
      <c r="Y59" s="337"/>
      <c r="Z59" s="337"/>
      <c r="AA59" s="337"/>
    </row>
    <row r="60" spans="2:27" s="353" customFormat="1" x14ac:dyDescent="0.25">
      <c r="B60" s="337"/>
      <c r="C60" s="337"/>
      <c r="D60" s="337"/>
      <c r="E60" s="337"/>
      <c r="F60" s="337"/>
      <c r="G60" s="337"/>
      <c r="H60" s="337"/>
      <c r="I60" s="345"/>
      <c r="J60" s="376" t="s">
        <v>38</v>
      </c>
      <c r="K60" s="367"/>
      <c r="L60" s="367"/>
      <c r="M60" s="367"/>
      <c r="N60" s="368"/>
      <c r="O60" s="726">
        <v>0</v>
      </c>
      <c r="P60" s="726"/>
      <c r="Q60" s="345"/>
      <c r="R60" s="345"/>
      <c r="S60" s="730"/>
      <c r="T60" s="730"/>
      <c r="U60" s="337"/>
      <c r="V60" s="337"/>
      <c r="W60" s="337"/>
      <c r="X60" s="337"/>
      <c r="Y60" s="337"/>
      <c r="Z60" s="337"/>
      <c r="AA60" s="337"/>
    </row>
    <row r="61" spans="2:27" s="353" customFormat="1" x14ac:dyDescent="0.25">
      <c r="B61" s="375" t="s">
        <v>53</v>
      </c>
      <c r="C61" s="361"/>
      <c r="D61" s="361"/>
      <c r="E61" s="361"/>
      <c r="F61" s="362"/>
      <c r="G61" s="726">
        <f>G51+G54 + G57 + G59</f>
        <v>224.6</v>
      </c>
      <c r="H61" s="726"/>
      <c r="I61" s="374"/>
      <c r="J61" s="376" t="s">
        <v>64</v>
      </c>
      <c r="K61" s="367"/>
      <c r="L61" s="367"/>
      <c r="M61" s="367"/>
      <c r="N61" s="368"/>
      <c r="O61" s="726">
        <v>0</v>
      </c>
      <c r="P61" s="726"/>
      <c r="Q61" s="345"/>
      <c r="R61" s="345"/>
      <c r="S61" s="730"/>
      <c r="T61" s="730"/>
      <c r="U61" s="337"/>
      <c r="V61" s="337"/>
      <c r="W61" s="337"/>
      <c r="X61" s="337"/>
      <c r="Y61" s="337"/>
      <c r="Z61" s="337"/>
      <c r="AA61" s="337"/>
    </row>
    <row r="62" spans="2:27" s="353" customFormat="1" x14ac:dyDescent="0.25">
      <c r="B62" s="377" t="s">
        <v>54</v>
      </c>
      <c r="C62" s="370"/>
      <c r="D62" s="370"/>
      <c r="E62" s="370"/>
      <c r="F62" s="371"/>
      <c r="G62" s="726">
        <f>G52+G55+G58</f>
        <v>95.6</v>
      </c>
      <c r="H62" s="726"/>
      <c r="I62" s="374"/>
      <c r="J62" s="376" t="s">
        <v>65</v>
      </c>
      <c r="K62" s="367"/>
      <c r="L62" s="367"/>
      <c r="M62" s="367"/>
      <c r="N62" s="368"/>
      <c r="O62" s="726">
        <v>1.5</v>
      </c>
      <c r="P62" s="726"/>
      <c r="Q62" s="345"/>
      <c r="R62" s="345"/>
      <c r="S62" s="730"/>
      <c r="T62" s="730"/>
      <c r="U62" s="337"/>
      <c r="V62" s="337"/>
      <c r="W62" s="337"/>
      <c r="X62" s="337"/>
      <c r="Y62" s="337"/>
      <c r="Z62" s="337"/>
      <c r="AA62" s="337"/>
    </row>
    <row r="63" spans="2:27" s="353" customFormat="1" x14ac:dyDescent="0.25">
      <c r="B63" s="337"/>
      <c r="C63" s="337"/>
      <c r="D63" s="337"/>
      <c r="E63" s="337"/>
      <c r="F63" s="337"/>
      <c r="G63" s="337"/>
      <c r="H63" s="337"/>
      <c r="I63" s="345"/>
      <c r="J63" s="377" t="s">
        <v>66</v>
      </c>
      <c r="K63" s="370"/>
      <c r="L63" s="370"/>
      <c r="M63" s="370"/>
      <c r="N63" s="371"/>
      <c r="O63" s="726">
        <v>30.5</v>
      </c>
      <c r="P63" s="726"/>
      <c r="Q63" s="345"/>
      <c r="R63" s="345"/>
      <c r="S63" s="730"/>
      <c r="T63" s="730"/>
      <c r="U63" s="337"/>
      <c r="V63" s="337"/>
      <c r="W63" s="337"/>
      <c r="X63" s="337"/>
      <c r="Y63" s="337"/>
      <c r="Z63" s="337"/>
      <c r="AA63" s="337"/>
    </row>
    <row r="64" spans="2:27" s="353" customFormat="1" x14ac:dyDescent="0.25">
      <c r="B64" s="337"/>
      <c r="C64" s="337"/>
      <c r="D64" s="337"/>
      <c r="E64" s="337"/>
      <c r="F64" s="337"/>
      <c r="G64" s="337"/>
      <c r="H64" s="337"/>
      <c r="I64" s="345"/>
      <c r="J64" s="345"/>
      <c r="K64" s="337"/>
      <c r="L64" s="337"/>
      <c r="M64" s="337"/>
      <c r="N64" s="337"/>
      <c r="O64" s="337"/>
      <c r="P64" s="337"/>
      <c r="Q64" s="337"/>
      <c r="R64" s="337"/>
      <c r="S64" s="337"/>
      <c r="T64" s="337"/>
      <c r="U64" s="337"/>
      <c r="V64" s="337"/>
      <c r="W64" s="337"/>
      <c r="X64" s="337"/>
      <c r="Y64" s="337"/>
      <c r="Z64" s="337"/>
      <c r="AA64" s="337"/>
    </row>
    <row r="65" spans="2:27" s="353" customFormat="1" ht="18.75" x14ac:dyDescent="0.25">
      <c r="B65" s="372" t="s">
        <v>1222</v>
      </c>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81"/>
      <c r="AA65" s="381"/>
    </row>
    <row r="66" spans="2:27" s="353" customFormat="1" x14ac:dyDescent="0.25">
      <c r="B66" s="337"/>
      <c r="C66" s="337"/>
      <c r="D66" s="337"/>
      <c r="E66" s="337"/>
      <c r="F66" s="337"/>
      <c r="G66" s="337"/>
      <c r="H66" s="337"/>
      <c r="I66" s="345"/>
      <c r="J66" s="337"/>
      <c r="K66" s="337"/>
      <c r="L66" s="337"/>
      <c r="M66" s="337"/>
      <c r="N66" s="337"/>
      <c r="O66" s="337"/>
      <c r="P66" s="337"/>
      <c r="Q66" s="337"/>
      <c r="R66" s="337"/>
      <c r="S66" s="337"/>
      <c r="T66" s="337"/>
      <c r="U66" s="337"/>
      <c r="V66" s="337"/>
      <c r="W66" s="337"/>
      <c r="X66" s="337"/>
      <c r="Y66" s="337"/>
      <c r="Z66" s="337"/>
      <c r="AA66" s="337"/>
    </row>
    <row r="67" spans="2:27" s="353" customFormat="1" x14ac:dyDescent="0.25">
      <c r="B67" s="375" t="s">
        <v>75</v>
      </c>
      <c r="C67" s="361"/>
      <c r="D67" s="361"/>
      <c r="E67" s="361"/>
      <c r="F67" s="362"/>
      <c r="G67" s="727" t="s">
        <v>1232</v>
      </c>
      <c r="H67" s="727"/>
      <c r="I67" s="345"/>
      <c r="J67" s="337"/>
      <c r="K67" s="337"/>
      <c r="L67" s="337"/>
      <c r="M67" s="337"/>
      <c r="N67" s="734"/>
      <c r="O67" s="734"/>
      <c r="P67" s="337"/>
      <c r="Q67" s="337"/>
      <c r="R67" s="337"/>
      <c r="S67" s="337"/>
      <c r="T67" s="337"/>
      <c r="U67" s="337"/>
      <c r="V67" s="337"/>
      <c r="W67" s="337"/>
      <c r="X67" s="337"/>
      <c r="Y67" s="337"/>
      <c r="Z67" s="337"/>
      <c r="AA67" s="337"/>
    </row>
    <row r="68" spans="2:27" s="353" customFormat="1" x14ac:dyDescent="0.25">
      <c r="B68" s="376" t="s">
        <v>76</v>
      </c>
      <c r="C68" s="367"/>
      <c r="D68" s="367"/>
      <c r="E68" s="367"/>
      <c r="F68" s="368"/>
      <c r="G68" s="727" t="s">
        <v>1232</v>
      </c>
      <c r="H68" s="727"/>
      <c r="I68" s="345"/>
      <c r="J68" s="337"/>
      <c r="K68" s="337"/>
      <c r="L68" s="337"/>
      <c r="M68" s="337"/>
      <c r="N68" s="734"/>
      <c r="O68" s="734"/>
      <c r="P68" s="337"/>
      <c r="Q68" s="337"/>
      <c r="R68" s="337"/>
      <c r="S68" s="337"/>
      <c r="T68" s="337"/>
      <c r="U68" s="337"/>
      <c r="V68" s="337"/>
      <c r="W68" s="337"/>
      <c r="X68" s="337"/>
      <c r="Y68" s="337"/>
      <c r="Z68" s="337"/>
      <c r="AA68" s="337"/>
    </row>
    <row r="69" spans="2:27" s="353" customFormat="1" x14ac:dyDescent="0.25">
      <c r="B69" s="377" t="s">
        <v>77</v>
      </c>
      <c r="C69" s="370"/>
      <c r="D69" s="370"/>
      <c r="E69" s="370"/>
      <c r="F69" s="371"/>
      <c r="G69" s="727" t="s">
        <v>1232</v>
      </c>
      <c r="H69" s="727"/>
      <c r="I69" s="345"/>
      <c r="J69" s="337"/>
      <c r="K69" s="337"/>
      <c r="L69" s="337"/>
      <c r="M69" s="337"/>
      <c r="N69" s="734"/>
      <c r="O69" s="734"/>
      <c r="P69" s="337"/>
      <c r="Q69" s="337"/>
      <c r="R69" s="337"/>
      <c r="S69" s="337"/>
      <c r="T69" s="337"/>
      <c r="U69" s="337"/>
      <c r="V69" s="337"/>
      <c r="W69" s="337"/>
      <c r="X69" s="337"/>
      <c r="Y69" s="337"/>
      <c r="Z69" s="337"/>
      <c r="AA69" s="337"/>
    </row>
    <row r="70" spans="2:27" s="353" customFormat="1" x14ac:dyDescent="0.25">
      <c r="B70" s="345"/>
      <c r="C70" s="345"/>
      <c r="D70" s="345"/>
      <c r="E70" s="345"/>
      <c r="F70" s="345"/>
      <c r="G70" s="345"/>
      <c r="H70" s="345"/>
      <c r="I70" s="345"/>
      <c r="J70" s="345"/>
      <c r="K70" s="345"/>
      <c r="L70" s="345"/>
      <c r="M70" s="345"/>
      <c r="N70" s="345"/>
      <c r="O70" s="345"/>
      <c r="P70" s="345"/>
      <c r="Q70" s="345"/>
      <c r="R70" s="345"/>
      <c r="S70" s="345"/>
      <c r="T70" s="345"/>
      <c r="U70" s="345"/>
      <c r="V70" s="345"/>
      <c r="W70" s="345"/>
      <c r="X70" s="345"/>
      <c r="Y70" s="345"/>
      <c r="Z70" s="345"/>
      <c r="AA70" s="345"/>
    </row>
    <row r="71" spans="2:27" s="353" customFormat="1" ht="18.75" x14ac:dyDescent="0.25">
      <c r="B71" s="382" t="s">
        <v>78</v>
      </c>
      <c r="C71" s="381"/>
      <c r="D71" s="381"/>
      <c r="E71" s="381"/>
      <c r="F71" s="381"/>
      <c r="G71" s="381"/>
      <c r="H71" s="381"/>
      <c r="I71" s="381"/>
      <c r="J71" s="381"/>
      <c r="K71" s="381"/>
      <c r="L71" s="381"/>
      <c r="M71" s="381"/>
      <c r="N71" s="381"/>
      <c r="O71" s="381"/>
      <c r="P71" s="381"/>
      <c r="Q71" s="381"/>
      <c r="R71" s="381"/>
      <c r="S71" s="381"/>
      <c r="T71" s="381"/>
      <c r="U71" s="381"/>
      <c r="V71" s="381"/>
      <c r="W71" s="381"/>
      <c r="X71" s="381"/>
      <c r="Y71" s="381"/>
      <c r="Z71" s="381"/>
      <c r="AA71" s="381"/>
    </row>
    <row r="72" spans="2:27" s="353" customFormat="1" x14ac:dyDescent="0.25">
      <c r="B72" s="337"/>
      <c r="C72" s="337"/>
      <c r="D72" s="337"/>
      <c r="E72" s="337"/>
      <c r="F72" s="337"/>
      <c r="G72" s="337"/>
      <c r="H72" s="337"/>
      <c r="I72" s="345"/>
      <c r="J72" s="345"/>
      <c r="K72" s="337"/>
      <c r="L72" s="337"/>
      <c r="M72" s="337"/>
      <c r="N72" s="337"/>
      <c r="O72" s="337"/>
      <c r="P72" s="337"/>
      <c r="Q72" s="345"/>
      <c r="R72" s="345"/>
      <c r="S72" s="345"/>
      <c r="T72" s="345"/>
      <c r="U72" s="337"/>
      <c r="V72" s="337"/>
      <c r="W72" s="337"/>
      <c r="X72" s="337"/>
      <c r="Y72" s="337"/>
      <c r="Z72" s="337"/>
      <c r="AA72" s="337"/>
    </row>
    <row r="73" spans="2:27" s="353" customFormat="1" x14ac:dyDescent="0.25">
      <c r="B73" s="375" t="s">
        <v>79</v>
      </c>
      <c r="C73" s="361"/>
      <c r="D73" s="361"/>
      <c r="E73" s="361"/>
      <c r="F73" s="362"/>
      <c r="G73" s="733">
        <f>G74 + G75 + G76 + G77</f>
        <v>455.07272727272732</v>
      </c>
      <c r="H73" s="733"/>
      <c r="I73" s="345"/>
      <c r="J73" s="375" t="s">
        <v>84</v>
      </c>
      <c r="K73" s="361"/>
      <c r="L73" s="361"/>
      <c r="M73" s="361"/>
      <c r="N73" s="362"/>
      <c r="O73" s="733">
        <f>O74 + O75 + O76 + O77 + O78</f>
        <v>2250.1909090909094</v>
      </c>
      <c r="P73" s="733"/>
      <c r="Q73" s="345"/>
      <c r="R73" s="375" t="s">
        <v>96</v>
      </c>
      <c r="S73" s="361"/>
      <c r="T73" s="361"/>
      <c r="U73" s="361"/>
      <c r="V73" s="362"/>
      <c r="W73" s="727"/>
      <c r="X73" s="727"/>
      <c r="Y73" s="337"/>
      <c r="Z73" s="337"/>
      <c r="AA73" s="337"/>
    </row>
    <row r="74" spans="2:27" s="353" customFormat="1" x14ac:dyDescent="0.25">
      <c r="B74" s="376" t="s">
        <v>80</v>
      </c>
      <c r="C74" s="367"/>
      <c r="D74" s="367"/>
      <c r="E74" s="367"/>
      <c r="F74" s="368"/>
      <c r="G74" s="733">
        <v>315.54545454545456</v>
      </c>
      <c r="H74" s="733"/>
      <c r="I74" s="345"/>
      <c r="J74" s="376" t="s">
        <v>85</v>
      </c>
      <c r="K74" s="367"/>
      <c r="L74" s="367"/>
      <c r="M74" s="367"/>
      <c r="N74" s="368"/>
      <c r="O74" s="733">
        <v>2102.3454545454547</v>
      </c>
      <c r="P74" s="733"/>
      <c r="Q74" s="345"/>
      <c r="R74" s="376" t="s">
        <v>97</v>
      </c>
      <c r="S74" s="367"/>
      <c r="T74" s="367"/>
      <c r="U74" s="367"/>
      <c r="V74" s="368"/>
      <c r="W74" s="727"/>
      <c r="X74" s="727"/>
      <c r="Y74" s="337"/>
      <c r="Z74" s="337"/>
      <c r="AA74" s="337"/>
    </row>
    <row r="75" spans="2:27" s="353" customFormat="1" x14ac:dyDescent="0.25">
      <c r="B75" s="376" t="s">
        <v>81</v>
      </c>
      <c r="C75" s="367"/>
      <c r="D75" s="367"/>
      <c r="E75" s="367"/>
      <c r="F75" s="368"/>
      <c r="G75" s="733"/>
      <c r="H75" s="733"/>
      <c r="I75" s="345"/>
      <c r="J75" s="376" t="s">
        <v>86</v>
      </c>
      <c r="K75" s="367"/>
      <c r="L75" s="367"/>
      <c r="M75" s="367"/>
      <c r="N75" s="368"/>
      <c r="O75" s="733">
        <v>12.027272727272729</v>
      </c>
      <c r="P75" s="733"/>
      <c r="Q75" s="345"/>
      <c r="R75" s="376" t="s">
        <v>98</v>
      </c>
      <c r="S75" s="367"/>
      <c r="T75" s="367"/>
      <c r="U75" s="367"/>
      <c r="V75" s="368"/>
      <c r="W75" s="727"/>
      <c r="X75" s="727"/>
      <c r="Y75" s="337"/>
      <c r="Z75" s="337"/>
      <c r="AA75" s="337"/>
    </row>
    <row r="76" spans="2:27" s="353" customFormat="1" x14ac:dyDescent="0.25">
      <c r="B76" s="376" t="s">
        <v>82</v>
      </c>
      <c r="C76" s="367"/>
      <c r="D76" s="367"/>
      <c r="E76" s="367"/>
      <c r="F76" s="368"/>
      <c r="G76" s="733">
        <v>139.52727272727276</v>
      </c>
      <c r="H76" s="733"/>
      <c r="I76" s="345"/>
      <c r="J76" s="376" t="s">
        <v>87</v>
      </c>
      <c r="K76" s="367"/>
      <c r="L76" s="367"/>
      <c r="M76" s="367"/>
      <c r="N76" s="368"/>
      <c r="O76" s="733">
        <v>135.81818181818181</v>
      </c>
      <c r="P76" s="733"/>
      <c r="Q76" s="345"/>
      <c r="R76" s="376" t="s">
        <v>75</v>
      </c>
      <c r="S76" s="367"/>
      <c r="T76" s="367"/>
      <c r="U76" s="367"/>
      <c r="V76" s="368"/>
      <c r="W76" s="727"/>
      <c r="X76" s="727"/>
      <c r="Y76" s="337"/>
      <c r="Z76" s="337"/>
      <c r="AA76" s="337"/>
    </row>
    <row r="77" spans="2:27" s="353" customFormat="1" x14ac:dyDescent="0.25">
      <c r="B77" s="377" t="s">
        <v>83</v>
      </c>
      <c r="C77" s="370"/>
      <c r="D77" s="370"/>
      <c r="E77" s="370"/>
      <c r="F77" s="371"/>
      <c r="G77" s="733"/>
      <c r="H77" s="733"/>
      <c r="I77" s="345"/>
      <c r="J77" s="376" t="s">
        <v>88</v>
      </c>
      <c r="K77" s="367"/>
      <c r="L77" s="367"/>
      <c r="M77" s="367"/>
      <c r="N77" s="368"/>
      <c r="O77" s="733"/>
      <c r="P77" s="733"/>
      <c r="Q77" s="345"/>
      <c r="R77" s="376" t="s">
        <v>76</v>
      </c>
      <c r="S77" s="367"/>
      <c r="T77" s="367"/>
      <c r="U77" s="367"/>
      <c r="V77" s="368"/>
      <c r="W77" s="727"/>
      <c r="X77" s="727"/>
      <c r="Y77" s="337"/>
      <c r="Z77" s="337"/>
      <c r="AA77" s="337"/>
    </row>
    <row r="78" spans="2:27" s="353" customFormat="1" x14ac:dyDescent="0.25">
      <c r="B78" s="337"/>
      <c r="C78" s="337"/>
      <c r="D78" s="337"/>
      <c r="E78" s="337"/>
      <c r="F78" s="337"/>
      <c r="G78" s="337"/>
      <c r="H78" s="337"/>
      <c r="I78" s="337"/>
      <c r="J78" s="376" t="s">
        <v>89</v>
      </c>
      <c r="K78" s="367"/>
      <c r="L78" s="367"/>
      <c r="M78" s="367"/>
      <c r="N78" s="368"/>
      <c r="O78" s="733"/>
      <c r="P78" s="733"/>
      <c r="Q78" s="345"/>
      <c r="R78" s="376" t="s">
        <v>99</v>
      </c>
      <c r="S78" s="367"/>
      <c r="T78" s="367"/>
      <c r="U78" s="367"/>
      <c r="V78" s="368"/>
      <c r="W78" s="727"/>
      <c r="X78" s="727"/>
      <c r="Y78" s="337"/>
      <c r="Z78" s="337"/>
      <c r="AA78" s="337"/>
    </row>
    <row r="79" spans="2:27" s="353" customFormat="1" x14ac:dyDescent="0.25">
      <c r="B79" s="375" t="s">
        <v>91</v>
      </c>
      <c r="C79" s="361"/>
      <c r="D79" s="361"/>
      <c r="E79" s="361"/>
      <c r="F79" s="362"/>
      <c r="G79" s="731">
        <f>IF(ISNUMBER(G73/O73),G73/O73,"N/A")</f>
        <v>0.20223738591877052</v>
      </c>
      <c r="H79" s="732"/>
      <c r="I79" s="337"/>
      <c r="J79" s="377" t="s">
        <v>90</v>
      </c>
      <c r="K79" s="370"/>
      <c r="L79" s="370"/>
      <c r="M79" s="370"/>
      <c r="N79" s="371"/>
      <c r="O79" s="733"/>
      <c r="P79" s="733"/>
      <c r="Q79" s="345"/>
      <c r="R79" s="376" t="s">
        <v>100</v>
      </c>
      <c r="S79" s="367"/>
      <c r="T79" s="367"/>
      <c r="U79" s="367"/>
      <c r="V79" s="368"/>
      <c r="W79" s="727"/>
      <c r="X79" s="727"/>
      <c r="Y79" s="337"/>
      <c r="Z79" s="337"/>
      <c r="AA79" s="337"/>
    </row>
    <row r="80" spans="2:27" s="353" customFormat="1" x14ac:dyDescent="0.25">
      <c r="B80" s="376" t="s">
        <v>92</v>
      </c>
      <c r="C80" s="367"/>
      <c r="D80" s="367"/>
      <c r="E80" s="367"/>
      <c r="F80" s="368"/>
      <c r="G80" s="731">
        <f>IF(ISNUMBER(G74/O73),G74/O73,"N/A")</f>
        <v>0.14023052589477256</v>
      </c>
      <c r="H80" s="732"/>
      <c r="I80" s="337"/>
      <c r="J80" s="337"/>
      <c r="K80" s="337"/>
      <c r="L80" s="345"/>
      <c r="M80" s="345"/>
      <c r="N80" s="345"/>
      <c r="O80" s="345"/>
      <c r="P80" s="345"/>
      <c r="Q80" s="345"/>
      <c r="R80" s="376" t="s">
        <v>77</v>
      </c>
      <c r="S80" s="367"/>
      <c r="T80" s="367"/>
      <c r="U80" s="367"/>
      <c r="V80" s="368"/>
      <c r="W80" s="727"/>
      <c r="X80" s="727"/>
      <c r="Y80" s="337"/>
      <c r="Z80" s="337"/>
      <c r="AA80" s="337"/>
    </row>
    <row r="81" spans="2:27" s="353" customFormat="1" x14ac:dyDescent="0.25">
      <c r="B81" s="376" t="s">
        <v>93</v>
      </c>
      <c r="C81" s="367"/>
      <c r="D81" s="367"/>
      <c r="E81" s="367"/>
      <c r="F81" s="368"/>
      <c r="G81" s="731">
        <f>IF(ISNUMBER(G75/O73),G75/O73,"N/A")</f>
        <v>0</v>
      </c>
      <c r="H81" s="732"/>
      <c r="I81" s="734"/>
      <c r="J81" s="734"/>
      <c r="K81" s="337"/>
      <c r="L81" s="345"/>
      <c r="M81" s="345"/>
      <c r="N81" s="345"/>
      <c r="O81" s="345"/>
      <c r="P81" s="345"/>
      <c r="Q81" s="345"/>
      <c r="R81" s="376" t="s">
        <v>101</v>
      </c>
      <c r="S81" s="367"/>
      <c r="T81" s="367"/>
      <c r="U81" s="367"/>
      <c r="V81" s="368"/>
      <c r="W81" s="727"/>
      <c r="X81" s="727"/>
      <c r="Y81" s="337"/>
      <c r="Z81" s="337"/>
      <c r="AA81" s="337"/>
    </row>
    <row r="82" spans="2:27" s="353" customFormat="1" x14ac:dyDescent="0.25">
      <c r="B82" s="376" t="s">
        <v>94</v>
      </c>
      <c r="C82" s="367"/>
      <c r="D82" s="367"/>
      <c r="E82" s="367"/>
      <c r="F82" s="368"/>
      <c r="G82" s="731">
        <f>IF(ISNUMBER(G73),G73/'Summary of Input Data'!I$17,"N/A")</f>
        <v>0.23874290115691915</v>
      </c>
      <c r="H82" s="732"/>
      <c r="I82" s="734"/>
      <c r="J82" s="734"/>
      <c r="K82" s="337"/>
      <c r="L82" s="345"/>
      <c r="M82" s="345"/>
      <c r="N82" s="345"/>
      <c r="O82" s="345"/>
      <c r="P82" s="345"/>
      <c r="Q82" s="345"/>
      <c r="R82" s="377" t="s">
        <v>102</v>
      </c>
      <c r="S82" s="370"/>
      <c r="T82" s="370"/>
      <c r="U82" s="370"/>
      <c r="V82" s="371"/>
      <c r="W82" s="727"/>
      <c r="X82" s="727"/>
      <c r="Y82" s="337"/>
      <c r="Z82" s="337"/>
      <c r="AA82" s="337"/>
    </row>
    <row r="83" spans="2:27" s="353" customFormat="1" x14ac:dyDescent="0.25">
      <c r="B83" s="377" t="s">
        <v>95</v>
      </c>
      <c r="C83" s="370"/>
      <c r="D83" s="370"/>
      <c r="E83" s="370"/>
      <c r="F83" s="371"/>
      <c r="G83" s="731">
        <f>IF(ISNUMBER(G74),G74/'Summary of Input Data'!I$17,"N/A")</f>
        <v>0.16554329176468624</v>
      </c>
      <c r="H83" s="732"/>
      <c r="I83" s="734"/>
      <c r="J83" s="734"/>
      <c r="K83" s="337"/>
      <c r="L83" s="345"/>
      <c r="M83" s="345"/>
      <c r="N83" s="345"/>
      <c r="O83" s="345"/>
      <c r="P83" s="345"/>
      <c r="Q83" s="345"/>
      <c r="R83" s="345"/>
      <c r="S83" s="734"/>
      <c r="T83" s="734"/>
      <c r="U83" s="337"/>
      <c r="V83" s="337"/>
      <c r="W83" s="337"/>
      <c r="X83" s="337"/>
      <c r="Y83" s="337"/>
      <c r="Z83" s="337"/>
      <c r="AA83" s="337"/>
    </row>
    <row r="84" spans="2:27" s="353" customFormat="1" x14ac:dyDescent="0.25">
      <c r="B84" s="383"/>
      <c r="C84" s="383"/>
      <c r="D84" s="383"/>
      <c r="E84" s="383"/>
      <c r="F84" s="383"/>
      <c r="G84" s="383"/>
      <c r="H84" s="383"/>
      <c r="I84" s="736"/>
      <c r="J84" s="736"/>
      <c r="K84" s="383"/>
      <c r="L84" s="383"/>
      <c r="M84" s="383"/>
      <c r="N84" s="383"/>
      <c r="O84" s="383"/>
      <c r="P84" s="383"/>
      <c r="Q84" s="383"/>
      <c r="R84" s="383"/>
      <c r="S84" s="736"/>
      <c r="T84" s="736"/>
      <c r="U84" s="383"/>
      <c r="V84" s="383"/>
      <c r="W84" s="383"/>
      <c r="X84" s="383"/>
      <c r="Y84" s="383"/>
      <c r="Z84" s="383"/>
      <c r="AA84" s="383"/>
    </row>
    <row r="85" spans="2:27" s="353" customFormat="1" ht="18.75" x14ac:dyDescent="0.25">
      <c r="B85" s="384" t="s">
        <v>103</v>
      </c>
      <c r="C85" s="381"/>
      <c r="D85" s="381"/>
      <c r="E85" s="381"/>
      <c r="F85" s="381"/>
      <c r="G85" s="381"/>
      <c r="H85" s="381"/>
      <c r="I85" s="381"/>
      <c r="J85" s="381"/>
      <c r="K85" s="381"/>
      <c r="L85" s="381"/>
      <c r="M85" s="381"/>
      <c r="N85" s="381"/>
      <c r="O85" s="381"/>
      <c r="P85" s="381"/>
      <c r="Q85" s="381"/>
      <c r="R85" s="381"/>
      <c r="S85" s="381"/>
      <c r="T85" s="381"/>
      <c r="U85" s="381"/>
      <c r="V85" s="381"/>
      <c r="W85" s="381"/>
      <c r="X85" s="381"/>
      <c r="Y85" s="381"/>
      <c r="Z85" s="381"/>
      <c r="AA85" s="381"/>
    </row>
    <row r="86" spans="2:27" s="353" customFormat="1" x14ac:dyDescent="0.25">
      <c r="B86" s="337"/>
      <c r="C86" s="337"/>
      <c r="D86" s="337"/>
      <c r="E86" s="337"/>
      <c r="F86" s="337"/>
      <c r="G86" s="337"/>
      <c r="H86" s="337"/>
      <c r="I86" s="345"/>
      <c r="J86" s="345"/>
      <c r="K86" s="337"/>
      <c r="L86" s="337"/>
      <c r="M86" s="337"/>
      <c r="N86" s="337"/>
      <c r="O86" s="337"/>
      <c r="P86" s="337"/>
      <c r="Q86" s="337"/>
      <c r="R86" s="337"/>
      <c r="S86" s="337"/>
      <c r="T86" s="337"/>
      <c r="U86" s="337"/>
      <c r="V86" s="337"/>
      <c r="W86" s="337"/>
      <c r="X86" s="337"/>
      <c r="Y86" s="337"/>
      <c r="Z86" s="337"/>
      <c r="AA86" s="337"/>
    </row>
    <row r="87" spans="2:27" s="353" customFormat="1" x14ac:dyDescent="0.25">
      <c r="B87" s="375" t="s">
        <v>104</v>
      </c>
      <c r="C87" s="361"/>
      <c r="D87" s="361"/>
      <c r="E87" s="361"/>
      <c r="F87" s="362"/>
      <c r="G87" s="727">
        <v>0</v>
      </c>
      <c r="H87" s="727"/>
      <c r="I87" s="345"/>
      <c r="J87" s="345"/>
      <c r="K87" s="345"/>
      <c r="L87" s="345"/>
      <c r="M87" s="345"/>
      <c r="N87" s="734"/>
      <c r="O87" s="734"/>
      <c r="P87" s="337"/>
      <c r="Q87" s="337"/>
      <c r="R87" s="337"/>
      <c r="S87" s="337"/>
      <c r="T87" s="337"/>
      <c r="U87" s="337"/>
      <c r="V87" s="337"/>
      <c r="W87" s="337"/>
      <c r="X87" s="337"/>
      <c r="Y87" s="337"/>
      <c r="Z87" s="337"/>
      <c r="AA87" s="337"/>
    </row>
    <row r="88" spans="2:27" s="353" customFormat="1" x14ac:dyDescent="0.25">
      <c r="B88" s="376" t="s">
        <v>105</v>
      </c>
      <c r="C88" s="367"/>
      <c r="D88" s="367"/>
      <c r="E88" s="367"/>
      <c r="F88" s="368"/>
      <c r="G88" s="727">
        <v>0</v>
      </c>
      <c r="H88" s="727"/>
      <c r="I88" s="345"/>
      <c r="J88" s="345"/>
      <c r="K88" s="345"/>
      <c r="L88" s="345"/>
      <c r="M88" s="345"/>
      <c r="N88" s="734"/>
      <c r="O88" s="734"/>
      <c r="P88" s="337"/>
      <c r="Q88" s="337"/>
      <c r="R88" s="337"/>
      <c r="S88" s="337"/>
      <c r="T88" s="337"/>
      <c r="U88" s="337"/>
      <c r="V88" s="337"/>
      <c r="W88" s="337"/>
      <c r="X88" s="337"/>
      <c r="Y88" s="337"/>
      <c r="Z88" s="337"/>
      <c r="AA88" s="337"/>
    </row>
    <row r="89" spans="2:27" s="353" customFormat="1" x14ac:dyDescent="0.25">
      <c r="B89" s="376" t="s">
        <v>106</v>
      </c>
      <c r="C89" s="367"/>
      <c r="D89" s="367"/>
      <c r="E89" s="367"/>
      <c r="F89" s="368"/>
      <c r="G89" s="727">
        <v>0</v>
      </c>
      <c r="H89" s="727"/>
      <c r="I89" s="345"/>
      <c r="J89" s="345"/>
      <c r="K89" s="345"/>
      <c r="L89" s="345"/>
      <c r="M89" s="345"/>
      <c r="N89" s="734"/>
      <c r="O89" s="734"/>
      <c r="P89" s="337"/>
      <c r="Q89" s="337"/>
      <c r="R89" s="337"/>
      <c r="S89" s="337"/>
      <c r="T89" s="337"/>
      <c r="U89" s="337"/>
      <c r="V89" s="337"/>
      <c r="W89" s="337"/>
      <c r="X89" s="337"/>
      <c r="Y89" s="337"/>
      <c r="Z89" s="337"/>
      <c r="AA89" s="337"/>
    </row>
    <row r="90" spans="2:27" s="353" customFormat="1" x14ac:dyDescent="0.25">
      <c r="B90" s="377" t="s">
        <v>107</v>
      </c>
      <c r="C90" s="370"/>
      <c r="D90" s="370"/>
      <c r="E90" s="370"/>
      <c r="F90" s="371"/>
      <c r="G90" s="727">
        <v>0</v>
      </c>
      <c r="H90" s="727"/>
      <c r="I90" s="345"/>
      <c r="J90" s="345"/>
      <c r="K90" s="345"/>
      <c r="L90" s="345"/>
      <c r="M90" s="345"/>
      <c r="N90" s="734"/>
      <c r="O90" s="734"/>
      <c r="P90" s="337"/>
      <c r="Q90" s="337"/>
      <c r="R90" s="337"/>
      <c r="S90" s="337"/>
      <c r="T90" s="337"/>
      <c r="U90" s="337"/>
      <c r="V90" s="337"/>
      <c r="W90" s="337"/>
      <c r="X90" s="337"/>
      <c r="Y90" s="337"/>
      <c r="Z90" s="337"/>
      <c r="AA90" s="337"/>
    </row>
    <row r="91" spans="2:27" s="353" customFormat="1" x14ac:dyDescent="0.25">
      <c r="B91" s="345"/>
      <c r="C91" s="345"/>
      <c r="D91" s="345"/>
      <c r="E91" s="345"/>
      <c r="F91" s="345"/>
      <c r="G91" s="345"/>
      <c r="H91" s="345"/>
      <c r="I91" s="345"/>
      <c r="J91" s="345"/>
      <c r="K91" s="345"/>
      <c r="L91" s="345"/>
      <c r="M91" s="345"/>
      <c r="N91" s="345"/>
      <c r="O91" s="345"/>
      <c r="P91" s="345"/>
      <c r="Q91" s="345"/>
      <c r="R91" s="345"/>
      <c r="S91" s="345"/>
      <c r="T91" s="345"/>
      <c r="U91" s="345"/>
      <c r="V91" s="345"/>
      <c r="W91" s="345"/>
      <c r="X91" s="345"/>
      <c r="Y91" s="345"/>
      <c r="Z91" s="345"/>
      <c r="AA91" s="345"/>
    </row>
    <row r="92" spans="2:27" s="353" customFormat="1" ht="18.75" x14ac:dyDescent="0.25">
      <c r="B92" s="382" t="s">
        <v>75</v>
      </c>
      <c r="C92" s="381"/>
      <c r="D92" s="381"/>
      <c r="E92" s="381"/>
      <c r="F92" s="381"/>
      <c r="G92" s="381"/>
      <c r="H92" s="381"/>
      <c r="I92" s="381"/>
      <c r="J92" s="381"/>
      <c r="K92" s="381"/>
      <c r="L92" s="381"/>
      <c r="M92" s="381"/>
      <c r="N92" s="381"/>
      <c r="O92" s="381"/>
      <c r="P92" s="381"/>
      <c r="Q92" s="381"/>
      <c r="R92" s="381"/>
      <c r="S92" s="381"/>
      <c r="T92" s="381"/>
      <c r="U92" s="381"/>
      <c r="V92" s="381"/>
      <c r="W92" s="381"/>
      <c r="X92" s="381"/>
      <c r="Y92" s="381"/>
      <c r="Z92" s="381"/>
      <c r="AA92" s="381"/>
    </row>
    <row r="93" spans="2:27" s="353" customFormat="1" ht="18.75" x14ac:dyDescent="0.25">
      <c r="B93" s="385"/>
      <c r="C93" s="337"/>
      <c r="D93" s="337"/>
      <c r="E93" s="337"/>
      <c r="F93" s="337"/>
      <c r="G93" s="337"/>
      <c r="H93" s="337"/>
      <c r="I93" s="345"/>
      <c r="J93" s="345"/>
      <c r="K93" s="337"/>
      <c r="L93" s="337"/>
      <c r="M93" s="337"/>
      <c r="N93" s="337"/>
      <c r="O93" s="337"/>
      <c r="P93" s="337"/>
      <c r="Q93" s="337"/>
      <c r="R93" s="337"/>
      <c r="S93" s="337"/>
      <c r="T93" s="337"/>
      <c r="U93" s="337"/>
      <c r="V93" s="337"/>
      <c r="W93" s="337"/>
      <c r="X93" s="337"/>
      <c r="Y93" s="337"/>
      <c r="Z93" s="337"/>
      <c r="AA93" s="337"/>
    </row>
    <row r="94" spans="2:27" s="353" customFormat="1" ht="30" customHeight="1" x14ac:dyDescent="0.25">
      <c r="B94" s="815" t="s">
        <v>1235</v>
      </c>
      <c r="C94" s="816"/>
      <c r="D94" s="816"/>
      <c r="E94" s="816"/>
      <c r="F94" s="817"/>
      <c r="G94" s="337"/>
      <c r="H94" s="337"/>
      <c r="I94" s="360" t="s">
        <v>108</v>
      </c>
      <c r="J94" s="361"/>
      <c r="K94" s="361"/>
      <c r="L94" s="361"/>
      <c r="M94" s="365"/>
      <c r="N94" s="337"/>
      <c r="O94" s="751" t="s">
        <v>119</v>
      </c>
      <c r="P94" s="752"/>
      <c r="Q94" s="752"/>
      <c r="R94" s="752"/>
      <c r="S94" s="752"/>
      <c r="T94" s="753"/>
      <c r="U94" s="337"/>
      <c r="V94" s="807" t="s">
        <v>149</v>
      </c>
      <c r="W94" s="808"/>
      <c r="X94" s="808"/>
      <c r="Y94" s="809"/>
      <c r="Z94" s="444"/>
      <c r="AA94" s="337"/>
    </row>
    <row r="95" spans="2:27" s="353" customFormat="1" ht="30" customHeight="1" x14ac:dyDescent="0.25">
      <c r="B95" s="756" t="s">
        <v>1236</v>
      </c>
      <c r="C95" s="757"/>
      <c r="D95" s="757"/>
      <c r="E95" s="758"/>
      <c r="F95" s="386">
        <f>IF(ISNUMBER(VLOOKUP(T17,Country!$D$13:$Z$196,M17-1991,FALSE)),VLOOKUP(T17,Country!$D$13:$Z$196,M17-1991,FALSE)/100,"Please Check")</f>
        <v>3.2000000000000001E-2</v>
      </c>
      <c r="G95" s="337"/>
      <c r="H95" s="337"/>
      <c r="I95" s="375" t="s">
        <v>109</v>
      </c>
      <c r="J95" s="361"/>
      <c r="K95" s="361"/>
      <c r="L95" s="362"/>
      <c r="M95" s="387">
        <f>SUM(M96,M99,M100)</f>
        <v>1524.4</v>
      </c>
      <c r="N95" s="337"/>
      <c r="O95" s="375" t="s">
        <v>120</v>
      </c>
      <c r="P95" s="361"/>
      <c r="Q95" s="361"/>
      <c r="R95" s="361"/>
      <c r="S95" s="362"/>
      <c r="T95" s="442">
        <v>273.27272727272731</v>
      </c>
      <c r="U95" s="337"/>
      <c r="V95" s="388" t="s">
        <v>150</v>
      </c>
      <c r="W95" s="389"/>
      <c r="X95" s="388"/>
      <c r="Y95" s="390"/>
      <c r="Z95" s="444"/>
      <c r="AA95" s="337"/>
    </row>
    <row r="96" spans="2:27" s="353" customFormat="1" ht="30" customHeight="1" x14ac:dyDescent="0.25">
      <c r="B96" s="737" t="s">
        <v>1237</v>
      </c>
      <c r="C96" s="738"/>
      <c r="D96" s="738"/>
      <c r="E96" s="799"/>
      <c r="F96" s="391" t="str">
        <f>IF(ISNUMBER(VLOOKUP(T17,Country!$AC$13:$AN$196,M17-1997,FALSE)/100*F95),VLOOKUP(T17,Country!$AC$13:$AN$196,M17-1997,FALSE)/100*F95,"Please Check")</f>
        <v>Please Check</v>
      </c>
      <c r="G96" s="337"/>
      <c r="H96" s="337"/>
      <c r="I96" s="737" t="s">
        <v>110</v>
      </c>
      <c r="J96" s="738"/>
      <c r="K96" s="738"/>
      <c r="L96" s="799"/>
      <c r="M96" s="387">
        <f>G30</f>
        <v>1299.5</v>
      </c>
      <c r="N96" s="337"/>
      <c r="O96" s="804" t="s">
        <v>121</v>
      </c>
      <c r="P96" s="805"/>
      <c r="Q96" s="805"/>
      <c r="R96" s="805"/>
      <c r="S96" s="806"/>
      <c r="T96" s="442">
        <v>0</v>
      </c>
      <c r="U96" s="337"/>
      <c r="V96" s="818" t="s">
        <v>151</v>
      </c>
      <c r="W96" s="819"/>
      <c r="X96" s="819"/>
      <c r="Y96" s="820"/>
      <c r="Z96" s="392">
        <f>IF((G27*M21)&gt;0,(IF((G27*M21*M19/1000000)&gt;100000,Parameters!M146,IF((G27*M21*M19/1000000)&gt;10000,Parameters!M147,IF((G27*M21*M19/1000000)&gt;1000,0.01,0.03)))),"")</f>
        <v>0.01</v>
      </c>
      <c r="AA96" s="337"/>
    </row>
    <row r="97" spans="1:29" s="353" customFormat="1" ht="29.1" customHeight="1" x14ac:dyDescent="0.25">
      <c r="B97" s="737" t="s">
        <v>247</v>
      </c>
      <c r="C97" s="738"/>
      <c r="D97" s="738"/>
      <c r="E97" s="799"/>
      <c r="F97" s="393">
        <f>(VLOOKUP(T17,Country!$D$13:$F$196,3,FALSE)/100)</f>
        <v>0.46899999999999997</v>
      </c>
      <c r="G97" s="345"/>
      <c r="H97" s="345"/>
      <c r="I97" s="737" t="s">
        <v>111</v>
      </c>
      <c r="J97" s="738"/>
      <c r="K97" s="738"/>
      <c r="L97" s="799"/>
      <c r="M97" s="439"/>
      <c r="N97" s="345"/>
      <c r="O97" s="376" t="s">
        <v>122</v>
      </c>
      <c r="P97" s="367"/>
      <c r="Q97" s="367"/>
      <c r="R97" s="367"/>
      <c r="S97" s="368"/>
      <c r="T97" s="442">
        <v>92.836363636363643</v>
      </c>
      <c r="U97" s="345"/>
      <c r="V97" s="337"/>
      <c r="W97" s="337"/>
      <c r="X97" s="337"/>
      <c r="Y97" s="337"/>
      <c r="Z97" s="337"/>
      <c r="AA97" s="345"/>
      <c r="AB97" s="354"/>
      <c r="AC97" s="354"/>
    </row>
    <row r="98" spans="1:29" s="357" customFormat="1" ht="30" customHeight="1" x14ac:dyDescent="0.25">
      <c r="A98" s="353"/>
      <c r="B98" s="812" t="s">
        <v>1238</v>
      </c>
      <c r="C98" s="813"/>
      <c r="D98" s="813"/>
      <c r="E98" s="814"/>
      <c r="F98" s="438"/>
      <c r="G98" s="734"/>
      <c r="H98" s="734"/>
      <c r="I98" s="376" t="s">
        <v>112</v>
      </c>
      <c r="J98" s="367"/>
      <c r="K98" s="367"/>
      <c r="L98" s="368"/>
      <c r="M98" s="468"/>
      <c r="N98" s="345"/>
      <c r="O98" s="376" t="s">
        <v>123</v>
      </c>
      <c r="P98" s="367"/>
      <c r="Q98" s="367"/>
      <c r="R98" s="367"/>
      <c r="S98" s="368"/>
      <c r="T98" s="442">
        <v>706.40909090909076</v>
      </c>
      <c r="U98" s="345"/>
      <c r="V98" s="751" t="s">
        <v>129</v>
      </c>
      <c r="W98" s="752"/>
      <c r="X98" s="752"/>
      <c r="Y98" s="752"/>
      <c r="Z98" s="753"/>
      <c r="AA98" s="345"/>
      <c r="AB98" s="735"/>
      <c r="AC98" s="735"/>
    </row>
    <row r="99" spans="1:29" s="357" customFormat="1" ht="15" customHeight="1" x14ac:dyDescent="0.25">
      <c r="A99" s="353"/>
      <c r="B99" s="337"/>
      <c r="C99" s="337"/>
      <c r="D99" s="337"/>
      <c r="E99" s="337"/>
      <c r="F99" s="337"/>
      <c r="G99" s="684"/>
      <c r="H99" s="684"/>
      <c r="I99" s="376" t="s">
        <v>113</v>
      </c>
      <c r="J99" s="367"/>
      <c r="K99" s="367"/>
      <c r="L99" s="368"/>
      <c r="M99" s="387">
        <f>IF(ISNUMBER(G31),G31,0)</f>
        <v>224.9</v>
      </c>
      <c r="N99" s="345"/>
      <c r="O99" s="376" t="s">
        <v>124</v>
      </c>
      <c r="P99" s="367"/>
      <c r="Q99" s="367"/>
      <c r="R99" s="367"/>
      <c r="S99" s="368"/>
      <c r="T99" s="442">
        <v>500.15454545454543</v>
      </c>
      <c r="U99" s="345"/>
      <c r="V99" s="801" t="s">
        <v>130</v>
      </c>
      <c r="W99" s="802"/>
      <c r="X99" s="802"/>
      <c r="Y99" s="803"/>
      <c r="Z99" s="441">
        <v>85.936363636363637</v>
      </c>
      <c r="AA99" s="345"/>
      <c r="AB99" s="735"/>
      <c r="AC99" s="735"/>
    </row>
    <row r="100" spans="1:29" s="357" customFormat="1" ht="15" customHeight="1" x14ac:dyDescent="0.25">
      <c r="A100" s="353"/>
      <c r="B100" s="337"/>
      <c r="C100" s="337"/>
      <c r="D100" s="337"/>
      <c r="E100" s="337"/>
      <c r="F100" s="337"/>
      <c r="G100" s="684"/>
      <c r="H100" s="684"/>
      <c r="I100" s="395" t="s">
        <v>114</v>
      </c>
      <c r="J100" s="396"/>
      <c r="K100" s="396"/>
      <c r="L100" s="397"/>
      <c r="M100" s="440"/>
      <c r="N100" s="345"/>
      <c r="O100" s="376" t="s">
        <v>125</v>
      </c>
      <c r="P100" s="367"/>
      <c r="Q100" s="367"/>
      <c r="R100" s="367"/>
      <c r="S100" s="368"/>
      <c r="T100" s="442">
        <v>317.75454545454545</v>
      </c>
      <c r="U100" s="345"/>
      <c r="V100" s="801" t="s">
        <v>131</v>
      </c>
      <c r="W100" s="802"/>
      <c r="X100" s="802"/>
      <c r="Y100" s="803"/>
      <c r="Z100" s="441">
        <v>0</v>
      </c>
      <c r="AA100" s="345"/>
      <c r="AB100" s="735"/>
      <c r="AC100" s="735"/>
    </row>
    <row r="101" spans="1:29" s="357" customFormat="1" ht="15" customHeight="1" x14ac:dyDescent="0.25">
      <c r="A101" s="353"/>
      <c r="B101" s="337"/>
      <c r="C101" s="337"/>
      <c r="D101" s="337"/>
      <c r="E101" s="337"/>
      <c r="F101" s="337"/>
      <c r="G101" s="684"/>
      <c r="H101" s="684"/>
      <c r="I101" s="345"/>
      <c r="J101" s="345"/>
      <c r="K101" s="337"/>
      <c r="L101" s="337"/>
      <c r="M101" s="337"/>
      <c r="N101" s="345"/>
      <c r="O101" s="376" t="s">
        <v>126</v>
      </c>
      <c r="P101" s="367"/>
      <c r="Q101" s="367"/>
      <c r="R101" s="367"/>
      <c r="S101" s="368"/>
      <c r="T101" s="442">
        <v>0</v>
      </c>
      <c r="U101" s="345"/>
      <c r="V101" s="801" t="s">
        <v>132</v>
      </c>
      <c r="W101" s="802"/>
      <c r="X101" s="802"/>
      <c r="Y101" s="803"/>
      <c r="Z101" s="441">
        <v>57.6</v>
      </c>
      <c r="AA101" s="345"/>
      <c r="AB101" s="735"/>
      <c r="AC101" s="735"/>
    </row>
    <row r="102" spans="1:29" s="357" customFormat="1" ht="15" customHeight="1" x14ac:dyDescent="0.25">
      <c r="A102" s="353"/>
      <c r="B102" s="337"/>
      <c r="C102" s="337"/>
      <c r="D102" s="337"/>
      <c r="E102" s="337"/>
      <c r="F102" s="337"/>
      <c r="G102" s="684"/>
      <c r="H102" s="684"/>
      <c r="I102" s="378" t="s">
        <v>115</v>
      </c>
      <c r="J102" s="364"/>
      <c r="K102" s="364"/>
      <c r="L102" s="364"/>
      <c r="M102" s="441">
        <v>12.027272727272729</v>
      </c>
      <c r="N102" s="345"/>
      <c r="O102" s="376" t="s">
        <v>127</v>
      </c>
      <c r="P102" s="367"/>
      <c r="Q102" s="367"/>
      <c r="R102" s="367"/>
      <c r="S102" s="368"/>
      <c r="T102" s="442">
        <v>0</v>
      </c>
      <c r="U102" s="345"/>
      <c r="V102" s="801" t="s">
        <v>133</v>
      </c>
      <c r="W102" s="802"/>
      <c r="X102" s="802"/>
      <c r="Y102" s="803"/>
      <c r="Z102" s="441">
        <v>57.6</v>
      </c>
      <c r="AA102" s="345"/>
      <c r="AB102" s="735"/>
      <c r="AC102" s="735"/>
    </row>
    <row r="103" spans="1:29" s="357" customFormat="1" x14ac:dyDescent="0.25">
      <c r="A103" s="353"/>
      <c r="B103" s="337"/>
      <c r="C103" s="337"/>
      <c r="D103" s="337"/>
      <c r="E103" s="337"/>
      <c r="F103" s="337"/>
      <c r="G103" s="684"/>
      <c r="H103" s="684"/>
      <c r="I103" s="345"/>
      <c r="J103" s="345"/>
      <c r="K103" s="337"/>
      <c r="L103" s="337"/>
      <c r="M103" s="337"/>
      <c r="N103" s="345"/>
      <c r="O103" s="376" t="s">
        <v>30</v>
      </c>
      <c r="P103" s="367"/>
      <c r="Q103" s="367"/>
      <c r="R103" s="367"/>
      <c r="S103" s="368"/>
      <c r="T103" s="442">
        <v>0</v>
      </c>
      <c r="U103" s="345"/>
      <c r="V103" s="801" t="s">
        <v>134</v>
      </c>
      <c r="W103" s="802"/>
      <c r="X103" s="802"/>
      <c r="Y103" s="803"/>
      <c r="Z103" s="441">
        <v>0</v>
      </c>
      <c r="AA103" s="345"/>
    </row>
    <row r="104" spans="1:29" s="357" customFormat="1" ht="14.1" customHeight="1" x14ac:dyDescent="0.25">
      <c r="A104" s="353"/>
      <c r="B104" s="337"/>
      <c r="C104" s="337"/>
      <c r="D104" s="337"/>
      <c r="E104" s="337"/>
      <c r="F104" s="337"/>
      <c r="G104" s="345"/>
      <c r="H104" s="345"/>
      <c r="I104" s="375" t="s">
        <v>116</v>
      </c>
      <c r="J104" s="361"/>
      <c r="K104" s="361"/>
      <c r="L104" s="361"/>
      <c r="M104" s="441">
        <v>147.80000000000001</v>
      </c>
      <c r="N104" s="345"/>
      <c r="O104" s="376" t="s">
        <v>128</v>
      </c>
      <c r="P104" s="367"/>
      <c r="Q104" s="367"/>
      <c r="R104" s="367"/>
      <c r="S104" s="368"/>
      <c r="T104" s="442">
        <v>926.28409090909099</v>
      </c>
      <c r="U104" s="398"/>
      <c r="V104" s="337"/>
      <c r="W104" s="337"/>
      <c r="X104" s="337"/>
      <c r="Y104" s="399"/>
      <c r="Z104" s="399"/>
      <c r="AA104" s="398"/>
      <c r="AB104" s="735"/>
      <c r="AC104" s="735"/>
    </row>
    <row r="105" spans="1:29" s="357" customFormat="1" ht="14.1" customHeight="1" x14ac:dyDescent="0.25">
      <c r="A105" s="353"/>
      <c r="B105" s="337"/>
      <c r="C105" s="337"/>
      <c r="D105" s="337"/>
      <c r="E105" s="337"/>
      <c r="F105" s="337"/>
      <c r="G105" s="684"/>
      <c r="H105" s="684"/>
      <c r="I105" s="376" t="s">
        <v>30</v>
      </c>
      <c r="J105" s="367"/>
      <c r="K105" s="367"/>
      <c r="L105" s="367"/>
      <c r="M105" s="387">
        <f>IF(ISNUMBER(G40),G40,0)</f>
        <v>0</v>
      </c>
      <c r="N105" s="345"/>
      <c r="O105" s="395" t="s">
        <v>118</v>
      </c>
      <c r="P105" s="396"/>
      <c r="Q105" s="396"/>
      <c r="R105" s="396"/>
      <c r="S105" s="397"/>
      <c r="T105" s="442">
        <v>2816.7113636363638</v>
      </c>
      <c r="U105" s="345"/>
      <c r="V105" s="821" t="s">
        <v>135</v>
      </c>
      <c r="W105" s="822"/>
      <c r="X105" s="822"/>
      <c r="Y105" s="823"/>
      <c r="Z105" s="386">
        <f>IF(AND(G$29&gt;0,Z99&gt;0),Z99/G$29,"N/A")</f>
        <v>5.6373893752534529E-2</v>
      </c>
      <c r="AA105" s="398"/>
      <c r="AB105" s="735"/>
      <c r="AC105" s="735"/>
    </row>
    <row r="106" spans="1:29" s="357" customFormat="1" x14ac:dyDescent="0.25">
      <c r="A106" s="353"/>
      <c r="B106" s="337"/>
      <c r="C106" s="337"/>
      <c r="D106" s="337"/>
      <c r="E106" s="337"/>
      <c r="F106" s="337"/>
      <c r="G106" s="337"/>
      <c r="H106" s="337"/>
      <c r="I106" s="376" t="s">
        <v>17</v>
      </c>
      <c r="J106" s="367"/>
      <c r="K106" s="367"/>
      <c r="L106" s="367"/>
      <c r="M106" s="387">
        <f>IF(ISNUMBER(G41),G41,0)</f>
        <v>0</v>
      </c>
      <c r="N106" s="345"/>
      <c r="O106" s="345"/>
      <c r="P106" s="345"/>
      <c r="Q106" s="345"/>
      <c r="R106" s="345"/>
      <c r="S106" s="345"/>
      <c r="T106" s="345"/>
      <c r="U106" s="345"/>
      <c r="V106" s="821" t="s">
        <v>136</v>
      </c>
      <c r="W106" s="822"/>
      <c r="X106" s="822"/>
      <c r="Y106" s="823"/>
      <c r="Z106" s="386" t="str">
        <f>IF(AND(G$29&gt;0,Z100&gt;0),Z100/G$29,"N/A")</f>
        <v>N/A</v>
      </c>
      <c r="AA106" s="345"/>
      <c r="AB106" s="735"/>
      <c r="AC106" s="735"/>
    </row>
    <row r="107" spans="1:29" s="357" customFormat="1" x14ac:dyDescent="0.25">
      <c r="A107" s="353"/>
      <c r="B107" s="337"/>
      <c r="C107" s="337"/>
      <c r="D107" s="337"/>
      <c r="E107" s="337"/>
      <c r="F107" s="337"/>
      <c r="G107" s="684"/>
      <c r="H107" s="684"/>
      <c r="I107" s="376" t="s">
        <v>117</v>
      </c>
      <c r="J107" s="367"/>
      <c r="K107" s="367"/>
      <c r="L107" s="367"/>
      <c r="M107" s="387">
        <f>G42</f>
        <v>147.80000000000001</v>
      </c>
      <c r="N107" s="345"/>
      <c r="O107" s="751" t="s">
        <v>143</v>
      </c>
      <c r="P107" s="752"/>
      <c r="Q107" s="752"/>
      <c r="R107" s="752"/>
      <c r="S107" s="752"/>
      <c r="T107" s="753"/>
      <c r="U107" s="345"/>
      <c r="V107" s="821" t="s">
        <v>137</v>
      </c>
      <c r="W107" s="822"/>
      <c r="X107" s="822"/>
      <c r="Y107" s="823"/>
      <c r="Z107" s="386">
        <f>IF(AND(G$29&gt;0,Z101&gt;0),Z101/G$29,"N/A")</f>
        <v>3.7785358173707685E-2</v>
      </c>
      <c r="AA107" s="345"/>
      <c r="AB107" s="735"/>
      <c r="AC107" s="735"/>
    </row>
    <row r="108" spans="1:29" s="357" customFormat="1" x14ac:dyDescent="0.25">
      <c r="A108" s="353"/>
      <c r="B108" s="337"/>
      <c r="C108" s="337"/>
      <c r="D108" s="337"/>
      <c r="E108" s="337"/>
      <c r="F108" s="337"/>
      <c r="G108" s="684"/>
      <c r="H108" s="684"/>
      <c r="I108" s="377" t="s">
        <v>41</v>
      </c>
      <c r="J108" s="370"/>
      <c r="K108" s="370"/>
      <c r="L108" s="370"/>
      <c r="M108" s="442"/>
      <c r="N108" s="345"/>
      <c r="O108" s="375" t="s">
        <v>144</v>
      </c>
      <c r="P108" s="361"/>
      <c r="Q108" s="361"/>
      <c r="R108" s="361"/>
      <c r="S108" s="362"/>
      <c r="T108" s="443"/>
      <c r="U108" s="337"/>
      <c r="V108" s="821" t="s">
        <v>138</v>
      </c>
      <c r="W108" s="822"/>
      <c r="X108" s="822"/>
      <c r="Y108" s="823"/>
      <c r="Z108" s="386">
        <f>IF(AND(G$29&gt;0,Z102&gt;0),Z102/G$29,"N/A")</f>
        <v>3.7785358173707685E-2</v>
      </c>
      <c r="AA108" s="345"/>
      <c r="AB108" s="735"/>
      <c r="AC108" s="735"/>
    </row>
    <row r="109" spans="1:29" s="357" customFormat="1" x14ac:dyDescent="0.25">
      <c r="A109" s="353"/>
      <c r="B109" s="337"/>
      <c r="C109" s="337"/>
      <c r="D109" s="337"/>
      <c r="E109" s="337"/>
      <c r="F109" s="337"/>
      <c r="G109" s="684"/>
      <c r="H109" s="684"/>
      <c r="I109" s="337"/>
      <c r="J109" s="337"/>
      <c r="K109" s="337"/>
      <c r="L109" s="337"/>
      <c r="M109" s="337"/>
      <c r="N109" s="345"/>
      <c r="O109" s="376" t="s">
        <v>145</v>
      </c>
      <c r="P109" s="367"/>
      <c r="Q109" s="367"/>
      <c r="R109" s="367"/>
      <c r="S109" s="368"/>
      <c r="T109" s="443"/>
      <c r="U109" s="337"/>
      <c r="V109" s="821" t="s">
        <v>139</v>
      </c>
      <c r="W109" s="822"/>
      <c r="X109" s="822"/>
      <c r="Y109" s="823"/>
      <c r="Z109" s="386" t="str">
        <f>IF(AND(G$29&gt;0,Z103&gt;0),Z103/G$29,"N/A")</f>
        <v>N/A</v>
      </c>
      <c r="AA109" s="345"/>
    </row>
    <row r="110" spans="1:29" s="357" customFormat="1" ht="14.1" customHeight="1" x14ac:dyDescent="0.25">
      <c r="A110" s="353"/>
      <c r="B110" s="337"/>
      <c r="C110" s="337"/>
      <c r="D110" s="337"/>
      <c r="E110" s="337"/>
      <c r="F110" s="337"/>
      <c r="G110" s="684"/>
      <c r="H110" s="684"/>
      <c r="I110" s="378" t="s">
        <v>118</v>
      </c>
      <c r="J110" s="364"/>
      <c r="K110" s="364"/>
      <c r="L110" s="364"/>
      <c r="M110" s="442">
        <v>1909.1272727272728</v>
      </c>
      <c r="N110" s="337"/>
      <c r="O110" s="376" t="s">
        <v>146</v>
      </c>
      <c r="P110" s="367"/>
      <c r="Q110" s="367"/>
      <c r="R110" s="367"/>
      <c r="S110" s="368"/>
      <c r="T110" s="443"/>
      <c r="U110" s="337"/>
      <c r="V110" s="337"/>
      <c r="W110" s="337"/>
      <c r="X110" s="337"/>
      <c r="Y110" s="399"/>
      <c r="Z110" s="399"/>
      <c r="AA110" s="398"/>
      <c r="AB110" s="735"/>
      <c r="AC110" s="735"/>
    </row>
    <row r="111" spans="1:29" s="357" customFormat="1" ht="30" customHeight="1" x14ac:dyDescent="0.25">
      <c r="A111" s="353"/>
      <c r="B111" s="337"/>
      <c r="C111" s="337"/>
      <c r="D111" s="337"/>
      <c r="E111" s="337"/>
      <c r="F111" s="337"/>
      <c r="G111" s="684"/>
      <c r="H111" s="684"/>
      <c r="I111" s="337"/>
      <c r="J111" s="337"/>
      <c r="K111" s="337"/>
      <c r="L111" s="337"/>
      <c r="M111" s="337"/>
      <c r="N111" s="337"/>
      <c r="O111" s="376" t="s">
        <v>147</v>
      </c>
      <c r="P111" s="367"/>
      <c r="Q111" s="367"/>
      <c r="R111" s="367"/>
      <c r="S111" s="368"/>
      <c r="T111" s="443"/>
      <c r="U111" s="337"/>
      <c r="V111" s="821" t="s">
        <v>140</v>
      </c>
      <c r="W111" s="822"/>
      <c r="X111" s="822"/>
      <c r="Y111" s="823"/>
      <c r="Z111" s="445">
        <v>0.4</v>
      </c>
      <c r="AA111" s="398"/>
      <c r="AB111" s="735"/>
      <c r="AC111" s="735"/>
    </row>
    <row r="112" spans="1:29" s="357" customFormat="1" ht="30" customHeight="1" x14ac:dyDescent="0.25">
      <c r="A112" s="353"/>
      <c r="B112" s="337"/>
      <c r="C112" s="337"/>
      <c r="D112" s="337"/>
      <c r="E112" s="337"/>
      <c r="F112" s="337"/>
      <c r="G112" s="345"/>
      <c r="H112" s="345"/>
      <c r="I112" s="337"/>
      <c r="J112" s="337"/>
      <c r="K112" s="337"/>
      <c r="L112" s="337"/>
      <c r="M112" s="337"/>
      <c r="N112" s="337"/>
      <c r="O112" s="377" t="s">
        <v>1234</v>
      </c>
      <c r="P112" s="370"/>
      <c r="Q112" s="370"/>
      <c r="R112" s="370"/>
      <c r="S112" s="371"/>
      <c r="T112" s="443"/>
      <c r="U112" s="337"/>
      <c r="V112" s="821" t="s">
        <v>141</v>
      </c>
      <c r="W112" s="822"/>
      <c r="X112" s="822"/>
      <c r="Y112" s="823"/>
      <c r="Z112" s="445">
        <v>0.75</v>
      </c>
      <c r="AA112" s="345"/>
      <c r="AB112" s="735"/>
      <c r="AC112" s="735"/>
    </row>
    <row r="113" spans="1:29" s="353" customFormat="1" ht="30" customHeight="1" x14ac:dyDescent="0.25">
      <c r="B113" s="337"/>
      <c r="C113" s="337"/>
      <c r="D113" s="337"/>
      <c r="E113" s="337"/>
      <c r="F113" s="337"/>
      <c r="G113" s="684"/>
      <c r="H113" s="684"/>
      <c r="I113" s="337"/>
      <c r="J113" s="337"/>
      <c r="K113" s="337"/>
      <c r="L113" s="337"/>
      <c r="M113" s="337"/>
      <c r="N113" s="337"/>
      <c r="O113" s="337"/>
      <c r="P113" s="337"/>
      <c r="Q113" s="337"/>
      <c r="R113" s="337"/>
      <c r="S113" s="337"/>
      <c r="T113" s="337"/>
      <c r="U113" s="337"/>
      <c r="V113" s="821" t="s">
        <v>142</v>
      </c>
      <c r="W113" s="822"/>
      <c r="X113" s="822"/>
      <c r="Y113" s="823"/>
      <c r="Z113" s="445"/>
      <c r="AA113" s="345"/>
    </row>
    <row r="114" spans="1:29" s="353" customFormat="1" x14ac:dyDescent="0.25">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row>
    <row r="115" spans="1:29" s="353" customFormat="1" ht="18.75" x14ac:dyDescent="0.25">
      <c r="B115" s="384" t="s">
        <v>76</v>
      </c>
      <c r="C115" s="381"/>
      <c r="D115" s="381"/>
      <c r="E115" s="381"/>
      <c r="F115" s="381"/>
      <c r="G115" s="381"/>
      <c r="H115" s="381"/>
      <c r="I115" s="381"/>
      <c r="J115" s="381"/>
      <c r="K115" s="381"/>
      <c r="L115" s="381"/>
      <c r="M115" s="381"/>
      <c r="N115" s="381"/>
      <c r="O115" s="381"/>
      <c r="P115" s="381"/>
      <c r="Q115" s="381"/>
      <c r="R115" s="381"/>
      <c r="S115" s="381"/>
      <c r="T115" s="381"/>
      <c r="U115" s="381"/>
      <c r="V115" s="381"/>
      <c r="W115" s="381"/>
      <c r="X115" s="381"/>
      <c r="Y115" s="381"/>
      <c r="Z115" s="381"/>
      <c r="AA115" s="381"/>
    </row>
    <row r="116" spans="1:29" s="353" customFormat="1" x14ac:dyDescent="0.25">
      <c r="B116" s="337"/>
      <c r="C116" s="337"/>
      <c r="D116" s="337"/>
      <c r="E116" s="337"/>
      <c r="F116" s="337"/>
      <c r="G116" s="337"/>
      <c r="H116" s="337"/>
      <c r="I116" s="345"/>
      <c r="J116" s="345"/>
      <c r="K116" s="337"/>
      <c r="L116" s="337"/>
      <c r="M116" s="337"/>
      <c r="N116" s="345"/>
      <c r="O116" s="345"/>
      <c r="P116" s="345"/>
      <c r="Q116" s="345"/>
      <c r="R116" s="345"/>
      <c r="S116" s="345"/>
      <c r="T116" s="345"/>
      <c r="U116" s="337"/>
      <c r="V116" s="337"/>
      <c r="W116" s="337"/>
      <c r="X116" s="337"/>
      <c r="Y116" s="337"/>
      <c r="Z116" s="337"/>
      <c r="AA116" s="337"/>
    </row>
    <row r="117" spans="1:29" s="357" customFormat="1" ht="30" customHeight="1" x14ac:dyDescent="0.25">
      <c r="A117" s="353"/>
      <c r="B117" s="751" t="str">
        <f>IF(Setup!P10="Yes","Trading Book","Market Portfolio Categories not included in analysis")</f>
        <v>Trading Book</v>
      </c>
      <c r="C117" s="752"/>
      <c r="D117" s="752"/>
      <c r="E117" s="752"/>
      <c r="F117" s="753"/>
      <c r="G117" s="345"/>
      <c r="H117" s="345"/>
      <c r="I117" s="751" t="str">
        <f>IF(Setup!P10="Yes","Held-to-Maturity (HTM) Positions ","Market Portfolio Categories not included in analysis")</f>
        <v xml:space="preserve">Held-to-Maturity (HTM) Positions </v>
      </c>
      <c r="J117" s="752"/>
      <c r="K117" s="752"/>
      <c r="L117" s="752"/>
      <c r="M117" s="753"/>
      <c r="N117" s="345"/>
      <c r="O117" s="742" t="s">
        <v>158</v>
      </c>
      <c r="P117" s="743"/>
      <c r="Q117" s="743"/>
      <c r="R117" s="743"/>
      <c r="S117" s="744"/>
      <c r="T117" s="447"/>
      <c r="U117" s="400"/>
      <c r="V117" s="754" t="str">
        <f>IF(Setup!P10="Yes","Available for Sale (AfS) Positions","Market Portfolio Categories not included in analysis")</f>
        <v>Available for Sale (AfS) Positions</v>
      </c>
      <c r="W117" s="754"/>
      <c r="X117" s="754"/>
      <c r="Y117" s="754"/>
      <c r="Z117" s="754"/>
      <c r="AA117" s="755"/>
      <c r="AB117" s="355"/>
      <c r="AC117" s="355"/>
    </row>
    <row r="118" spans="1:29" s="357" customFormat="1" ht="30" customHeight="1" x14ac:dyDescent="0.25">
      <c r="A118" s="353"/>
      <c r="B118" s="375" t="str">
        <f>IF(Setup!$P$10="Yes",IF(ISTEXT(Setup!O13)=TRUE,Setup!O13,""),"")</f>
        <v>Sovereign Bonds</v>
      </c>
      <c r="C118" s="361"/>
      <c r="D118" s="361"/>
      <c r="E118" s="361"/>
      <c r="F118" s="442">
        <v>0</v>
      </c>
      <c r="G118" s="684"/>
      <c r="H118" s="684"/>
      <c r="I118" s="401" t="str">
        <f>IF(Setup!$P$10="Yes",IF(ISTEXT(Setup!O13)=TRUE,Setup!O13,""),"")</f>
        <v>Sovereign Bonds</v>
      </c>
      <c r="J118" s="402"/>
      <c r="K118" s="402"/>
      <c r="L118" s="402"/>
      <c r="M118" s="442">
        <v>130</v>
      </c>
      <c r="N118" s="345"/>
      <c r="O118" s="745" t="s">
        <v>159</v>
      </c>
      <c r="P118" s="746"/>
      <c r="Q118" s="746"/>
      <c r="R118" s="746"/>
      <c r="S118" s="747"/>
      <c r="T118" s="447">
        <v>194.70000000000005</v>
      </c>
      <c r="U118" s="400"/>
      <c r="V118" s="711" t="str">
        <f>IF(Setup!$P$10="Yes",IF(ISTEXT(Setup!O13)=TRUE,Setup!O13,""),"")</f>
        <v>Sovereign Bonds</v>
      </c>
      <c r="W118" s="712"/>
      <c r="X118" s="712"/>
      <c r="Y118" s="712"/>
      <c r="Z118" s="713"/>
      <c r="AA118" s="448">
        <v>0</v>
      </c>
      <c r="AB118" s="710"/>
      <c r="AC118" s="710"/>
    </row>
    <row r="119" spans="1:29" s="357" customFormat="1" x14ac:dyDescent="0.25">
      <c r="A119" s="353"/>
      <c r="B119" s="376" t="str">
        <f>IF(Setup!$P$10="Yes",IF(ISTEXT(Setup!O14)=TRUE,Setup!O14,""),"")</f>
        <v>Other Bonds</v>
      </c>
      <c r="C119" s="367"/>
      <c r="D119" s="367"/>
      <c r="E119" s="367"/>
      <c r="F119" s="442">
        <v>1.7454545454545456</v>
      </c>
      <c r="G119" s="684"/>
      <c r="H119" s="684"/>
      <c r="I119" s="388" t="str">
        <f>IF(Setup!$P$10="Yes",IF(ISTEXT(Setup!O14)=TRUE,Setup!O14,""),"")</f>
        <v>Other Bonds</v>
      </c>
      <c r="J119" s="389"/>
      <c r="K119" s="389"/>
      <c r="L119" s="389"/>
      <c r="M119" s="442">
        <v>0</v>
      </c>
      <c r="N119" s="345"/>
      <c r="O119" s="403" t="str">
        <f>IF(Setup!P$25="Yes",IF(ISTEXT(Setup!O28)=TRUE,Setup!O28,""),"")</f>
        <v>Sovereign Bonds</v>
      </c>
      <c r="P119" s="404"/>
      <c r="Q119" s="404"/>
      <c r="R119" s="404"/>
      <c r="S119" s="405"/>
      <c r="T119" s="447">
        <v>161.3727272727273</v>
      </c>
      <c r="U119" s="400"/>
      <c r="V119" s="714" t="str">
        <f>IF(Setup!$P$10="Yes",IF(ISTEXT(Setup!O14)=TRUE,Setup!O14,""),"")</f>
        <v>Other Bonds</v>
      </c>
      <c r="W119" s="715"/>
      <c r="X119" s="715"/>
      <c r="Y119" s="715"/>
      <c r="Z119" s="716"/>
      <c r="AA119" s="448">
        <v>42.6</v>
      </c>
      <c r="AB119" s="710"/>
      <c r="AC119" s="710"/>
    </row>
    <row r="120" spans="1:29" s="357" customFormat="1" x14ac:dyDescent="0.25">
      <c r="A120" s="353"/>
      <c r="B120" s="376" t="str">
        <f>IF(Setup!$P$10="Yes",IF(ISTEXT(Setup!O15)=TRUE,Setup!O15,""),"")</f>
        <v>Equity</v>
      </c>
      <c r="C120" s="367"/>
      <c r="D120" s="367"/>
      <c r="E120" s="367"/>
      <c r="F120" s="442">
        <v>0</v>
      </c>
      <c r="G120" s="684"/>
      <c r="H120" s="684"/>
      <c r="I120" s="388" t="str">
        <f>IF(Setup!$P$10="Yes",IF(ISTEXT(Setup!O15)=TRUE,Setup!O15,""),"")</f>
        <v>Equity</v>
      </c>
      <c r="J120" s="389"/>
      <c r="K120" s="389"/>
      <c r="L120" s="389"/>
      <c r="M120" s="442">
        <v>125</v>
      </c>
      <c r="N120" s="345"/>
      <c r="O120" s="406" t="str">
        <f>IF(Setup!P$25="Yes",IF(ISTEXT(Setup!O29)=TRUE,Setup!O29,""),"")</f>
        <v>Other Bonds</v>
      </c>
      <c r="P120" s="407"/>
      <c r="Q120" s="407"/>
      <c r="R120" s="407"/>
      <c r="S120" s="408"/>
      <c r="T120" s="447">
        <v>0</v>
      </c>
      <c r="U120" s="400"/>
      <c r="V120" s="714" t="str">
        <f>IF(Setup!$P$10="Yes",IF(ISTEXT(Setup!O15)=TRUE,Setup!O15,""),"")</f>
        <v>Equity</v>
      </c>
      <c r="W120" s="715"/>
      <c r="X120" s="715"/>
      <c r="Y120" s="715"/>
      <c r="Z120" s="716"/>
      <c r="AA120" s="448">
        <v>41.045454545454547</v>
      </c>
      <c r="AB120" s="710"/>
      <c r="AC120" s="710"/>
    </row>
    <row r="121" spans="1:29" s="357" customFormat="1" x14ac:dyDescent="0.25">
      <c r="A121" s="353"/>
      <c r="B121" s="376" t="str">
        <f>IF(Setup!$P$10="Yes",IF(ISTEXT(Setup!O16)=TRUE,Setup!O16,""),"")</f>
        <v>Structured</v>
      </c>
      <c r="C121" s="367"/>
      <c r="D121" s="367"/>
      <c r="E121" s="367"/>
      <c r="F121" s="442">
        <v>0</v>
      </c>
      <c r="G121" s="684"/>
      <c r="H121" s="684"/>
      <c r="I121" s="388" t="str">
        <f>IF(Setup!$P$10="Yes",IF(ISTEXT(Setup!O16)=TRUE,Setup!O16,""),"")</f>
        <v>Structured</v>
      </c>
      <c r="J121" s="389"/>
      <c r="K121" s="389"/>
      <c r="L121" s="389"/>
      <c r="M121" s="442">
        <v>0</v>
      </c>
      <c r="N121" s="345"/>
      <c r="O121" s="406" t="str">
        <f>IF(Setup!P$25="Yes",IF(ISTEXT(Setup!O30)=TRUE,Setup!O30,""),"")</f>
        <v>Equity</v>
      </c>
      <c r="P121" s="407"/>
      <c r="Q121" s="407"/>
      <c r="R121" s="407"/>
      <c r="S121" s="408"/>
      <c r="T121" s="447">
        <v>0</v>
      </c>
      <c r="U121" s="400"/>
      <c r="V121" s="714" t="str">
        <f>IF(Setup!$P$10="Yes",IF(ISTEXT(Setup!O16)=TRUE,Setup!O16,""),"")</f>
        <v>Structured</v>
      </c>
      <c r="W121" s="715"/>
      <c r="X121" s="715"/>
      <c r="Y121" s="715"/>
      <c r="Z121" s="716"/>
      <c r="AA121" s="448">
        <v>15.763636363636365</v>
      </c>
      <c r="AB121" s="710"/>
      <c r="AC121" s="710"/>
    </row>
    <row r="122" spans="1:29" s="357" customFormat="1" x14ac:dyDescent="0.25">
      <c r="A122" s="353"/>
      <c r="B122" s="376" t="str">
        <f>IF(Setup!$P$10="Yes",IF(ISTEXT(Setup!O17)=TRUE,Setup!O17,""),"")</f>
        <v>Other</v>
      </c>
      <c r="C122" s="367"/>
      <c r="D122" s="367"/>
      <c r="E122" s="367"/>
      <c r="F122" s="442">
        <v>0</v>
      </c>
      <c r="G122" s="684"/>
      <c r="H122" s="684"/>
      <c r="I122" s="388" t="str">
        <f>IF(Setup!$P$10="Yes",IF(ISTEXT(Setup!O17)=TRUE,Setup!O17,""),"")</f>
        <v>Other</v>
      </c>
      <c r="J122" s="389"/>
      <c r="K122" s="389"/>
      <c r="L122" s="389"/>
      <c r="M122" s="442">
        <v>0</v>
      </c>
      <c r="N122" s="345"/>
      <c r="O122" s="406" t="str">
        <f>IF(Setup!P$25="Yes",IF(ISTEXT(Setup!O31)=TRUE,Setup!O31,""),"")</f>
        <v>Structured</v>
      </c>
      <c r="P122" s="407"/>
      <c r="Q122" s="407"/>
      <c r="R122" s="407"/>
      <c r="S122" s="408"/>
      <c r="T122" s="447">
        <v>0</v>
      </c>
      <c r="U122" s="400"/>
      <c r="V122" s="714" t="str">
        <f>IF(Setup!$P$10="Yes",IF(ISTEXT(Setup!O17)=TRUE,Setup!O17,""),"")</f>
        <v>Other</v>
      </c>
      <c r="W122" s="715"/>
      <c r="X122" s="715"/>
      <c r="Y122" s="715"/>
      <c r="Z122" s="716"/>
      <c r="AA122" s="448">
        <v>9.4363636363636374</v>
      </c>
      <c r="AB122" s="710"/>
      <c r="AC122" s="710"/>
    </row>
    <row r="123" spans="1:29" s="357" customFormat="1" x14ac:dyDescent="0.25">
      <c r="A123" s="353"/>
      <c r="B123" s="376" t="str">
        <f>IF(Setup!$P$10="Yes",IF(ISTEXT(Setup!O18)=TRUE,Setup!O18,""),"")</f>
        <v/>
      </c>
      <c r="C123" s="367"/>
      <c r="D123" s="367"/>
      <c r="E123" s="367"/>
      <c r="F123" s="442"/>
      <c r="G123" s="684"/>
      <c r="H123" s="684"/>
      <c r="I123" s="388" t="str">
        <f>IF(Setup!$P$10="Yes",IF(ISTEXT(Setup!O18)=TRUE,Setup!O18,""),"")</f>
        <v/>
      </c>
      <c r="J123" s="389"/>
      <c r="K123" s="389"/>
      <c r="L123" s="389"/>
      <c r="M123" s="446"/>
      <c r="N123" s="345"/>
      <c r="O123" s="406" t="str">
        <f>IF(Setup!P$25="Yes",IF(ISTEXT(Setup!O32)=TRUE,Setup!O32,""),"")</f>
        <v>Other</v>
      </c>
      <c r="P123" s="407"/>
      <c r="Q123" s="407"/>
      <c r="R123" s="407"/>
      <c r="S123" s="408"/>
      <c r="T123" s="447">
        <v>0</v>
      </c>
      <c r="U123" s="400"/>
      <c r="V123" s="714" t="str">
        <f>IF(Setup!$P$10="Yes",IF(ISTEXT(Setup!O18)=TRUE,Setup!O18,""),"")</f>
        <v/>
      </c>
      <c r="W123" s="715"/>
      <c r="X123" s="715"/>
      <c r="Y123" s="715"/>
      <c r="Z123" s="716"/>
      <c r="AA123" s="448"/>
      <c r="AB123" s="710"/>
      <c r="AC123" s="710"/>
    </row>
    <row r="124" spans="1:29" s="357" customFormat="1" x14ac:dyDescent="0.25">
      <c r="A124" s="353"/>
      <c r="B124" s="376" t="str">
        <f>IF(Setup!$P$10="Yes",IF(ISTEXT(Setup!O19)=TRUE,Setup!O19,""),"")</f>
        <v/>
      </c>
      <c r="C124" s="367"/>
      <c r="D124" s="367"/>
      <c r="E124" s="367"/>
      <c r="F124" s="442"/>
      <c r="G124" s="684"/>
      <c r="H124" s="684"/>
      <c r="I124" s="388" t="str">
        <f>IF(Setup!$P$10="Yes",IF(ISTEXT(Setup!O19)=TRUE,Setup!O19,""),"")</f>
        <v/>
      </c>
      <c r="J124" s="389"/>
      <c r="K124" s="389"/>
      <c r="L124" s="389"/>
      <c r="M124" s="446"/>
      <c r="N124" s="345"/>
      <c r="O124" s="406" t="str">
        <f>IF(Setup!P$25="Yes",IF(ISTEXT(Setup!O33)=TRUE,Setup!O33,""),"")</f>
        <v/>
      </c>
      <c r="P124" s="407"/>
      <c r="Q124" s="407"/>
      <c r="R124" s="407"/>
      <c r="S124" s="408"/>
      <c r="T124" s="447">
        <v>33.327272727272728</v>
      </c>
      <c r="U124" s="400"/>
      <c r="V124" s="714" t="str">
        <f>IF(Setup!$P$10="Yes",IF(ISTEXT(Setup!O19)=TRUE,Setup!O19,""),"")</f>
        <v/>
      </c>
      <c r="W124" s="715"/>
      <c r="X124" s="715"/>
      <c r="Y124" s="715"/>
      <c r="Z124" s="716"/>
      <c r="AA124" s="448"/>
      <c r="AB124" s="710"/>
      <c r="AC124" s="710"/>
    </row>
    <row r="125" spans="1:29" s="357" customFormat="1" x14ac:dyDescent="0.25">
      <c r="A125" s="353"/>
      <c r="B125" s="376" t="str">
        <f>IF(Setup!$P$10="Yes",IF(ISTEXT(Setup!O20)=TRUE,Setup!O20,""),"")</f>
        <v/>
      </c>
      <c r="C125" s="367"/>
      <c r="D125" s="367"/>
      <c r="E125" s="367"/>
      <c r="F125" s="442"/>
      <c r="G125" s="684"/>
      <c r="H125" s="684"/>
      <c r="I125" s="388" t="str">
        <f>IF(Setup!$P$10="Yes",IF(ISTEXT(Setup!O20)=TRUE,Setup!O20,""),"")</f>
        <v/>
      </c>
      <c r="J125" s="389"/>
      <c r="K125" s="389"/>
      <c r="L125" s="389"/>
      <c r="M125" s="446"/>
      <c r="N125" s="345"/>
      <c r="O125" s="406" t="str">
        <f>IF(Setup!P$25="Yes",IF(ISTEXT(Setup!O34)=TRUE,Setup!O34,""),"")</f>
        <v/>
      </c>
      <c r="P125" s="407"/>
      <c r="Q125" s="407"/>
      <c r="R125" s="407"/>
      <c r="S125" s="408"/>
      <c r="T125" s="447"/>
      <c r="U125" s="400"/>
      <c r="V125" s="714" t="str">
        <f>IF(Setup!$P$10="Yes",IF(ISTEXT(Setup!O20)=TRUE,Setup!O20,""),"")</f>
        <v/>
      </c>
      <c r="W125" s="715"/>
      <c r="X125" s="715"/>
      <c r="Y125" s="715"/>
      <c r="Z125" s="716"/>
      <c r="AA125" s="448"/>
      <c r="AB125" s="710"/>
      <c r="AC125" s="710"/>
    </row>
    <row r="126" spans="1:29" s="357" customFormat="1" x14ac:dyDescent="0.25">
      <c r="A126" s="353"/>
      <c r="B126" s="376" t="str">
        <f>IF(Setup!$P$10="Yes",IF(ISTEXT(Setup!O21)=TRUE,Setup!O21,""),"")</f>
        <v/>
      </c>
      <c r="C126" s="367"/>
      <c r="D126" s="367"/>
      <c r="E126" s="367"/>
      <c r="F126" s="442"/>
      <c r="G126" s="684"/>
      <c r="H126" s="684"/>
      <c r="I126" s="388" t="str">
        <f>IF(Setup!$P$10="Yes",IF(ISTEXT(Setup!O21)=TRUE,Setup!O21,""),"")</f>
        <v/>
      </c>
      <c r="J126" s="389"/>
      <c r="K126" s="389"/>
      <c r="L126" s="389"/>
      <c r="M126" s="446"/>
      <c r="N126" s="345"/>
      <c r="O126" s="406" t="str">
        <f>IF(Setup!P$25="Yes",IF(ISTEXT(Setup!O35)=TRUE,Setup!O35,""),"")</f>
        <v/>
      </c>
      <c r="P126" s="407"/>
      <c r="Q126" s="407"/>
      <c r="R126" s="407"/>
      <c r="S126" s="408"/>
      <c r="T126" s="447"/>
      <c r="U126" s="400"/>
      <c r="V126" s="714" t="str">
        <f>IF(Setup!$P$10="Yes",IF(ISTEXT(Setup!O21)=TRUE,Setup!O21,""),"")</f>
        <v/>
      </c>
      <c r="W126" s="715"/>
      <c r="X126" s="715"/>
      <c r="Y126" s="715"/>
      <c r="Z126" s="716"/>
      <c r="AA126" s="448"/>
      <c r="AB126" s="710"/>
      <c r="AC126" s="710"/>
    </row>
    <row r="127" spans="1:29" s="357" customFormat="1" x14ac:dyDescent="0.25">
      <c r="A127" s="353"/>
      <c r="B127" s="377" t="str">
        <f>IF(Setup!$P$10="Yes",IF(ISTEXT(Setup!O22)=TRUE,Setup!O22,""),"")</f>
        <v/>
      </c>
      <c r="C127" s="370"/>
      <c r="D127" s="370"/>
      <c r="E127" s="370"/>
      <c r="F127" s="442"/>
      <c r="G127" s="684"/>
      <c r="H127" s="684"/>
      <c r="I127" s="409" t="str">
        <f>IF(Setup!$P$10="Yes",IF(ISTEXT(Setup!O22)=TRUE,Setup!O22,""),"")</f>
        <v/>
      </c>
      <c r="J127" s="410"/>
      <c r="K127" s="410"/>
      <c r="L127" s="410"/>
      <c r="M127" s="446"/>
      <c r="N127" s="345"/>
      <c r="O127" s="406" t="str">
        <f>IF(Setup!P$25="Yes",IF(ISTEXT(Setup!O36)=TRUE,Setup!O36,""),"")</f>
        <v/>
      </c>
      <c r="P127" s="407"/>
      <c r="Q127" s="407"/>
      <c r="R127" s="407"/>
      <c r="S127" s="408"/>
      <c r="T127" s="447"/>
      <c r="U127" s="400"/>
      <c r="V127" s="717" t="str">
        <f>IF(Setup!$P$10="Yes",IF(ISTEXT(Setup!O22)=TRUE,Setup!O22,""),"")</f>
        <v/>
      </c>
      <c r="W127" s="718"/>
      <c r="X127" s="718"/>
      <c r="Y127" s="718"/>
      <c r="Z127" s="719"/>
      <c r="AA127" s="448"/>
      <c r="AB127" s="710"/>
      <c r="AC127" s="710"/>
    </row>
    <row r="128" spans="1:29" s="357" customFormat="1" x14ac:dyDescent="0.25">
      <c r="A128" s="353"/>
      <c r="B128" s="337"/>
      <c r="C128" s="337"/>
      <c r="D128" s="337"/>
      <c r="E128" s="337"/>
      <c r="F128" s="337"/>
      <c r="G128" s="337"/>
      <c r="H128" s="337"/>
      <c r="I128" s="345"/>
      <c r="J128" s="345"/>
      <c r="K128" s="345"/>
      <c r="L128" s="345"/>
      <c r="M128" s="345"/>
      <c r="N128" s="337"/>
      <c r="O128" s="406" t="str">
        <f>IF(Setup!P$25="Yes",IF(ISTEXT(Setup!O37)=TRUE,Setup!O37,""),"")</f>
        <v/>
      </c>
      <c r="P128" s="407"/>
      <c r="Q128" s="407"/>
      <c r="R128" s="407"/>
      <c r="S128" s="408"/>
      <c r="T128" s="447"/>
      <c r="U128" s="400"/>
      <c r="V128" s="345"/>
      <c r="W128" s="337"/>
      <c r="X128" s="337"/>
      <c r="Y128" s="337"/>
      <c r="Z128" s="337"/>
      <c r="AA128" s="337"/>
      <c r="AB128" s="355"/>
      <c r="AC128" s="355"/>
    </row>
    <row r="129" spans="1:29" s="357" customFormat="1" x14ac:dyDescent="0.25">
      <c r="A129" s="353"/>
      <c r="B129" s="337"/>
      <c r="C129" s="345"/>
      <c r="D129" s="345"/>
      <c r="E129" s="345"/>
      <c r="F129" s="345"/>
      <c r="G129" s="345"/>
      <c r="H129" s="345"/>
      <c r="I129" s="684"/>
      <c r="J129" s="684"/>
      <c r="K129" s="684"/>
      <c r="L129" s="684"/>
      <c r="M129" s="345"/>
      <c r="N129" s="345"/>
      <c r="O129" s="411" t="s">
        <v>165</v>
      </c>
      <c r="P129" s="412"/>
      <c r="Q129" s="412"/>
      <c r="R129" s="412"/>
      <c r="S129" s="413"/>
      <c r="T129" s="386" t="str">
        <f>IF(ISNUMBER(T118/T117)=FALSE,"N/A",T118/T117)</f>
        <v>N/A</v>
      </c>
      <c r="U129" s="400"/>
      <c r="V129" s="375" t="s">
        <v>156</v>
      </c>
      <c r="W129" s="361"/>
      <c r="X129" s="361"/>
      <c r="Y129" s="361"/>
      <c r="Z129" s="362"/>
      <c r="AA129" s="442"/>
      <c r="AB129" s="710"/>
      <c r="AC129" s="710"/>
    </row>
    <row r="130" spans="1:29" s="357" customFormat="1" ht="30" customHeight="1" x14ac:dyDescent="0.25">
      <c r="A130" s="353"/>
      <c r="B130" s="751" t="s">
        <v>166</v>
      </c>
      <c r="C130" s="752"/>
      <c r="D130" s="752"/>
      <c r="E130" s="752"/>
      <c r="F130" s="753"/>
      <c r="G130" s="337"/>
      <c r="H130" s="337"/>
      <c r="I130" s="684"/>
      <c r="J130" s="684"/>
      <c r="K130" s="684"/>
      <c r="L130" s="684"/>
      <c r="M130" s="345"/>
      <c r="N130" s="337"/>
      <c r="O130" s="345"/>
      <c r="P130" s="345"/>
      <c r="Q130" s="345"/>
      <c r="R130" s="345"/>
      <c r="S130" s="684"/>
      <c r="T130" s="684"/>
      <c r="U130" s="345"/>
      <c r="V130" s="748" t="s">
        <v>157</v>
      </c>
      <c r="W130" s="749"/>
      <c r="X130" s="749"/>
      <c r="Y130" s="749"/>
      <c r="Z130" s="750"/>
      <c r="AA130" s="442" t="s">
        <v>786</v>
      </c>
      <c r="AB130" s="710"/>
      <c r="AC130" s="710"/>
    </row>
    <row r="131" spans="1:29" s="353" customFormat="1" ht="30" customHeight="1" x14ac:dyDescent="0.25">
      <c r="B131" s="756" t="str">
        <f>IF(ISTEXT(Parameters!H21)=TRUE,Parameters!H21,"")</f>
        <v>fall in all yield curves (local currency only) by 100 bps</v>
      </c>
      <c r="C131" s="757"/>
      <c r="D131" s="757"/>
      <c r="E131" s="757"/>
      <c r="F131" s="758"/>
      <c r="G131" s="740">
        <v>1000</v>
      </c>
      <c r="H131" s="741"/>
      <c r="I131" s="345"/>
      <c r="J131" s="345"/>
      <c r="K131" s="345"/>
      <c r="L131" s="345"/>
      <c r="M131" s="345"/>
      <c r="N131" s="345"/>
      <c r="O131" s="345"/>
      <c r="P131" s="345"/>
      <c r="Q131" s="345"/>
      <c r="R131" s="345"/>
      <c r="S131" s="345"/>
      <c r="T131" s="345"/>
      <c r="U131" s="337"/>
      <c r="V131" s="337"/>
      <c r="W131" s="337"/>
      <c r="X131" s="337"/>
      <c r="Y131" s="337"/>
      <c r="Z131" s="337"/>
      <c r="AA131" s="337"/>
    </row>
    <row r="132" spans="1:29" s="353" customFormat="1" ht="30" customHeight="1" x14ac:dyDescent="0.25">
      <c r="B132" s="737" t="str">
        <f>IF(ISTEXT(Parameters!H22)=TRUE,Parameters!H22,"")</f>
        <v>increase in all yield curves (local currency only) by 100 bps</v>
      </c>
      <c r="C132" s="738"/>
      <c r="D132" s="738"/>
      <c r="E132" s="738"/>
      <c r="F132" s="739"/>
      <c r="G132" s="740">
        <v>1000</v>
      </c>
      <c r="H132" s="741"/>
      <c r="I132" s="345"/>
      <c r="J132" s="345"/>
      <c r="K132" s="345"/>
      <c r="L132" s="345"/>
      <c r="M132" s="345"/>
      <c r="N132" s="345"/>
      <c r="O132" s="337"/>
      <c r="P132" s="337"/>
      <c r="Q132" s="337"/>
      <c r="R132" s="337"/>
      <c r="S132" s="337"/>
      <c r="T132" s="337"/>
      <c r="U132" s="337"/>
      <c r="V132" s="337"/>
      <c r="W132" s="337"/>
      <c r="X132" s="337"/>
      <c r="Y132" s="337"/>
      <c r="Z132" s="337"/>
      <c r="AA132" s="337"/>
    </row>
    <row r="133" spans="1:29" s="353" customFormat="1" ht="15" customHeight="1" x14ac:dyDescent="0.25">
      <c r="B133" s="737" t="str">
        <f>IF(ISTEXT(Parameters!H23)=TRUE,Parameters!H23,"")</f>
        <v>fall in all yield curves (worldwide) by 100 bps</v>
      </c>
      <c r="C133" s="738"/>
      <c r="D133" s="738"/>
      <c r="E133" s="738"/>
      <c r="F133" s="739"/>
      <c r="G133" s="740">
        <v>1000</v>
      </c>
      <c r="H133" s="741"/>
      <c r="I133" s="345"/>
      <c r="J133" s="345"/>
      <c r="K133" s="345"/>
      <c r="L133" s="345"/>
      <c r="M133" s="345"/>
      <c r="N133" s="345"/>
      <c r="O133" s="337"/>
      <c r="P133" s="337"/>
      <c r="Q133" s="337"/>
      <c r="R133" s="337"/>
      <c r="S133" s="337"/>
      <c r="T133" s="337"/>
      <c r="U133" s="337"/>
      <c r="V133" s="337"/>
      <c r="W133" s="337"/>
      <c r="X133" s="337"/>
      <c r="Y133" s="337"/>
      <c r="Z133" s="337"/>
      <c r="AA133" s="337"/>
    </row>
    <row r="134" spans="1:29" s="353" customFormat="1" ht="15" customHeight="1" x14ac:dyDescent="0.25">
      <c r="B134" s="737" t="str">
        <f>IF(ISTEXT(Parameters!H24)=TRUE,Parameters!H24,"")</f>
        <v>increase in all yield curves (worldwide) by 100 bps</v>
      </c>
      <c r="C134" s="738"/>
      <c r="D134" s="738"/>
      <c r="E134" s="738"/>
      <c r="F134" s="739"/>
      <c r="G134" s="740">
        <v>1000</v>
      </c>
      <c r="H134" s="741"/>
      <c r="I134" s="345"/>
      <c r="J134" s="345"/>
      <c r="K134" s="345"/>
      <c r="L134" s="345"/>
      <c r="M134" s="345"/>
      <c r="N134" s="345"/>
      <c r="O134" s="337"/>
      <c r="P134" s="337"/>
      <c r="Q134" s="337"/>
      <c r="R134" s="337"/>
      <c r="S134" s="337"/>
      <c r="T134" s="337"/>
      <c r="U134" s="337"/>
      <c r="V134" s="337"/>
      <c r="W134" s="337"/>
      <c r="X134" s="337"/>
      <c r="Y134" s="337"/>
      <c r="Z134" s="337"/>
      <c r="AA134" s="337"/>
    </row>
    <row r="135" spans="1:29" s="353" customFormat="1" ht="15" customHeight="1" x14ac:dyDescent="0.25">
      <c r="B135" s="737" t="str">
        <f>IF(ISTEXT(Parameters!H25)=TRUE,Parameters!H25,"")</f>
        <v>fall in all yield curves (worldwide) by 200 bps</v>
      </c>
      <c r="C135" s="738"/>
      <c r="D135" s="738"/>
      <c r="E135" s="738"/>
      <c r="F135" s="739"/>
      <c r="G135" s="740">
        <v>1000</v>
      </c>
      <c r="H135" s="741"/>
      <c r="I135" s="345"/>
      <c r="J135" s="345"/>
      <c r="K135" s="345"/>
      <c r="L135" s="345"/>
      <c r="M135" s="345"/>
      <c r="N135" s="345"/>
      <c r="O135" s="337"/>
      <c r="P135" s="337"/>
      <c r="Q135" s="337"/>
      <c r="R135" s="337"/>
      <c r="S135" s="337"/>
      <c r="T135" s="337"/>
      <c r="U135" s="337"/>
      <c r="V135" s="337"/>
      <c r="W135" s="337"/>
      <c r="X135" s="337"/>
      <c r="Y135" s="337"/>
      <c r="Z135" s="337"/>
      <c r="AA135" s="337"/>
    </row>
    <row r="136" spans="1:29" s="353" customFormat="1" ht="15" customHeight="1" x14ac:dyDescent="0.25">
      <c r="B136" s="737" t="str">
        <f>IF(ISTEXT(Parameters!H26)=TRUE,Parameters!H26,"")</f>
        <v>increase in all yield curves (worldwide) by 200 bps</v>
      </c>
      <c r="C136" s="738"/>
      <c r="D136" s="738"/>
      <c r="E136" s="738"/>
      <c r="F136" s="739"/>
      <c r="G136" s="740">
        <v>1000</v>
      </c>
      <c r="H136" s="741"/>
      <c r="I136" s="345"/>
      <c r="J136" s="345"/>
      <c r="K136" s="345"/>
      <c r="L136" s="345"/>
      <c r="M136" s="345"/>
      <c r="N136" s="345"/>
      <c r="O136" s="337"/>
      <c r="P136" s="337"/>
      <c r="Q136" s="337"/>
      <c r="R136" s="337"/>
      <c r="S136" s="337"/>
      <c r="T136" s="337"/>
      <c r="U136" s="337"/>
      <c r="V136" s="337"/>
      <c r="W136" s="337"/>
      <c r="X136" s="337"/>
      <c r="Y136" s="337"/>
      <c r="Z136" s="337"/>
      <c r="AA136" s="337"/>
    </row>
    <row r="137" spans="1:29" s="353" customFormat="1" ht="15" customHeight="1" x14ac:dyDescent="0.25">
      <c r="B137" s="737" t="str">
        <f>IF(ISTEXT(Parameters!H27)=TRUE,Parameters!H27,"")</f>
        <v>fall in all yield curves greater than 12 months (worldwide) by 100 bps</v>
      </c>
      <c r="C137" s="738"/>
      <c r="D137" s="738"/>
      <c r="E137" s="738"/>
      <c r="F137" s="739"/>
      <c r="G137" s="740">
        <v>1000</v>
      </c>
      <c r="H137" s="741"/>
      <c r="I137" s="345"/>
      <c r="J137" s="345"/>
      <c r="K137" s="345"/>
      <c r="L137" s="345"/>
      <c r="M137" s="345"/>
      <c r="N137" s="345"/>
      <c r="O137" s="345"/>
      <c r="P137" s="345"/>
      <c r="Q137" s="345"/>
      <c r="R137" s="345"/>
      <c r="S137" s="345"/>
      <c r="T137" s="345"/>
      <c r="U137" s="345"/>
      <c r="V137" s="337"/>
      <c r="W137" s="337"/>
      <c r="X137" s="337"/>
      <c r="Y137" s="337"/>
      <c r="Z137" s="337"/>
      <c r="AA137" s="337"/>
    </row>
    <row r="138" spans="1:29" s="353" customFormat="1" ht="15" customHeight="1" x14ac:dyDescent="0.25">
      <c r="B138" s="737" t="str">
        <f>IF(ISTEXT(Parameters!H28)=TRUE,Parameters!H28,"")</f>
        <v>increase in all yield curves greater than 12 months (worldwide) by 100 bps</v>
      </c>
      <c r="C138" s="738"/>
      <c r="D138" s="738"/>
      <c r="E138" s="738"/>
      <c r="F138" s="739"/>
      <c r="G138" s="740">
        <v>1000</v>
      </c>
      <c r="H138" s="741"/>
      <c r="I138" s="345"/>
      <c r="J138" s="345"/>
      <c r="K138" s="345"/>
      <c r="L138" s="345"/>
      <c r="M138" s="345"/>
      <c r="N138" s="345"/>
      <c r="O138" s="345"/>
      <c r="P138" s="345"/>
      <c r="Q138" s="345"/>
      <c r="R138" s="345"/>
      <c r="S138" s="345"/>
      <c r="T138" s="345"/>
      <c r="U138" s="345"/>
      <c r="V138" s="337"/>
      <c r="W138" s="337"/>
      <c r="X138" s="337"/>
      <c r="Y138" s="337"/>
      <c r="Z138" s="337"/>
      <c r="AA138" s="337"/>
    </row>
    <row r="139" spans="1:29" s="353" customFormat="1" ht="15" customHeight="1" x14ac:dyDescent="0.25">
      <c r="B139" s="737" t="str">
        <f>IF(ISTEXT(Parameters!H29)=TRUE,Parameters!H29,"")</f>
        <v/>
      </c>
      <c r="C139" s="738"/>
      <c r="D139" s="738"/>
      <c r="E139" s="738"/>
      <c r="F139" s="739"/>
      <c r="G139" s="833"/>
      <c r="H139" s="834"/>
      <c r="I139" s="337"/>
      <c r="J139" s="337"/>
      <c r="K139" s="337"/>
      <c r="L139" s="337"/>
      <c r="M139" s="337"/>
      <c r="N139" s="345"/>
      <c r="O139" s="345"/>
      <c r="P139" s="345"/>
      <c r="Q139" s="345"/>
      <c r="R139" s="345"/>
      <c r="S139" s="345"/>
      <c r="T139" s="345"/>
      <c r="U139" s="345"/>
      <c r="V139" s="337"/>
      <c r="W139" s="337"/>
      <c r="X139" s="337"/>
      <c r="Y139" s="337"/>
      <c r="Z139" s="337"/>
      <c r="AA139" s="337"/>
    </row>
    <row r="140" spans="1:29" s="353" customFormat="1" x14ac:dyDescent="0.25">
      <c r="B140" s="812" t="str">
        <f>IF(ISTEXT(Parameters!H30)=TRUE,Parameters!H30,"")</f>
        <v/>
      </c>
      <c r="C140" s="813"/>
      <c r="D140" s="813"/>
      <c r="E140" s="813"/>
      <c r="F140" s="814"/>
      <c r="G140" s="687"/>
      <c r="H140" s="687"/>
      <c r="I140" s="345"/>
      <c r="J140" s="345"/>
      <c r="K140" s="345"/>
      <c r="L140" s="345"/>
      <c r="M140" s="345"/>
      <c r="N140" s="398"/>
      <c r="O140" s="398"/>
      <c r="P140" s="398"/>
      <c r="Q140" s="398"/>
      <c r="R140" s="398"/>
      <c r="S140" s="345"/>
      <c r="T140" s="345"/>
      <c r="U140" s="345"/>
      <c r="V140" s="337"/>
      <c r="W140" s="337"/>
      <c r="X140" s="337"/>
      <c r="Y140" s="337"/>
      <c r="Z140" s="337"/>
      <c r="AA140" s="337"/>
    </row>
    <row r="141" spans="1:29" s="353" customFormat="1" x14ac:dyDescent="0.25">
      <c r="B141" s="345"/>
      <c r="C141" s="337"/>
      <c r="D141" s="337"/>
      <c r="E141" s="337"/>
      <c r="F141" s="337" t="e">
        <v>#N/A</v>
      </c>
      <c r="G141" s="337"/>
      <c r="H141" s="337"/>
      <c r="I141" s="337"/>
      <c r="J141" s="337"/>
      <c r="K141" s="337"/>
      <c r="L141" s="337"/>
      <c r="M141" s="337"/>
      <c r="N141" s="692"/>
      <c r="O141" s="692"/>
      <c r="P141" s="692"/>
      <c r="Q141" s="692"/>
      <c r="R141" s="692"/>
      <c r="S141" s="684"/>
      <c r="T141" s="684"/>
      <c r="U141" s="345"/>
      <c r="V141" s="337"/>
      <c r="W141" s="337"/>
      <c r="X141" s="337"/>
      <c r="Y141" s="337"/>
      <c r="Z141" s="337"/>
      <c r="AA141" s="337"/>
    </row>
    <row r="142" spans="1:29" s="353" customFormat="1" x14ac:dyDescent="0.25">
      <c r="B142" s="835" t="s">
        <v>175</v>
      </c>
      <c r="C142" s="835"/>
      <c r="D142" s="835"/>
      <c r="E142" s="835"/>
      <c r="F142" s="835"/>
      <c r="G142" s="687"/>
      <c r="H142" s="687"/>
      <c r="I142" s="345"/>
      <c r="J142" s="345"/>
      <c r="K142" s="345"/>
      <c r="L142" s="345"/>
      <c r="M142" s="345"/>
      <c r="N142" s="692"/>
      <c r="O142" s="692"/>
      <c r="P142" s="692"/>
      <c r="Q142" s="692"/>
      <c r="R142" s="692"/>
      <c r="S142" s="684"/>
      <c r="T142" s="684"/>
      <c r="U142" s="345"/>
      <c r="V142" s="337"/>
      <c r="W142" s="337"/>
      <c r="X142" s="337"/>
      <c r="Y142" s="337"/>
      <c r="Z142" s="337"/>
      <c r="AA142" s="337"/>
    </row>
    <row r="143" spans="1:29" s="353" customFormat="1" x14ac:dyDescent="0.25">
      <c r="B143" s="379"/>
      <c r="C143" s="379"/>
      <c r="D143" s="414"/>
      <c r="E143" s="414"/>
      <c r="F143" s="414"/>
      <c r="G143" s="414"/>
      <c r="H143" s="414"/>
      <c r="I143" s="691"/>
      <c r="J143" s="691"/>
      <c r="K143" s="691"/>
      <c r="L143" s="691"/>
      <c r="M143" s="379"/>
      <c r="N143" s="379"/>
      <c r="O143" s="379"/>
      <c r="P143" s="379"/>
      <c r="Q143" s="379"/>
      <c r="R143" s="379"/>
      <c r="S143" s="691"/>
      <c r="T143" s="691"/>
      <c r="U143" s="379"/>
      <c r="V143" s="379"/>
      <c r="W143" s="379"/>
      <c r="X143" s="379"/>
      <c r="Y143" s="379"/>
      <c r="Z143" s="379"/>
      <c r="AA143" s="379"/>
    </row>
    <row r="144" spans="1:29" s="353" customFormat="1" x14ac:dyDescent="0.25">
      <c r="B144" s="337"/>
      <c r="C144" s="337"/>
      <c r="D144" s="337"/>
      <c r="E144" s="337"/>
      <c r="F144" s="337"/>
      <c r="G144" s="337"/>
      <c r="H144" s="337"/>
      <c r="I144" s="345"/>
      <c r="J144" s="345"/>
      <c r="K144" s="337"/>
      <c r="L144" s="337"/>
      <c r="M144" s="337"/>
      <c r="N144" s="337"/>
      <c r="O144" s="337"/>
      <c r="P144" s="337"/>
      <c r="Q144" s="337"/>
      <c r="R144" s="337"/>
      <c r="S144" s="337"/>
      <c r="T144" s="337"/>
      <c r="U144" s="337"/>
      <c r="V144" s="337"/>
      <c r="W144" s="337"/>
      <c r="X144" s="337"/>
      <c r="Y144" s="337"/>
      <c r="Z144" s="337"/>
      <c r="AA144" s="337"/>
    </row>
    <row r="145" spans="2:27" s="353" customFormat="1" ht="18.75" x14ac:dyDescent="0.25">
      <c r="B145" s="384" t="s">
        <v>176</v>
      </c>
      <c r="C145" s="381"/>
      <c r="D145" s="381"/>
      <c r="E145" s="381"/>
      <c r="F145" s="381"/>
      <c r="G145" s="381"/>
      <c r="H145" s="381"/>
      <c r="I145" s="381"/>
      <c r="J145" s="381"/>
      <c r="K145" s="381"/>
      <c r="L145" s="381"/>
      <c r="M145" s="381"/>
      <c r="N145" s="381"/>
      <c r="O145" s="381"/>
      <c r="P145" s="381"/>
      <c r="Q145" s="381"/>
      <c r="R145" s="381"/>
      <c r="S145" s="381"/>
      <c r="T145" s="381"/>
      <c r="U145" s="381"/>
      <c r="V145" s="381"/>
      <c r="W145" s="381"/>
      <c r="X145" s="381"/>
      <c r="Y145" s="381"/>
      <c r="Z145" s="381"/>
      <c r="AA145" s="381"/>
    </row>
    <row r="146" spans="2:27" s="353" customFormat="1" ht="18.75" x14ac:dyDescent="0.25">
      <c r="B146" s="415"/>
      <c r="C146" s="337"/>
      <c r="D146" s="337"/>
      <c r="E146" s="337"/>
      <c r="F146" s="337"/>
      <c r="G146" s="337"/>
      <c r="H146" s="337"/>
      <c r="I146" s="345"/>
      <c r="J146" s="415" t="str">
        <f>IF(Setup!$H$10="No","Granular credit sectors not included in analysis","")</f>
        <v/>
      </c>
      <c r="K146" s="337"/>
      <c r="L146" s="337"/>
      <c r="M146" s="337"/>
      <c r="N146" s="337"/>
      <c r="O146" s="337"/>
      <c r="P146" s="337"/>
      <c r="Q146" s="337"/>
      <c r="R146" s="337"/>
      <c r="S146" s="337"/>
      <c r="T146" s="337"/>
      <c r="U146" s="337"/>
      <c r="V146" s="337"/>
      <c r="W146" s="337"/>
      <c r="X146" s="337"/>
      <c r="Y146" s="337"/>
      <c r="Z146" s="337"/>
      <c r="AA146" s="337"/>
    </row>
    <row r="147" spans="2:27" s="353" customFormat="1" x14ac:dyDescent="0.25">
      <c r="B147" s="761" t="s">
        <v>177</v>
      </c>
      <c r="C147" s="762"/>
      <c r="D147" s="762"/>
      <c r="E147" s="762"/>
      <c r="F147" s="763"/>
      <c r="G147" s="693">
        <f>IF(SUM(G148:H154,O148:P154,Y148:Z153)&gt;0,SUM(G148:H154,O148:P154,Y148:Z153),M110)</f>
        <v>2823.3477272727273</v>
      </c>
      <c r="H147" s="694"/>
      <c r="I147" s="416"/>
      <c r="J147" s="398"/>
      <c r="K147" s="398"/>
      <c r="L147" s="398"/>
      <c r="M147" s="398"/>
      <c r="N147" s="684"/>
      <c r="O147" s="684"/>
      <c r="P147" s="337"/>
      <c r="Q147" s="337"/>
      <c r="R147" s="337"/>
      <c r="S147" s="337"/>
      <c r="T147" s="337"/>
      <c r="U147" s="337"/>
      <c r="V147" s="337"/>
      <c r="W147" s="337"/>
      <c r="X147" s="337"/>
      <c r="Y147" s="337"/>
      <c r="Z147" s="337"/>
      <c r="AA147" s="337"/>
    </row>
    <row r="148" spans="2:27" s="353" customFormat="1" x14ac:dyDescent="0.25">
      <c r="B148" s="764" t="str">
        <f>IF(Setup!H$10="Yes",IF(ISTEXT(Setup!G13)=TRUE,Setup!G13,""),"")</f>
        <v>Government and quasi-government</v>
      </c>
      <c r="C148" s="765"/>
      <c r="D148" s="765"/>
      <c r="E148" s="765"/>
      <c r="F148" s="766"/>
      <c r="G148" s="689">
        <v>273.27272727272731</v>
      </c>
      <c r="H148" s="690"/>
      <c r="I148" s="345"/>
      <c r="J148" s="764" t="str">
        <f>IF(Setup!H$10="Yes",IF(ISTEXT(Setup!G20)=TRUE,Setup!G20,""),"")</f>
        <v>Media &amp; Publishing</v>
      </c>
      <c r="K148" s="765"/>
      <c r="L148" s="765"/>
      <c r="M148" s="765"/>
      <c r="N148" s="766"/>
      <c r="O148" s="688">
        <v>0</v>
      </c>
      <c r="P148" s="688"/>
      <c r="Q148" s="337"/>
      <c r="R148" s="337"/>
      <c r="S148" s="824" t="str">
        <f>IF(Setup!H$10="Yes",IF(ISTEXT(Setup!G27)=TRUE,Setup!G27,""),"")</f>
        <v>Households - Consumer Credit &amp; Credit Cards</v>
      </c>
      <c r="T148" s="825"/>
      <c r="U148" s="825"/>
      <c r="V148" s="825"/>
      <c r="W148" s="825"/>
      <c r="X148" s="826"/>
      <c r="Y148" s="810">
        <v>0</v>
      </c>
      <c r="Z148" s="811"/>
      <c r="AA148" s="337"/>
    </row>
    <row r="149" spans="2:27" s="353" customFormat="1" x14ac:dyDescent="0.25">
      <c r="B149" s="698" t="str">
        <f>IF(Setup!H$10="Yes",IF(ISTEXT(Setup!G14)=TRUE,Setup!G14,""),"")</f>
        <v>Other Public Sector</v>
      </c>
      <c r="C149" s="699"/>
      <c r="D149" s="699"/>
      <c r="E149" s="699"/>
      <c r="F149" s="700"/>
      <c r="G149" s="689">
        <v>0</v>
      </c>
      <c r="H149" s="690"/>
      <c r="I149" s="345"/>
      <c r="J149" s="698" t="str">
        <f>IF(Setup!H$10="Yes",IF(ISTEXT(Setup!G21)=TRUE,Setup!G21,""),"")</f>
        <v>Retail &amp; Distribution</v>
      </c>
      <c r="K149" s="699"/>
      <c r="L149" s="699"/>
      <c r="M149" s="699"/>
      <c r="N149" s="700"/>
      <c r="O149" s="688">
        <v>182.4</v>
      </c>
      <c r="P149" s="688"/>
      <c r="Q149" s="337"/>
      <c r="R149" s="337"/>
      <c r="S149" s="827" t="str">
        <f>IF(Setup!H$10="Yes",IF(ISTEXT(Setup!G28)=TRUE,Setup!G28,""),"")</f>
        <v>Construction</v>
      </c>
      <c r="T149" s="828"/>
      <c r="U149" s="828"/>
      <c r="V149" s="828"/>
      <c r="W149" s="828"/>
      <c r="X149" s="829"/>
      <c r="Y149" s="810">
        <v>176.59090909090909</v>
      </c>
      <c r="Z149" s="811"/>
      <c r="AA149" s="337"/>
    </row>
    <row r="150" spans="2:27" s="353" customFormat="1" x14ac:dyDescent="0.25">
      <c r="B150" s="698" t="str">
        <f>IF(Setup!H$10="Yes",IF(ISTEXT(Setup!G15)=TRUE,Setup!G15,""),"")</f>
        <v>Banks</v>
      </c>
      <c r="C150" s="699"/>
      <c r="D150" s="699"/>
      <c r="E150" s="699"/>
      <c r="F150" s="700"/>
      <c r="G150" s="689">
        <v>92.836363636363643</v>
      </c>
      <c r="H150" s="690"/>
      <c r="I150" s="345"/>
      <c r="J150" s="698" t="str">
        <f>IF(Setup!H$10="Yes",IF(ISTEXT(Setup!G22)=TRUE,Setup!G22,""),"")</f>
        <v>Technology</v>
      </c>
      <c r="K150" s="699"/>
      <c r="L150" s="699"/>
      <c r="M150" s="699"/>
      <c r="N150" s="700"/>
      <c r="O150" s="688">
        <v>0</v>
      </c>
      <c r="P150" s="688"/>
      <c r="Q150" s="337"/>
      <c r="R150" s="337"/>
      <c r="S150" s="827" t="str">
        <f>IF(Setup!H$10="Yes",IF(ISTEXT(Setup!G29)=TRUE,Setup!G29,""),"")</f>
        <v>Securitization</v>
      </c>
      <c r="T150" s="828"/>
      <c r="U150" s="828"/>
      <c r="V150" s="828"/>
      <c r="W150" s="828"/>
      <c r="X150" s="829"/>
      <c r="Y150" s="810">
        <v>0</v>
      </c>
      <c r="Z150" s="811"/>
      <c r="AA150" s="337"/>
    </row>
    <row r="151" spans="2:27" s="353" customFormat="1" x14ac:dyDescent="0.25">
      <c r="B151" s="698" t="str">
        <f>IF(Setup!H$10="Yes",IF(ISTEXT(Setup!G16)=TRUE,Setup!G16,""),"")</f>
        <v xml:space="preserve">Other Financials &amp; Real Estate </v>
      </c>
      <c r="C151" s="699"/>
      <c r="D151" s="699"/>
      <c r="E151" s="699"/>
      <c r="F151" s="700"/>
      <c r="G151" s="689">
        <v>0</v>
      </c>
      <c r="H151" s="690"/>
      <c r="I151" s="345"/>
      <c r="J151" s="698" t="str">
        <f>IF(Setup!H$10="Yes",IF(ISTEXT(Setup!G23)=TRUE,Setup!G23,""),"")</f>
        <v xml:space="preserve">Transportation </v>
      </c>
      <c r="K151" s="699"/>
      <c r="L151" s="699"/>
      <c r="M151" s="699"/>
      <c r="N151" s="700"/>
      <c r="O151" s="688">
        <v>47.018181818181823</v>
      </c>
      <c r="P151" s="688"/>
      <c r="Q151" s="337"/>
      <c r="R151" s="337"/>
      <c r="S151" s="827" t="str">
        <f>IF(Setup!H$10="Yes",IF(ISTEXT(Setup!G30)=TRUE,Setup!G30,""),"")</f>
        <v>Derivatives</v>
      </c>
      <c r="T151" s="828"/>
      <c r="U151" s="828"/>
      <c r="V151" s="828"/>
      <c r="W151" s="828"/>
      <c r="X151" s="829"/>
      <c r="Y151" s="810">
        <v>0</v>
      </c>
      <c r="Z151" s="811"/>
      <c r="AA151" s="337"/>
    </row>
    <row r="152" spans="2:27" s="353" customFormat="1" x14ac:dyDescent="0.25">
      <c r="B152" s="698" t="str">
        <f>IF(Setup!H$10="Yes",IF(ISTEXT(Setup!G17)=TRUE,Setup!G17,""),"")</f>
        <v>Capital Industries</v>
      </c>
      <c r="C152" s="699"/>
      <c r="D152" s="699"/>
      <c r="E152" s="699"/>
      <c r="F152" s="700"/>
      <c r="G152" s="689">
        <v>103.1727272727273</v>
      </c>
      <c r="H152" s="690"/>
      <c r="I152" s="345"/>
      <c r="J152" s="698" t="str">
        <f>IF(Setup!H$10="Yes",IF(ISTEXT(Setup!G24)=TRUE,Setup!G24,""),"")</f>
        <v>Utilities</v>
      </c>
      <c r="K152" s="699"/>
      <c r="L152" s="699"/>
      <c r="M152" s="699"/>
      <c r="N152" s="700"/>
      <c r="O152" s="688">
        <v>0</v>
      </c>
      <c r="P152" s="688"/>
      <c r="Q152" s="337"/>
      <c r="R152" s="337"/>
      <c r="S152" s="827" t="str">
        <f>IF(Setup!H$10="Yes",IF(ISTEXT(Setup!G31)=TRUE,Setup!G31,""),"")</f>
        <v>Other Liquid Credit</v>
      </c>
      <c r="T152" s="828"/>
      <c r="U152" s="828"/>
      <c r="V152" s="828"/>
      <c r="W152" s="828"/>
      <c r="X152" s="829"/>
      <c r="Y152" s="810">
        <v>147.80000000000001</v>
      </c>
      <c r="Z152" s="811"/>
      <c r="AA152" s="337"/>
    </row>
    <row r="153" spans="2:27" s="353" customFormat="1" x14ac:dyDescent="0.25">
      <c r="B153" s="698" t="str">
        <f>IF(Setup!H$10="Yes",IF(ISTEXT(Setup!G18)=TRUE,Setup!G18,""),"")</f>
        <v>Consumer industries</v>
      </c>
      <c r="C153" s="699"/>
      <c r="D153" s="699"/>
      <c r="E153" s="699"/>
      <c r="F153" s="700"/>
      <c r="G153" s="689">
        <v>0</v>
      </c>
      <c r="H153" s="690"/>
      <c r="I153" s="345"/>
      <c r="J153" s="698" t="str">
        <f>IF(Setup!H$10="Yes",IF(ISTEXT(Setup!G25)=TRUE,Setup!G25,""),"")</f>
        <v>Other</v>
      </c>
      <c r="K153" s="699"/>
      <c r="L153" s="699"/>
      <c r="M153" s="699"/>
      <c r="N153" s="700"/>
      <c r="O153" s="688">
        <v>556.21818181818185</v>
      </c>
      <c r="P153" s="688"/>
      <c r="Q153" s="337"/>
      <c r="R153" s="337"/>
      <c r="S153" s="830" t="str">
        <f>IF(Setup!H$10="Yes",IF(ISTEXT(Setup!G32)=TRUE,Setup!G32,""),"")</f>
        <v>Off-balance sheet credit</v>
      </c>
      <c r="T153" s="831"/>
      <c r="U153" s="831"/>
      <c r="V153" s="831"/>
      <c r="W153" s="831"/>
      <c r="X153" s="832"/>
      <c r="Y153" s="810">
        <v>926.28409090909099</v>
      </c>
      <c r="Z153" s="811"/>
      <c r="AA153" s="337"/>
    </row>
    <row r="154" spans="2:27" s="353" customFormat="1" x14ac:dyDescent="0.25">
      <c r="B154" s="701" t="str">
        <f>IF(Setup!H$10="Yes",IF(ISTEXT(Setup!G19)=TRUE,Setup!G19,""),"")</f>
        <v>Energy &amp; Environment</v>
      </c>
      <c r="C154" s="702"/>
      <c r="D154" s="702"/>
      <c r="E154" s="702"/>
      <c r="F154" s="703"/>
      <c r="G154" s="689">
        <v>0</v>
      </c>
      <c r="H154" s="690"/>
      <c r="I154" s="345"/>
      <c r="J154" s="701" t="str">
        <f>IF(Setup!H$10="Yes",IF(ISTEXT(Setup!G26)=TRUE,Setup!G26,""),"")</f>
        <v>Households - Mortgages (or total, if no split)</v>
      </c>
      <c r="K154" s="702"/>
      <c r="L154" s="702"/>
      <c r="M154" s="702"/>
      <c r="N154" s="703"/>
      <c r="O154" s="688">
        <v>317.75454545454545</v>
      </c>
      <c r="P154" s="688"/>
      <c r="Q154" s="337"/>
      <c r="R154" s="337"/>
      <c r="S154" s="337"/>
      <c r="T154" s="337"/>
      <c r="U154" s="337"/>
      <c r="V154" s="337"/>
      <c r="W154" s="337"/>
      <c r="X154" s="337"/>
      <c r="Y154" s="337"/>
      <c r="Z154" s="337"/>
      <c r="AA154" s="337"/>
    </row>
    <row r="155" spans="2:27" s="353" customFormat="1" x14ac:dyDescent="0.25">
      <c r="B155" s="379"/>
      <c r="C155" s="379"/>
      <c r="D155" s="379"/>
      <c r="E155" s="379"/>
      <c r="F155" s="379"/>
      <c r="G155" s="691"/>
      <c r="H155" s="691"/>
      <c r="I155" s="379"/>
      <c r="J155" s="417"/>
      <c r="K155" s="417"/>
      <c r="L155" s="417"/>
      <c r="M155" s="417"/>
      <c r="N155" s="417"/>
      <c r="O155" s="759"/>
      <c r="P155" s="759"/>
      <c r="Q155" s="379"/>
      <c r="R155" s="379"/>
      <c r="S155" s="379"/>
      <c r="T155" s="379"/>
      <c r="U155" s="379"/>
      <c r="V155" s="379"/>
      <c r="W155" s="379"/>
      <c r="X155" s="379"/>
      <c r="Y155" s="379"/>
      <c r="Z155" s="379"/>
      <c r="AA155" s="379"/>
    </row>
    <row r="156" spans="2:27" s="353" customFormat="1" x14ac:dyDescent="0.25">
      <c r="B156" s="345"/>
      <c r="C156" s="345"/>
      <c r="D156" s="345"/>
      <c r="E156" s="345"/>
      <c r="F156" s="345"/>
      <c r="G156" s="684"/>
      <c r="H156" s="684"/>
      <c r="I156" s="345"/>
      <c r="J156" s="400"/>
      <c r="K156" s="400"/>
      <c r="L156" s="400"/>
      <c r="M156" s="400"/>
      <c r="N156" s="400"/>
      <c r="O156" s="760"/>
      <c r="P156" s="760"/>
      <c r="Q156" s="345"/>
      <c r="R156" s="345"/>
      <c r="S156" s="345"/>
      <c r="T156" s="345"/>
      <c r="U156" s="337"/>
      <c r="V156" s="337"/>
      <c r="W156" s="337"/>
      <c r="X156" s="337"/>
      <c r="Y156" s="337"/>
      <c r="Z156" s="337"/>
      <c r="AA156" s="337"/>
    </row>
    <row r="157" spans="2:27" s="353" customFormat="1" ht="18.75" x14ac:dyDescent="0.25">
      <c r="B157" s="382" t="s">
        <v>194</v>
      </c>
      <c r="C157" s="381"/>
      <c r="D157" s="381"/>
      <c r="E157" s="381"/>
      <c r="F157" s="381"/>
      <c r="G157" s="381"/>
      <c r="H157" s="381"/>
      <c r="I157" s="381"/>
      <c r="J157" s="381"/>
      <c r="K157" s="381"/>
      <c r="L157" s="381"/>
      <c r="M157" s="381"/>
      <c r="N157" s="381"/>
      <c r="O157" s="381"/>
      <c r="P157" s="381"/>
      <c r="Q157" s="381"/>
      <c r="R157" s="381"/>
      <c r="S157" s="381"/>
      <c r="T157" s="381"/>
      <c r="U157" s="381"/>
      <c r="V157" s="381"/>
      <c r="W157" s="381"/>
      <c r="X157" s="381"/>
      <c r="Y157" s="381"/>
      <c r="Z157" s="381"/>
      <c r="AA157" s="381"/>
    </row>
    <row r="158" spans="2:27" s="353" customFormat="1" x14ac:dyDescent="0.25">
      <c r="B158" s="337"/>
      <c r="C158" s="337"/>
      <c r="D158" s="337"/>
      <c r="E158" s="337"/>
      <c r="F158" s="337"/>
      <c r="G158" s="337"/>
      <c r="H158" s="337"/>
      <c r="I158" s="345"/>
      <c r="J158" s="345"/>
      <c r="K158" s="337"/>
      <c r="L158" s="337"/>
      <c r="M158" s="337"/>
      <c r="N158" s="337"/>
      <c r="O158" s="337"/>
      <c r="P158" s="337"/>
      <c r="Q158" s="337"/>
      <c r="R158" s="337"/>
      <c r="S158" s="337"/>
      <c r="T158" s="337"/>
      <c r="U158" s="337"/>
      <c r="V158" s="337"/>
      <c r="W158" s="337"/>
      <c r="X158" s="337"/>
      <c r="Y158" s="337"/>
      <c r="Z158" s="337"/>
      <c r="AA158" s="337"/>
    </row>
    <row r="159" spans="2:27" s="353" customFormat="1" ht="18.75" x14ac:dyDescent="0.25">
      <c r="B159" s="363" t="s">
        <v>195</v>
      </c>
      <c r="C159" s="418"/>
      <c r="D159" s="364"/>
      <c r="E159" s="364"/>
      <c r="F159" s="365"/>
      <c r="G159" s="693">
        <f>IF(SUM(G160:H169)&gt;0,SUM(G160:H169),M$110)</f>
        <v>2816.7113636363638</v>
      </c>
      <c r="H159" s="694"/>
      <c r="I159" s="345"/>
      <c r="J159" s="415" t="str">
        <f>IF(Setup!D$10="No","Broad credit sectors/asset classes not included in analysis","")</f>
        <v/>
      </c>
      <c r="K159" s="345"/>
      <c r="L159" s="345"/>
      <c r="M159" s="345"/>
      <c r="N159" s="337"/>
      <c r="O159" s="345"/>
      <c r="P159" s="337"/>
      <c r="Q159" s="337"/>
      <c r="R159" s="337"/>
      <c r="S159" s="337"/>
      <c r="T159" s="337"/>
      <c r="U159" s="337"/>
      <c r="V159" s="337"/>
      <c r="W159" s="337"/>
      <c r="X159" s="337"/>
      <c r="Y159" s="337"/>
      <c r="Z159" s="337"/>
      <c r="AA159" s="337"/>
    </row>
    <row r="160" spans="2:27" s="353" customFormat="1" x14ac:dyDescent="0.25">
      <c r="B160" s="704" t="str">
        <f>IF(Setup!D$10="Yes",IF(ISTEXT(Setup!C13)=TRUE,Setup!C13,""),"")</f>
        <v>Sovereign</v>
      </c>
      <c r="C160" s="705"/>
      <c r="D160" s="705"/>
      <c r="E160" s="705"/>
      <c r="F160" s="706"/>
      <c r="G160" s="689">
        <v>273.27272727272731</v>
      </c>
      <c r="H160" s="690"/>
      <c r="I160" s="345"/>
      <c r="J160" s="345"/>
      <c r="K160" s="345"/>
      <c r="L160" s="345"/>
      <c r="M160" s="345"/>
      <c r="N160" s="337"/>
      <c r="O160" s="345"/>
      <c r="P160" s="337"/>
      <c r="Q160" s="337"/>
      <c r="R160" s="337"/>
      <c r="S160" s="337"/>
      <c r="T160" s="337"/>
      <c r="U160" s="337"/>
      <c r="V160" s="337"/>
      <c r="W160" s="337"/>
      <c r="X160" s="337"/>
      <c r="Y160" s="337"/>
      <c r="Z160" s="337"/>
      <c r="AA160" s="337"/>
    </row>
    <row r="161" spans="2:27" s="353" customFormat="1" x14ac:dyDescent="0.25">
      <c r="B161" s="707" t="str">
        <f>IF(Setup!D$10="Yes",IF(ISTEXT(Setup!C14)=TRUE,Setup!C14,""),"")</f>
        <v>Non-sovereign public sector entities</v>
      </c>
      <c r="C161" s="708"/>
      <c r="D161" s="708"/>
      <c r="E161" s="708"/>
      <c r="F161" s="709"/>
      <c r="G161" s="689">
        <v>0</v>
      </c>
      <c r="H161" s="690"/>
      <c r="I161" s="345"/>
      <c r="J161" s="345"/>
      <c r="K161" s="345"/>
      <c r="L161" s="345"/>
      <c r="M161" s="345"/>
      <c r="N161" s="337"/>
      <c r="O161" s="345"/>
      <c r="P161" s="337"/>
      <c r="Q161" s="337"/>
      <c r="R161" s="337"/>
      <c r="S161" s="337"/>
      <c r="T161" s="337"/>
      <c r="U161" s="337"/>
      <c r="V161" s="337"/>
      <c r="W161" s="337"/>
      <c r="X161" s="337"/>
      <c r="Y161" s="337"/>
      <c r="Z161" s="337"/>
      <c r="AA161" s="337"/>
    </row>
    <row r="162" spans="2:27" s="353" customFormat="1" x14ac:dyDescent="0.25">
      <c r="B162" s="707" t="str">
        <f>IF(Setup!D$10="Yes",IF(ISTEXT(Setup!C15)=TRUE,Setup!C15,""),"")</f>
        <v>Banks/Institutions</v>
      </c>
      <c r="C162" s="708"/>
      <c r="D162" s="708"/>
      <c r="E162" s="708"/>
      <c r="F162" s="709"/>
      <c r="G162" s="689">
        <v>92.836363636363643</v>
      </c>
      <c r="H162" s="690"/>
      <c r="I162" s="345"/>
      <c r="J162" s="345"/>
      <c r="K162" s="345"/>
      <c r="L162" s="345"/>
      <c r="M162" s="345"/>
      <c r="N162" s="337"/>
      <c r="O162" s="345"/>
      <c r="P162" s="337"/>
      <c r="Q162" s="337"/>
      <c r="R162" s="337"/>
      <c r="S162" s="337"/>
      <c r="T162" s="337"/>
      <c r="U162" s="337"/>
      <c r="V162" s="337"/>
      <c r="W162" s="337"/>
      <c r="X162" s="337"/>
      <c r="Y162" s="337"/>
      <c r="Z162" s="337"/>
      <c r="AA162" s="337"/>
    </row>
    <row r="163" spans="2:27" s="353" customFormat="1" x14ac:dyDescent="0.25">
      <c r="B163" s="707" t="str">
        <f>IF(Setup!D$10="Yes",IF(ISTEXT(Setup!C16)=TRUE,Setup!C16,""),"")</f>
        <v>Corporates</v>
      </c>
      <c r="C163" s="708"/>
      <c r="D163" s="708"/>
      <c r="E163" s="708"/>
      <c r="F163" s="709"/>
      <c r="G163" s="689">
        <v>706.40909090909076</v>
      </c>
      <c r="H163" s="690"/>
      <c r="I163" s="345"/>
      <c r="J163" s="345"/>
      <c r="K163" s="345"/>
      <c r="L163" s="345"/>
      <c r="M163" s="345"/>
      <c r="N163" s="345"/>
      <c r="O163" s="345"/>
      <c r="P163" s="337"/>
      <c r="Q163" s="337"/>
      <c r="R163" s="337"/>
      <c r="S163" s="337"/>
      <c r="T163" s="337"/>
      <c r="U163" s="337"/>
      <c r="V163" s="337"/>
      <c r="W163" s="337"/>
      <c r="X163" s="337"/>
      <c r="Y163" s="337"/>
      <c r="Z163" s="337"/>
      <c r="AA163" s="337"/>
    </row>
    <row r="164" spans="2:27" s="353" customFormat="1" ht="15" customHeight="1" x14ac:dyDescent="0.25">
      <c r="B164" s="695" t="str">
        <f>IF(Setup!D$10="Yes",IF(ISTEXT(Setup!C17)=TRUE,Setup!C17,""),"")</f>
        <v>SME</v>
      </c>
      <c r="C164" s="696"/>
      <c r="D164" s="696"/>
      <c r="E164" s="696"/>
      <c r="F164" s="697"/>
      <c r="G164" s="689">
        <v>500.15454545454543</v>
      </c>
      <c r="H164" s="690"/>
      <c r="I164" s="692"/>
      <c r="J164" s="692"/>
      <c r="K164" s="692"/>
      <c r="L164" s="692"/>
      <c r="M164" s="692"/>
      <c r="N164" s="345"/>
      <c r="O164" s="345"/>
      <c r="P164" s="337"/>
      <c r="Q164" s="337"/>
      <c r="R164" s="337"/>
      <c r="S164" s="337"/>
      <c r="T164" s="337"/>
      <c r="U164" s="337"/>
      <c r="V164" s="337"/>
      <c r="W164" s="337"/>
      <c r="X164" s="337"/>
      <c r="Y164" s="337"/>
      <c r="Z164" s="337"/>
      <c r="AA164" s="337"/>
    </row>
    <row r="165" spans="2:27" s="353" customFormat="1" x14ac:dyDescent="0.25">
      <c r="B165" s="707" t="str">
        <f>IF(Setup!D$10="Yes",IF(ISTEXT(Setup!C18)=TRUE,Setup!C18,""),"")</f>
        <v>Retail</v>
      </c>
      <c r="C165" s="708"/>
      <c r="D165" s="708"/>
      <c r="E165" s="708"/>
      <c r="F165" s="709"/>
      <c r="G165" s="689">
        <v>317.75454545454545</v>
      </c>
      <c r="H165" s="690"/>
      <c r="I165" s="345"/>
      <c r="J165" s="345"/>
      <c r="K165" s="345"/>
      <c r="L165" s="345"/>
      <c r="M165" s="345"/>
      <c r="N165" s="345"/>
      <c r="O165" s="345"/>
      <c r="P165" s="337"/>
      <c r="Q165" s="337"/>
      <c r="R165" s="337"/>
      <c r="S165" s="337"/>
      <c r="T165" s="337"/>
      <c r="U165" s="337"/>
      <c r="V165" s="337"/>
      <c r="W165" s="337"/>
      <c r="X165" s="337"/>
      <c r="Y165" s="337"/>
      <c r="Z165" s="337"/>
      <c r="AA165" s="337"/>
    </row>
    <row r="166" spans="2:27" s="353" customFormat="1" ht="15" customHeight="1" x14ac:dyDescent="0.25">
      <c r="B166" s="695" t="str">
        <f>IF(Setup!D$10="Yes",IF(ISTEXT(Setup!C19)=TRUE,Setup!C19,""),"")</f>
        <v>Residential mortgages</v>
      </c>
      <c r="C166" s="696"/>
      <c r="D166" s="696"/>
      <c r="E166" s="696"/>
      <c r="F166" s="697"/>
      <c r="G166" s="689">
        <v>0</v>
      </c>
      <c r="H166" s="690"/>
      <c r="I166" s="692"/>
      <c r="J166" s="692"/>
      <c r="K166" s="692"/>
      <c r="L166" s="692"/>
      <c r="M166" s="692"/>
      <c r="N166" s="345"/>
      <c r="O166" s="345"/>
      <c r="P166" s="337"/>
      <c r="Q166" s="337"/>
      <c r="R166" s="337"/>
      <c r="S166" s="337"/>
      <c r="T166" s="337"/>
      <c r="U166" s="337"/>
      <c r="V166" s="337"/>
      <c r="W166" s="337"/>
      <c r="X166" s="337"/>
      <c r="Y166" s="337"/>
      <c r="Z166" s="337"/>
      <c r="AA166" s="337"/>
    </row>
    <row r="167" spans="2:27" s="353" customFormat="1" x14ac:dyDescent="0.25">
      <c r="B167" s="707" t="str">
        <f>IF(Setup!D$10="Yes",IF(ISTEXT(Setup!C20)=TRUE,Setup!C20,""),"")</f>
        <v>Securitization</v>
      </c>
      <c r="C167" s="708"/>
      <c r="D167" s="708"/>
      <c r="E167" s="708"/>
      <c r="F167" s="709"/>
      <c r="G167" s="689"/>
      <c r="H167" s="690"/>
      <c r="I167" s="345"/>
      <c r="J167" s="345"/>
      <c r="K167" s="345"/>
      <c r="L167" s="345"/>
      <c r="M167" s="345"/>
      <c r="N167" s="345"/>
      <c r="O167" s="345"/>
      <c r="P167" s="337"/>
      <c r="Q167" s="337"/>
      <c r="R167" s="337"/>
      <c r="S167" s="337"/>
      <c r="T167" s="337"/>
      <c r="U167" s="337"/>
      <c r="V167" s="337"/>
      <c r="W167" s="337"/>
      <c r="X167" s="337"/>
      <c r="Y167" s="337"/>
      <c r="Z167" s="337"/>
      <c r="AA167" s="337"/>
    </row>
    <row r="168" spans="2:27" s="353" customFormat="1" x14ac:dyDescent="0.25">
      <c r="B168" s="707" t="str">
        <f>IF(Setup!D$10="Yes",IF(ISTEXT(Setup!C21)=TRUE,Setup!C21,""),"")</f>
        <v>Derivatives</v>
      </c>
      <c r="C168" s="708"/>
      <c r="D168" s="708"/>
      <c r="E168" s="708"/>
      <c r="F168" s="709"/>
      <c r="G168" s="689"/>
      <c r="H168" s="690"/>
      <c r="I168" s="345"/>
      <c r="J168" s="345"/>
      <c r="K168" s="345"/>
      <c r="L168" s="345"/>
      <c r="M168" s="345"/>
      <c r="N168" s="345"/>
      <c r="O168" s="345"/>
      <c r="P168" s="337"/>
      <c r="Q168" s="337"/>
      <c r="R168" s="337"/>
      <c r="S168" s="337"/>
      <c r="T168" s="337"/>
      <c r="U168" s="337"/>
      <c r="V168" s="337"/>
      <c r="W168" s="337"/>
      <c r="X168" s="337"/>
      <c r="Y168" s="337"/>
      <c r="Z168" s="337"/>
      <c r="AA168" s="337"/>
    </row>
    <row r="169" spans="2:27" s="353" customFormat="1" x14ac:dyDescent="0.25">
      <c r="B169" s="836" t="str">
        <f>IF(Setup!D$10="Yes",IF(ISTEXT(Setup!C22)=TRUE,Setup!C22,""),"")</f>
        <v>Off-balance sheet credit</v>
      </c>
      <c r="C169" s="837"/>
      <c r="D169" s="837"/>
      <c r="E169" s="837"/>
      <c r="F169" s="838"/>
      <c r="G169" s="689">
        <v>926.28409090909099</v>
      </c>
      <c r="H169" s="690"/>
      <c r="I169" s="345"/>
      <c r="J169" s="345"/>
      <c r="K169" s="345"/>
      <c r="L169" s="345"/>
      <c r="M169" s="345"/>
      <c r="N169" s="345"/>
      <c r="O169" s="345"/>
      <c r="P169" s="337"/>
      <c r="Q169" s="337"/>
      <c r="R169" s="337"/>
      <c r="S169" s="337"/>
      <c r="T169" s="337"/>
      <c r="U169" s="337"/>
      <c r="V169" s="337"/>
      <c r="W169" s="337"/>
      <c r="X169" s="337"/>
      <c r="Y169" s="337"/>
      <c r="Z169" s="337"/>
      <c r="AA169" s="337"/>
    </row>
    <row r="170" spans="2:27" s="353" customFormat="1" x14ac:dyDescent="0.25">
      <c r="B170" s="379"/>
      <c r="C170" s="379"/>
      <c r="D170" s="379"/>
      <c r="E170" s="379"/>
      <c r="F170" s="379"/>
      <c r="G170" s="379"/>
      <c r="H170" s="379"/>
      <c r="I170" s="379"/>
      <c r="J170" s="379"/>
      <c r="K170" s="379"/>
      <c r="L170" s="379"/>
      <c r="M170" s="379"/>
      <c r="N170" s="379"/>
      <c r="O170" s="379"/>
      <c r="P170" s="379"/>
      <c r="Q170" s="379"/>
      <c r="R170" s="379"/>
      <c r="S170" s="379"/>
      <c r="T170" s="379"/>
      <c r="U170" s="379"/>
      <c r="V170" s="379"/>
      <c r="W170" s="379"/>
      <c r="X170" s="379"/>
      <c r="Y170" s="379"/>
      <c r="Z170" s="379"/>
      <c r="AA170" s="379"/>
    </row>
    <row r="171" spans="2:27" s="353" customFormat="1" x14ac:dyDescent="0.25">
      <c r="B171" s="337"/>
      <c r="C171" s="337"/>
      <c r="D171" s="337"/>
      <c r="E171" s="337"/>
      <c r="F171" s="337"/>
      <c r="G171" s="337"/>
      <c r="H171" s="337"/>
      <c r="I171" s="345"/>
      <c r="J171" s="423"/>
      <c r="K171" s="424"/>
      <c r="L171" s="424"/>
      <c r="M171" s="424"/>
      <c r="N171" s="424"/>
      <c r="O171" s="424"/>
      <c r="P171" s="424"/>
      <c r="Q171" s="424"/>
      <c r="R171" s="424"/>
      <c r="S171" s="424"/>
      <c r="T171" s="424"/>
      <c r="U171" s="424"/>
      <c r="V171" s="424"/>
      <c r="W171" s="424"/>
      <c r="X171" s="424"/>
      <c r="Y171" s="424"/>
      <c r="Z171" s="424"/>
      <c r="AA171" s="424"/>
    </row>
    <row r="172" spans="2:27" s="353" customFormat="1" ht="18.75" x14ac:dyDescent="0.25">
      <c r="B172" s="384" t="s">
        <v>196</v>
      </c>
      <c r="C172" s="381"/>
      <c r="D172" s="381"/>
      <c r="E172" s="381"/>
      <c r="F172" s="381"/>
      <c r="G172" s="381"/>
      <c r="H172" s="381"/>
      <c r="I172" s="381"/>
      <c r="J172" s="425"/>
      <c r="K172" s="425"/>
      <c r="L172" s="425"/>
      <c r="M172" s="425"/>
      <c r="N172" s="425"/>
      <c r="O172" s="425"/>
      <c r="P172" s="425"/>
      <c r="Q172" s="425"/>
      <c r="R172" s="425"/>
      <c r="S172" s="425"/>
      <c r="T172" s="425"/>
      <c r="U172" s="425"/>
      <c r="V172" s="425"/>
      <c r="W172" s="425"/>
      <c r="X172" s="425"/>
      <c r="Y172" s="425"/>
      <c r="Z172" s="425"/>
      <c r="AA172" s="425"/>
    </row>
    <row r="173" spans="2:27" s="353" customFormat="1" x14ac:dyDescent="0.25">
      <c r="B173" s="337"/>
      <c r="C173" s="337"/>
      <c r="D173" s="337"/>
      <c r="E173" s="337"/>
      <c r="F173" s="337"/>
      <c r="G173" s="337"/>
      <c r="H173" s="337"/>
      <c r="I173" s="345"/>
      <c r="J173" s="423"/>
      <c r="K173" s="424"/>
      <c r="L173" s="424"/>
      <c r="M173" s="424"/>
      <c r="N173" s="424"/>
      <c r="O173" s="424"/>
      <c r="P173" s="424"/>
      <c r="Q173" s="424"/>
      <c r="R173" s="424"/>
      <c r="S173" s="424"/>
      <c r="T173" s="424"/>
      <c r="U173" s="424"/>
      <c r="V173" s="424"/>
      <c r="W173" s="424"/>
      <c r="X173" s="424"/>
      <c r="Y173" s="424"/>
      <c r="Z173" s="424"/>
      <c r="AA173" s="424"/>
    </row>
    <row r="174" spans="2:27" s="353" customFormat="1" ht="18.75" x14ac:dyDescent="0.25">
      <c r="B174" s="363" t="s">
        <v>195</v>
      </c>
      <c r="C174" s="418"/>
      <c r="D174" s="418"/>
      <c r="E174" s="418"/>
      <c r="F174" s="426"/>
      <c r="G174" s="693">
        <f>IF(SUM(G175:H194)&gt;0,SUM(G175:H194),M110)</f>
        <v>1356.7636363636364</v>
      </c>
      <c r="H174" s="694"/>
      <c r="I174" s="345"/>
      <c r="J174" s="415" t="str">
        <f>IF(Setup!L10="No","Regional split of portfolio not included in analysis","")</f>
        <v/>
      </c>
      <c r="K174" s="423"/>
      <c r="L174" s="423"/>
      <c r="M174" s="423"/>
      <c r="N174" s="423"/>
      <c r="O174" s="423"/>
      <c r="P174" s="424"/>
      <c r="Q174" s="424"/>
      <c r="R174" s="424"/>
      <c r="S174" s="424"/>
      <c r="T174" s="424"/>
      <c r="U174" s="424"/>
      <c r="V174" s="424"/>
      <c r="W174" s="424"/>
      <c r="X174" s="424"/>
      <c r="Y174" s="424"/>
      <c r="Z174" s="424"/>
      <c r="AA174" s="424"/>
    </row>
    <row r="175" spans="2:27" s="353" customFormat="1" x14ac:dyDescent="0.25">
      <c r="B175" s="401" t="str">
        <f>IF(Setup!L$10="Yes",IF(ISTEXT(Setup!K13)=TRUE,Setup!K13,""),"")</f>
        <v xml:space="preserve">Africa (Sub-Saharan) </v>
      </c>
      <c r="C175" s="402"/>
      <c r="D175" s="402"/>
      <c r="E175" s="402"/>
      <c r="F175" s="427"/>
      <c r="G175" s="689">
        <v>0</v>
      </c>
      <c r="H175" s="690"/>
      <c r="I175" s="345"/>
      <c r="J175" s="423"/>
      <c r="K175" s="423"/>
      <c r="L175" s="423"/>
      <c r="M175" s="423"/>
      <c r="N175" s="767"/>
      <c r="O175" s="767"/>
      <c r="P175" s="424"/>
      <c r="Q175" s="424"/>
      <c r="R175" s="424"/>
      <c r="S175" s="424"/>
      <c r="T175" s="424"/>
      <c r="U175" s="424"/>
      <c r="V175" s="424"/>
      <c r="W175" s="424"/>
      <c r="X175" s="424"/>
      <c r="Y175" s="424"/>
      <c r="Z175" s="424"/>
      <c r="AA175" s="424"/>
    </row>
    <row r="176" spans="2:27" s="353" customFormat="1" x14ac:dyDescent="0.25">
      <c r="B176" s="388" t="str">
        <f>IF(Setup!L$10="Yes",IF(ISTEXT(Setup!K14)=TRUE,Setup!K14,""),"")</f>
        <v xml:space="preserve">America (Central and South) </v>
      </c>
      <c r="C176" s="389"/>
      <c r="D176" s="389"/>
      <c r="E176" s="389"/>
      <c r="F176" s="390"/>
      <c r="G176" s="689">
        <v>0</v>
      </c>
      <c r="H176" s="690"/>
      <c r="I176" s="345"/>
      <c r="J176" s="423"/>
      <c r="K176" s="423"/>
      <c r="L176" s="423"/>
      <c r="M176" s="423"/>
      <c r="N176" s="767"/>
      <c r="O176" s="767"/>
      <c r="P176" s="424"/>
      <c r="Q176" s="424"/>
      <c r="R176" s="424"/>
      <c r="S176" s="424"/>
      <c r="T176" s="424"/>
      <c r="U176" s="424"/>
      <c r="V176" s="424"/>
      <c r="W176" s="424"/>
      <c r="X176" s="424"/>
      <c r="Y176" s="424"/>
      <c r="Z176" s="424"/>
      <c r="AA176" s="424"/>
    </row>
    <row r="177" spans="2:27" s="353" customFormat="1" x14ac:dyDescent="0.25">
      <c r="B177" s="388" t="str">
        <f>IF(Setup!L$10="Yes",IF(ISTEXT(Setup!K15)=TRUE,Setup!K15,""),"")</f>
        <v>America (North)</v>
      </c>
      <c r="C177" s="389"/>
      <c r="D177" s="389"/>
      <c r="E177" s="389"/>
      <c r="F177" s="390"/>
      <c r="G177" s="689">
        <v>0</v>
      </c>
      <c r="H177" s="690"/>
      <c r="I177" s="345"/>
      <c r="J177" s="423"/>
      <c r="K177" s="423"/>
      <c r="L177" s="423"/>
      <c r="M177" s="423"/>
      <c r="N177" s="767"/>
      <c r="O177" s="767"/>
      <c r="P177" s="424"/>
      <c r="Q177" s="424"/>
      <c r="R177" s="424"/>
      <c r="S177" s="424"/>
      <c r="T177" s="424"/>
      <c r="U177" s="424"/>
      <c r="V177" s="424"/>
      <c r="W177" s="424"/>
      <c r="X177" s="424"/>
      <c r="Y177" s="424"/>
      <c r="Z177" s="424"/>
      <c r="AA177" s="424"/>
    </row>
    <row r="178" spans="2:27" s="353" customFormat="1" x14ac:dyDescent="0.25">
      <c r="B178" s="388" t="str">
        <f>IF(Setup!L$10="Yes",IF(ISTEXT(Setup!K16)=TRUE,Setup!K16,""),"")</f>
        <v>Asia (East)</v>
      </c>
      <c r="C178" s="389"/>
      <c r="D178" s="389"/>
      <c r="E178" s="389"/>
      <c r="F178" s="390"/>
      <c r="G178" s="689">
        <v>0</v>
      </c>
      <c r="H178" s="690"/>
      <c r="I178" s="345"/>
      <c r="J178" s="423"/>
      <c r="K178" s="423"/>
      <c r="L178" s="423"/>
      <c r="M178" s="423"/>
      <c r="N178" s="767"/>
      <c r="O178" s="767"/>
      <c r="P178" s="424"/>
      <c r="Q178" s="424"/>
      <c r="R178" s="424"/>
      <c r="S178" s="424"/>
      <c r="T178" s="424"/>
      <c r="U178" s="424"/>
      <c r="V178" s="424"/>
      <c r="W178" s="424"/>
      <c r="X178" s="424"/>
      <c r="Y178" s="424"/>
      <c r="Z178" s="424"/>
      <c r="AA178" s="424"/>
    </row>
    <row r="179" spans="2:27" s="353" customFormat="1" x14ac:dyDescent="0.25">
      <c r="B179" s="388" t="str">
        <f>IF(Setup!L$10="Yes",IF(ISTEXT(Setup!K17)=TRUE,Setup!K17,""),"")</f>
        <v xml:space="preserve">Asia (South-East) </v>
      </c>
      <c r="C179" s="389"/>
      <c r="D179" s="389"/>
      <c r="E179" s="389"/>
      <c r="F179" s="390"/>
      <c r="G179" s="689">
        <v>0</v>
      </c>
      <c r="H179" s="690"/>
      <c r="I179" s="345"/>
      <c r="J179" s="423"/>
      <c r="K179" s="423"/>
      <c r="L179" s="423"/>
      <c r="M179" s="423"/>
      <c r="N179" s="767"/>
      <c r="O179" s="767"/>
      <c r="P179" s="424"/>
      <c r="Q179" s="424"/>
      <c r="R179" s="424"/>
      <c r="S179" s="424"/>
      <c r="T179" s="424"/>
      <c r="U179" s="424"/>
      <c r="V179" s="424"/>
      <c r="W179" s="424"/>
      <c r="X179" s="424"/>
      <c r="Y179" s="424"/>
      <c r="Z179" s="424"/>
      <c r="AA179" s="424"/>
    </row>
    <row r="180" spans="2:27" s="353" customFormat="1" x14ac:dyDescent="0.25">
      <c r="B180" s="388" t="str">
        <f>IF(Setup!L$10="Yes",IF(ISTEXT(Setup!K18)=TRUE,Setup!K18,""),"")</f>
        <v xml:space="preserve">Australia and New Zealand </v>
      </c>
      <c r="C180" s="389"/>
      <c r="D180" s="389"/>
      <c r="E180" s="389"/>
      <c r="F180" s="390"/>
      <c r="G180" s="689">
        <v>0</v>
      </c>
      <c r="H180" s="690"/>
      <c r="I180" s="345"/>
      <c r="J180" s="423"/>
      <c r="K180" s="423"/>
      <c r="L180" s="423"/>
      <c r="M180" s="423"/>
      <c r="N180" s="767"/>
      <c r="O180" s="767"/>
      <c r="P180" s="424"/>
      <c r="Q180" s="424"/>
      <c r="R180" s="424"/>
      <c r="S180" s="424"/>
      <c r="T180" s="424"/>
      <c r="U180" s="424"/>
      <c r="V180" s="424"/>
      <c r="W180" s="424"/>
      <c r="X180" s="424"/>
      <c r="Y180" s="424"/>
      <c r="Z180" s="424"/>
      <c r="AA180" s="424"/>
    </row>
    <row r="181" spans="2:27" s="353" customFormat="1" x14ac:dyDescent="0.25">
      <c r="B181" s="388" t="str">
        <f>IF(Setup!L$10="Yes",IF(ISTEXT(Setup!K19)=TRUE,Setup!K19,""),"")</f>
        <v>Commonwealth of Independent States</v>
      </c>
      <c r="C181" s="389"/>
      <c r="D181" s="389"/>
      <c r="E181" s="389"/>
      <c r="F181" s="390"/>
      <c r="G181" s="689">
        <v>0</v>
      </c>
      <c r="H181" s="690"/>
      <c r="I181" s="345"/>
      <c r="J181" s="423"/>
      <c r="K181" s="423"/>
      <c r="L181" s="423"/>
      <c r="M181" s="423"/>
      <c r="N181" s="767"/>
      <c r="O181" s="767"/>
      <c r="P181" s="424"/>
      <c r="Q181" s="424"/>
      <c r="R181" s="424"/>
      <c r="S181" s="424"/>
      <c r="T181" s="424"/>
      <c r="U181" s="424"/>
      <c r="V181" s="424"/>
      <c r="W181" s="424"/>
      <c r="X181" s="424"/>
      <c r="Y181" s="424"/>
      <c r="Z181" s="424"/>
      <c r="AA181" s="424"/>
    </row>
    <row r="182" spans="2:27" s="353" customFormat="1" x14ac:dyDescent="0.25">
      <c r="B182" s="388" t="str">
        <f>IF(Setup!L$10="Yes",IF(ISTEXT(Setup!K20)=TRUE,Setup!K20,""),"")</f>
        <v xml:space="preserve">Eastern (Central and East) </v>
      </c>
      <c r="C182" s="389"/>
      <c r="D182" s="389"/>
      <c r="E182" s="389"/>
      <c r="F182" s="390"/>
      <c r="G182" s="689">
        <v>0</v>
      </c>
      <c r="H182" s="690"/>
      <c r="I182" s="345"/>
      <c r="J182" s="423"/>
      <c r="K182" s="423"/>
      <c r="L182" s="423"/>
      <c r="M182" s="423"/>
      <c r="N182" s="767"/>
      <c r="O182" s="767"/>
      <c r="P182" s="424"/>
      <c r="Q182" s="424"/>
      <c r="R182" s="424"/>
      <c r="S182" s="424"/>
      <c r="T182" s="424"/>
      <c r="U182" s="424"/>
      <c r="V182" s="424"/>
      <c r="W182" s="424"/>
      <c r="X182" s="424"/>
      <c r="Y182" s="424"/>
      <c r="Z182" s="424"/>
      <c r="AA182" s="424"/>
    </row>
    <row r="183" spans="2:27" s="353" customFormat="1" x14ac:dyDescent="0.25">
      <c r="B183" s="388" t="str">
        <f>IF(Setup!L$10="Yes",IF(ISTEXT(Setup!K21)=TRUE,Setup!K21,""),"")</f>
        <v xml:space="preserve">Europe (West) </v>
      </c>
      <c r="C183" s="389"/>
      <c r="D183" s="389"/>
      <c r="E183" s="389"/>
      <c r="F183" s="390"/>
      <c r="G183" s="689">
        <v>0</v>
      </c>
      <c r="H183" s="690"/>
      <c r="I183" s="345"/>
      <c r="J183" s="423"/>
      <c r="K183" s="423"/>
      <c r="L183" s="423"/>
      <c r="M183" s="423"/>
      <c r="N183" s="767"/>
      <c r="O183" s="767"/>
      <c r="P183" s="424"/>
      <c r="Q183" s="424"/>
      <c r="R183" s="424"/>
      <c r="S183" s="424"/>
      <c r="T183" s="424"/>
      <c r="U183" s="424"/>
      <c r="V183" s="424"/>
      <c r="W183" s="424"/>
      <c r="X183" s="424"/>
      <c r="Y183" s="424"/>
      <c r="Z183" s="424"/>
      <c r="AA183" s="424"/>
    </row>
    <row r="184" spans="2:27" s="353" customFormat="1" x14ac:dyDescent="0.25">
      <c r="B184" s="388" t="str">
        <f>IF(Setup!L$10="Yes",IF(ISTEXT(Setup!K22)=TRUE,Setup!K22,""),"")</f>
        <v xml:space="preserve">Middle East and North Africa </v>
      </c>
      <c r="C184" s="389"/>
      <c r="D184" s="389"/>
      <c r="E184" s="389"/>
      <c r="F184" s="390"/>
      <c r="G184" s="689">
        <v>1275.3578181818182</v>
      </c>
      <c r="H184" s="690"/>
      <c r="I184" s="345"/>
      <c r="J184" s="423"/>
      <c r="K184" s="423"/>
      <c r="L184" s="423"/>
      <c r="M184" s="423"/>
      <c r="N184" s="767"/>
      <c r="O184" s="767"/>
      <c r="P184" s="424"/>
      <c r="Q184" s="424"/>
      <c r="R184" s="424"/>
      <c r="S184" s="424"/>
      <c r="T184" s="424"/>
      <c r="U184" s="424"/>
      <c r="V184" s="424"/>
      <c r="W184" s="424"/>
      <c r="X184" s="424"/>
      <c r="Y184" s="424"/>
      <c r="Z184" s="424"/>
      <c r="AA184" s="424"/>
    </row>
    <row r="185" spans="2:27" s="353" customFormat="1" x14ac:dyDescent="0.25">
      <c r="B185" s="388" t="str">
        <f>IF(Setup!L$10="Yes",IF(ISTEXT(Setup!K23)=TRUE,Setup!K23,""),"")</f>
        <v>Other</v>
      </c>
      <c r="C185" s="389"/>
      <c r="D185" s="389"/>
      <c r="E185" s="389"/>
      <c r="F185" s="390"/>
      <c r="G185" s="689">
        <v>81.405818181818177</v>
      </c>
      <c r="H185" s="690"/>
      <c r="I185" s="345"/>
      <c r="J185" s="423"/>
      <c r="K185" s="423"/>
      <c r="L185" s="423"/>
      <c r="M185" s="423"/>
      <c r="N185" s="767"/>
      <c r="O185" s="767"/>
      <c r="P185" s="424"/>
      <c r="Q185" s="424"/>
      <c r="R185" s="424"/>
      <c r="S185" s="424"/>
      <c r="T185" s="424"/>
      <c r="U185" s="424"/>
      <c r="V185" s="424"/>
      <c r="W185" s="424"/>
      <c r="X185" s="424"/>
      <c r="Y185" s="424"/>
      <c r="Z185" s="424"/>
      <c r="AA185" s="424"/>
    </row>
    <row r="186" spans="2:27" s="353" customFormat="1" x14ac:dyDescent="0.25">
      <c r="B186" s="388" t="str">
        <f>IF(Setup!L$10="Yes",IF(ISTEXT(Setup!K24)=TRUE,Setup!K24,""),"")</f>
        <v/>
      </c>
      <c r="C186" s="389"/>
      <c r="D186" s="389"/>
      <c r="E186" s="389"/>
      <c r="F186" s="390"/>
      <c r="G186" s="687">
        <v>0</v>
      </c>
      <c r="H186" s="687"/>
      <c r="I186" s="345"/>
      <c r="J186" s="423"/>
      <c r="K186" s="423"/>
      <c r="L186" s="423"/>
      <c r="M186" s="423"/>
      <c r="N186" s="767"/>
      <c r="O186" s="767"/>
      <c r="P186" s="424"/>
      <c r="Q186" s="424"/>
      <c r="R186" s="424"/>
      <c r="S186" s="424"/>
      <c r="T186" s="424"/>
      <c r="U186" s="424"/>
      <c r="V186" s="424"/>
      <c r="W186" s="424"/>
      <c r="X186" s="424"/>
      <c r="Y186" s="424"/>
      <c r="Z186" s="424"/>
      <c r="AA186" s="424"/>
    </row>
    <row r="187" spans="2:27" s="353" customFormat="1" x14ac:dyDescent="0.25">
      <c r="B187" s="388" t="str">
        <f>IF(Setup!L$10="Yes",IF(ISTEXT(Setup!K25)=TRUE,Setup!K25,""),"")</f>
        <v/>
      </c>
      <c r="C187" s="389"/>
      <c r="D187" s="389"/>
      <c r="E187" s="389"/>
      <c r="F187" s="390"/>
      <c r="G187" s="687">
        <v>0</v>
      </c>
      <c r="H187" s="687"/>
      <c r="I187" s="345"/>
      <c r="J187" s="423"/>
      <c r="K187" s="423"/>
      <c r="L187" s="423"/>
      <c r="M187" s="423"/>
      <c r="N187" s="767"/>
      <c r="O187" s="767"/>
      <c r="P187" s="424"/>
      <c r="Q187" s="424"/>
      <c r="R187" s="424"/>
      <c r="S187" s="424"/>
      <c r="T187" s="424"/>
      <c r="U187" s="424"/>
      <c r="V187" s="424"/>
      <c r="W187" s="424"/>
      <c r="X187" s="424"/>
      <c r="Y187" s="424"/>
      <c r="Z187" s="424"/>
      <c r="AA187" s="424"/>
    </row>
    <row r="188" spans="2:27" s="353" customFormat="1" x14ac:dyDescent="0.25">
      <c r="B188" s="388" t="str">
        <f>IF(Setup!L$10="Yes",IF(ISTEXT(Setup!K26)=TRUE,Setup!K26,""),"")</f>
        <v/>
      </c>
      <c r="C188" s="389"/>
      <c r="D188" s="389"/>
      <c r="E188" s="389"/>
      <c r="F188" s="390"/>
      <c r="G188" s="687">
        <v>0</v>
      </c>
      <c r="H188" s="687"/>
      <c r="I188" s="345"/>
      <c r="J188" s="423"/>
      <c r="K188" s="423"/>
      <c r="L188" s="423"/>
      <c r="M188" s="423"/>
      <c r="N188" s="767"/>
      <c r="O188" s="767"/>
      <c r="P188" s="424"/>
      <c r="Q188" s="424"/>
      <c r="R188" s="424"/>
      <c r="S188" s="424"/>
      <c r="T188" s="424"/>
      <c r="U188" s="424"/>
      <c r="V188" s="424"/>
      <c r="W188" s="424"/>
      <c r="X188" s="424"/>
      <c r="Y188" s="424"/>
      <c r="Z188" s="424"/>
      <c r="AA188" s="424"/>
    </row>
    <row r="189" spans="2:27" s="353" customFormat="1" x14ac:dyDescent="0.25">
      <c r="B189" s="388" t="str">
        <f>IF(Setup!L$10="Yes",IF(ISTEXT(Setup!K27)=TRUE,Setup!K27,""),"")</f>
        <v/>
      </c>
      <c r="C189" s="389"/>
      <c r="D189" s="389"/>
      <c r="E189" s="389"/>
      <c r="F189" s="390"/>
      <c r="G189" s="687">
        <v>0</v>
      </c>
      <c r="H189" s="687"/>
      <c r="I189" s="345"/>
      <c r="J189" s="423"/>
      <c r="K189" s="423"/>
      <c r="L189" s="423"/>
      <c r="M189" s="423"/>
      <c r="N189" s="767"/>
      <c r="O189" s="767"/>
      <c r="P189" s="424"/>
      <c r="Q189" s="424"/>
      <c r="R189" s="424"/>
      <c r="S189" s="424"/>
      <c r="T189" s="424"/>
      <c r="U189" s="424"/>
      <c r="V189" s="424"/>
      <c r="W189" s="424"/>
      <c r="X189" s="424"/>
      <c r="Y189" s="424"/>
      <c r="Z189" s="424"/>
      <c r="AA189" s="424"/>
    </row>
    <row r="190" spans="2:27" s="353" customFormat="1" x14ac:dyDescent="0.25">
      <c r="B190" s="388" t="str">
        <f>IF(Setup!L$10="Yes",IF(ISTEXT(Setup!K28)=TRUE,Setup!K28,""),"")</f>
        <v/>
      </c>
      <c r="C190" s="389"/>
      <c r="D190" s="389"/>
      <c r="E190" s="389"/>
      <c r="F190" s="390"/>
      <c r="G190" s="687">
        <v>0</v>
      </c>
      <c r="H190" s="687"/>
      <c r="I190" s="345"/>
      <c r="J190" s="423"/>
      <c r="K190" s="423"/>
      <c r="L190" s="423"/>
      <c r="M190" s="423"/>
      <c r="N190" s="767"/>
      <c r="O190" s="767"/>
      <c r="P190" s="424"/>
      <c r="Q190" s="424"/>
      <c r="R190" s="424"/>
      <c r="S190" s="424"/>
      <c r="T190" s="424"/>
      <c r="U190" s="424"/>
      <c r="V190" s="424"/>
      <c r="W190" s="424"/>
      <c r="X190" s="424"/>
      <c r="Y190" s="424"/>
      <c r="Z190" s="424"/>
      <c r="AA190" s="424"/>
    </row>
    <row r="191" spans="2:27" s="353" customFormat="1" x14ac:dyDescent="0.25">
      <c r="B191" s="388" t="str">
        <f>IF(Setup!L$10="Yes",IF(ISTEXT(Setup!K29)=TRUE,Setup!K29,""),"")</f>
        <v/>
      </c>
      <c r="C191" s="389"/>
      <c r="D191" s="389"/>
      <c r="E191" s="389"/>
      <c r="F191" s="390"/>
      <c r="G191" s="687">
        <v>0</v>
      </c>
      <c r="H191" s="687"/>
      <c r="I191" s="345"/>
      <c r="J191" s="423"/>
      <c r="K191" s="423"/>
      <c r="L191" s="423"/>
      <c r="M191" s="423"/>
      <c r="N191" s="767"/>
      <c r="O191" s="767"/>
      <c r="P191" s="424"/>
      <c r="Q191" s="424"/>
      <c r="R191" s="424"/>
      <c r="S191" s="424"/>
      <c r="T191" s="424"/>
      <c r="U191" s="424"/>
      <c r="V191" s="424"/>
      <c r="W191" s="424"/>
      <c r="X191" s="424"/>
      <c r="Y191" s="424"/>
      <c r="Z191" s="424"/>
      <c r="AA191" s="424"/>
    </row>
    <row r="192" spans="2:27" s="353" customFormat="1" x14ac:dyDescent="0.25">
      <c r="B192" s="388" t="str">
        <f>IF(Setup!L$10="Yes",IF(ISTEXT(Setup!K30)=TRUE,Setup!K30,""),"")</f>
        <v/>
      </c>
      <c r="C192" s="389"/>
      <c r="D192" s="389"/>
      <c r="E192" s="389"/>
      <c r="F192" s="390"/>
      <c r="G192" s="687">
        <v>0</v>
      </c>
      <c r="H192" s="687"/>
      <c r="I192" s="345"/>
      <c r="J192" s="423"/>
      <c r="K192" s="423"/>
      <c r="L192" s="423"/>
      <c r="M192" s="423"/>
      <c r="N192" s="767"/>
      <c r="O192" s="767"/>
      <c r="P192" s="424"/>
      <c r="Q192" s="424"/>
      <c r="R192" s="424"/>
      <c r="S192" s="424"/>
      <c r="T192" s="424"/>
      <c r="U192" s="424"/>
      <c r="V192" s="424"/>
      <c r="W192" s="424"/>
      <c r="X192" s="424"/>
      <c r="Y192" s="424"/>
      <c r="Z192" s="424"/>
      <c r="AA192" s="424"/>
    </row>
    <row r="193" spans="2:27" s="353" customFormat="1" x14ac:dyDescent="0.25">
      <c r="B193" s="388" t="str">
        <f>IF(Setup!L$10="Yes",IF(ISTEXT(Setup!K31)=TRUE,Setup!K31,""),"")</f>
        <v/>
      </c>
      <c r="C193" s="389"/>
      <c r="D193" s="389"/>
      <c r="E193" s="389"/>
      <c r="F193" s="390"/>
      <c r="G193" s="687">
        <v>0</v>
      </c>
      <c r="H193" s="687"/>
      <c r="I193" s="345"/>
      <c r="J193" s="423"/>
      <c r="K193" s="423"/>
      <c r="L193" s="423"/>
      <c r="M193" s="423"/>
      <c r="N193" s="767"/>
      <c r="O193" s="767"/>
      <c r="P193" s="424"/>
      <c r="Q193" s="424"/>
      <c r="R193" s="424"/>
      <c r="S193" s="424"/>
      <c r="T193" s="424"/>
      <c r="U193" s="424"/>
      <c r="V193" s="424"/>
      <c r="W193" s="424"/>
      <c r="X193" s="424"/>
      <c r="Y193" s="424"/>
      <c r="Z193" s="424"/>
      <c r="AA193" s="424"/>
    </row>
    <row r="194" spans="2:27" s="353" customFormat="1" x14ac:dyDescent="0.25">
      <c r="B194" s="409" t="str">
        <f>IF(Setup!L$10="Yes",IF(ISTEXT(Setup!K32)=TRUE,Setup!K32,""),"")</f>
        <v/>
      </c>
      <c r="C194" s="410"/>
      <c r="D194" s="410"/>
      <c r="E194" s="410"/>
      <c r="F194" s="428"/>
      <c r="G194" s="687">
        <v>0</v>
      </c>
      <c r="H194" s="687"/>
      <c r="I194" s="345"/>
      <c r="J194" s="423"/>
      <c r="K194" s="423"/>
      <c r="L194" s="423"/>
      <c r="M194" s="423"/>
      <c r="N194" s="767"/>
      <c r="O194" s="767"/>
      <c r="P194" s="424"/>
      <c r="Q194" s="424"/>
      <c r="R194" s="424"/>
      <c r="S194" s="424"/>
      <c r="T194" s="424"/>
      <c r="U194" s="424"/>
      <c r="V194" s="424"/>
      <c r="W194" s="424"/>
      <c r="X194" s="424"/>
      <c r="Y194" s="424"/>
      <c r="Z194" s="424"/>
      <c r="AA194" s="424"/>
    </row>
    <row r="195" spans="2:27" s="353" customFormat="1" x14ac:dyDescent="0.25">
      <c r="B195" s="379"/>
      <c r="C195" s="379"/>
      <c r="D195" s="379"/>
      <c r="E195" s="379"/>
      <c r="F195" s="379"/>
      <c r="G195" s="379"/>
      <c r="H195" s="379"/>
      <c r="I195" s="379"/>
      <c r="J195" s="429"/>
      <c r="K195" s="429"/>
      <c r="L195" s="429"/>
      <c r="M195" s="429"/>
      <c r="N195" s="429"/>
      <c r="O195" s="429"/>
      <c r="P195" s="429"/>
      <c r="Q195" s="429"/>
      <c r="R195" s="429"/>
      <c r="S195" s="429"/>
      <c r="T195" s="429"/>
      <c r="U195" s="429"/>
      <c r="V195" s="429"/>
      <c r="W195" s="429"/>
      <c r="X195" s="429"/>
      <c r="Y195" s="429"/>
      <c r="Z195" s="429"/>
      <c r="AA195" s="429"/>
    </row>
    <row r="196" spans="2:27" s="353" customFormat="1" x14ac:dyDescent="0.25">
      <c r="B196" s="337"/>
      <c r="C196" s="337"/>
      <c r="D196" s="337"/>
      <c r="E196" s="337"/>
      <c r="F196" s="337"/>
      <c r="G196" s="337"/>
      <c r="H196" s="337"/>
      <c r="I196" s="345"/>
      <c r="J196" s="345"/>
      <c r="K196" s="337"/>
      <c r="L196" s="337"/>
      <c r="M196" s="337"/>
      <c r="N196" s="337"/>
      <c r="O196" s="337"/>
      <c r="P196" s="337"/>
      <c r="Q196" s="337"/>
      <c r="R196" s="337"/>
      <c r="S196" s="337"/>
      <c r="T196" s="337"/>
      <c r="U196" s="337"/>
      <c r="V196" s="337"/>
      <c r="W196" s="337"/>
      <c r="X196" s="337"/>
      <c r="Y196" s="337"/>
      <c r="Z196" s="337"/>
      <c r="AA196" s="337"/>
    </row>
    <row r="197" spans="2:27" s="353" customFormat="1" ht="18.75" x14ac:dyDescent="0.25">
      <c r="B197" s="384" t="str">
        <f>IF(Setup!B7="Losses/Provisions","Loss Rate/Provisions Rate","PD/NPL ratio")</f>
        <v>PD/NPL ratio</v>
      </c>
      <c r="C197" s="425"/>
      <c r="D197" s="425"/>
      <c r="E197" s="425"/>
      <c r="F197" s="381"/>
      <c r="G197" s="381"/>
      <c r="H197" s="381"/>
      <c r="I197" s="381"/>
      <c r="J197" s="381"/>
      <c r="K197" s="381"/>
      <c r="L197" s="381"/>
      <c r="M197" s="381"/>
      <c r="N197" s="381"/>
      <c r="O197" s="381"/>
      <c r="P197" s="381"/>
      <c r="Q197" s="381"/>
      <c r="R197" s="381"/>
      <c r="S197" s="381"/>
      <c r="T197" s="381"/>
      <c r="U197" s="381"/>
      <c r="V197" s="381"/>
      <c r="W197" s="381"/>
      <c r="X197" s="381"/>
      <c r="Y197" s="381"/>
      <c r="Z197" s="381"/>
      <c r="AA197" s="381"/>
    </row>
    <row r="198" spans="2:27" s="353" customFormat="1" x14ac:dyDescent="0.25">
      <c r="B198" s="430" t="str">
        <f>IF(Setup!$H$10="No","Granular credit sectors not included in analysis","")</f>
        <v/>
      </c>
      <c r="C198" s="337"/>
      <c r="D198" s="337"/>
      <c r="E198" s="337"/>
      <c r="F198" s="337"/>
      <c r="G198" s="337"/>
      <c r="H198" s="337"/>
      <c r="I198" s="345"/>
      <c r="J198" s="430" t="str">
        <f>IF(Setup!$D$10="No","Broad credit sectors/asset classes not included in analysis","")</f>
        <v/>
      </c>
      <c r="K198" s="337"/>
      <c r="L198" s="337"/>
      <c r="M198" s="337"/>
      <c r="N198" s="337"/>
      <c r="O198" s="337"/>
      <c r="P198" s="337"/>
      <c r="Q198" s="430" t="str">
        <f>IF(Setup!$L$10="No","Regional split of portfolio not included in analysis","")</f>
        <v/>
      </c>
      <c r="R198" s="337"/>
      <c r="S198" s="337"/>
      <c r="T198" s="337"/>
      <c r="U198" s="337"/>
      <c r="V198" s="337"/>
      <c r="W198" s="337"/>
      <c r="X198" s="337"/>
      <c r="Y198" s="337"/>
      <c r="Z198" s="337"/>
      <c r="AA198" s="337"/>
    </row>
    <row r="199" spans="2:27" s="353" customFormat="1" x14ac:dyDescent="0.25">
      <c r="B199" s="378" t="str">
        <f>IF(Setup!B7="Losses/Provisions","Loss Rate/Provisions Rate","PD/NPL ratio")</f>
        <v>PD/NPL ratio</v>
      </c>
      <c r="C199" s="364"/>
      <c r="D199" s="364"/>
      <c r="E199" s="364"/>
      <c r="F199" s="365"/>
      <c r="G199" s="682">
        <f>IF(OR(ISNUMBER((SUMPRODUCT(G200:H206,G148:H154)+SUMPRODUCT(G207:H213,O148:P154)+SUMPRODUCT(G214:H219,Y148:Z153))/SUM(G148:H154,O148:P154,Y148:Z153))=FALSE,((SUMPRODUCT(G200:H206,G148:H154)+SUMPRODUCT(G207:H213,O148:P154)+SUMPRODUCT(G214:H219,Y148:Z153))/SUM(G148:H154,O148:P154,Y148:Z153))=0),IF(Setup!B$7="PD/LGD",IF(ISNUMBER(Input!Z108/'Summary of Input Data'!I29),Input!Z108/'Summary of Input Data'!I29,IF(ISNUMBER(Input!Z105),Input!Z105,'Summary of Input Data'!I24)),IF(ISNUMBER(Input!Z108),Input!Z108,IF(ISNUMBER(Input!Z107),Input!Z107,'Summary of Input Data'!I24))),(SUMPRODUCT(G200:H206,G148:H154)+SUMPRODUCT(G207:H213,O148:P154)+SUMPRODUCT(G214:H219,Y148:Z153))/SUM(G148:H154,O148:P154,Y148:Z153))</f>
        <v>3.4511192368376478E-2</v>
      </c>
      <c r="H199" s="682"/>
      <c r="I199" s="431"/>
      <c r="J199" s="772" t="str">
        <f>IF(Setup!B7="Losses/Provisions","Loss Rate/Provisions Rate","PD/NPL ratio")</f>
        <v>PD/NPL ratio</v>
      </c>
      <c r="K199" s="773"/>
      <c r="L199" s="773"/>
      <c r="M199" s="773"/>
      <c r="N199" s="774"/>
      <c r="O199" s="386">
        <f>IF(OR(ISNUMBER(SUMPRODUCT(O200:O209,G160:G169)/SUM(G160:G169))=FALSE,SUMPRODUCT(O200:O209,G160:G169)/SUM(G160:G169)=0),IF(Setup!B$7="PD/LGD",IF(ISNUMBER(Input!Z108/'Summary of Input Data'!I29),Input!Z108/'Summary of Input Data'!I29,IF(ISNUMBER(Input!Z105),Input!Z105,'Summary of Input Data'!I24)),IF(ISNUMBER(Input!Z108),Input!Z108,IF(ISNUMBER(Input!Z107),Input!Z107,'Summary of Input Data'!I24))),SUMPRODUCT(O200:O209,G160:G169)/SUM(G160:G169))</f>
        <v>3.4239805149277824E-2</v>
      </c>
      <c r="P199" s="345"/>
      <c r="Q199" s="775" t="str">
        <f>IF(Setup!B7="Losses/Provisions","Loss Rate/Provisions Rate","PD/NPL ratio")</f>
        <v>PD/NPL ratio</v>
      </c>
      <c r="R199" s="776"/>
      <c r="S199" s="776"/>
      <c r="T199" s="776"/>
      <c r="U199" s="777"/>
      <c r="V199" s="682">
        <f>IF(OR(ISNUMBER(SUMPRODUCT(V200:W210,G175:H185)/SUM(G175:H185))=FALSE,SUMPRODUCT(V200:W210,G175:H185)/SUM(G175:H185)=0),IF(Setup!B$7="PD/LGD",IF(ISNUMBER(Input!Z108/'Summary of Input Data'!I29),Input!Z108/'Summary of Input Data'!I29,IF(ISNUMBER(Input!Z105),Input!Z105,'Summary of Input Data'!I24)),IF(ISNUMBER(Input!Z108),Input!Z108,IF(ISNUMBER(Input!Z107),Input!Z107,'Summary of Input Data'!I24))),SUMPRODUCT(V200:W210,G175:H185)/SUM(G175:H185))</f>
        <v>6.6396050047115102E-2</v>
      </c>
      <c r="W199" s="682"/>
      <c r="X199" s="337"/>
      <c r="Y199" s="432"/>
      <c r="Z199" s="432"/>
      <c r="AA199" s="337"/>
    </row>
    <row r="200" spans="2:27" s="353" customFormat="1" x14ac:dyDescent="0.25">
      <c r="B200" s="401" t="str">
        <f>IF(Setup!H$10="Yes",IF(ISTEXT(Setup!G13)=TRUE,Setup!G13,""),"")</f>
        <v>Government and quasi-government</v>
      </c>
      <c r="C200" s="402"/>
      <c r="D200" s="402"/>
      <c r="E200" s="402"/>
      <c r="F200" s="427"/>
      <c r="G200" s="685">
        <v>0.01</v>
      </c>
      <c r="H200" s="686"/>
      <c r="I200" s="431"/>
      <c r="J200" s="714" t="str">
        <f>IF(Setup!D$10="Yes",IF(ISTEXT(Setup!C13)=TRUE,Setup!C13,""),"")</f>
        <v>Sovereign</v>
      </c>
      <c r="K200" s="715"/>
      <c r="L200" s="715"/>
      <c r="M200" s="715"/>
      <c r="N200" s="768"/>
      <c r="O200" s="449">
        <v>0.01</v>
      </c>
      <c r="P200" s="345"/>
      <c r="Q200" s="401" t="str">
        <f>IF(Setup!L$10="Yes",IF(ISTEXT(Setup!K13)=TRUE,Setup!K13,""),"")</f>
        <v xml:space="preserve">Africa (Sub-Saharan) </v>
      </c>
      <c r="R200" s="402"/>
      <c r="S200" s="402"/>
      <c r="T200" s="402"/>
      <c r="U200" s="427"/>
      <c r="V200" s="685">
        <v>8.7174999999999989E-2</v>
      </c>
      <c r="W200" s="686"/>
      <c r="X200" s="337"/>
      <c r="Y200" s="337"/>
      <c r="Z200" s="337"/>
      <c r="AA200" s="337"/>
    </row>
    <row r="201" spans="2:27" s="353" customFormat="1" x14ac:dyDescent="0.25">
      <c r="B201" s="388" t="str">
        <f>IF(Setup!H$10="Yes",IF(ISTEXT(Setup!G14)=TRUE,Setup!G14,""),"")</f>
        <v>Other Public Sector</v>
      </c>
      <c r="C201" s="389"/>
      <c r="D201" s="389"/>
      <c r="E201" s="389"/>
      <c r="F201" s="390"/>
      <c r="G201" s="685">
        <v>0.02</v>
      </c>
      <c r="H201" s="686"/>
      <c r="I201" s="431"/>
      <c r="J201" s="714" t="str">
        <f>IF(Setup!D$10="Yes",IF(ISTEXT(Setup!C14)=TRUE,Setup!C14,""),"")</f>
        <v>Non-sovereign public sector entities</v>
      </c>
      <c r="K201" s="715"/>
      <c r="L201" s="715"/>
      <c r="M201" s="715"/>
      <c r="N201" s="716"/>
      <c r="O201" s="449">
        <v>0.01</v>
      </c>
      <c r="P201" s="345"/>
      <c r="Q201" s="388" t="str">
        <f>IF(Setup!L$10="Yes",IF(ISTEXT(Setup!K14)=TRUE,Setup!K14,""),"")</f>
        <v xml:space="preserve">America (Central and South) </v>
      </c>
      <c r="R201" s="389"/>
      <c r="S201" s="389"/>
      <c r="T201" s="389"/>
      <c r="U201" s="390"/>
      <c r="V201" s="685">
        <v>2.9686608899553497E-2</v>
      </c>
      <c r="W201" s="686"/>
      <c r="X201" s="337"/>
      <c r="Y201" s="337"/>
      <c r="Z201" s="337"/>
      <c r="AA201" s="337"/>
    </row>
    <row r="202" spans="2:27" s="353" customFormat="1" x14ac:dyDescent="0.25">
      <c r="B202" s="388" t="str">
        <f>IF(Setup!H$10="Yes",IF(ISTEXT(Setup!G15)=TRUE,Setup!G15,""),"")</f>
        <v>Banks</v>
      </c>
      <c r="C202" s="389"/>
      <c r="D202" s="389"/>
      <c r="E202" s="389"/>
      <c r="F202" s="390"/>
      <c r="G202" s="685">
        <v>0.02</v>
      </c>
      <c r="H202" s="686"/>
      <c r="I202" s="431"/>
      <c r="J202" s="714" t="str">
        <f>IF(Setup!D$10="Yes",IF(ISTEXT(Setup!C15)=TRUE,Setup!C15,""),"")</f>
        <v>Banks/Institutions</v>
      </c>
      <c r="K202" s="715"/>
      <c r="L202" s="715"/>
      <c r="M202" s="715"/>
      <c r="N202" s="716"/>
      <c r="O202" s="449">
        <v>1.2E-2</v>
      </c>
      <c r="P202" s="345"/>
      <c r="Q202" s="388" t="str">
        <f>IF(Setup!L$10="Yes",IF(ISTEXT(Setup!K15)=TRUE,Setup!K15,""),"")</f>
        <v>America (North)</v>
      </c>
      <c r="R202" s="389"/>
      <c r="S202" s="389"/>
      <c r="T202" s="389"/>
      <c r="U202" s="390"/>
      <c r="V202" s="685">
        <v>3.0817633639281763E-2</v>
      </c>
      <c r="W202" s="686"/>
      <c r="X202" s="337"/>
      <c r="Y202" s="337"/>
      <c r="Z202" s="337"/>
      <c r="AA202" s="337"/>
    </row>
    <row r="203" spans="2:27" s="353" customFormat="1" x14ac:dyDescent="0.25">
      <c r="B203" s="388" t="str">
        <f>IF(Setup!H$10="Yes",IF(ISTEXT(Setup!G16)=TRUE,Setup!G16,""),"")</f>
        <v xml:space="preserve">Other Financials &amp; Real Estate </v>
      </c>
      <c r="C203" s="389"/>
      <c r="D203" s="389"/>
      <c r="E203" s="389"/>
      <c r="F203" s="390"/>
      <c r="G203" s="685">
        <v>3.7785358173707685E-2</v>
      </c>
      <c r="H203" s="686"/>
      <c r="I203" s="431"/>
      <c r="J203" s="714" t="str">
        <f>IF(Setup!D$10="Yes",IF(ISTEXT(Setup!C16)=TRUE,Setup!C16,""),"")</f>
        <v>Corporates</v>
      </c>
      <c r="K203" s="715"/>
      <c r="L203" s="715"/>
      <c r="M203" s="715"/>
      <c r="N203" s="716"/>
      <c r="O203" s="449">
        <v>3.7785358173707685E-2</v>
      </c>
      <c r="P203" s="345"/>
      <c r="Q203" s="388" t="str">
        <f>IF(Setup!L$10="Yes",IF(ISTEXT(Setup!K16)=TRUE,Setup!K16,""),"")</f>
        <v>Asia (East)</v>
      </c>
      <c r="R203" s="389"/>
      <c r="S203" s="389"/>
      <c r="T203" s="389"/>
      <c r="U203" s="390"/>
      <c r="V203" s="685">
        <v>4.6466666666666656E-2</v>
      </c>
      <c r="W203" s="686"/>
      <c r="X203" s="337"/>
      <c r="Y203" s="337"/>
      <c r="Z203" s="337"/>
      <c r="AA203" s="337"/>
    </row>
    <row r="204" spans="2:27" s="353" customFormat="1" ht="15" customHeight="1" x14ac:dyDescent="0.25">
      <c r="B204" s="388" t="str">
        <f>IF(Setup!H$10="Yes",IF(ISTEXT(Setup!G17)=TRUE,Setup!G17,""),"")</f>
        <v>Capital Industries</v>
      </c>
      <c r="C204" s="389"/>
      <c r="D204" s="389"/>
      <c r="E204" s="389"/>
      <c r="F204" s="390"/>
      <c r="G204" s="685">
        <v>3.7785358173707685E-2</v>
      </c>
      <c r="H204" s="686"/>
      <c r="I204" s="431"/>
      <c r="J204" s="714" t="str">
        <f>IF(Setup!D$10="Yes",IF(ISTEXT(Setup!C17)=TRUE,Setup!C17,""),"")</f>
        <v>SME</v>
      </c>
      <c r="K204" s="715"/>
      <c r="L204" s="715"/>
      <c r="M204" s="715"/>
      <c r="N204" s="716"/>
      <c r="O204" s="449">
        <v>3.7785358173707685E-2</v>
      </c>
      <c r="P204" s="398"/>
      <c r="Q204" s="388" t="str">
        <f>IF(Setup!L$10="Yes",IF(ISTEXT(Setup!K17)=TRUE,Setup!K17,""),"")</f>
        <v xml:space="preserve">Asia (South-East) </v>
      </c>
      <c r="R204" s="389"/>
      <c r="S204" s="389"/>
      <c r="T204" s="389"/>
      <c r="U204" s="390"/>
      <c r="V204" s="685">
        <v>4.6466666666666656E-2</v>
      </c>
      <c r="W204" s="686"/>
      <c r="X204" s="337"/>
      <c r="Y204" s="337"/>
      <c r="Z204" s="337"/>
      <c r="AA204" s="337"/>
    </row>
    <row r="205" spans="2:27" s="353" customFormat="1" x14ac:dyDescent="0.25">
      <c r="B205" s="388" t="str">
        <f>IF(Setup!H$10="Yes",IF(ISTEXT(Setup!G18)=TRUE,Setup!G18,""),"")</f>
        <v>Consumer industries</v>
      </c>
      <c r="C205" s="389"/>
      <c r="D205" s="389"/>
      <c r="E205" s="389"/>
      <c r="F205" s="390"/>
      <c r="G205" s="685">
        <v>3.7785358173707685E-2</v>
      </c>
      <c r="H205" s="686"/>
      <c r="I205" s="431"/>
      <c r="J205" s="714" t="str">
        <f>IF(Setup!D$10="Yes",IF(ISTEXT(Setup!C18)=TRUE,Setup!C18,""),"")</f>
        <v>Retail</v>
      </c>
      <c r="K205" s="715"/>
      <c r="L205" s="715"/>
      <c r="M205" s="715"/>
      <c r="N205" s="716"/>
      <c r="O205" s="449">
        <v>3.7785358173707685E-2</v>
      </c>
      <c r="P205" s="345"/>
      <c r="Q205" s="388" t="str">
        <f>IF(Setup!L$10="Yes",IF(ISTEXT(Setup!K18)=TRUE,Setup!K18,""),"")</f>
        <v xml:space="preserve">Australia and New Zealand </v>
      </c>
      <c r="R205" s="389"/>
      <c r="S205" s="389"/>
      <c r="T205" s="389"/>
      <c r="U205" s="390"/>
      <c r="V205" s="685">
        <v>3.0817633639281763E-2</v>
      </c>
      <c r="W205" s="686"/>
      <c r="X205" s="337"/>
      <c r="Y205" s="337"/>
      <c r="Z205" s="337"/>
      <c r="AA205" s="337"/>
    </row>
    <row r="206" spans="2:27" s="353" customFormat="1" ht="15" customHeight="1" x14ac:dyDescent="0.25">
      <c r="B206" s="388" t="str">
        <f>IF(Setup!H$10="Yes",IF(ISTEXT(Setup!G19)=TRUE,Setup!G19,""),"")</f>
        <v>Energy &amp; Environment</v>
      </c>
      <c r="C206" s="389"/>
      <c r="D206" s="389"/>
      <c r="E206" s="389"/>
      <c r="F206" s="390"/>
      <c r="G206" s="685">
        <v>3.7785358173707685E-2</v>
      </c>
      <c r="H206" s="686"/>
      <c r="I206" s="431"/>
      <c r="J206" s="714" t="str">
        <f>IF(Setup!D$10="Yes",IF(ISTEXT(Setup!C19)=TRUE,Setup!C19,""),"")</f>
        <v>Residential mortgages</v>
      </c>
      <c r="K206" s="715"/>
      <c r="L206" s="715"/>
      <c r="M206" s="715"/>
      <c r="N206" s="716"/>
      <c r="O206" s="449">
        <v>3.7785358173707685E-2</v>
      </c>
      <c r="P206" s="398"/>
      <c r="Q206" s="388" t="str">
        <f>IF(Setup!L$10="Yes",IF(ISTEXT(Setup!K19)=TRUE,Setup!K19,""),"")</f>
        <v>Commonwealth of Independent States</v>
      </c>
      <c r="R206" s="389"/>
      <c r="S206" s="389"/>
      <c r="T206" s="389"/>
      <c r="U206" s="390"/>
      <c r="V206" s="685">
        <v>0.11212576217267507</v>
      </c>
      <c r="W206" s="686"/>
      <c r="X206" s="337"/>
      <c r="Y206" s="337"/>
      <c r="Z206" s="337"/>
      <c r="AA206" s="337"/>
    </row>
    <row r="207" spans="2:27" s="353" customFormat="1" x14ac:dyDescent="0.25">
      <c r="B207" s="388" t="str">
        <f>IF(Setup!H$10="Yes",IF(ISTEXT(Setup!G20)=TRUE,Setup!G20,""),"")</f>
        <v>Media &amp; Publishing</v>
      </c>
      <c r="C207" s="389"/>
      <c r="D207" s="389"/>
      <c r="E207" s="389"/>
      <c r="F207" s="390"/>
      <c r="G207" s="685">
        <v>3.7785358173707685E-2</v>
      </c>
      <c r="H207" s="686"/>
      <c r="I207" s="431"/>
      <c r="J207" s="714" t="str">
        <f>IF(Setup!D$10="Yes",IF(ISTEXT(Setup!C20)=TRUE,Setup!C20,""),"")</f>
        <v>Securitization</v>
      </c>
      <c r="K207" s="715"/>
      <c r="L207" s="715"/>
      <c r="M207" s="715"/>
      <c r="N207" s="716"/>
      <c r="O207" s="449"/>
      <c r="P207" s="345"/>
      <c r="Q207" s="388" t="str">
        <f>IF(Setup!L$10="Yes",IF(ISTEXT(Setup!K20)=TRUE,Setup!K20,""),"")</f>
        <v xml:space="preserve">Eastern (Central and East) </v>
      </c>
      <c r="R207" s="389"/>
      <c r="S207" s="389"/>
      <c r="T207" s="389"/>
      <c r="U207" s="390"/>
      <c r="V207" s="685">
        <v>0.11212576217267507</v>
      </c>
      <c r="W207" s="686"/>
      <c r="X207" s="337"/>
      <c r="Y207" s="337"/>
      <c r="Z207" s="337"/>
      <c r="AA207" s="337"/>
    </row>
    <row r="208" spans="2:27" s="353" customFormat="1" x14ac:dyDescent="0.25">
      <c r="B208" s="388" t="str">
        <f>IF(Setup!H$10="Yes",IF(ISTEXT(Setup!G21)=TRUE,Setup!G21,""),"")</f>
        <v>Retail &amp; Distribution</v>
      </c>
      <c r="C208" s="389"/>
      <c r="D208" s="389"/>
      <c r="E208" s="389"/>
      <c r="F208" s="390"/>
      <c r="G208" s="685">
        <v>3.7785358173707685E-2</v>
      </c>
      <c r="H208" s="686"/>
      <c r="I208" s="431"/>
      <c r="J208" s="714" t="str">
        <f>IF(Setup!D$10="Yes",IF(ISTEXT(Setup!C21)=TRUE,Setup!C21,""),"")</f>
        <v>Derivatives</v>
      </c>
      <c r="K208" s="715"/>
      <c r="L208" s="715"/>
      <c r="M208" s="715"/>
      <c r="N208" s="716"/>
      <c r="O208" s="449"/>
      <c r="P208" s="345"/>
      <c r="Q208" s="388" t="str">
        <f>IF(Setup!L$10="Yes",IF(ISTEXT(Setup!K21)=TRUE,Setup!K21,""),"")</f>
        <v xml:space="preserve">Europe (West) </v>
      </c>
      <c r="R208" s="389"/>
      <c r="S208" s="389"/>
      <c r="T208" s="389"/>
      <c r="U208" s="390"/>
      <c r="V208" s="685">
        <v>3.0817633639281763E-2</v>
      </c>
      <c r="W208" s="686"/>
      <c r="X208" s="337"/>
      <c r="Y208" s="337"/>
      <c r="Z208" s="337"/>
      <c r="AA208" s="337"/>
    </row>
    <row r="209" spans="2:27" s="353" customFormat="1" x14ac:dyDescent="0.25">
      <c r="B209" s="388" t="str">
        <f>IF(Setup!H$10="Yes",IF(ISTEXT(Setup!G22)=TRUE,Setup!G22,""),"")</f>
        <v>Technology</v>
      </c>
      <c r="C209" s="389"/>
      <c r="D209" s="389"/>
      <c r="E209" s="389"/>
      <c r="F209" s="390"/>
      <c r="G209" s="685">
        <v>3.7785358173707685E-2</v>
      </c>
      <c r="H209" s="686"/>
      <c r="I209" s="431"/>
      <c r="J209" s="778" t="str">
        <f>IF(Setup!D$10="Yes",IF(ISTEXT(Setup!C22)=TRUE,Setup!C22,""),"")</f>
        <v>Off-balance sheet credit</v>
      </c>
      <c r="K209" s="779"/>
      <c r="L209" s="779"/>
      <c r="M209" s="779"/>
      <c r="N209" s="780"/>
      <c r="O209" s="449">
        <v>3.7785358173707685E-2</v>
      </c>
      <c r="P209" s="345"/>
      <c r="Q209" s="388" t="str">
        <f>IF(Setup!L$10="Yes",IF(ISTEXT(Setup!K22)=TRUE,Setup!K22,""),"")</f>
        <v xml:space="preserve">Middle East and North Africa </v>
      </c>
      <c r="R209" s="389"/>
      <c r="S209" s="389"/>
      <c r="T209" s="389"/>
      <c r="U209" s="390"/>
      <c r="V209" s="685">
        <v>6.6666666666666666E-2</v>
      </c>
      <c r="W209" s="686"/>
      <c r="X209" s="337"/>
      <c r="Y209" s="337"/>
      <c r="Z209" s="337"/>
      <c r="AA209" s="337"/>
    </row>
    <row r="210" spans="2:27" s="353" customFormat="1" x14ac:dyDescent="0.25">
      <c r="B210" s="388" t="str">
        <f>IF(Setup!H$10="Yes",IF(ISTEXT(Setup!G23)=TRUE,Setup!G23,""),"")</f>
        <v xml:space="preserve">Transportation </v>
      </c>
      <c r="C210" s="389"/>
      <c r="D210" s="389"/>
      <c r="E210" s="389"/>
      <c r="F210" s="390"/>
      <c r="G210" s="685">
        <v>3.7785358173707685E-2</v>
      </c>
      <c r="H210" s="686"/>
      <c r="I210" s="431"/>
      <c r="J210" s="345"/>
      <c r="K210" s="337"/>
      <c r="L210" s="337"/>
      <c r="M210" s="337"/>
      <c r="N210" s="337"/>
      <c r="O210" s="337"/>
      <c r="P210" s="337"/>
      <c r="Q210" s="388" t="str">
        <f>IF(Setup!L$10="Yes",IF(ISTEXT(Setup!K23)=TRUE,Setup!K23,""),"")</f>
        <v>Other</v>
      </c>
      <c r="R210" s="389"/>
      <c r="S210" s="389"/>
      <c r="T210" s="389"/>
      <c r="U210" s="390"/>
      <c r="V210" s="685">
        <v>6.2156389674140604E-2</v>
      </c>
      <c r="W210" s="686"/>
      <c r="X210" s="337"/>
      <c r="Y210" s="337"/>
      <c r="Z210" s="337"/>
      <c r="AA210" s="337"/>
    </row>
    <row r="211" spans="2:27" s="353" customFormat="1" x14ac:dyDescent="0.25">
      <c r="B211" s="388" t="str">
        <f>IF(Setup!H$10="Yes",IF(ISTEXT(Setup!G24)=TRUE,Setup!G24,""),"")</f>
        <v>Utilities</v>
      </c>
      <c r="C211" s="389"/>
      <c r="D211" s="389"/>
      <c r="E211" s="389"/>
      <c r="F211" s="390"/>
      <c r="G211" s="685">
        <v>3.7785358173707685E-2</v>
      </c>
      <c r="H211" s="686"/>
      <c r="I211" s="431"/>
      <c r="J211" s="345"/>
      <c r="K211" s="337"/>
      <c r="L211" s="337"/>
      <c r="M211" s="337"/>
      <c r="N211" s="337"/>
      <c r="O211" s="337"/>
      <c r="P211" s="337"/>
      <c r="Q211" s="388" t="str">
        <f>IF(Setup!L$10="Yes",IF(ISTEXT(Setup!K24)=TRUE,Setup!K24,""),"")</f>
        <v/>
      </c>
      <c r="R211" s="389"/>
      <c r="S211" s="389"/>
      <c r="T211" s="389"/>
      <c r="U211" s="390"/>
      <c r="V211" s="685"/>
      <c r="W211" s="686"/>
      <c r="X211" s="337"/>
      <c r="Y211" s="337"/>
      <c r="Z211" s="337"/>
      <c r="AA211" s="337"/>
    </row>
    <row r="212" spans="2:27" s="353" customFormat="1" x14ac:dyDescent="0.25">
      <c r="B212" s="388" t="str">
        <f>IF(Setup!H$10="Yes",IF(ISTEXT(Setup!G25)=TRUE,Setup!G25,""),"")</f>
        <v>Other</v>
      </c>
      <c r="C212" s="389"/>
      <c r="D212" s="389"/>
      <c r="E212" s="389"/>
      <c r="F212" s="390"/>
      <c r="G212" s="685">
        <v>3.7785358173707685E-2</v>
      </c>
      <c r="H212" s="686"/>
      <c r="I212" s="431"/>
      <c r="J212" s="345"/>
      <c r="K212" s="337"/>
      <c r="L212" s="337"/>
      <c r="M212" s="337"/>
      <c r="N212" s="337"/>
      <c r="O212" s="337"/>
      <c r="P212" s="337"/>
      <c r="Q212" s="388" t="str">
        <f>IF(Setup!L$10="Yes",IF(ISTEXT(Setup!K25)=TRUE,Setup!K25,""),"")</f>
        <v/>
      </c>
      <c r="R212" s="389"/>
      <c r="S212" s="389"/>
      <c r="T212" s="389"/>
      <c r="U212" s="390"/>
      <c r="V212" s="685"/>
      <c r="W212" s="686"/>
      <c r="X212" s="337"/>
      <c r="Y212" s="337"/>
      <c r="Z212" s="337"/>
      <c r="AA212" s="337"/>
    </row>
    <row r="213" spans="2:27" s="353" customFormat="1" x14ac:dyDescent="0.25">
      <c r="B213" s="388" t="str">
        <f>IF(Setup!H$10="Yes",IF(ISTEXT(Setup!G26)=TRUE,Setup!G26,""),"")</f>
        <v>Households - Mortgages (or total, if no split)</v>
      </c>
      <c r="C213" s="389"/>
      <c r="D213" s="389"/>
      <c r="E213" s="389"/>
      <c r="F213" s="390"/>
      <c r="G213" s="685">
        <v>3.7785358173707685E-2</v>
      </c>
      <c r="H213" s="686"/>
      <c r="I213" s="431"/>
      <c r="J213" s="345"/>
      <c r="K213" s="337"/>
      <c r="L213" s="337"/>
      <c r="M213" s="337"/>
      <c r="N213" s="337"/>
      <c r="O213" s="337"/>
      <c r="P213" s="337"/>
      <c r="Q213" s="388" t="str">
        <f>IF(Setup!L$10="Yes",IF(ISTEXT(Setup!K26)=TRUE,Setup!K26,""),"")</f>
        <v/>
      </c>
      <c r="R213" s="389"/>
      <c r="S213" s="389"/>
      <c r="T213" s="389"/>
      <c r="U213" s="390"/>
      <c r="V213" s="685"/>
      <c r="W213" s="686"/>
      <c r="X213" s="337"/>
      <c r="Y213" s="337"/>
      <c r="Z213" s="337"/>
      <c r="AA213" s="337"/>
    </row>
    <row r="214" spans="2:27" s="353" customFormat="1" x14ac:dyDescent="0.25">
      <c r="B214" s="388" t="str">
        <f>IF(Setup!H$10="Yes",IF(ISTEXT(Setup!G27)=TRUE,Setup!G27,""),"")</f>
        <v>Households - Consumer Credit &amp; Credit Cards</v>
      </c>
      <c r="C214" s="389"/>
      <c r="D214" s="389"/>
      <c r="E214" s="389"/>
      <c r="F214" s="390"/>
      <c r="G214" s="685">
        <v>3.7785358173707685E-2</v>
      </c>
      <c r="H214" s="686"/>
      <c r="I214" s="431"/>
      <c r="J214" s="345"/>
      <c r="K214" s="337"/>
      <c r="L214" s="337"/>
      <c r="M214" s="337"/>
      <c r="N214" s="337"/>
      <c r="O214" s="337"/>
      <c r="P214" s="337"/>
      <c r="Q214" s="388" t="str">
        <f>IF(Setup!L$10="Yes",IF(ISTEXT(Setup!K27)=TRUE,Setup!K27,""),"")</f>
        <v/>
      </c>
      <c r="R214" s="389"/>
      <c r="S214" s="389"/>
      <c r="T214" s="389"/>
      <c r="U214" s="390"/>
      <c r="V214" s="685"/>
      <c r="W214" s="686"/>
      <c r="X214" s="337"/>
      <c r="Y214" s="337"/>
      <c r="Z214" s="337"/>
      <c r="AA214" s="337"/>
    </row>
    <row r="215" spans="2:27" s="353" customFormat="1" x14ac:dyDescent="0.25">
      <c r="B215" s="388" t="str">
        <f>IF(Setup!H$10="Yes",IF(ISTEXT(Setup!G28)=TRUE,Setup!G28,""),"")</f>
        <v>Construction</v>
      </c>
      <c r="C215" s="389"/>
      <c r="D215" s="389"/>
      <c r="E215" s="389"/>
      <c r="F215" s="390"/>
      <c r="G215" s="685">
        <v>3.7785358173707685E-2</v>
      </c>
      <c r="H215" s="686"/>
      <c r="I215" s="431"/>
      <c r="J215" s="345"/>
      <c r="K215" s="337"/>
      <c r="L215" s="337"/>
      <c r="M215" s="337"/>
      <c r="N215" s="337"/>
      <c r="O215" s="337"/>
      <c r="P215" s="337"/>
      <c r="Q215" s="388" t="str">
        <f>IF(Setup!L$10="Yes",IF(ISTEXT(Setup!K28)=TRUE,Setup!K28,""),"")</f>
        <v/>
      </c>
      <c r="R215" s="389"/>
      <c r="S215" s="389"/>
      <c r="T215" s="389"/>
      <c r="U215" s="390"/>
      <c r="V215" s="685"/>
      <c r="W215" s="686"/>
      <c r="X215" s="337"/>
      <c r="Y215" s="337"/>
      <c r="Z215" s="337"/>
      <c r="AA215" s="337"/>
    </row>
    <row r="216" spans="2:27" s="353" customFormat="1" x14ac:dyDescent="0.25">
      <c r="B216" s="388" t="str">
        <f>IF(Setup!H$10="Yes",IF(ISTEXT(Setup!G29)=TRUE,Setup!G29,""),"")</f>
        <v>Securitization</v>
      </c>
      <c r="C216" s="389"/>
      <c r="D216" s="389"/>
      <c r="E216" s="389"/>
      <c r="F216" s="390"/>
      <c r="G216" s="685">
        <v>3.7785358173707685E-2</v>
      </c>
      <c r="H216" s="686"/>
      <c r="I216" s="431"/>
      <c r="J216" s="345"/>
      <c r="K216" s="337"/>
      <c r="L216" s="337"/>
      <c r="M216" s="337"/>
      <c r="N216" s="337"/>
      <c r="O216" s="337"/>
      <c r="P216" s="337"/>
      <c r="Q216" s="388" t="str">
        <f>IF(Setup!L$10="Yes",IF(ISTEXT(Setup!K29)=TRUE,Setup!K29,""),"")</f>
        <v/>
      </c>
      <c r="R216" s="389"/>
      <c r="S216" s="389"/>
      <c r="T216" s="389"/>
      <c r="U216" s="390"/>
      <c r="V216" s="685"/>
      <c r="W216" s="686"/>
      <c r="X216" s="337"/>
      <c r="Y216" s="337"/>
      <c r="Z216" s="337"/>
      <c r="AA216" s="337"/>
    </row>
    <row r="217" spans="2:27" s="353" customFormat="1" x14ac:dyDescent="0.25">
      <c r="B217" s="388" t="str">
        <f>IF(Setup!H$10="Yes",IF(ISTEXT(Setup!G30)=TRUE,Setup!G30,""),"")</f>
        <v>Derivatives</v>
      </c>
      <c r="C217" s="389"/>
      <c r="D217" s="389"/>
      <c r="E217" s="389"/>
      <c r="F217" s="390"/>
      <c r="G217" s="685">
        <v>3.7785358173707685E-2</v>
      </c>
      <c r="H217" s="686"/>
      <c r="I217" s="431"/>
      <c r="J217" s="345"/>
      <c r="K217" s="337"/>
      <c r="L217" s="337"/>
      <c r="M217" s="337"/>
      <c r="N217" s="337"/>
      <c r="O217" s="337"/>
      <c r="P217" s="337"/>
      <c r="Q217" s="388" t="str">
        <f>IF(Setup!L$10="Yes",IF(ISTEXT(Setup!K30)=TRUE,Setup!K30,""),"")</f>
        <v/>
      </c>
      <c r="R217" s="389"/>
      <c r="S217" s="389"/>
      <c r="T217" s="389"/>
      <c r="U217" s="390"/>
      <c r="V217" s="685"/>
      <c r="W217" s="686"/>
      <c r="X217" s="337"/>
      <c r="Y217" s="337"/>
      <c r="Z217" s="337"/>
      <c r="AA217" s="337"/>
    </row>
    <row r="218" spans="2:27" s="353" customFormat="1" x14ac:dyDescent="0.25">
      <c r="B218" s="388" t="str">
        <f>IF(Setup!H$10="Yes",IF(ISTEXT(Setup!G31)=TRUE,Setup!G31,""),"")</f>
        <v>Other Liquid Credit</v>
      </c>
      <c r="C218" s="389"/>
      <c r="D218" s="389"/>
      <c r="E218" s="389"/>
      <c r="F218" s="390"/>
      <c r="G218" s="685">
        <v>3.7785358173707685E-2</v>
      </c>
      <c r="H218" s="686"/>
      <c r="I218" s="431"/>
      <c r="J218" s="345"/>
      <c r="K218" s="337"/>
      <c r="L218" s="337"/>
      <c r="M218" s="337"/>
      <c r="N218" s="337"/>
      <c r="O218" s="337"/>
      <c r="P218" s="337"/>
      <c r="Q218" s="388" t="str">
        <f>IF(Setup!L$10="Yes",IF(ISTEXT(Setup!K31)=TRUE,Setup!K31,""),"")</f>
        <v/>
      </c>
      <c r="R218" s="389"/>
      <c r="S218" s="389"/>
      <c r="T218" s="389"/>
      <c r="U218" s="390"/>
      <c r="V218" s="685"/>
      <c r="W218" s="686"/>
      <c r="X218" s="337"/>
      <c r="Y218" s="337"/>
      <c r="Z218" s="337"/>
      <c r="AA218" s="337"/>
    </row>
    <row r="219" spans="2:27" s="353" customFormat="1" x14ac:dyDescent="0.25">
      <c r="B219" s="409" t="str">
        <f>IF(Setup!H$10="Yes",IF(ISTEXT(Setup!G32)=TRUE,Setup!G32,""),"")</f>
        <v>Off-balance sheet credit</v>
      </c>
      <c r="C219" s="410"/>
      <c r="D219" s="410"/>
      <c r="E219" s="410"/>
      <c r="F219" s="428"/>
      <c r="G219" s="685">
        <v>3.7785358173707685E-2</v>
      </c>
      <c r="H219" s="686"/>
      <c r="I219" s="431"/>
      <c r="J219" s="345"/>
      <c r="K219" s="337"/>
      <c r="L219" s="337"/>
      <c r="M219" s="337"/>
      <c r="N219" s="337"/>
      <c r="O219" s="337"/>
      <c r="P219" s="337"/>
      <c r="Q219" s="409" t="str">
        <f>IF(Setup!L$10="Yes",IF(ISTEXT(Setup!K32)=TRUE,Setup!K32,""),"")</f>
        <v/>
      </c>
      <c r="R219" s="410"/>
      <c r="S219" s="410"/>
      <c r="T219" s="410"/>
      <c r="U219" s="428"/>
      <c r="V219" s="685"/>
      <c r="W219" s="686"/>
      <c r="X219" s="337"/>
      <c r="Y219" s="337"/>
      <c r="Z219" s="337"/>
      <c r="AA219" s="337"/>
    </row>
    <row r="220" spans="2:27" s="353" customFormat="1" x14ac:dyDescent="0.25">
      <c r="B220" s="379"/>
      <c r="C220" s="379"/>
      <c r="D220" s="379"/>
      <c r="E220" s="379"/>
      <c r="F220" s="379"/>
      <c r="G220" s="379"/>
      <c r="H220" s="379"/>
      <c r="I220" s="379"/>
      <c r="J220" s="379"/>
      <c r="K220" s="379"/>
      <c r="L220" s="379"/>
      <c r="M220" s="379"/>
      <c r="N220" s="379"/>
      <c r="O220" s="379"/>
      <c r="P220" s="379"/>
      <c r="Q220" s="379"/>
      <c r="R220" s="379"/>
      <c r="S220" s="379"/>
      <c r="T220" s="379"/>
      <c r="U220" s="379"/>
      <c r="V220" s="379"/>
      <c r="W220" s="379"/>
      <c r="X220" s="379"/>
      <c r="Y220" s="379"/>
      <c r="Z220" s="379"/>
      <c r="AA220" s="379"/>
    </row>
    <row r="221" spans="2:27" s="353" customFormat="1" x14ac:dyDescent="0.25">
      <c r="B221" s="337"/>
      <c r="C221" s="337"/>
      <c r="D221" s="337"/>
      <c r="E221" s="337"/>
      <c r="F221" s="337"/>
      <c r="G221" s="337"/>
      <c r="H221" s="337"/>
      <c r="I221" s="345"/>
      <c r="J221" s="345"/>
      <c r="K221" s="337"/>
      <c r="L221" s="337"/>
      <c r="M221" s="337"/>
      <c r="N221" s="337"/>
      <c r="O221" s="337"/>
      <c r="P221" s="337"/>
      <c r="Q221" s="337"/>
      <c r="R221" s="337"/>
      <c r="S221" s="337"/>
      <c r="T221" s="337"/>
      <c r="U221" s="337"/>
      <c r="V221" s="337"/>
      <c r="W221" s="337"/>
      <c r="X221" s="337"/>
      <c r="Y221" s="337"/>
      <c r="Z221" s="337"/>
      <c r="AA221" s="337"/>
    </row>
    <row r="222" spans="2:27" s="353" customFormat="1" ht="18.75" x14ac:dyDescent="0.25">
      <c r="B222" s="384" t="str">
        <f>IF(Setup!B7="Losses/Provisions","LGDs (not applicable under this setting)","LGDs by sector")</f>
        <v>LGDs by sector</v>
      </c>
      <c r="C222" s="425"/>
      <c r="D222" s="425"/>
      <c r="E222" s="425"/>
      <c r="F222" s="425"/>
      <c r="G222" s="425"/>
      <c r="H222" s="381"/>
      <c r="I222" s="381"/>
      <c r="J222" s="433"/>
      <c r="K222" s="381"/>
      <c r="L222" s="381"/>
      <c r="M222" s="381"/>
      <c r="N222" s="381"/>
      <c r="O222" s="381"/>
      <c r="P222" s="381"/>
      <c r="Q222" s="381"/>
      <c r="R222" s="381"/>
      <c r="S222" s="381"/>
      <c r="T222" s="381"/>
      <c r="U222" s="381"/>
      <c r="V222" s="381"/>
      <c r="W222" s="381"/>
      <c r="X222" s="381"/>
      <c r="Y222" s="381"/>
      <c r="Z222" s="381"/>
      <c r="AA222" s="381"/>
    </row>
    <row r="223" spans="2:27" s="353" customFormat="1" x14ac:dyDescent="0.25">
      <c r="B223" s="430" t="str">
        <f>IF(Setup!$H$10="No","Granular credit sectors not included in analysis","")</f>
        <v/>
      </c>
      <c r="C223" s="337"/>
      <c r="D223" s="337"/>
      <c r="E223" s="337"/>
      <c r="F223" s="337"/>
      <c r="G223" s="337"/>
      <c r="H223" s="337"/>
      <c r="I223" s="394"/>
      <c r="J223" s="430" t="str">
        <f>IF(Setup!$D$10="No","Broad credit sectors/asset classes not included in analysis","")</f>
        <v/>
      </c>
      <c r="K223" s="337"/>
      <c r="L223" s="337"/>
      <c r="M223" s="337"/>
      <c r="N223" s="337"/>
      <c r="O223" s="337"/>
      <c r="P223" s="337"/>
      <c r="Q223" s="430" t="str">
        <f>IF(Setup!$L$10="No","Regional split of portfolio not included in analysis","")</f>
        <v/>
      </c>
      <c r="R223" s="337"/>
      <c r="S223" s="337"/>
      <c r="T223" s="345"/>
      <c r="U223" s="345"/>
      <c r="V223" s="337"/>
      <c r="W223" s="337"/>
      <c r="X223" s="337"/>
      <c r="Y223" s="337"/>
      <c r="Z223" s="337"/>
      <c r="AA223" s="337"/>
    </row>
    <row r="224" spans="2:27" s="353" customFormat="1" x14ac:dyDescent="0.25">
      <c r="B224" s="378" t="str">
        <f>IF(Setup!B7="Losses/Provisions","LGDs (not applicable under this setting)","LGDs by sector")</f>
        <v>LGDs by sector</v>
      </c>
      <c r="C224" s="364"/>
      <c r="D224" s="364"/>
      <c r="E224" s="364"/>
      <c r="F224" s="365"/>
      <c r="G224" s="682">
        <f>IF(SUM(G148:H154,O148:P154,Y148:Z153)=0,"N/A",(SUMPRODUCT(G148:H154,G225:H231)+SUMPRODUCT(O148:P154,G232:H238)+SUMPRODUCT(G239:H244,Y148:Z153))/G147)</f>
        <v>0.65031533809396169</v>
      </c>
      <c r="H224" s="682"/>
      <c r="I224" s="431"/>
      <c r="J224" s="378" t="str">
        <f>IF(Setup!B7="Losses/Provisions","LGDs (not applicable under this setting)","LGDs by sector")</f>
        <v>LGDs by sector</v>
      </c>
      <c r="K224" s="364"/>
      <c r="L224" s="364"/>
      <c r="M224" s="364"/>
      <c r="N224" s="365"/>
      <c r="O224" s="386">
        <f>IF(SUM(G160:G169)=0,"N/A",SUMPRODUCT(G160:G169,O225:O234)/G159)</f>
        <v>0.70824730645748213</v>
      </c>
      <c r="P224" s="345"/>
      <c r="Q224" s="769" t="str">
        <f>IF(Setup!B7="Losses/Provisions","LGDs (not applicable under this setting)","LGDs by sector")</f>
        <v>LGDs by sector</v>
      </c>
      <c r="R224" s="770"/>
      <c r="S224" s="770"/>
      <c r="T224" s="770"/>
      <c r="U224" s="770"/>
      <c r="V224" s="770"/>
      <c r="W224" s="771"/>
      <c r="X224" s="682">
        <f>IF(SUM(G175:H194)=0,"N/A",SUMPRODUCT(G175:G194,X225:X244)/G174)</f>
        <v>0.70094000000000001</v>
      </c>
      <c r="Y224" s="682"/>
      <c r="Z224" s="337"/>
      <c r="AA224" s="337"/>
    </row>
    <row r="225" spans="2:27" s="353" customFormat="1" x14ac:dyDescent="0.25">
      <c r="B225" s="419" t="str">
        <f>IF(Setup!H$10="Yes",IF(ISTEXT(Setup!G13)=TRUE,Setup!G13,""),"")</f>
        <v>Government and quasi-government</v>
      </c>
      <c r="C225" s="420"/>
      <c r="D225" s="420"/>
      <c r="E225" s="420"/>
      <c r="F225" s="427"/>
      <c r="G225" s="680">
        <v>0.4</v>
      </c>
      <c r="H225" s="681"/>
      <c r="I225" s="431"/>
      <c r="J225" s="714" t="str">
        <f>IF(Setup!D$10="Yes",IF(ISTEXT(Setup!C13)=TRUE,Setup!C13,""),"")</f>
        <v>Sovereign</v>
      </c>
      <c r="K225" s="715"/>
      <c r="L225" s="715"/>
      <c r="M225" s="715"/>
      <c r="N225" s="768"/>
      <c r="O225" s="472">
        <v>0.4</v>
      </c>
      <c r="P225" s="345"/>
      <c r="Q225" s="704" t="str">
        <f>IF(Setup!L$10="Yes",IF(ISTEXT(Setup!K13)=TRUE,Setup!K13,""),"")</f>
        <v xml:space="preserve">Africa (Sub-Saharan) </v>
      </c>
      <c r="R225" s="705"/>
      <c r="S225" s="705"/>
      <c r="T225" s="705"/>
      <c r="U225" s="705"/>
      <c r="V225" s="705"/>
      <c r="W225" s="706"/>
      <c r="X225" s="839">
        <v>0.83</v>
      </c>
      <c r="Y225" s="681"/>
      <c r="Z225" s="337"/>
      <c r="AA225" s="337"/>
    </row>
    <row r="226" spans="2:27" s="353" customFormat="1" x14ac:dyDescent="0.25">
      <c r="B226" s="421" t="str">
        <f>IF(Setup!H$10="Yes",IF(ISTEXT(Setup!G14)=TRUE,Setup!G14,""),"")</f>
        <v>Other Public Sector</v>
      </c>
      <c r="C226" s="422"/>
      <c r="D226" s="422"/>
      <c r="E226" s="422"/>
      <c r="F226" s="390"/>
      <c r="G226" s="680">
        <v>0.6</v>
      </c>
      <c r="H226" s="681"/>
      <c r="I226" s="431"/>
      <c r="J226" s="714" t="str">
        <f>IF(Setup!D$10="Yes",IF(ISTEXT(Setup!C14)=TRUE,Setup!C14,""),"")</f>
        <v>Non-sovereign public sector entities</v>
      </c>
      <c r="K226" s="715"/>
      <c r="L226" s="715"/>
      <c r="M226" s="715"/>
      <c r="N226" s="768"/>
      <c r="O226" s="472">
        <v>0.6</v>
      </c>
      <c r="P226" s="345"/>
      <c r="Q226" s="707" t="str">
        <f>IF(Setup!L$10="Yes",IF(ISTEXT(Setup!K14)=TRUE,Setup!K14,""),"")</f>
        <v xml:space="preserve">America (Central and South) </v>
      </c>
      <c r="R226" s="708"/>
      <c r="S226" s="708"/>
      <c r="T226" s="708"/>
      <c r="U226" s="708"/>
      <c r="V226" s="708"/>
      <c r="W226" s="709"/>
      <c r="X226" s="839">
        <v>0.73199999999999998</v>
      </c>
      <c r="Y226" s="681"/>
      <c r="Z226" s="337"/>
      <c r="AA226" s="337"/>
    </row>
    <row r="227" spans="2:27" s="353" customFormat="1" x14ac:dyDescent="0.25">
      <c r="B227" s="421" t="str">
        <f>IF(Setup!H$10="Yes",IF(ISTEXT(Setup!G15)=TRUE,Setup!G15,""),"")</f>
        <v>Banks</v>
      </c>
      <c r="C227" s="422"/>
      <c r="D227" s="422"/>
      <c r="E227" s="422"/>
      <c r="F227" s="390"/>
      <c r="G227" s="680">
        <v>0.6</v>
      </c>
      <c r="H227" s="681"/>
      <c r="I227" s="431"/>
      <c r="J227" s="714" t="str">
        <f>IF(Setup!D$10="Yes",IF(ISTEXT(Setup!C15)=TRUE,Setup!C15,""),"")</f>
        <v>Banks/Institutions</v>
      </c>
      <c r="K227" s="715"/>
      <c r="L227" s="715"/>
      <c r="M227" s="715"/>
      <c r="N227" s="768"/>
      <c r="O227" s="472">
        <v>0.6</v>
      </c>
      <c r="P227" s="345"/>
      <c r="Q227" s="707" t="str">
        <f>IF(Setup!L$10="Yes",IF(ISTEXT(Setup!K15)=TRUE,Setup!K15,""),"")</f>
        <v>America (North)</v>
      </c>
      <c r="R227" s="708"/>
      <c r="S227" s="708"/>
      <c r="T227" s="708"/>
      <c r="U227" s="708"/>
      <c r="V227" s="708"/>
      <c r="W227" s="709"/>
      <c r="X227" s="839">
        <v>0.314</v>
      </c>
      <c r="Y227" s="681"/>
      <c r="Z227" s="337"/>
      <c r="AA227" s="337"/>
    </row>
    <row r="228" spans="2:27" s="353" customFormat="1" x14ac:dyDescent="0.25">
      <c r="B228" s="421" t="str">
        <f>IF(Setup!H$10="Yes",IF(ISTEXT(Setup!G16)=TRUE,Setup!G16,""),"")</f>
        <v xml:space="preserve">Other Financials &amp; Real Estate </v>
      </c>
      <c r="C228" s="422"/>
      <c r="D228" s="422"/>
      <c r="E228" s="422"/>
      <c r="F228" s="390"/>
      <c r="G228" s="680">
        <v>0.6</v>
      </c>
      <c r="H228" s="681"/>
      <c r="I228" s="431"/>
      <c r="J228" s="714" t="str">
        <f>IF(Setup!D$10="Yes",IF(ISTEXT(Setup!C16)=TRUE,Setup!C16,""),"")</f>
        <v>Corporates</v>
      </c>
      <c r="K228" s="715"/>
      <c r="L228" s="715"/>
      <c r="M228" s="715"/>
      <c r="N228" s="768"/>
      <c r="O228" s="472">
        <v>0.89800000000000002</v>
      </c>
      <c r="P228" s="345"/>
      <c r="Q228" s="707" t="str">
        <f>IF(Setup!L$10="Yes",IF(ISTEXT(Setup!K16)=TRUE,Setup!K16,""),"")</f>
        <v>Asia (East)</v>
      </c>
      <c r="R228" s="708"/>
      <c r="S228" s="708"/>
      <c r="T228" s="708"/>
      <c r="U228" s="708"/>
      <c r="V228" s="708"/>
      <c r="W228" s="709"/>
      <c r="X228" s="839">
        <v>0.71599999999999997</v>
      </c>
      <c r="Y228" s="681"/>
      <c r="Z228" s="337"/>
      <c r="AA228" s="337"/>
    </row>
    <row r="229" spans="2:27" s="353" customFormat="1" ht="15" customHeight="1" x14ac:dyDescent="0.25">
      <c r="B229" s="421" t="str">
        <f>IF(Setup!H$10="Yes",IF(ISTEXT(Setup!G17)=TRUE,Setup!G17,""),"")</f>
        <v>Capital Industries</v>
      </c>
      <c r="C229" s="422"/>
      <c r="D229" s="422"/>
      <c r="E229" s="422"/>
      <c r="F229" s="390"/>
      <c r="G229" s="680">
        <v>0.89800000000000002</v>
      </c>
      <c r="H229" s="681"/>
      <c r="I229" s="431"/>
      <c r="J229" s="714" t="str">
        <f>IF(Setup!D$10="Yes",IF(ISTEXT(Setup!C17)=TRUE,Setup!C17,""),"")</f>
        <v>SME</v>
      </c>
      <c r="K229" s="715"/>
      <c r="L229" s="715"/>
      <c r="M229" s="715"/>
      <c r="N229" s="768"/>
      <c r="O229" s="472">
        <v>0.89800000000000002</v>
      </c>
      <c r="P229" s="345"/>
      <c r="Q229" s="707" t="str">
        <f>IF(Setup!L$10="Yes",IF(ISTEXT(Setup!K17)=TRUE,Setup!K17,""),"")</f>
        <v xml:space="preserve">Asia (South-East) </v>
      </c>
      <c r="R229" s="708"/>
      <c r="S229" s="708"/>
      <c r="T229" s="708"/>
      <c r="U229" s="708"/>
      <c r="V229" s="708"/>
      <c r="W229" s="709"/>
      <c r="X229" s="839">
        <v>0.71599999999999997</v>
      </c>
      <c r="Y229" s="681"/>
      <c r="Z229" s="337"/>
      <c r="AA229" s="337"/>
    </row>
    <row r="230" spans="2:27" s="353" customFormat="1" x14ac:dyDescent="0.25">
      <c r="B230" s="421" t="str">
        <f>IF(Setup!H$10="Yes",IF(ISTEXT(Setup!G18)=TRUE,Setup!G18,""),"")</f>
        <v>Consumer industries</v>
      </c>
      <c r="C230" s="422"/>
      <c r="D230" s="422"/>
      <c r="E230" s="422"/>
      <c r="F230" s="390"/>
      <c r="G230" s="680">
        <v>0.89800000000000002</v>
      </c>
      <c r="H230" s="681"/>
      <c r="I230" s="431"/>
      <c r="J230" s="714" t="str">
        <f>IF(Setup!D$10="Yes",IF(ISTEXT(Setup!C18)=TRUE,Setup!C18,""),"")</f>
        <v>Retail</v>
      </c>
      <c r="K230" s="715"/>
      <c r="L230" s="715"/>
      <c r="M230" s="715"/>
      <c r="N230" s="768"/>
      <c r="O230" s="472">
        <v>0.6</v>
      </c>
      <c r="P230" s="345"/>
      <c r="Q230" s="707" t="str">
        <f>IF(Setup!L$10="Yes",IF(ISTEXT(Setup!K18)=TRUE,Setup!K18,""),"")</f>
        <v xml:space="preserve">Australia and New Zealand </v>
      </c>
      <c r="R230" s="708"/>
      <c r="S230" s="708"/>
      <c r="T230" s="708"/>
      <c r="U230" s="708"/>
      <c r="V230" s="708"/>
      <c r="W230" s="709"/>
      <c r="X230" s="839">
        <v>0.314</v>
      </c>
      <c r="Y230" s="681"/>
      <c r="Z230" s="337"/>
      <c r="AA230" s="337"/>
    </row>
    <row r="231" spans="2:27" s="353" customFormat="1" ht="15" customHeight="1" x14ac:dyDescent="0.25">
      <c r="B231" s="421" t="str">
        <f>IF(Setup!H$10="Yes",IF(ISTEXT(Setup!G19)=TRUE,Setup!G19,""),"")</f>
        <v>Energy &amp; Environment</v>
      </c>
      <c r="C231" s="422"/>
      <c r="D231" s="422"/>
      <c r="E231" s="422"/>
      <c r="F231" s="390"/>
      <c r="G231" s="680">
        <v>0.89800000000000002</v>
      </c>
      <c r="H231" s="681"/>
      <c r="I231" s="431"/>
      <c r="J231" s="714" t="str">
        <f>IF(Setup!D$10="Yes",IF(ISTEXT(Setup!C19)=TRUE,Setup!C19,""),"")</f>
        <v>Residential mortgages</v>
      </c>
      <c r="K231" s="715"/>
      <c r="L231" s="715"/>
      <c r="M231" s="715"/>
      <c r="N231" s="768"/>
      <c r="O231" s="472">
        <v>0.8</v>
      </c>
      <c r="P231" s="345"/>
      <c r="Q231" s="707" t="str">
        <f>IF(Setup!L$10="Yes",IF(ISTEXT(Setup!K19)=TRUE,Setup!K19,""),"")</f>
        <v>Commonwealth of Independent States</v>
      </c>
      <c r="R231" s="708"/>
      <c r="S231" s="708"/>
      <c r="T231" s="708"/>
      <c r="U231" s="708"/>
      <c r="V231" s="708"/>
      <c r="W231" s="709"/>
      <c r="X231" s="839">
        <v>0.68400000000000005</v>
      </c>
      <c r="Y231" s="681"/>
      <c r="Z231" s="337"/>
      <c r="AA231" s="337"/>
    </row>
    <row r="232" spans="2:27" s="353" customFormat="1" x14ac:dyDescent="0.25">
      <c r="B232" s="421" t="str">
        <f>IF(Setup!H$10="Yes",IF(ISTEXT(Setup!G20)=TRUE,Setup!G20,""),"")</f>
        <v>Media &amp; Publishing</v>
      </c>
      <c r="C232" s="422"/>
      <c r="D232" s="422"/>
      <c r="E232" s="422"/>
      <c r="F232" s="390"/>
      <c r="G232" s="680">
        <v>0.89800000000000002</v>
      </c>
      <c r="H232" s="681"/>
      <c r="I232" s="431"/>
      <c r="J232" s="714" t="str">
        <f>IF(Setup!D$10="Yes",IF(ISTEXT(Setup!C20)=TRUE,Setup!C20,""),"")</f>
        <v>Securitization</v>
      </c>
      <c r="K232" s="715"/>
      <c r="L232" s="715"/>
      <c r="M232" s="715"/>
      <c r="N232" s="768"/>
      <c r="O232" s="472"/>
      <c r="P232" s="345"/>
      <c r="Q232" s="707" t="str">
        <f>IF(Setup!L$10="Yes",IF(ISTEXT(Setup!K20)=TRUE,Setup!K20,""),"")</f>
        <v xml:space="preserve">Eastern (Central and East) </v>
      </c>
      <c r="R232" s="708"/>
      <c r="S232" s="708"/>
      <c r="T232" s="708"/>
      <c r="U232" s="708"/>
      <c r="V232" s="708"/>
      <c r="W232" s="709"/>
      <c r="X232" s="839">
        <v>0.68400000000000005</v>
      </c>
      <c r="Y232" s="681"/>
      <c r="Z232" s="337"/>
      <c r="AA232" s="337"/>
    </row>
    <row r="233" spans="2:27" s="353" customFormat="1" x14ac:dyDescent="0.25">
      <c r="B233" s="421" t="str">
        <f>IF(Setup!H$10="Yes",IF(ISTEXT(Setup!G21)=TRUE,Setup!G21,""),"")</f>
        <v>Retail &amp; Distribution</v>
      </c>
      <c r="C233" s="422"/>
      <c r="D233" s="422"/>
      <c r="E233" s="422"/>
      <c r="F233" s="390"/>
      <c r="G233" s="680">
        <v>0.6</v>
      </c>
      <c r="H233" s="681"/>
      <c r="I233" s="431"/>
      <c r="J233" s="714" t="str">
        <f>IF(Setup!D$10="Yes",IF(ISTEXT(Setup!C21)=TRUE,Setup!C21,""),"")</f>
        <v>Derivatives</v>
      </c>
      <c r="K233" s="715"/>
      <c r="L233" s="715"/>
      <c r="M233" s="715"/>
      <c r="N233" s="768"/>
      <c r="O233" s="472"/>
      <c r="P233" s="345"/>
      <c r="Q233" s="707" t="str">
        <f>IF(Setup!L$10="Yes",IF(ISTEXT(Setup!K21)=TRUE,Setup!K21,""),"")</f>
        <v xml:space="preserve">Europe (West) </v>
      </c>
      <c r="R233" s="708"/>
      <c r="S233" s="708"/>
      <c r="T233" s="708"/>
      <c r="U233" s="708"/>
      <c r="V233" s="708"/>
      <c r="W233" s="709"/>
      <c r="X233" s="839">
        <v>0.314</v>
      </c>
      <c r="Y233" s="681"/>
      <c r="Z233" s="337"/>
      <c r="AA233" s="337"/>
    </row>
    <row r="234" spans="2:27" s="353" customFormat="1" x14ac:dyDescent="0.25">
      <c r="B234" s="421" t="str">
        <f>IF(Setup!H$10="Yes",IF(ISTEXT(Setup!G22)=TRUE,Setup!G22,""),"")</f>
        <v>Technology</v>
      </c>
      <c r="C234" s="422"/>
      <c r="D234" s="422"/>
      <c r="E234" s="422"/>
      <c r="F234" s="390"/>
      <c r="G234" s="680">
        <v>0.89800000000000002</v>
      </c>
      <c r="H234" s="681"/>
      <c r="I234" s="431"/>
      <c r="J234" s="778" t="str">
        <f>IF(Setup!D$10="Yes",IF(ISTEXT(Setup!C22)=TRUE,Setup!C22,""),"")</f>
        <v>Off-balance sheet credit</v>
      </c>
      <c r="K234" s="779"/>
      <c r="L234" s="779"/>
      <c r="M234" s="779"/>
      <c r="N234" s="780"/>
      <c r="O234" s="472">
        <v>0.6</v>
      </c>
      <c r="P234" s="345"/>
      <c r="Q234" s="707" t="str">
        <f>IF(Setup!L$10="Yes",IF(ISTEXT(Setup!K22)=TRUE,Setup!K22,""),"")</f>
        <v xml:space="preserve">Middle East and North Africa </v>
      </c>
      <c r="R234" s="708"/>
      <c r="S234" s="708"/>
      <c r="T234" s="708"/>
      <c r="U234" s="708"/>
      <c r="V234" s="708"/>
      <c r="W234" s="709"/>
      <c r="X234" s="839">
        <v>0.70099999999999996</v>
      </c>
      <c r="Y234" s="681"/>
      <c r="Z234" s="337"/>
      <c r="AA234" s="337"/>
    </row>
    <row r="235" spans="2:27" s="353" customFormat="1" x14ac:dyDescent="0.25">
      <c r="B235" s="421" t="str">
        <f>IF(Setup!H$10="Yes",IF(ISTEXT(Setup!G23)=TRUE,Setup!G23,""),"")</f>
        <v xml:space="preserve">Transportation </v>
      </c>
      <c r="C235" s="422"/>
      <c r="D235" s="422"/>
      <c r="E235" s="422"/>
      <c r="F235" s="390"/>
      <c r="G235" s="680">
        <v>0.89800000000000002</v>
      </c>
      <c r="H235" s="681"/>
      <c r="I235" s="431"/>
      <c r="J235" s="345"/>
      <c r="K235" s="337"/>
      <c r="L235" s="337"/>
      <c r="M235" s="337"/>
      <c r="N235" s="337"/>
      <c r="O235" s="337"/>
      <c r="P235" s="345"/>
      <c r="Q235" s="707" t="str">
        <f>IF(Setup!L$10="Yes",IF(ISTEXT(Setup!K23)=TRUE,Setup!K23,""),"")</f>
        <v>Other</v>
      </c>
      <c r="R235" s="708"/>
      <c r="S235" s="708"/>
      <c r="T235" s="708"/>
      <c r="U235" s="708"/>
      <c r="V235" s="708"/>
      <c r="W235" s="709"/>
      <c r="X235" s="839">
        <v>0.7</v>
      </c>
      <c r="Y235" s="681"/>
      <c r="Z235" s="337"/>
      <c r="AA235" s="337"/>
    </row>
    <row r="236" spans="2:27" s="353" customFormat="1" x14ac:dyDescent="0.25">
      <c r="B236" s="421" t="str">
        <f>IF(Setup!H$10="Yes",IF(ISTEXT(Setup!G24)=TRUE,Setup!G24,""),"")</f>
        <v>Utilities</v>
      </c>
      <c r="C236" s="422"/>
      <c r="D236" s="422"/>
      <c r="E236" s="422"/>
      <c r="F236" s="390"/>
      <c r="G236" s="680">
        <v>0.89800000000000002</v>
      </c>
      <c r="H236" s="681"/>
      <c r="I236" s="431"/>
      <c r="J236" s="345"/>
      <c r="K236" s="337"/>
      <c r="L236" s="337"/>
      <c r="M236" s="337"/>
      <c r="N236" s="337"/>
      <c r="O236" s="337"/>
      <c r="P236" s="345"/>
      <c r="Q236" s="707" t="str">
        <f>IF(Setup!L$10="Yes",IF(ISTEXT(Setup!K24)=TRUE,Setup!K24,""),"")</f>
        <v/>
      </c>
      <c r="R236" s="708"/>
      <c r="S236" s="708"/>
      <c r="T236" s="708"/>
      <c r="U236" s="708"/>
      <c r="V236" s="708"/>
      <c r="W236" s="709"/>
      <c r="X236" s="839"/>
      <c r="Y236" s="681"/>
      <c r="Z236" s="337"/>
      <c r="AA236" s="337"/>
    </row>
    <row r="237" spans="2:27" s="353" customFormat="1" x14ac:dyDescent="0.25">
      <c r="B237" s="421" t="str">
        <f>IF(Setup!H$10="Yes",IF(ISTEXT(Setup!G25)=TRUE,Setup!G25,""),"")</f>
        <v>Other</v>
      </c>
      <c r="C237" s="422"/>
      <c r="D237" s="422"/>
      <c r="E237" s="422"/>
      <c r="F237" s="390"/>
      <c r="G237" s="680">
        <v>0.89800000000000002</v>
      </c>
      <c r="H237" s="681"/>
      <c r="I237" s="431"/>
      <c r="J237" s="345"/>
      <c r="K237" s="337"/>
      <c r="L237" s="337"/>
      <c r="M237" s="337"/>
      <c r="N237" s="337"/>
      <c r="O237" s="337"/>
      <c r="P237" s="345"/>
      <c r="Q237" s="707" t="str">
        <f>IF(Setup!L$10="Yes",IF(ISTEXT(Setup!K25)=TRUE,Setup!K25,""),"")</f>
        <v/>
      </c>
      <c r="R237" s="708"/>
      <c r="S237" s="708"/>
      <c r="T237" s="708"/>
      <c r="U237" s="708"/>
      <c r="V237" s="708"/>
      <c r="W237" s="709"/>
      <c r="X237" s="839"/>
      <c r="Y237" s="681"/>
      <c r="Z237" s="337"/>
      <c r="AA237" s="337"/>
    </row>
    <row r="238" spans="2:27" s="353" customFormat="1" x14ac:dyDescent="0.25">
      <c r="B238" s="421" t="str">
        <f>IF(Setup!H$10="Yes",IF(ISTEXT(Setup!G26)=TRUE,Setup!G26,""),"")</f>
        <v>Households - Mortgages (or total, if no split)</v>
      </c>
      <c r="C238" s="422"/>
      <c r="D238" s="422"/>
      <c r="E238" s="422"/>
      <c r="F238" s="390"/>
      <c r="G238" s="680">
        <v>0.89800000000000002</v>
      </c>
      <c r="H238" s="681"/>
      <c r="I238" s="431"/>
      <c r="J238" s="345"/>
      <c r="K238" s="337"/>
      <c r="L238" s="337"/>
      <c r="M238" s="337"/>
      <c r="N238" s="337"/>
      <c r="O238" s="337"/>
      <c r="P238" s="345"/>
      <c r="Q238" s="707" t="str">
        <f>IF(Setup!L$10="Yes",IF(ISTEXT(Setup!K26)=TRUE,Setup!K26,""),"")</f>
        <v/>
      </c>
      <c r="R238" s="708"/>
      <c r="S238" s="708"/>
      <c r="T238" s="708"/>
      <c r="U238" s="708"/>
      <c r="V238" s="708"/>
      <c r="W238" s="709"/>
      <c r="X238" s="839"/>
      <c r="Y238" s="681"/>
      <c r="Z238" s="337"/>
      <c r="AA238" s="337"/>
    </row>
    <row r="239" spans="2:27" s="353" customFormat="1" x14ac:dyDescent="0.25">
      <c r="B239" s="421" t="str">
        <f>IF(Setup!H$10="Yes",IF(ISTEXT(Setup!G27)=TRUE,Setup!G27,""),"")</f>
        <v>Households - Consumer Credit &amp; Credit Cards</v>
      </c>
      <c r="C239" s="422"/>
      <c r="D239" s="422"/>
      <c r="E239" s="422"/>
      <c r="F239" s="390"/>
      <c r="G239" s="680">
        <v>0.6</v>
      </c>
      <c r="H239" s="681"/>
      <c r="I239" s="431"/>
      <c r="J239" s="345"/>
      <c r="K239" s="337"/>
      <c r="L239" s="337"/>
      <c r="M239" s="337"/>
      <c r="N239" s="337"/>
      <c r="O239" s="337"/>
      <c r="P239" s="345"/>
      <c r="Q239" s="707" t="str">
        <f>IF(Setup!L$10="Yes",IF(ISTEXT(Setup!K27)=TRUE,Setup!K27,""),"")</f>
        <v/>
      </c>
      <c r="R239" s="708"/>
      <c r="S239" s="708"/>
      <c r="T239" s="708"/>
      <c r="U239" s="708"/>
      <c r="V239" s="708"/>
      <c r="W239" s="709"/>
      <c r="X239" s="839"/>
      <c r="Y239" s="681"/>
      <c r="Z239" s="337"/>
      <c r="AA239" s="337"/>
    </row>
    <row r="240" spans="2:27" s="353" customFormat="1" x14ac:dyDescent="0.25">
      <c r="B240" s="421" t="str">
        <f>IF(Setup!H$10="Yes",IF(ISTEXT(Setup!G28)=TRUE,Setup!G28,""),"")</f>
        <v>Construction</v>
      </c>
      <c r="C240" s="422"/>
      <c r="D240" s="422"/>
      <c r="E240" s="422"/>
      <c r="F240" s="390"/>
      <c r="G240" s="680">
        <v>0.89800000000000002</v>
      </c>
      <c r="H240" s="681"/>
      <c r="I240" s="431"/>
      <c r="J240" s="345"/>
      <c r="K240" s="337"/>
      <c r="L240" s="337"/>
      <c r="M240" s="337"/>
      <c r="N240" s="337"/>
      <c r="O240" s="337"/>
      <c r="P240" s="345"/>
      <c r="Q240" s="707" t="str">
        <f>IF(Setup!L$10="Yes",IF(ISTEXT(Setup!K28)=TRUE,Setup!K28,""),"")</f>
        <v/>
      </c>
      <c r="R240" s="708"/>
      <c r="S240" s="708"/>
      <c r="T240" s="708"/>
      <c r="U240" s="708"/>
      <c r="V240" s="708"/>
      <c r="W240" s="709"/>
      <c r="X240" s="839"/>
      <c r="Y240" s="681"/>
      <c r="Z240" s="337"/>
      <c r="AA240" s="337"/>
    </row>
    <row r="241" spans="2:27" s="353" customFormat="1" x14ac:dyDescent="0.25">
      <c r="B241" s="421" t="str">
        <f>IF(Setup!H$10="Yes",IF(ISTEXT(Setup!G29)=TRUE,Setup!G29,""),"")</f>
        <v>Securitization</v>
      </c>
      <c r="C241" s="422"/>
      <c r="D241" s="422"/>
      <c r="E241" s="422"/>
      <c r="F241" s="390"/>
      <c r="G241" s="680">
        <v>0.8</v>
      </c>
      <c r="H241" s="681"/>
      <c r="I241" s="431"/>
      <c r="J241" s="345"/>
      <c r="K241" s="337"/>
      <c r="L241" s="337"/>
      <c r="M241" s="337"/>
      <c r="N241" s="337"/>
      <c r="O241" s="337"/>
      <c r="P241" s="345"/>
      <c r="Q241" s="707" t="str">
        <f>IF(Setup!L$10="Yes",IF(ISTEXT(Setup!K29)=TRUE,Setup!K29,""),"")</f>
        <v/>
      </c>
      <c r="R241" s="708"/>
      <c r="S241" s="708"/>
      <c r="T241" s="708"/>
      <c r="U241" s="708"/>
      <c r="V241" s="708"/>
      <c r="W241" s="709"/>
      <c r="X241" s="839"/>
      <c r="Y241" s="681"/>
      <c r="Z241" s="337"/>
      <c r="AA241" s="337"/>
    </row>
    <row r="242" spans="2:27" s="353" customFormat="1" x14ac:dyDescent="0.25">
      <c r="B242" s="421" t="str">
        <f>IF(Setup!H$10="Yes",IF(ISTEXT(Setup!G30)=TRUE,Setup!G30,""),"")</f>
        <v>Derivatives</v>
      </c>
      <c r="C242" s="422"/>
      <c r="D242" s="422"/>
      <c r="E242" s="422"/>
      <c r="F242" s="390"/>
      <c r="G242" s="680">
        <v>0.45</v>
      </c>
      <c r="H242" s="681"/>
      <c r="I242" s="431"/>
      <c r="J242" s="345"/>
      <c r="K242" s="337"/>
      <c r="L242" s="337"/>
      <c r="M242" s="337"/>
      <c r="N242" s="337"/>
      <c r="O242" s="337"/>
      <c r="P242" s="345"/>
      <c r="Q242" s="707" t="str">
        <f>IF(Setup!L$10="Yes",IF(ISTEXT(Setup!K30)=TRUE,Setup!K30,""),"")</f>
        <v/>
      </c>
      <c r="R242" s="708"/>
      <c r="S242" s="708"/>
      <c r="T242" s="708"/>
      <c r="U242" s="708"/>
      <c r="V242" s="708"/>
      <c r="W242" s="709"/>
      <c r="X242" s="839"/>
      <c r="Y242" s="681"/>
      <c r="Z242" s="337"/>
      <c r="AA242" s="337"/>
    </row>
    <row r="243" spans="2:27" s="353" customFormat="1" x14ac:dyDescent="0.25">
      <c r="B243" s="421" t="str">
        <f>IF(Setup!H$10="Yes",IF(ISTEXT(Setup!G31)=TRUE,Setup!G31,""),"")</f>
        <v>Other Liquid Credit</v>
      </c>
      <c r="C243" s="422"/>
      <c r="D243" s="422"/>
      <c r="E243" s="422"/>
      <c r="F243" s="390"/>
      <c r="G243" s="680">
        <v>0.45</v>
      </c>
      <c r="H243" s="681"/>
      <c r="I243" s="431"/>
      <c r="J243" s="345"/>
      <c r="K243" s="337"/>
      <c r="L243" s="337"/>
      <c r="M243" s="337"/>
      <c r="N243" s="337"/>
      <c r="O243" s="337"/>
      <c r="P243" s="345"/>
      <c r="Q243" s="707" t="str">
        <f>IF(Setup!L$10="Yes",IF(ISTEXT(Setup!K31)=TRUE,Setup!K31,""),"")</f>
        <v/>
      </c>
      <c r="R243" s="708"/>
      <c r="S243" s="708"/>
      <c r="T243" s="708"/>
      <c r="U243" s="708"/>
      <c r="V243" s="708"/>
      <c r="W243" s="709"/>
      <c r="X243" s="839"/>
      <c r="Y243" s="681"/>
      <c r="Z243" s="337"/>
      <c r="AA243" s="337"/>
    </row>
    <row r="244" spans="2:27" s="353" customFormat="1" x14ac:dyDescent="0.25">
      <c r="B244" s="434" t="str">
        <f>IF(Setup!H$10="Yes",IF(ISTEXT(Setup!G32)=TRUE,Setup!G32,""),"")</f>
        <v>Off-balance sheet credit</v>
      </c>
      <c r="C244" s="435"/>
      <c r="D244" s="435"/>
      <c r="E244" s="435"/>
      <c r="F244" s="436"/>
      <c r="G244" s="680">
        <v>0.45</v>
      </c>
      <c r="H244" s="681"/>
      <c r="I244" s="431"/>
      <c r="J244" s="345"/>
      <c r="K244" s="337"/>
      <c r="L244" s="337"/>
      <c r="M244" s="337"/>
      <c r="N244" s="337"/>
      <c r="O244" s="337"/>
      <c r="P244" s="345"/>
      <c r="Q244" s="840" t="str">
        <f>IF(Setup!L$10="Yes",IF(ISTEXT(Setup!K32)=TRUE,Setup!K32,""),"")</f>
        <v/>
      </c>
      <c r="R244" s="841"/>
      <c r="S244" s="841"/>
      <c r="T244" s="841"/>
      <c r="U244" s="841"/>
      <c r="V244" s="841"/>
      <c r="W244" s="842"/>
      <c r="X244" s="839"/>
      <c r="Y244" s="681"/>
      <c r="Z244" s="337"/>
      <c r="AA244" s="337"/>
    </row>
    <row r="245" spans="2:27" s="353" customFormat="1" x14ac:dyDescent="0.25">
      <c r="B245" s="379"/>
      <c r="C245" s="379"/>
      <c r="D245" s="379"/>
      <c r="E245" s="379"/>
      <c r="F245" s="379"/>
      <c r="G245" s="379"/>
      <c r="H245" s="379"/>
      <c r="I245" s="379"/>
      <c r="J245" s="379"/>
      <c r="K245" s="379"/>
      <c r="L245" s="379"/>
      <c r="M245" s="379"/>
      <c r="N245" s="379"/>
      <c r="O245" s="379"/>
      <c r="P245" s="379"/>
      <c r="Q245" s="379"/>
      <c r="R245" s="379"/>
      <c r="S245" s="379"/>
      <c r="T245" s="379"/>
      <c r="U245" s="379"/>
      <c r="V245" s="379"/>
      <c r="W245" s="379"/>
      <c r="X245" s="379"/>
      <c r="Y245" s="379"/>
      <c r="Z245" s="379"/>
      <c r="AA245" s="379"/>
    </row>
    <row r="246" spans="2:27" s="353" customFormat="1" x14ac:dyDescent="0.25">
      <c r="B246" s="337"/>
      <c r="C246" s="337"/>
      <c r="D246" s="337"/>
      <c r="E246" s="337"/>
      <c r="F246" s="337"/>
      <c r="G246" s="337"/>
      <c r="H246" s="337"/>
      <c r="I246" s="345"/>
      <c r="J246" s="345"/>
      <c r="K246" s="337"/>
      <c r="L246" s="337"/>
      <c r="M246" s="337"/>
      <c r="N246" s="337"/>
      <c r="O246" s="337"/>
      <c r="P246" s="337"/>
      <c r="Q246" s="337"/>
      <c r="R246" s="337"/>
      <c r="S246" s="337"/>
      <c r="T246" s="337"/>
      <c r="U246" s="337"/>
      <c r="V246" s="337"/>
      <c r="W246" s="337"/>
      <c r="X246" s="337"/>
      <c r="Y246" s="337"/>
      <c r="Z246" s="337"/>
      <c r="AA246" s="337"/>
    </row>
    <row r="247" spans="2:27" s="353" customFormat="1" ht="18.75" x14ac:dyDescent="0.25">
      <c r="B247" s="384" t="s">
        <v>207</v>
      </c>
      <c r="C247" s="381"/>
      <c r="D247" s="381"/>
      <c r="E247" s="381"/>
      <c r="F247" s="381"/>
      <c r="G247" s="381"/>
      <c r="H247" s="381"/>
      <c r="I247" s="381"/>
      <c r="J247" s="381"/>
      <c r="K247" s="381"/>
      <c r="L247" s="381"/>
      <c r="M247" s="381"/>
      <c r="N247" s="381"/>
      <c r="O247" s="381"/>
      <c r="P247" s="381"/>
      <c r="Q247" s="381"/>
      <c r="R247" s="381"/>
      <c r="S247" s="381"/>
      <c r="T247" s="381"/>
      <c r="U247" s="381"/>
      <c r="V247" s="381"/>
      <c r="W247" s="381"/>
      <c r="X247" s="381"/>
      <c r="Y247" s="381"/>
      <c r="Z247" s="381"/>
      <c r="AA247" s="381"/>
    </row>
    <row r="248" spans="2:27" s="353" customFormat="1" x14ac:dyDescent="0.25">
      <c r="B248" s="337"/>
      <c r="C248" s="337"/>
      <c r="D248" s="337"/>
      <c r="E248" s="337"/>
      <c r="F248" s="337"/>
      <c r="G248" s="337"/>
      <c r="H248" s="337"/>
      <c r="I248" s="345"/>
      <c r="J248" s="345"/>
      <c r="K248" s="337"/>
      <c r="L248" s="337"/>
      <c r="M248" s="337"/>
      <c r="N248" s="337"/>
      <c r="O248" s="337"/>
      <c r="P248" s="337"/>
      <c r="Q248" s="337"/>
      <c r="R248" s="337"/>
      <c r="S248" s="337"/>
      <c r="T248" s="337"/>
      <c r="U248" s="337"/>
      <c r="V248" s="337"/>
      <c r="W248" s="337"/>
      <c r="X248" s="337"/>
      <c r="Y248" s="337"/>
      <c r="Z248" s="337"/>
      <c r="AA248" s="337"/>
    </row>
    <row r="249" spans="2:27" s="353" customFormat="1" x14ac:dyDescent="0.25">
      <c r="B249" s="378" t="s">
        <v>208</v>
      </c>
      <c r="C249" s="364"/>
      <c r="D249" s="364"/>
      <c r="E249" s="364"/>
      <c r="F249" s="365"/>
      <c r="G249" s="683">
        <f>IF(ISNUMBER(M95)=FALSE,"",M95)</f>
        <v>1524.4</v>
      </c>
      <c r="H249" s="683"/>
      <c r="I249" s="345"/>
      <c r="J249" s="345"/>
      <c r="K249" s="345"/>
      <c r="L249" s="345"/>
      <c r="M249" s="345"/>
      <c r="N249" s="684"/>
      <c r="O249" s="684"/>
      <c r="P249" s="337"/>
      <c r="Q249" s="337"/>
      <c r="R249" s="337"/>
      <c r="S249" s="337"/>
      <c r="T249" s="337"/>
      <c r="U249" s="337"/>
      <c r="V249" s="337"/>
      <c r="W249" s="337"/>
      <c r="X249" s="337"/>
      <c r="Y249" s="337"/>
      <c r="Z249" s="337"/>
      <c r="AA249" s="337"/>
    </row>
    <row r="250" spans="2:27" s="353" customFormat="1" x14ac:dyDescent="0.25">
      <c r="B250" s="401" t="str">
        <f>Parameters!E239</f>
        <v>AAA</v>
      </c>
      <c r="C250" s="402"/>
      <c r="D250" s="402"/>
      <c r="E250" s="402"/>
      <c r="F250" s="427"/>
      <c r="G250" s="680"/>
      <c r="H250" s="681"/>
      <c r="I250" s="345"/>
      <c r="J250" s="345"/>
      <c r="K250" s="345"/>
      <c r="L250" s="345"/>
      <c r="M250" s="345"/>
      <c r="N250" s="684"/>
      <c r="O250" s="684"/>
      <c r="P250" s="337"/>
      <c r="Q250" s="337"/>
      <c r="R250" s="337"/>
      <c r="S250" s="337"/>
      <c r="T250" s="337"/>
      <c r="U250" s="337"/>
      <c r="V250" s="337"/>
      <c r="W250" s="337"/>
      <c r="X250" s="337"/>
      <c r="Y250" s="337"/>
      <c r="Z250" s="337"/>
      <c r="AA250" s="337"/>
    </row>
    <row r="251" spans="2:27" s="353" customFormat="1" x14ac:dyDescent="0.25">
      <c r="B251" s="388" t="str">
        <f>Parameters!E240</f>
        <v>AA+</v>
      </c>
      <c r="C251" s="389"/>
      <c r="D251" s="389"/>
      <c r="E251" s="389"/>
      <c r="F251" s="390"/>
      <c r="G251" s="680"/>
      <c r="H251" s="681"/>
      <c r="I251" s="345"/>
      <c r="J251" s="345"/>
      <c r="K251" s="345"/>
      <c r="L251" s="345"/>
      <c r="M251" s="345"/>
      <c r="N251" s="684"/>
      <c r="O251" s="684"/>
      <c r="P251" s="337"/>
      <c r="Q251" s="337"/>
      <c r="R251" s="337"/>
      <c r="S251" s="337"/>
      <c r="T251" s="337"/>
      <c r="U251" s="337"/>
      <c r="V251" s="337"/>
      <c r="W251" s="337"/>
      <c r="X251" s="337"/>
      <c r="Y251" s="337"/>
      <c r="Z251" s="337"/>
      <c r="AA251" s="337"/>
    </row>
    <row r="252" spans="2:27" s="353" customFormat="1" x14ac:dyDescent="0.25">
      <c r="B252" s="388" t="str">
        <f>Parameters!E241</f>
        <v>AA</v>
      </c>
      <c r="C252" s="389"/>
      <c r="D252" s="389"/>
      <c r="E252" s="389"/>
      <c r="F252" s="390"/>
      <c r="G252" s="680"/>
      <c r="H252" s="681"/>
      <c r="I252" s="345"/>
      <c r="J252" s="345"/>
      <c r="K252" s="345"/>
      <c r="L252" s="345"/>
      <c r="M252" s="345"/>
      <c r="N252" s="684"/>
      <c r="O252" s="684"/>
      <c r="P252" s="337"/>
      <c r="Q252" s="337"/>
      <c r="R252" s="337"/>
      <c r="S252" s="337"/>
      <c r="T252" s="337"/>
      <c r="U252" s="337"/>
      <c r="V252" s="337"/>
      <c r="W252" s="337"/>
      <c r="X252" s="337"/>
      <c r="Y252" s="337"/>
      <c r="Z252" s="337"/>
      <c r="AA252" s="337"/>
    </row>
    <row r="253" spans="2:27" s="353" customFormat="1" x14ac:dyDescent="0.25">
      <c r="B253" s="388" t="str">
        <f>Parameters!E242</f>
        <v>AA-</v>
      </c>
      <c r="C253" s="389"/>
      <c r="D253" s="389"/>
      <c r="E253" s="389"/>
      <c r="F253" s="390"/>
      <c r="G253" s="680"/>
      <c r="H253" s="681"/>
      <c r="I253" s="345"/>
      <c r="J253" s="345"/>
      <c r="K253" s="345"/>
      <c r="L253" s="345"/>
      <c r="M253" s="345"/>
      <c r="N253" s="684"/>
      <c r="O253" s="684"/>
      <c r="P253" s="337"/>
      <c r="Q253" s="337"/>
      <c r="R253" s="337"/>
      <c r="S253" s="337"/>
      <c r="T253" s="337"/>
      <c r="U253" s="337"/>
      <c r="V253" s="337"/>
      <c r="W253" s="337"/>
      <c r="X253" s="337"/>
      <c r="Y253" s="337"/>
      <c r="Z253" s="337"/>
      <c r="AA253" s="337"/>
    </row>
    <row r="254" spans="2:27" s="353" customFormat="1" x14ac:dyDescent="0.25">
      <c r="B254" s="388" t="str">
        <f>Parameters!E243</f>
        <v>A+</v>
      </c>
      <c r="C254" s="389"/>
      <c r="D254" s="389"/>
      <c r="E254" s="389"/>
      <c r="F254" s="390"/>
      <c r="G254" s="680"/>
      <c r="H254" s="681"/>
      <c r="I254" s="345"/>
      <c r="J254" s="345"/>
      <c r="K254" s="345"/>
      <c r="L254" s="345"/>
      <c r="M254" s="345"/>
      <c r="N254" s="684"/>
      <c r="O254" s="684"/>
      <c r="P254" s="337"/>
      <c r="Q254" s="337"/>
      <c r="R254" s="337"/>
      <c r="S254" s="337"/>
      <c r="T254" s="337"/>
      <c r="U254" s="337"/>
      <c r="V254" s="337"/>
      <c r="W254" s="337"/>
      <c r="X254" s="337"/>
      <c r="Y254" s="337"/>
      <c r="Z254" s="337"/>
      <c r="AA254" s="337"/>
    </row>
    <row r="255" spans="2:27" s="353" customFormat="1" x14ac:dyDescent="0.25">
      <c r="B255" s="388" t="str">
        <f>Parameters!E244</f>
        <v>A</v>
      </c>
      <c r="C255" s="389"/>
      <c r="D255" s="389"/>
      <c r="E255" s="389"/>
      <c r="F255" s="390"/>
      <c r="G255" s="680"/>
      <c r="H255" s="681"/>
      <c r="I255" s="345"/>
      <c r="J255" s="345"/>
      <c r="K255" s="345"/>
      <c r="L255" s="345"/>
      <c r="M255" s="345"/>
      <c r="N255" s="684"/>
      <c r="O255" s="684"/>
      <c r="P255" s="337"/>
      <c r="Q255" s="337"/>
      <c r="R255" s="337"/>
      <c r="S255" s="337"/>
      <c r="T255" s="337"/>
      <c r="U255" s="337"/>
      <c r="V255" s="337"/>
      <c r="W255" s="337"/>
      <c r="X255" s="337"/>
      <c r="Y255" s="337"/>
      <c r="Z255" s="337"/>
      <c r="AA255" s="337"/>
    </row>
    <row r="256" spans="2:27" s="353" customFormat="1" x14ac:dyDescent="0.25">
      <c r="B256" s="388" t="str">
        <f>Parameters!E245</f>
        <v>A-</v>
      </c>
      <c r="C256" s="389"/>
      <c r="D256" s="389"/>
      <c r="E256" s="389"/>
      <c r="F256" s="390"/>
      <c r="G256" s="680"/>
      <c r="H256" s="681"/>
      <c r="I256" s="345"/>
      <c r="J256" s="345"/>
      <c r="K256" s="345"/>
      <c r="L256" s="345"/>
      <c r="M256" s="345"/>
      <c r="N256" s="684"/>
      <c r="O256" s="684"/>
      <c r="P256" s="337"/>
      <c r="Q256" s="337"/>
      <c r="R256" s="337"/>
      <c r="S256" s="337"/>
      <c r="T256" s="337"/>
      <c r="U256" s="337"/>
      <c r="V256" s="337"/>
      <c r="W256" s="337"/>
      <c r="X256" s="337"/>
      <c r="Y256" s="337"/>
      <c r="Z256" s="337"/>
      <c r="AA256" s="337"/>
    </row>
    <row r="257" spans="2:27" s="353" customFormat="1" x14ac:dyDescent="0.25">
      <c r="B257" s="388" t="str">
        <f>Parameters!E246</f>
        <v>BBB+</v>
      </c>
      <c r="C257" s="389"/>
      <c r="D257" s="389"/>
      <c r="E257" s="389"/>
      <c r="F257" s="390"/>
      <c r="G257" s="680"/>
      <c r="H257" s="681"/>
      <c r="I257" s="345"/>
      <c r="J257" s="345"/>
      <c r="K257" s="345"/>
      <c r="L257" s="345"/>
      <c r="M257" s="345"/>
      <c r="N257" s="684"/>
      <c r="O257" s="684"/>
      <c r="P257" s="337"/>
      <c r="Q257" s="337"/>
      <c r="R257" s="337"/>
      <c r="S257" s="337"/>
      <c r="T257" s="337"/>
      <c r="U257" s="337"/>
      <c r="V257" s="337"/>
      <c r="W257" s="337"/>
      <c r="X257" s="337"/>
      <c r="Y257" s="337"/>
      <c r="Z257" s="337"/>
      <c r="AA257" s="337"/>
    </row>
    <row r="258" spans="2:27" s="353" customFormat="1" x14ac:dyDescent="0.25">
      <c r="B258" s="388" t="str">
        <f>Parameters!E247</f>
        <v>BBB</v>
      </c>
      <c r="C258" s="389"/>
      <c r="D258" s="389"/>
      <c r="E258" s="389"/>
      <c r="F258" s="390"/>
      <c r="G258" s="680"/>
      <c r="H258" s="681"/>
      <c r="I258" s="345"/>
      <c r="J258" s="345"/>
      <c r="K258" s="345"/>
      <c r="L258" s="345"/>
      <c r="M258" s="345"/>
      <c r="N258" s="684"/>
      <c r="O258" s="684"/>
      <c r="P258" s="337"/>
      <c r="Q258" s="337"/>
      <c r="R258" s="337"/>
      <c r="S258" s="337"/>
      <c r="T258" s="337"/>
      <c r="U258" s="337"/>
      <c r="V258" s="337"/>
      <c r="W258" s="337"/>
      <c r="X258" s="337"/>
      <c r="Y258" s="337"/>
      <c r="Z258" s="337"/>
      <c r="AA258" s="337"/>
    </row>
    <row r="259" spans="2:27" s="353" customFormat="1" x14ac:dyDescent="0.25">
      <c r="B259" s="388" t="str">
        <f>Parameters!E248</f>
        <v>BBB-</v>
      </c>
      <c r="C259" s="389"/>
      <c r="D259" s="389"/>
      <c r="E259" s="389"/>
      <c r="F259" s="390"/>
      <c r="G259" s="680"/>
      <c r="H259" s="681"/>
      <c r="I259" s="345"/>
      <c r="J259" s="345"/>
      <c r="K259" s="345"/>
      <c r="L259" s="345"/>
      <c r="M259" s="345"/>
      <c r="N259" s="684"/>
      <c r="O259" s="684"/>
      <c r="P259" s="337"/>
      <c r="Q259" s="337"/>
      <c r="R259" s="337"/>
      <c r="S259" s="337"/>
      <c r="T259" s="337"/>
      <c r="U259" s="337"/>
      <c r="V259" s="337"/>
      <c r="W259" s="337"/>
      <c r="X259" s="337"/>
      <c r="Y259" s="337"/>
      <c r="Z259" s="337"/>
      <c r="AA259" s="337"/>
    </row>
    <row r="260" spans="2:27" s="353" customFormat="1" x14ac:dyDescent="0.25">
      <c r="B260" s="388" t="str">
        <f>Parameters!E249</f>
        <v>BB+</v>
      </c>
      <c r="C260" s="389"/>
      <c r="D260" s="389"/>
      <c r="E260" s="389"/>
      <c r="F260" s="390"/>
      <c r="G260" s="680"/>
      <c r="H260" s="681"/>
      <c r="I260" s="345"/>
      <c r="J260" s="345"/>
      <c r="K260" s="345"/>
      <c r="L260" s="345"/>
      <c r="M260" s="345"/>
      <c r="N260" s="684"/>
      <c r="O260" s="684"/>
      <c r="P260" s="337"/>
      <c r="Q260" s="337"/>
      <c r="R260" s="337"/>
      <c r="S260" s="337"/>
      <c r="T260" s="337"/>
      <c r="U260" s="337"/>
      <c r="V260" s="337"/>
      <c r="W260" s="337"/>
      <c r="X260" s="337"/>
      <c r="Y260" s="337"/>
      <c r="Z260" s="337"/>
      <c r="AA260" s="337"/>
    </row>
    <row r="261" spans="2:27" s="353" customFormat="1" x14ac:dyDescent="0.25">
      <c r="B261" s="388" t="str">
        <f>Parameters!E250</f>
        <v>BB</v>
      </c>
      <c r="C261" s="389"/>
      <c r="D261" s="389"/>
      <c r="E261" s="389"/>
      <c r="F261" s="390"/>
      <c r="G261" s="680"/>
      <c r="H261" s="681"/>
      <c r="I261" s="345"/>
      <c r="J261" s="345"/>
      <c r="K261" s="345"/>
      <c r="L261" s="345"/>
      <c r="M261" s="345"/>
      <c r="N261" s="684"/>
      <c r="O261" s="684"/>
      <c r="P261" s="337"/>
      <c r="Q261" s="337"/>
      <c r="R261" s="337"/>
      <c r="S261" s="337"/>
      <c r="T261" s="337"/>
      <c r="U261" s="337"/>
      <c r="V261" s="337"/>
      <c r="W261" s="337"/>
      <c r="X261" s="337"/>
      <c r="Y261" s="337"/>
      <c r="Z261" s="337"/>
      <c r="AA261" s="337"/>
    </row>
    <row r="262" spans="2:27" s="353" customFormat="1" x14ac:dyDescent="0.25">
      <c r="B262" s="388" t="str">
        <f>Parameters!E251</f>
        <v>BB-</v>
      </c>
      <c r="C262" s="389"/>
      <c r="D262" s="389"/>
      <c r="E262" s="389"/>
      <c r="F262" s="390"/>
      <c r="G262" s="680"/>
      <c r="H262" s="681"/>
      <c r="I262" s="345"/>
      <c r="J262" s="345"/>
      <c r="K262" s="345"/>
      <c r="L262" s="345"/>
      <c r="M262" s="345"/>
      <c r="N262" s="684"/>
      <c r="O262" s="684"/>
      <c r="P262" s="337"/>
      <c r="Q262" s="337"/>
      <c r="R262" s="337"/>
      <c r="S262" s="337"/>
      <c r="T262" s="337"/>
      <c r="U262" s="337"/>
      <c r="V262" s="337"/>
      <c r="W262" s="337"/>
      <c r="X262" s="337"/>
      <c r="Y262" s="337"/>
      <c r="Z262" s="337"/>
      <c r="AA262" s="337"/>
    </row>
    <row r="263" spans="2:27" s="353" customFormat="1" x14ac:dyDescent="0.25">
      <c r="B263" s="388" t="str">
        <f>Parameters!E252</f>
        <v>B+</v>
      </c>
      <c r="C263" s="389"/>
      <c r="D263" s="389"/>
      <c r="E263" s="389"/>
      <c r="F263" s="390"/>
      <c r="G263" s="680"/>
      <c r="H263" s="681"/>
      <c r="I263" s="345"/>
      <c r="J263" s="345"/>
      <c r="K263" s="345"/>
      <c r="L263" s="345"/>
      <c r="M263" s="345"/>
      <c r="N263" s="684"/>
      <c r="O263" s="684"/>
      <c r="P263" s="337"/>
      <c r="Q263" s="337"/>
      <c r="R263" s="337"/>
      <c r="S263" s="337"/>
      <c r="T263" s="337"/>
      <c r="U263" s="337"/>
      <c r="V263" s="337"/>
      <c r="W263" s="337"/>
      <c r="X263" s="337"/>
      <c r="Y263" s="337"/>
      <c r="Z263" s="337"/>
      <c r="AA263" s="337"/>
    </row>
    <row r="264" spans="2:27" s="353" customFormat="1" x14ac:dyDescent="0.25">
      <c r="B264" s="388" t="str">
        <f>Parameters!E253</f>
        <v>B</v>
      </c>
      <c r="C264" s="389"/>
      <c r="D264" s="389"/>
      <c r="E264" s="389"/>
      <c r="F264" s="390"/>
      <c r="G264" s="680"/>
      <c r="H264" s="681"/>
      <c r="I264" s="345"/>
      <c r="J264" s="345"/>
      <c r="K264" s="345"/>
      <c r="L264" s="345"/>
      <c r="M264" s="345"/>
      <c r="N264" s="684"/>
      <c r="O264" s="684"/>
      <c r="P264" s="337"/>
      <c r="Q264" s="337"/>
      <c r="R264" s="337"/>
      <c r="S264" s="337"/>
      <c r="T264" s="337"/>
      <c r="U264" s="337"/>
      <c r="V264" s="337"/>
      <c r="W264" s="337"/>
      <c r="X264" s="337"/>
      <c r="Y264" s="337"/>
      <c r="Z264" s="337"/>
      <c r="AA264" s="337"/>
    </row>
    <row r="265" spans="2:27" s="353" customFormat="1" x14ac:dyDescent="0.25">
      <c r="B265" s="388" t="str">
        <f>Parameters!E254</f>
        <v>B-</v>
      </c>
      <c r="C265" s="389"/>
      <c r="D265" s="389"/>
      <c r="E265" s="389"/>
      <c r="F265" s="390"/>
      <c r="G265" s="680"/>
      <c r="H265" s="681"/>
      <c r="I265" s="345"/>
      <c r="J265" s="345"/>
      <c r="K265" s="345"/>
      <c r="L265" s="345"/>
      <c r="M265" s="345"/>
      <c r="N265" s="684"/>
      <c r="O265" s="684"/>
      <c r="P265" s="337"/>
      <c r="Q265" s="337"/>
      <c r="R265" s="337"/>
      <c r="S265" s="337"/>
      <c r="T265" s="337"/>
      <c r="U265" s="337"/>
      <c r="V265" s="337"/>
      <c r="W265" s="337"/>
      <c r="X265" s="337"/>
      <c r="Y265" s="337"/>
      <c r="Z265" s="337"/>
      <c r="AA265" s="337"/>
    </row>
    <row r="266" spans="2:27" s="353" customFormat="1" x14ac:dyDescent="0.25">
      <c r="B266" s="388" t="str">
        <f>Parameters!E255</f>
        <v>CCC+</v>
      </c>
      <c r="C266" s="389"/>
      <c r="D266" s="389"/>
      <c r="E266" s="389"/>
      <c r="F266" s="390"/>
      <c r="G266" s="680"/>
      <c r="H266" s="681"/>
      <c r="I266" s="345"/>
      <c r="J266" s="345"/>
      <c r="K266" s="345"/>
      <c r="L266" s="345"/>
      <c r="M266" s="345"/>
      <c r="N266" s="684"/>
      <c r="O266" s="684"/>
      <c r="P266" s="337"/>
      <c r="Q266" s="337"/>
      <c r="R266" s="337"/>
      <c r="S266" s="337"/>
      <c r="T266" s="337"/>
      <c r="U266" s="337"/>
      <c r="V266" s="337"/>
      <c r="W266" s="337"/>
      <c r="X266" s="337"/>
      <c r="Y266" s="337"/>
      <c r="Z266" s="337"/>
      <c r="AA266" s="337"/>
    </row>
    <row r="267" spans="2:27" s="353" customFormat="1" x14ac:dyDescent="0.25">
      <c r="B267" s="388" t="str">
        <f>Parameters!E256</f>
        <v>CCC</v>
      </c>
      <c r="C267" s="389"/>
      <c r="D267" s="389"/>
      <c r="E267" s="389"/>
      <c r="F267" s="390"/>
      <c r="G267" s="680"/>
      <c r="H267" s="681"/>
      <c r="I267" s="345"/>
      <c r="J267" s="345"/>
      <c r="K267" s="345"/>
      <c r="L267" s="345"/>
      <c r="M267" s="345"/>
      <c r="N267" s="684"/>
      <c r="O267" s="684"/>
      <c r="P267" s="337"/>
      <c r="Q267" s="337"/>
      <c r="R267" s="337"/>
      <c r="S267" s="337"/>
      <c r="T267" s="337"/>
      <c r="U267" s="337"/>
      <c r="V267" s="337"/>
      <c r="W267" s="337"/>
      <c r="X267" s="337"/>
      <c r="Y267" s="337"/>
      <c r="Z267" s="337"/>
      <c r="AA267" s="337"/>
    </row>
    <row r="268" spans="2:27" s="353" customFormat="1" x14ac:dyDescent="0.25">
      <c r="B268" s="388" t="str">
        <f>Parameters!E257</f>
        <v>CCC-</v>
      </c>
      <c r="C268" s="389"/>
      <c r="D268" s="389"/>
      <c r="E268" s="389"/>
      <c r="F268" s="390"/>
      <c r="G268" s="680"/>
      <c r="H268" s="681"/>
      <c r="I268" s="345"/>
      <c r="J268" s="345"/>
      <c r="K268" s="345"/>
      <c r="L268" s="345"/>
      <c r="M268" s="345"/>
      <c r="N268" s="684"/>
      <c r="O268" s="684"/>
      <c r="P268" s="337"/>
      <c r="Q268" s="337"/>
      <c r="R268" s="337"/>
      <c r="S268" s="337"/>
      <c r="T268" s="337"/>
      <c r="U268" s="337"/>
      <c r="V268" s="337"/>
      <c r="W268" s="337"/>
      <c r="X268" s="337"/>
      <c r="Y268" s="337"/>
      <c r="Z268" s="337"/>
      <c r="AA268" s="337"/>
    </row>
    <row r="269" spans="2:27" s="353" customFormat="1" x14ac:dyDescent="0.25">
      <c r="B269" s="409" t="str">
        <f>Parameters!E258</f>
        <v>C/CC</v>
      </c>
      <c r="C269" s="410"/>
      <c r="D269" s="410"/>
      <c r="E269" s="410"/>
      <c r="F269" s="428"/>
      <c r="G269" s="680"/>
      <c r="H269" s="681"/>
      <c r="I269" s="345"/>
      <c r="J269" s="345"/>
      <c r="K269" s="345"/>
      <c r="L269" s="345"/>
      <c r="M269" s="345"/>
      <c r="N269" s="684"/>
      <c r="O269" s="684"/>
      <c r="P269" s="337"/>
      <c r="Q269" s="337"/>
      <c r="R269" s="337"/>
      <c r="S269" s="337"/>
      <c r="T269" s="337"/>
      <c r="U269" s="337"/>
      <c r="V269" s="337"/>
      <c r="W269" s="337"/>
      <c r="X269" s="337"/>
      <c r="Y269" s="337"/>
      <c r="Z269" s="337"/>
      <c r="AA269" s="337"/>
    </row>
    <row r="270" spans="2:27" s="353" customFormat="1" x14ac:dyDescent="0.25">
      <c r="B270" s="378" t="s">
        <v>229</v>
      </c>
      <c r="C270" s="364"/>
      <c r="D270" s="364"/>
      <c r="E270" s="364"/>
      <c r="F270" s="365"/>
      <c r="G270" s="682" t="str">
        <f>IF(SUMPRODUCT(G250:G269,Parameters!J$239:J$258)&gt;0,SUMPRODUCT(G250:G269,Parameters!J$239:J$258),"N/A")</f>
        <v>N/A</v>
      </c>
      <c r="H270" s="682"/>
      <c r="I270" s="345"/>
      <c r="J270" s="345"/>
      <c r="K270" s="345"/>
      <c r="L270" s="345"/>
      <c r="M270" s="345"/>
      <c r="N270" s="684"/>
      <c r="O270" s="684"/>
      <c r="P270" s="337"/>
      <c r="Q270" s="337"/>
      <c r="R270" s="337"/>
      <c r="S270" s="337"/>
      <c r="T270" s="337"/>
      <c r="U270" s="337"/>
      <c r="V270" s="337"/>
      <c r="W270" s="337"/>
      <c r="X270" s="337"/>
      <c r="Y270" s="337"/>
      <c r="Z270" s="337"/>
      <c r="AA270" s="337"/>
    </row>
    <row r="271" spans="2:27" s="353" customFormat="1" x14ac:dyDescent="0.25">
      <c r="B271" s="379"/>
      <c r="C271" s="379"/>
      <c r="D271" s="379"/>
      <c r="E271" s="379"/>
      <c r="F271" s="379"/>
      <c r="G271" s="379"/>
      <c r="H271" s="379"/>
      <c r="I271" s="379"/>
      <c r="J271" s="379"/>
      <c r="K271" s="379"/>
      <c r="L271" s="379"/>
      <c r="M271" s="379"/>
      <c r="N271" s="379"/>
      <c r="O271" s="379"/>
      <c r="P271" s="379"/>
      <c r="Q271" s="379"/>
      <c r="R271" s="379"/>
      <c r="S271" s="379"/>
      <c r="T271" s="379"/>
      <c r="U271" s="379"/>
      <c r="V271" s="379"/>
      <c r="W271" s="379"/>
      <c r="X271" s="379"/>
      <c r="Y271" s="379"/>
      <c r="Z271" s="379"/>
      <c r="AA271" s="379"/>
    </row>
    <row r="272" spans="2:27" s="353" customFormat="1" x14ac:dyDescent="0.25">
      <c r="B272" s="337"/>
      <c r="C272" s="337"/>
      <c r="D272" s="337"/>
      <c r="E272" s="337"/>
      <c r="F272" s="337"/>
      <c r="G272" s="337"/>
      <c r="H272" s="337"/>
      <c r="I272" s="345"/>
      <c r="J272" s="345"/>
      <c r="K272" s="337"/>
      <c r="L272" s="337"/>
      <c r="M272" s="337"/>
      <c r="N272" s="337"/>
      <c r="O272" s="337"/>
      <c r="P272" s="337"/>
      <c r="Q272" s="337"/>
      <c r="R272" s="337"/>
      <c r="S272" s="337"/>
      <c r="T272" s="337"/>
      <c r="U272" s="337"/>
      <c r="V272" s="337"/>
      <c r="W272" s="337"/>
      <c r="X272" s="337"/>
      <c r="Y272" s="337"/>
      <c r="Z272" s="337"/>
      <c r="AA272" s="337"/>
    </row>
    <row r="273" spans="2:27" s="437" customFormat="1" ht="18.75" x14ac:dyDescent="0.25">
      <c r="B273" s="384" t="s">
        <v>230</v>
      </c>
      <c r="C273" s="425"/>
      <c r="D273" s="425"/>
      <c r="E273" s="425"/>
      <c r="F273" s="425"/>
      <c r="G273" s="425"/>
      <c r="H273" s="425"/>
      <c r="I273" s="425"/>
      <c r="J273" s="425"/>
      <c r="K273" s="425"/>
      <c r="L273" s="425"/>
      <c r="M273" s="425"/>
      <c r="N273" s="425"/>
      <c r="O273" s="425"/>
      <c r="P273" s="425"/>
      <c r="Q273" s="425"/>
      <c r="R273" s="425"/>
      <c r="S273" s="425"/>
      <c r="T273" s="425"/>
      <c r="U273" s="425"/>
      <c r="V273" s="425"/>
      <c r="W273" s="425"/>
      <c r="X273" s="425"/>
      <c r="Y273" s="425"/>
      <c r="Z273" s="425"/>
      <c r="AA273" s="425"/>
    </row>
    <row r="274" spans="2:27" s="437" customFormat="1" ht="18.75" x14ac:dyDescent="0.25">
      <c r="B274" s="380"/>
      <c r="C274" s="424"/>
      <c r="D274" s="424"/>
      <c r="E274" s="424"/>
      <c r="F274" s="424"/>
      <c r="G274" s="424"/>
      <c r="H274" s="424"/>
      <c r="I274" s="423"/>
      <c r="J274" s="423"/>
      <c r="K274" s="424"/>
      <c r="L274" s="424"/>
      <c r="M274" s="424"/>
      <c r="N274" s="424"/>
      <c r="O274" s="424"/>
      <c r="P274" s="424"/>
      <c r="Q274" s="424"/>
      <c r="R274" s="424"/>
      <c r="S274" s="424"/>
      <c r="T274" s="424"/>
      <c r="U274" s="424"/>
      <c r="V274" s="424"/>
      <c r="W274" s="424"/>
      <c r="X274" s="424"/>
      <c r="Y274" s="424"/>
      <c r="Z274" s="424"/>
      <c r="AA274" s="424"/>
    </row>
    <row r="275" spans="2:27" s="353" customFormat="1" x14ac:dyDescent="0.25">
      <c r="B275" s="378" t="s">
        <v>208</v>
      </c>
      <c r="C275" s="364"/>
      <c r="D275" s="364"/>
      <c r="E275" s="364"/>
      <c r="F275" s="365"/>
      <c r="G275" s="683">
        <f>IF(ISNUMBER(M102)=FALSE,"",M102*Z112)</f>
        <v>9.0204545454545464</v>
      </c>
      <c r="H275" s="683"/>
      <c r="I275" s="345"/>
      <c r="J275" s="345"/>
      <c r="K275" s="345"/>
      <c r="L275" s="345"/>
      <c r="M275" s="345"/>
      <c r="N275" s="684"/>
      <c r="O275" s="684"/>
      <c r="P275" s="337"/>
      <c r="Q275" s="337"/>
      <c r="R275" s="337"/>
      <c r="S275" s="337"/>
      <c r="T275" s="337"/>
      <c r="U275" s="337"/>
      <c r="V275" s="337"/>
      <c r="W275" s="337"/>
      <c r="X275" s="337"/>
      <c r="Y275" s="337"/>
      <c r="Z275" s="337"/>
      <c r="AA275" s="337"/>
    </row>
    <row r="276" spans="2:27" s="353" customFormat="1" x14ac:dyDescent="0.25">
      <c r="B276" s="401" t="str">
        <f>Parameters!E239</f>
        <v>AAA</v>
      </c>
      <c r="C276" s="402"/>
      <c r="D276" s="402"/>
      <c r="E276" s="402"/>
      <c r="F276" s="427"/>
      <c r="G276" s="680"/>
      <c r="H276" s="681"/>
      <c r="I276" s="345"/>
      <c r="J276" s="345"/>
      <c r="K276" s="345"/>
      <c r="L276" s="345"/>
      <c r="M276" s="345"/>
      <c r="N276" s="684"/>
      <c r="O276" s="684"/>
      <c r="P276" s="337"/>
      <c r="Q276" s="337"/>
      <c r="R276" s="337"/>
      <c r="S276" s="337"/>
      <c r="T276" s="337"/>
      <c r="U276" s="337"/>
      <c r="V276" s="337"/>
      <c r="W276" s="337"/>
      <c r="X276" s="337"/>
      <c r="Y276" s="337"/>
      <c r="Z276" s="337"/>
      <c r="AA276" s="337"/>
    </row>
    <row r="277" spans="2:27" s="353" customFormat="1" x14ac:dyDescent="0.25">
      <c r="B277" s="388" t="str">
        <f>Parameters!E240</f>
        <v>AA+</v>
      </c>
      <c r="C277" s="389"/>
      <c r="D277" s="389"/>
      <c r="E277" s="389"/>
      <c r="F277" s="390"/>
      <c r="G277" s="680"/>
      <c r="H277" s="681"/>
      <c r="I277" s="345"/>
      <c r="J277" s="345"/>
      <c r="K277" s="345"/>
      <c r="L277" s="345"/>
      <c r="M277" s="345"/>
      <c r="N277" s="684"/>
      <c r="O277" s="684"/>
      <c r="P277" s="337"/>
      <c r="Q277" s="337"/>
      <c r="R277" s="337"/>
      <c r="S277" s="337"/>
      <c r="T277" s="337"/>
      <c r="U277" s="337"/>
      <c r="V277" s="337"/>
      <c r="W277" s="337"/>
      <c r="X277" s="337"/>
      <c r="Y277" s="337"/>
      <c r="Z277" s="337"/>
      <c r="AA277" s="337"/>
    </row>
    <row r="278" spans="2:27" s="353" customFormat="1" x14ac:dyDescent="0.25">
      <c r="B278" s="388" t="str">
        <f>Parameters!E241</f>
        <v>AA</v>
      </c>
      <c r="C278" s="389"/>
      <c r="D278" s="389"/>
      <c r="E278" s="389"/>
      <c r="F278" s="390"/>
      <c r="G278" s="680"/>
      <c r="H278" s="681"/>
      <c r="I278" s="345"/>
      <c r="J278" s="345"/>
      <c r="K278" s="345"/>
      <c r="L278" s="345"/>
      <c r="M278" s="345"/>
      <c r="N278" s="684"/>
      <c r="O278" s="684"/>
      <c r="P278" s="337"/>
      <c r="Q278" s="337"/>
      <c r="R278" s="337"/>
      <c r="S278" s="337"/>
      <c r="T278" s="337"/>
      <c r="U278" s="337"/>
      <c r="V278" s="337"/>
      <c r="W278" s="337"/>
      <c r="X278" s="337"/>
      <c r="Y278" s="337"/>
      <c r="Z278" s="337"/>
      <c r="AA278" s="337"/>
    </row>
    <row r="279" spans="2:27" s="353" customFormat="1" x14ac:dyDescent="0.25">
      <c r="B279" s="388" t="str">
        <f>Parameters!E242</f>
        <v>AA-</v>
      </c>
      <c r="C279" s="389"/>
      <c r="D279" s="389"/>
      <c r="E279" s="389"/>
      <c r="F279" s="390"/>
      <c r="G279" s="680"/>
      <c r="H279" s="681"/>
      <c r="I279" s="345"/>
      <c r="J279" s="345"/>
      <c r="K279" s="345"/>
      <c r="L279" s="345"/>
      <c r="M279" s="345"/>
      <c r="N279" s="684"/>
      <c r="O279" s="684"/>
      <c r="P279" s="337"/>
      <c r="Q279" s="337"/>
      <c r="R279" s="337"/>
      <c r="S279" s="337"/>
      <c r="T279" s="337"/>
      <c r="U279" s="337"/>
      <c r="V279" s="337"/>
      <c r="W279" s="337"/>
      <c r="X279" s="337"/>
      <c r="Y279" s="337"/>
      <c r="Z279" s="337"/>
      <c r="AA279" s="337"/>
    </row>
    <row r="280" spans="2:27" s="353" customFormat="1" x14ac:dyDescent="0.25">
      <c r="B280" s="388" t="str">
        <f>Parameters!E243</f>
        <v>A+</v>
      </c>
      <c r="C280" s="389"/>
      <c r="D280" s="389"/>
      <c r="E280" s="389"/>
      <c r="F280" s="390"/>
      <c r="G280" s="680"/>
      <c r="H280" s="681"/>
      <c r="I280" s="345"/>
      <c r="J280" s="345"/>
      <c r="K280" s="345"/>
      <c r="L280" s="345"/>
      <c r="M280" s="345"/>
      <c r="N280" s="684"/>
      <c r="O280" s="684"/>
      <c r="P280" s="337"/>
      <c r="Q280" s="337"/>
      <c r="R280" s="337"/>
      <c r="S280" s="337"/>
      <c r="T280" s="337"/>
      <c r="U280" s="337"/>
      <c r="V280" s="337"/>
      <c r="W280" s="337"/>
      <c r="X280" s="337"/>
      <c r="Y280" s="337"/>
      <c r="Z280" s="337"/>
      <c r="AA280" s="337"/>
    </row>
    <row r="281" spans="2:27" s="353" customFormat="1" x14ac:dyDescent="0.25">
      <c r="B281" s="388" t="str">
        <f>Parameters!E244</f>
        <v>A</v>
      </c>
      <c r="C281" s="389"/>
      <c r="D281" s="389"/>
      <c r="E281" s="389"/>
      <c r="F281" s="390"/>
      <c r="G281" s="680"/>
      <c r="H281" s="681"/>
      <c r="I281" s="345"/>
      <c r="J281" s="345"/>
      <c r="K281" s="345"/>
      <c r="L281" s="345"/>
      <c r="M281" s="345"/>
      <c r="N281" s="684"/>
      <c r="O281" s="684"/>
      <c r="P281" s="337"/>
      <c r="Q281" s="337"/>
      <c r="R281" s="337"/>
      <c r="S281" s="337"/>
      <c r="T281" s="337"/>
      <c r="U281" s="337"/>
      <c r="V281" s="337"/>
      <c r="W281" s="337"/>
      <c r="X281" s="337"/>
      <c r="Y281" s="337"/>
      <c r="Z281" s="337"/>
      <c r="AA281" s="337"/>
    </row>
    <row r="282" spans="2:27" s="353" customFormat="1" x14ac:dyDescent="0.25">
      <c r="B282" s="388" t="str">
        <f>Parameters!E245</f>
        <v>A-</v>
      </c>
      <c r="C282" s="389"/>
      <c r="D282" s="389"/>
      <c r="E282" s="389"/>
      <c r="F282" s="390"/>
      <c r="G282" s="680"/>
      <c r="H282" s="681"/>
      <c r="I282" s="345"/>
      <c r="J282" s="345"/>
      <c r="K282" s="345"/>
      <c r="L282" s="345"/>
      <c r="M282" s="345"/>
      <c r="N282" s="684"/>
      <c r="O282" s="684"/>
      <c r="P282" s="337"/>
      <c r="Q282" s="337"/>
      <c r="R282" s="337"/>
      <c r="S282" s="337"/>
      <c r="T282" s="337"/>
      <c r="U282" s="337"/>
      <c r="V282" s="337"/>
      <c r="W282" s="337"/>
      <c r="X282" s="337"/>
      <c r="Y282" s="337"/>
      <c r="Z282" s="337"/>
      <c r="AA282" s="337"/>
    </row>
    <row r="283" spans="2:27" s="353" customFormat="1" x14ac:dyDescent="0.25">
      <c r="B283" s="388" t="str">
        <f>Parameters!E246</f>
        <v>BBB+</v>
      </c>
      <c r="C283" s="389"/>
      <c r="D283" s="389"/>
      <c r="E283" s="389"/>
      <c r="F283" s="390"/>
      <c r="G283" s="680"/>
      <c r="H283" s="681"/>
      <c r="I283" s="345"/>
      <c r="J283" s="345"/>
      <c r="K283" s="345"/>
      <c r="L283" s="345"/>
      <c r="M283" s="345"/>
      <c r="N283" s="684"/>
      <c r="O283" s="684"/>
      <c r="P283" s="337"/>
      <c r="Q283" s="337"/>
      <c r="R283" s="337"/>
      <c r="S283" s="337"/>
      <c r="T283" s="337"/>
      <c r="U283" s="337"/>
      <c r="V283" s="337"/>
      <c r="W283" s="337"/>
      <c r="X283" s="337"/>
      <c r="Y283" s="337"/>
      <c r="Z283" s="337"/>
      <c r="AA283" s="337"/>
    </row>
    <row r="284" spans="2:27" s="353" customFormat="1" x14ac:dyDescent="0.25">
      <c r="B284" s="388" t="str">
        <f>Parameters!E247</f>
        <v>BBB</v>
      </c>
      <c r="C284" s="389"/>
      <c r="D284" s="389"/>
      <c r="E284" s="389"/>
      <c r="F284" s="390"/>
      <c r="G284" s="680"/>
      <c r="H284" s="681"/>
      <c r="I284" s="345"/>
      <c r="J284" s="345"/>
      <c r="K284" s="345"/>
      <c r="L284" s="345"/>
      <c r="M284" s="345"/>
      <c r="N284" s="684"/>
      <c r="O284" s="684"/>
      <c r="P284" s="337"/>
      <c r="Q284" s="337"/>
      <c r="R284" s="337"/>
      <c r="S284" s="337"/>
      <c r="T284" s="337"/>
      <c r="U284" s="337"/>
      <c r="V284" s="337"/>
      <c r="W284" s="337"/>
      <c r="X284" s="337"/>
      <c r="Y284" s="337"/>
      <c r="Z284" s="337"/>
      <c r="AA284" s="337"/>
    </row>
    <row r="285" spans="2:27" s="353" customFormat="1" x14ac:dyDescent="0.25">
      <c r="B285" s="388" t="str">
        <f>Parameters!E248</f>
        <v>BBB-</v>
      </c>
      <c r="C285" s="389"/>
      <c r="D285" s="389"/>
      <c r="E285" s="389"/>
      <c r="F285" s="390"/>
      <c r="G285" s="680"/>
      <c r="H285" s="681"/>
      <c r="I285" s="345"/>
      <c r="J285" s="345"/>
      <c r="K285" s="345"/>
      <c r="L285" s="345"/>
      <c r="M285" s="345"/>
      <c r="N285" s="684"/>
      <c r="O285" s="684"/>
      <c r="P285" s="337"/>
      <c r="Q285" s="337"/>
      <c r="R285" s="337"/>
      <c r="S285" s="337"/>
      <c r="T285" s="337"/>
      <c r="U285" s="337"/>
      <c r="V285" s="337"/>
      <c r="W285" s="337"/>
      <c r="X285" s="337"/>
      <c r="Y285" s="337"/>
      <c r="Z285" s="337"/>
      <c r="AA285" s="337"/>
    </row>
    <row r="286" spans="2:27" s="353" customFormat="1" x14ac:dyDescent="0.25">
      <c r="B286" s="388" t="str">
        <f>Parameters!E249</f>
        <v>BB+</v>
      </c>
      <c r="C286" s="389"/>
      <c r="D286" s="389"/>
      <c r="E286" s="389"/>
      <c r="F286" s="390"/>
      <c r="G286" s="680"/>
      <c r="H286" s="681"/>
      <c r="I286" s="345"/>
      <c r="J286" s="345"/>
      <c r="K286" s="345"/>
      <c r="L286" s="345"/>
      <c r="M286" s="345"/>
      <c r="N286" s="684"/>
      <c r="O286" s="684"/>
      <c r="P286" s="337"/>
      <c r="Q286" s="337"/>
      <c r="R286" s="337"/>
      <c r="S286" s="337"/>
      <c r="T286" s="337"/>
      <c r="U286" s="337"/>
      <c r="V286" s="337"/>
      <c r="W286" s="337"/>
      <c r="X286" s="337"/>
      <c r="Y286" s="337"/>
      <c r="Z286" s="337"/>
      <c r="AA286" s="337"/>
    </row>
    <row r="287" spans="2:27" s="353" customFormat="1" x14ac:dyDescent="0.25">
      <c r="B287" s="388" t="str">
        <f>Parameters!E250</f>
        <v>BB</v>
      </c>
      <c r="C287" s="389"/>
      <c r="D287" s="389"/>
      <c r="E287" s="389"/>
      <c r="F287" s="390"/>
      <c r="G287" s="680"/>
      <c r="H287" s="681"/>
      <c r="I287" s="345"/>
      <c r="J287" s="345"/>
      <c r="K287" s="345"/>
      <c r="L287" s="345"/>
      <c r="M287" s="345"/>
      <c r="N287" s="684"/>
      <c r="O287" s="684"/>
      <c r="P287" s="337"/>
      <c r="Q287" s="337"/>
      <c r="R287" s="337"/>
      <c r="S287" s="337"/>
      <c r="T287" s="337"/>
      <c r="U287" s="337"/>
      <c r="V287" s="337"/>
      <c r="W287" s="337"/>
      <c r="X287" s="337"/>
      <c r="Y287" s="337"/>
      <c r="Z287" s="337"/>
      <c r="AA287" s="337"/>
    </row>
    <row r="288" spans="2:27" s="353" customFormat="1" x14ac:dyDescent="0.25">
      <c r="B288" s="388" t="str">
        <f>Parameters!E251</f>
        <v>BB-</v>
      </c>
      <c r="C288" s="389"/>
      <c r="D288" s="389"/>
      <c r="E288" s="389"/>
      <c r="F288" s="390"/>
      <c r="G288" s="680"/>
      <c r="H288" s="681"/>
      <c r="I288" s="345"/>
      <c r="J288" s="345"/>
      <c r="K288" s="345"/>
      <c r="L288" s="345"/>
      <c r="M288" s="345"/>
      <c r="N288" s="684"/>
      <c r="O288" s="684"/>
      <c r="P288" s="337"/>
      <c r="Q288" s="337"/>
      <c r="R288" s="337"/>
      <c r="S288" s="337"/>
      <c r="T288" s="337"/>
      <c r="U288" s="337"/>
      <c r="V288" s="337"/>
      <c r="W288" s="337"/>
      <c r="X288" s="337"/>
      <c r="Y288" s="337"/>
      <c r="Z288" s="337"/>
      <c r="AA288" s="337"/>
    </row>
    <row r="289" spans="2:27" s="353" customFormat="1" x14ac:dyDescent="0.25">
      <c r="B289" s="388" t="str">
        <f>Parameters!E252</f>
        <v>B+</v>
      </c>
      <c r="C289" s="389"/>
      <c r="D289" s="389"/>
      <c r="E289" s="389"/>
      <c r="F289" s="390"/>
      <c r="G289" s="680"/>
      <c r="H289" s="681"/>
      <c r="I289" s="345"/>
      <c r="J289" s="345"/>
      <c r="K289" s="345"/>
      <c r="L289" s="345"/>
      <c r="M289" s="345"/>
      <c r="N289" s="684"/>
      <c r="O289" s="684"/>
      <c r="P289" s="337"/>
      <c r="Q289" s="337"/>
      <c r="R289" s="337"/>
      <c r="S289" s="337"/>
      <c r="T289" s="337"/>
      <c r="U289" s="337"/>
      <c r="V289" s="337"/>
      <c r="W289" s="337"/>
      <c r="X289" s="337"/>
      <c r="Y289" s="337"/>
      <c r="Z289" s="337"/>
      <c r="AA289" s="337"/>
    </row>
    <row r="290" spans="2:27" s="353" customFormat="1" x14ac:dyDescent="0.25">
      <c r="B290" s="388" t="str">
        <f>Parameters!E253</f>
        <v>B</v>
      </c>
      <c r="C290" s="389"/>
      <c r="D290" s="389"/>
      <c r="E290" s="389"/>
      <c r="F290" s="390"/>
      <c r="G290" s="680"/>
      <c r="H290" s="681"/>
      <c r="I290" s="345"/>
      <c r="J290" s="345"/>
      <c r="K290" s="345"/>
      <c r="L290" s="345"/>
      <c r="M290" s="345"/>
      <c r="N290" s="684"/>
      <c r="O290" s="684"/>
      <c r="P290" s="337"/>
      <c r="Q290" s="337"/>
      <c r="R290" s="337"/>
      <c r="S290" s="337"/>
      <c r="T290" s="337"/>
      <c r="U290" s="337"/>
      <c r="V290" s="337"/>
      <c r="W290" s="337"/>
      <c r="X290" s="337"/>
      <c r="Y290" s="337"/>
      <c r="Z290" s="337"/>
      <c r="AA290" s="337"/>
    </row>
    <row r="291" spans="2:27" s="353" customFormat="1" x14ac:dyDescent="0.25">
      <c r="B291" s="388" t="str">
        <f>Parameters!E254</f>
        <v>B-</v>
      </c>
      <c r="C291" s="389"/>
      <c r="D291" s="389"/>
      <c r="E291" s="389"/>
      <c r="F291" s="390"/>
      <c r="G291" s="680"/>
      <c r="H291" s="681"/>
      <c r="I291" s="345"/>
      <c r="J291" s="345"/>
      <c r="K291" s="345"/>
      <c r="L291" s="345"/>
      <c r="M291" s="345"/>
      <c r="N291" s="684"/>
      <c r="O291" s="684"/>
      <c r="P291" s="337"/>
      <c r="Q291" s="337"/>
      <c r="R291" s="337"/>
      <c r="S291" s="337"/>
      <c r="T291" s="337"/>
      <c r="U291" s="337"/>
      <c r="V291" s="337"/>
      <c r="W291" s="337"/>
      <c r="X291" s="337"/>
      <c r="Y291" s="337"/>
      <c r="Z291" s="337"/>
      <c r="AA291" s="337"/>
    </row>
    <row r="292" spans="2:27" s="353" customFormat="1" x14ac:dyDescent="0.25">
      <c r="B292" s="388" t="str">
        <f>Parameters!E255</f>
        <v>CCC+</v>
      </c>
      <c r="C292" s="389"/>
      <c r="D292" s="389"/>
      <c r="E292" s="389"/>
      <c r="F292" s="390"/>
      <c r="G292" s="680"/>
      <c r="H292" s="681"/>
      <c r="I292" s="345"/>
      <c r="J292" s="345"/>
      <c r="K292" s="345"/>
      <c r="L292" s="345"/>
      <c r="M292" s="345"/>
      <c r="N292" s="684"/>
      <c r="O292" s="684"/>
      <c r="P292" s="337"/>
      <c r="Q292" s="337"/>
      <c r="R292" s="337"/>
      <c r="S292" s="337"/>
      <c r="T292" s="337"/>
      <c r="U292" s="337"/>
      <c r="V292" s="337"/>
      <c r="W292" s="337"/>
      <c r="X292" s="337"/>
      <c r="Y292" s="337"/>
      <c r="Z292" s="337"/>
      <c r="AA292" s="337"/>
    </row>
    <row r="293" spans="2:27" s="353" customFormat="1" x14ac:dyDescent="0.25">
      <c r="B293" s="388" t="str">
        <f>Parameters!E256</f>
        <v>CCC</v>
      </c>
      <c r="C293" s="389"/>
      <c r="D293" s="389"/>
      <c r="E293" s="389"/>
      <c r="F293" s="390"/>
      <c r="G293" s="680"/>
      <c r="H293" s="681"/>
      <c r="I293" s="345"/>
      <c r="J293" s="345"/>
      <c r="K293" s="345"/>
      <c r="L293" s="345"/>
      <c r="M293" s="345"/>
      <c r="N293" s="684"/>
      <c r="O293" s="684"/>
      <c r="P293" s="337"/>
      <c r="Q293" s="337"/>
      <c r="R293" s="337"/>
      <c r="S293" s="337"/>
      <c r="T293" s="337"/>
      <c r="U293" s="337"/>
      <c r="V293" s="337"/>
      <c r="W293" s="337"/>
      <c r="X293" s="337"/>
      <c r="Y293" s="337"/>
      <c r="Z293" s="337"/>
      <c r="AA293" s="337"/>
    </row>
    <row r="294" spans="2:27" s="353" customFormat="1" x14ac:dyDescent="0.25">
      <c r="B294" s="388" t="str">
        <f>Parameters!E257</f>
        <v>CCC-</v>
      </c>
      <c r="C294" s="389"/>
      <c r="D294" s="389"/>
      <c r="E294" s="389"/>
      <c r="F294" s="390"/>
      <c r="G294" s="680"/>
      <c r="H294" s="681"/>
      <c r="I294" s="345"/>
      <c r="J294" s="345"/>
      <c r="K294" s="345"/>
      <c r="L294" s="345"/>
      <c r="M294" s="345"/>
      <c r="N294" s="684"/>
      <c r="O294" s="684"/>
      <c r="P294" s="337"/>
      <c r="Q294" s="337"/>
      <c r="R294" s="337"/>
      <c r="S294" s="337"/>
      <c r="T294" s="337"/>
      <c r="U294" s="337"/>
      <c r="V294" s="337"/>
      <c r="W294" s="337"/>
      <c r="X294" s="337"/>
      <c r="Y294" s="337"/>
      <c r="Z294" s="337"/>
      <c r="AA294" s="337"/>
    </row>
    <row r="295" spans="2:27" s="353" customFormat="1" x14ac:dyDescent="0.25">
      <c r="B295" s="409" t="str">
        <f>Parameters!E258</f>
        <v>C/CC</v>
      </c>
      <c r="C295" s="410"/>
      <c r="D295" s="410"/>
      <c r="E295" s="410"/>
      <c r="F295" s="428"/>
      <c r="G295" s="680"/>
      <c r="H295" s="681"/>
      <c r="I295" s="345"/>
      <c r="J295" s="345"/>
      <c r="K295" s="345"/>
      <c r="L295" s="345"/>
      <c r="M295" s="345"/>
      <c r="N295" s="684"/>
      <c r="O295" s="684"/>
      <c r="P295" s="337"/>
      <c r="Q295" s="337"/>
      <c r="R295" s="337"/>
      <c r="S295" s="337"/>
      <c r="T295" s="337"/>
      <c r="U295" s="337"/>
      <c r="V295" s="337"/>
      <c r="W295" s="337"/>
      <c r="X295" s="337"/>
      <c r="Y295" s="337"/>
      <c r="Z295" s="337"/>
      <c r="AA295" s="337"/>
    </row>
    <row r="296" spans="2:27" s="353" customFormat="1" x14ac:dyDescent="0.25">
      <c r="B296" s="378" t="s">
        <v>229</v>
      </c>
      <c r="C296" s="364"/>
      <c r="D296" s="364"/>
      <c r="E296" s="364"/>
      <c r="F296" s="365"/>
      <c r="G296" s="682" t="str">
        <f>IF(SUMPRODUCT(G276:G295,Parameters!J$239:J$258)&gt;0,SUMPRODUCT(G276:G295,Parameters!J$239:J$258),"N/A")</f>
        <v>N/A</v>
      </c>
      <c r="H296" s="682"/>
      <c r="I296" s="345"/>
      <c r="J296" s="345"/>
      <c r="K296" s="345"/>
      <c r="L296" s="345"/>
      <c r="M296" s="345"/>
      <c r="N296" s="684"/>
      <c r="O296" s="684"/>
      <c r="P296" s="337"/>
      <c r="Q296" s="337"/>
      <c r="R296" s="337"/>
      <c r="S296" s="337"/>
      <c r="T296" s="337"/>
      <c r="U296" s="337"/>
      <c r="V296" s="337"/>
      <c r="W296" s="337"/>
      <c r="X296" s="337"/>
      <c r="Y296" s="337"/>
      <c r="Z296" s="337"/>
      <c r="AA296" s="337"/>
    </row>
    <row r="297" spans="2:27" s="353" customFormat="1" x14ac:dyDescent="0.25">
      <c r="B297" s="379"/>
      <c r="C297" s="379"/>
      <c r="D297" s="379"/>
      <c r="E297" s="379"/>
      <c r="F297" s="379"/>
      <c r="G297" s="379"/>
      <c r="H297" s="379"/>
      <c r="I297" s="379"/>
      <c r="J297" s="379"/>
      <c r="K297" s="379"/>
      <c r="L297" s="379"/>
      <c r="M297" s="379"/>
      <c r="N297" s="379"/>
      <c r="O297" s="379"/>
      <c r="P297" s="379"/>
      <c r="Q297" s="379"/>
      <c r="R297" s="379"/>
      <c r="S297" s="379"/>
      <c r="T297" s="379"/>
      <c r="U297" s="379"/>
      <c r="V297" s="379"/>
      <c r="W297" s="379"/>
      <c r="X297" s="379"/>
      <c r="Y297" s="379"/>
      <c r="Z297" s="379"/>
      <c r="AA297" s="379"/>
    </row>
    <row r="298" spans="2:27" s="353" customFormat="1" x14ac:dyDescent="0.25">
      <c r="B298" s="424"/>
      <c r="C298" s="424"/>
      <c r="D298" s="424"/>
      <c r="E298" s="424"/>
      <c r="F298" s="424"/>
      <c r="G298" s="424"/>
      <c r="H298" s="424"/>
      <c r="I298" s="423"/>
      <c r="J298" s="423"/>
      <c r="K298" s="424"/>
      <c r="L298" s="424"/>
      <c r="M298" s="424"/>
      <c r="N298" s="424"/>
      <c r="O298" s="424"/>
      <c r="P298" s="424"/>
      <c r="Q298" s="424"/>
      <c r="R298" s="424"/>
      <c r="S298" s="424"/>
      <c r="T298" s="424"/>
      <c r="U298" s="424"/>
      <c r="V298" s="424"/>
      <c r="W298" s="424"/>
      <c r="X298" s="424"/>
      <c r="Y298" s="424"/>
      <c r="Z298" s="424"/>
      <c r="AA298" s="424"/>
    </row>
    <row r="299" spans="2:27" s="353" customFormat="1" ht="18.75" x14ac:dyDescent="0.25">
      <c r="B299" s="384" t="s">
        <v>231</v>
      </c>
      <c r="C299" s="425"/>
      <c r="D299" s="425"/>
      <c r="E299" s="425"/>
      <c r="F299" s="425"/>
      <c r="G299" s="425"/>
      <c r="H299" s="425"/>
      <c r="I299" s="425"/>
      <c r="J299" s="425"/>
      <c r="K299" s="425"/>
      <c r="L299" s="425"/>
      <c r="M299" s="425"/>
      <c r="N299" s="425"/>
      <c r="O299" s="425"/>
      <c r="P299" s="425"/>
      <c r="Q299" s="425"/>
      <c r="R299" s="425"/>
      <c r="S299" s="425"/>
      <c r="T299" s="425"/>
      <c r="U299" s="425"/>
      <c r="V299" s="425"/>
      <c r="W299" s="425"/>
      <c r="X299" s="425"/>
      <c r="Y299" s="425"/>
      <c r="Z299" s="425"/>
      <c r="AA299" s="425"/>
    </row>
    <row r="300" spans="2:27" s="353" customFormat="1" ht="18.75" x14ac:dyDescent="0.25">
      <c r="B300" s="380"/>
      <c r="C300" s="424"/>
      <c r="D300" s="424"/>
      <c r="E300" s="424"/>
      <c r="F300" s="424"/>
      <c r="G300" s="424"/>
      <c r="H300" s="424"/>
      <c r="I300" s="423"/>
      <c r="J300" s="423"/>
      <c r="K300" s="424"/>
      <c r="L300" s="424"/>
      <c r="M300" s="424"/>
      <c r="N300" s="424"/>
      <c r="O300" s="424"/>
      <c r="P300" s="424"/>
      <c r="Q300" s="424"/>
      <c r="R300" s="424"/>
      <c r="S300" s="424"/>
      <c r="T300" s="424"/>
      <c r="U300" s="424"/>
      <c r="V300" s="424"/>
      <c r="W300" s="424"/>
      <c r="X300" s="424"/>
      <c r="Y300" s="424"/>
      <c r="Z300" s="424"/>
      <c r="AA300" s="424"/>
    </row>
    <row r="301" spans="2:27" s="353" customFormat="1" x14ac:dyDescent="0.25">
      <c r="B301" s="378" t="s">
        <v>208</v>
      </c>
      <c r="C301" s="364"/>
      <c r="D301" s="364"/>
      <c r="E301" s="364"/>
      <c r="F301" s="365"/>
      <c r="G301" s="683">
        <f>IF(ISNUMBER(M104)=FALSE,"",M104)</f>
        <v>147.80000000000001</v>
      </c>
      <c r="H301" s="683"/>
      <c r="I301" s="345"/>
      <c r="J301" s="345"/>
      <c r="K301" s="345"/>
      <c r="L301" s="345"/>
      <c r="M301" s="345"/>
      <c r="N301" s="684"/>
      <c r="O301" s="684"/>
      <c r="P301" s="337"/>
      <c r="Q301" s="337"/>
      <c r="R301" s="337"/>
      <c r="S301" s="337"/>
      <c r="T301" s="337"/>
      <c r="U301" s="337"/>
      <c r="V301" s="337"/>
      <c r="W301" s="337"/>
      <c r="X301" s="337"/>
      <c r="Y301" s="337"/>
      <c r="Z301" s="337"/>
      <c r="AA301" s="337"/>
    </row>
    <row r="302" spans="2:27" s="353" customFormat="1" x14ac:dyDescent="0.25">
      <c r="B302" s="401" t="str">
        <f>Parameters!E239</f>
        <v>AAA</v>
      </c>
      <c r="C302" s="402"/>
      <c r="D302" s="402"/>
      <c r="E302" s="402"/>
      <c r="F302" s="427"/>
      <c r="G302" s="680"/>
      <c r="H302" s="681"/>
      <c r="I302" s="345"/>
      <c r="J302" s="345"/>
      <c r="K302" s="345"/>
      <c r="L302" s="345"/>
      <c r="M302" s="345"/>
      <c r="N302" s="684"/>
      <c r="O302" s="684"/>
      <c r="P302" s="337"/>
      <c r="Q302" s="337"/>
      <c r="R302" s="337"/>
      <c r="S302" s="337"/>
      <c r="T302" s="337"/>
      <c r="U302" s="337"/>
      <c r="V302" s="337"/>
      <c r="W302" s="337"/>
      <c r="X302" s="337"/>
      <c r="Y302" s="337"/>
      <c r="Z302" s="337"/>
      <c r="AA302" s="337"/>
    </row>
    <row r="303" spans="2:27" s="353" customFormat="1" x14ac:dyDescent="0.25">
      <c r="B303" s="388" t="str">
        <f>Parameters!E240</f>
        <v>AA+</v>
      </c>
      <c r="C303" s="389"/>
      <c r="D303" s="389"/>
      <c r="E303" s="389"/>
      <c r="F303" s="390"/>
      <c r="G303" s="680"/>
      <c r="H303" s="681"/>
      <c r="I303" s="345"/>
      <c r="J303" s="345"/>
      <c r="K303" s="345"/>
      <c r="L303" s="345"/>
      <c r="M303" s="345"/>
      <c r="N303" s="684"/>
      <c r="O303" s="684"/>
      <c r="P303" s="337"/>
      <c r="Q303" s="337"/>
      <c r="R303" s="337"/>
      <c r="S303" s="337"/>
      <c r="T303" s="337"/>
      <c r="U303" s="337"/>
      <c r="V303" s="337"/>
      <c r="W303" s="337"/>
      <c r="X303" s="337"/>
      <c r="Y303" s="337"/>
      <c r="Z303" s="337"/>
      <c r="AA303" s="337"/>
    </row>
    <row r="304" spans="2:27" s="353" customFormat="1" x14ac:dyDescent="0.25">
      <c r="B304" s="388" t="str">
        <f>Parameters!E241</f>
        <v>AA</v>
      </c>
      <c r="C304" s="389"/>
      <c r="D304" s="389"/>
      <c r="E304" s="389"/>
      <c r="F304" s="390"/>
      <c r="G304" s="680"/>
      <c r="H304" s="681"/>
      <c r="I304" s="345"/>
      <c r="J304" s="345"/>
      <c r="K304" s="345"/>
      <c r="L304" s="345"/>
      <c r="M304" s="345"/>
      <c r="N304" s="684"/>
      <c r="O304" s="684"/>
      <c r="P304" s="337"/>
      <c r="Q304" s="337"/>
      <c r="R304" s="337"/>
      <c r="S304" s="337"/>
      <c r="T304" s="337"/>
      <c r="U304" s="337"/>
      <c r="V304" s="337"/>
      <c r="W304" s="337"/>
      <c r="X304" s="337"/>
      <c r="Y304" s="337"/>
      <c r="Z304" s="337"/>
      <c r="AA304" s="337"/>
    </row>
    <row r="305" spans="2:27" s="353" customFormat="1" x14ac:dyDescent="0.25">
      <c r="B305" s="388" t="str">
        <f>Parameters!E242</f>
        <v>AA-</v>
      </c>
      <c r="C305" s="389"/>
      <c r="D305" s="389"/>
      <c r="E305" s="389"/>
      <c r="F305" s="390"/>
      <c r="G305" s="680"/>
      <c r="H305" s="681"/>
      <c r="I305" s="345"/>
      <c r="J305" s="345"/>
      <c r="K305" s="345"/>
      <c r="L305" s="345"/>
      <c r="M305" s="345"/>
      <c r="N305" s="684"/>
      <c r="O305" s="684"/>
      <c r="P305" s="337"/>
      <c r="Q305" s="337"/>
      <c r="R305" s="337"/>
      <c r="S305" s="337"/>
      <c r="T305" s="337"/>
      <c r="U305" s="337"/>
      <c r="V305" s="337"/>
      <c r="W305" s="337"/>
      <c r="X305" s="337"/>
      <c r="Y305" s="337"/>
      <c r="Z305" s="337"/>
      <c r="AA305" s="337"/>
    </row>
    <row r="306" spans="2:27" s="353" customFormat="1" x14ac:dyDescent="0.25">
      <c r="B306" s="388" t="str">
        <f>Parameters!E243</f>
        <v>A+</v>
      </c>
      <c r="C306" s="389"/>
      <c r="D306" s="389"/>
      <c r="E306" s="389"/>
      <c r="F306" s="390"/>
      <c r="G306" s="680"/>
      <c r="H306" s="681"/>
      <c r="I306" s="345"/>
      <c r="J306" s="345"/>
      <c r="K306" s="345"/>
      <c r="L306" s="345"/>
      <c r="M306" s="345"/>
      <c r="N306" s="684"/>
      <c r="O306" s="684"/>
      <c r="P306" s="337"/>
      <c r="Q306" s="337"/>
      <c r="R306" s="337"/>
      <c r="S306" s="337"/>
      <c r="T306" s="337"/>
      <c r="U306" s="337"/>
      <c r="V306" s="337"/>
      <c r="W306" s="337"/>
      <c r="X306" s="337"/>
      <c r="Y306" s="337"/>
      <c r="Z306" s="337"/>
      <c r="AA306" s="337"/>
    </row>
    <row r="307" spans="2:27" s="353" customFormat="1" x14ac:dyDescent="0.25">
      <c r="B307" s="388" t="str">
        <f>Parameters!E244</f>
        <v>A</v>
      </c>
      <c r="C307" s="389"/>
      <c r="D307" s="389"/>
      <c r="E307" s="389"/>
      <c r="F307" s="390"/>
      <c r="G307" s="680"/>
      <c r="H307" s="681"/>
      <c r="I307" s="345"/>
      <c r="J307" s="345"/>
      <c r="K307" s="345"/>
      <c r="L307" s="345"/>
      <c r="M307" s="345"/>
      <c r="N307" s="684"/>
      <c r="O307" s="684"/>
      <c r="P307" s="337"/>
      <c r="Q307" s="337"/>
      <c r="R307" s="337"/>
      <c r="S307" s="337"/>
      <c r="T307" s="337"/>
      <c r="U307" s="337"/>
      <c r="V307" s="337"/>
      <c r="W307" s="337"/>
      <c r="X307" s="337"/>
      <c r="Y307" s="337"/>
      <c r="Z307" s="337"/>
      <c r="AA307" s="337"/>
    </row>
    <row r="308" spans="2:27" s="353" customFormat="1" x14ac:dyDescent="0.25">
      <c r="B308" s="388" t="str">
        <f>Parameters!E245</f>
        <v>A-</v>
      </c>
      <c r="C308" s="389"/>
      <c r="D308" s="389"/>
      <c r="E308" s="389"/>
      <c r="F308" s="390"/>
      <c r="G308" s="680"/>
      <c r="H308" s="681"/>
      <c r="I308" s="345"/>
      <c r="J308" s="345"/>
      <c r="K308" s="345"/>
      <c r="L308" s="345"/>
      <c r="M308" s="345"/>
      <c r="N308" s="684"/>
      <c r="O308" s="684"/>
      <c r="P308" s="337"/>
      <c r="Q308" s="337"/>
      <c r="R308" s="337"/>
      <c r="S308" s="337"/>
      <c r="T308" s="337"/>
      <c r="U308" s="337"/>
      <c r="V308" s="337"/>
      <c r="W308" s="337"/>
      <c r="X308" s="337"/>
      <c r="Y308" s="337"/>
      <c r="Z308" s="337"/>
      <c r="AA308" s="337"/>
    </row>
    <row r="309" spans="2:27" s="353" customFormat="1" x14ac:dyDescent="0.25">
      <c r="B309" s="388" t="str">
        <f>Parameters!E246</f>
        <v>BBB+</v>
      </c>
      <c r="C309" s="389"/>
      <c r="D309" s="389"/>
      <c r="E309" s="389"/>
      <c r="F309" s="390"/>
      <c r="G309" s="680"/>
      <c r="H309" s="681"/>
      <c r="I309" s="345"/>
      <c r="J309" s="345"/>
      <c r="K309" s="345"/>
      <c r="L309" s="345"/>
      <c r="M309" s="345"/>
      <c r="N309" s="684"/>
      <c r="O309" s="684"/>
      <c r="P309" s="337"/>
      <c r="Q309" s="337"/>
      <c r="R309" s="337"/>
      <c r="S309" s="337"/>
      <c r="T309" s="337"/>
      <c r="U309" s="337"/>
      <c r="V309" s="337"/>
      <c r="W309" s="337"/>
      <c r="X309" s="337"/>
      <c r="Y309" s="337"/>
      <c r="Z309" s="337"/>
      <c r="AA309" s="337"/>
    </row>
    <row r="310" spans="2:27" s="353" customFormat="1" x14ac:dyDescent="0.25">
      <c r="B310" s="388" t="str">
        <f>Parameters!E247</f>
        <v>BBB</v>
      </c>
      <c r="C310" s="389"/>
      <c r="D310" s="389"/>
      <c r="E310" s="389"/>
      <c r="F310" s="390"/>
      <c r="G310" s="680"/>
      <c r="H310" s="681"/>
      <c r="I310" s="345"/>
      <c r="J310" s="345"/>
      <c r="K310" s="345"/>
      <c r="L310" s="345"/>
      <c r="M310" s="345"/>
      <c r="N310" s="684"/>
      <c r="O310" s="684"/>
      <c r="P310" s="337"/>
      <c r="Q310" s="337"/>
      <c r="R310" s="337"/>
      <c r="S310" s="337"/>
      <c r="T310" s="337"/>
      <c r="U310" s="337"/>
      <c r="V310" s="337"/>
      <c r="W310" s="337"/>
      <c r="X310" s="337"/>
      <c r="Y310" s="337"/>
      <c r="Z310" s="337"/>
      <c r="AA310" s="337"/>
    </row>
    <row r="311" spans="2:27" s="353" customFormat="1" x14ac:dyDescent="0.25">
      <c r="B311" s="388" t="str">
        <f>Parameters!E248</f>
        <v>BBB-</v>
      </c>
      <c r="C311" s="389"/>
      <c r="D311" s="389"/>
      <c r="E311" s="389"/>
      <c r="F311" s="390"/>
      <c r="G311" s="680"/>
      <c r="H311" s="681"/>
      <c r="I311" s="345"/>
      <c r="J311" s="345"/>
      <c r="K311" s="345"/>
      <c r="L311" s="345"/>
      <c r="M311" s="345"/>
      <c r="N311" s="684"/>
      <c r="O311" s="684"/>
      <c r="P311" s="337"/>
      <c r="Q311" s="337"/>
      <c r="R311" s="337"/>
      <c r="S311" s="337"/>
      <c r="T311" s="337"/>
      <c r="U311" s="337"/>
      <c r="V311" s="337"/>
      <c r="W311" s="337"/>
      <c r="X311" s="337"/>
      <c r="Y311" s="337"/>
      <c r="Z311" s="337"/>
      <c r="AA311" s="337"/>
    </row>
    <row r="312" spans="2:27" s="353" customFormat="1" x14ac:dyDescent="0.25">
      <c r="B312" s="388" t="str">
        <f>Parameters!E249</f>
        <v>BB+</v>
      </c>
      <c r="C312" s="389"/>
      <c r="D312" s="389"/>
      <c r="E312" s="389"/>
      <c r="F312" s="390"/>
      <c r="G312" s="680"/>
      <c r="H312" s="681"/>
      <c r="I312" s="345"/>
      <c r="J312" s="345"/>
      <c r="K312" s="345"/>
      <c r="L312" s="345"/>
      <c r="M312" s="345"/>
      <c r="N312" s="684"/>
      <c r="O312" s="684"/>
      <c r="P312" s="337"/>
      <c r="Q312" s="337"/>
      <c r="R312" s="337"/>
      <c r="S312" s="337"/>
      <c r="T312" s="337"/>
      <c r="U312" s="337"/>
      <c r="V312" s="337"/>
      <c r="W312" s="337"/>
      <c r="X312" s="337"/>
      <c r="Y312" s="337"/>
      <c r="Z312" s="337"/>
      <c r="AA312" s="337"/>
    </row>
    <row r="313" spans="2:27" s="353" customFormat="1" x14ac:dyDescent="0.25">
      <c r="B313" s="388" t="str">
        <f>Parameters!E250</f>
        <v>BB</v>
      </c>
      <c r="C313" s="389"/>
      <c r="D313" s="389"/>
      <c r="E313" s="389"/>
      <c r="F313" s="390"/>
      <c r="G313" s="680"/>
      <c r="H313" s="681"/>
      <c r="I313" s="345"/>
      <c r="J313" s="345"/>
      <c r="K313" s="345"/>
      <c r="L313" s="345"/>
      <c r="M313" s="345"/>
      <c r="N313" s="684"/>
      <c r="O313" s="684"/>
      <c r="P313" s="337"/>
      <c r="Q313" s="337"/>
      <c r="R313" s="337"/>
      <c r="S313" s="337"/>
      <c r="T313" s="337"/>
      <c r="U313" s="337"/>
      <c r="V313" s="337"/>
      <c r="W313" s="337"/>
      <c r="X313" s="337"/>
      <c r="Y313" s="337"/>
      <c r="Z313" s="337"/>
      <c r="AA313" s="337"/>
    </row>
    <row r="314" spans="2:27" s="353" customFormat="1" x14ac:dyDescent="0.25">
      <c r="B314" s="388" t="str">
        <f>Parameters!E251</f>
        <v>BB-</v>
      </c>
      <c r="C314" s="389"/>
      <c r="D314" s="389"/>
      <c r="E314" s="389"/>
      <c r="F314" s="390"/>
      <c r="G314" s="680"/>
      <c r="H314" s="681"/>
      <c r="I314" s="345"/>
      <c r="J314" s="345"/>
      <c r="K314" s="345"/>
      <c r="L314" s="345"/>
      <c r="M314" s="345"/>
      <c r="N314" s="684"/>
      <c r="O314" s="684"/>
      <c r="P314" s="337"/>
      <c r="Q314" s="337"/>
      <c r="R314" s="337"/>
      <c r="S314" s="337"/>
      <c r="T314" s="337"/>
      <c r="U314" s="337"/>
      <c r="V314" s="337"/>
      <c r="W314" s="337"/>
      <c r="X314" s="337"/>
      <c r="Y314" s="337"/>
      <c r="Z314" s="337"/>
      <c r="AA314" s="337"/>
    </row>
    <row r="315" spans="2:27" s="353" customFormat="1" x14ac:dyDescent="0.25">
      <c r="B315" s="388" t="str">
        <f>Parameters!E252</f>
        <v>B+</v>
      </c>
      <c r="C315" s="389"/>
      <c r="D315" s="389"/>
      <c r="E315" s="389"/>
      <c r="F315" s="390"/>
      <c r="G315" s="680"/>
      <c r="H315" s="681"/>
      <c r="I315" s="345"/>
      <c r="J315" s="345"/>
      <c r="K315" s="345"/>
      <c r="L315" s="345"/>
      <c r="M315" s="345"/>
      <c r="N315" s="684"/>
      <c r="O315" s="684"/>
      <c r="P315" s="337"/>
      <c r="Q315" s="337"/>
      <c r="R315" s="337"/>
      <c r="S315" s="337"/>
      <c r="T315" s="337"/>
      <c r="U315" s="337"/>
      <c r="V315" s="337"/>
      <c r="W315" s="337"/>
      <c r="X315" s="337"/>
      <c r="Y315" s="337"/>
      <c r="Z315" s="337"/>
      <c r="AA315" s="337"/>
    </row>
    <row r="316" spans="2:27" s="353" customFormat="1" x14ac:dyDescent="0.25">
      <c r="B316" s="388" t="str">
        <f>Parameters!E253</f>
        <v>B</v>
      </c>
      <c r="C316" s="389"/>
      <c r="D316" s="389"/>
      <c r="E316" s="389"/>
      <c r="F316" s="390"/>
      <c r="G316" s="680"/>
      <c r="H316" s="681"/>
      <c r="I316" s="345"/>
      <c r="J316" s="345"/>
      <c r="K316" s="345"/>
      <c r="L316" s="345"/>
      <c r="M316" s="345"/>
      <c r="N316" s="684"/>
      <c r="O316" s="684"/>
      <c r="P316" s="337"/>
      <c r="Q316" s="337"/>
      <c r="R316" s="337"/>
      <c r="S316" s="337"/>
      <c r="T316" s="337"/>
      <c r="U316" s="337"/>
      <c r="V316" s="337"/>
      <c r="W316" s="337"/>
      <c r="X316" s="337"/>
      <c r="Y316" s="337"/>
      <c r="Z316" s="337"/>
      <c r="AA316" s="337"/>
    </row>
    <row r="317" spans="2:27" s="353" customFormat="1" x14ac:dyDescent="0.25">
      <c r="B317" s="388" t="str">
        <f>Parameters!E254</f>
        <v>B-</v>
      </c>
      <c r="C317" s="389"/>
      <c r="D317" s="389"/>
      <c r="E317" s="389"/>
      <c r="F317" s="390"/>
      <c r="G317" s="680"/>
      <c r="H317" s="681"/>
      <c r="I317" s="345"/>
      <c r="J317" s="345"/>
      <c r="K317" s="345"/>
      <c r="L317" s="345"/>
      <c r="M317" s="345"/>
      <c r="N317" s="684"/>
      <c r="O317" s="684"/>
      <c r="P317" s="337"/>
      <c r="Q317" s="337"/>
      <c r="R317" s="337"/>
      <c r="S317" s="337"/>
      <c r="T317" s="337"/>
      <c r="U317" s="337"/>
      <c r="V317" s="337"/>
      <c r="W317" s="337"/>
      <c r="X317" s="337"/>
      <c r="Y317" s="337"/>
      <c r="Z317" s="337"/>
      <c r="AA317" s="337"/>
    </row>
    <row r="318" spans="2:27" s="353" customFormat="1" x14ac:dyDescent="0.25">
      <c r="B318" s="388" t="str">
        <f>Parameters!E255</f>
        <v>CCC+</v>
      </c>
      <c r="C318" s="389"/>
      <c r="D318" s="389"/>
      <c r="E318" s="389"/>
      <c r="F318" s="390"/>
      <c r="G318" s="680"/>
      <c r="H318" s="681"/>
      <c r="I318" s="345"/>
      <c r="J318" s="345"/>
      <c r="K318" s="345"/>
      <c r="L318" s="345"/>
      <c r="M318" s="345"/>
      <c r="N318" s="684"/>
      <c r="O318" s="684"/>
      <c r="P318" s="337"/>
      <c r="Q318" s="337"/>
      <c r="R318" s="337"/>
      <c r="S318" s="337"/>
      <c r="T318" s="337"/>
      <c r="U318" s="337"/>
      <c r="V318" s="337"/>
      <c r="W318" s="337"/>
      <c r="X318" s="337"/>
      <c r="Y318" s="337"/>
      <c r="Z318" s="337"/>
      <c r="AA318" s="337"/>
    </row>
    <row r="319" spans="2:27" s="353" customFormat="1" x14ac:dyDescent="0.25">
      <c r="B319" s="388" t="str">
        <f>Parameters!E256</f>
        <v>CCC</v>
      </c>
      <c r="C319" s="389"/>
      <c r="D319" s="389"/>
      <c r="E319" s="389"/>
      <c r="F319" s="390"/>
      <c r="G319" s="680"/>
      <c r="H319" s="681"/>
      <c r="I319" s="345"/>
      <c r="J319" s="345"/>
      <c r="K319" s="345"/>
      <c r="L319" s="345"/>
      <c r="M319" s="345"/>
      <c r="N319" s="684"/>
      <c r="O319" s="684"/>
      <c r="P319" s="337"/>
      <c r="Q319" s="337"/>
      <c r="R319" s="337"/>
      <c r="S319" s="337"/>
      <c r="T319" s="337"/>
      <c r="U319" s="337"/>
      <c r="V319" s="337"/>
      <c r="W319" s="337"/>
      <c r="X319" s="337"/>
      <c r="Y319" s="337"/>
      <c r="Z319" s="337"/>
      <c r="AA319" s="337"/>
    </row>
    <row r="320" spans="2:27" s="353" customFormat="1" x14ac:dyDescent="0.25">
      <c r="B320" s="388" t="str">
        <f>Parameters!E257</f>
        <v>CCC-</v>
      </c>
      <c r="C320" s="389"/>
      <c r="D320" s="389"/>
      <c r="E320" s="389"/>
      <c r="F320" s="390"/>
      <c r="G320" s="680"/>
      <c r="H320" s="681"/>
      <c r="I320" s="345"/>
      <c r="J320" s="345"/>
      <c r="K320" s="345"/>
      <c r="L320" s="345"/>
      <c r="M320" s="345"/>
      <c r="N320" s="684"/>
      <c r="O320" s="684"/>
      <c r="P320" s="337"/>
      <c r="Q320" s="337"/>
      <c r="R320" s="337"/>
      <c r="S320" s="337"/>
      <c r="T320" s="337"/>
      <c r="U320" s="337"/>
      <c r="V320" s="337"/>
      <c r="W320" s="337"/>
      <c r="X320" s="337"/>
      <c r="Y320" s="337"/>
      <c r="Z320" s="337"/>
      <c r="AA320" s="337"/>
    </row>
    <row r="321" spans="2:27" s="353" customFormat="1" x14ac:dyDescent="0.25">
      <c r="B321" s="409" t="str">
        <f>Parameters!E258</f>
        <v>C/CC</v>
      </c>
      <c r="C321" s="410"/>
      <c r="D321" s="410"/>
      <c r="E321" s="410"/>
      <c r="F321" s="428"/>
      <c r="G321" s="680"/>
      <c r="H321" s="681"/>
      <c r="I321" s="345"/>
      <c r="J321" s="345"/>
      <c r="K321" s="345"/>
      <c r="L321" s="345"/>
      <c r="M321" s="345"/>
      <c r="N321" s="684"/>
      <c r="O321" s="684"/>
      <c r="P321" s="337"/>
      <c r="Q321" s="337"/>
      <c r="R321" s="337"/>
      <c r="S321" s="337"/>
      <c r="T321" s="337"/>
      <c r="U321" s="337"/>
      <c r="V321" s="337"/>
      <c r="W321" s="337"/>
      <c r="X321" s="337"/>
      <c r="Y321" s="337"/>
      <c r="Z321" s="337"/>
      <c r="AA321" s="337"/>
    </row>
    <row r="322" spans="2:27" s="353" customFormat="1" x14ac:dyDescent="0.25">
      <c r="B322" s="378" t="s">
        <v>229</v>
      </c>
      <c r="C322" s="364"/>
      <c r="D322" s="364"/>
      <c r="E322" s="364"/>
      <c r="F322" s="365"/>
      <c r="G322" s="682" t="str">
        <f>IF(SUMPRODUCT(G302:G321,Parameters!J$239:J$258)&gt;0,SUMPRODUCT(G302:G321,Parameters!J$239:J$258),"N/A")</f>
        <v>N/A</v>
      </c>
      <c r="H322" s="682"/>
      <c r="I322" s="345"/>
      <c r="J322" s="345"/>
      <c r="K322" s="345"/>
      <c r="L322" s="345"/>
      <c r="M322" s="345"/>
      <c r="N322" s="684"/>
      <c r="O322" s="684"/>
      <c r="P322" s="337"/>
      <c r="Q322" s="337"/>
      <c r="R322" s="337"/>
      <c r="S322" s="337"/>
      <c r="T322" s="337"/>
      <c r="U322" s="337"/>
      <c r="V322" s="337"/>
      <c r="W322" s="337"/>
      <c r="X322" s="337"/>
      <c r="Y322" s="337"/>
      <c r="Z322" s="337"/>
      <c r="AA322" s="337"/>
    </row>
    <row r="323" spans="2:27" s="353" customFormat="1" x14ac:dyDescent="0.25">
      <c r="B323" s="379"/>
      <c r="C323" s="379"/>
      <c r="D323" s="379"/>
      <c r="E323" s="379"/>
      <c r="F323" s="379"/>
      <c r="G323" s="379"/>
      <c r="H323" s="379"/>
      <c r="I323" s="379"/>
      <c r="J323" s="379"/>
      <c r="K323" s="379"/>
      <c r="L323" s="379"/>
      <c r="M323" s="379"/>
      <c r="N323" s="691"/>
      <c r="O323" s="691"/>
      <c r="P323" s="379"/>
      <c r="Q323" s="379"/>
      <c r="R323" s="379"/>
      <c r="S323" s="379"/>
      <c r="T323" s="379"/>
      <c r="U323" s="379"/>
      <c r="V323" s="379"/>
      <c r="W323" s="379"/>
      <c r="X323" s="379"/>
      <c r="Y323" s="379"/>
      <c r="Z323" s="379"/>
      <c r="AA323" s="379"/>
    </row>
    <row r="324" spans="2:27" s="353" customFormat="1" x14ac:dyDescent="0.25">
      <c r="B324" s="337"/>
      <c r="C324" s="337"/>
      <c r="D324" s="337"/>
      <c r="E324" s="337"/>
      <c r="F324" s="337"/>
      <c r="G324" s="337"/>
      <c r="H324" s="337"/>
      <c r="I324" s="345"/>
      <c r="J324" s="345"/>
      <c r="K324" s="345"/>
      <c r="L324" s="345"/>
      <c r="M324" s="345"/>
      <c r="N324" s="684"/>
      <c r="O324" s="684"/>
      <c r="P324" s="345"/>
      <c r="Q324" s="337"/>
      <c r="R324" s="337"/>
      <c r="S324" s="337"/>
      <c r="T324" s="337"/>
      <c r="U324" s="337"/>
      <c r="V324" s="337"/>
      <c r="W324" s="337"/>
      <c r="X324" s="337"/>
      <c r="Y324" s="337"/>
      <c r="Z324" s="337"/>
      <c r="AA324" s="337"/>
    </row>
    <row r="325" spans="2:27" s="353" customFormat="1" ht="18.75" x14ac:dyDescent="0.25">
      <c r="B325" s="384" t="s">
        <v>232</v>
      </c>
      <c r="C325" s="381"/>
      <c r="D325" s="381"/>
      <c r="E325" s="381"/>
      <c r="F325" s="381"/>
      <c r="G325" s="381"/>
      <c r="H325" s="381"/>
      <c r="I325" s="381"/>
      <c r="J325" s="381"/>
      <c r="K325" s="381"/>
      <c r="L325" s="381"/>
      <c r="M325" s="381"/>
      <c r="N325" s="381"/>
      <c r="O325" s="381"/>
      <c r="P325" s="381"/>
      <c r="Q325" s="381"/>
      <c r="R325" s="381"/>
      <c r="S325" s="381"/>
      <c r="T325" s="381"/>
      <c r="U325" s="381"/>
      <c r="V325" s="381"/>
      <c r="W325" s="381"/>
      <c r="X325" s="381"/>
      <c r="Y325" s="381"/>
      <c r="Z325" s="381"/>
      <c r="AA325" s="381"/>
    </row>
    <row r="326" spans="2:27" s="353" customFormat="1" x14ac:dyDescent="0.25">
      <c r="B326" s="337"/>
      <c r="C326" s="337"/>
      <c r="D326" s="337"/>
      <c r="E326" s="337"/>
      <c r="F326" s="337"/>
      <c r="G326" s="337"/>
      <c r="H326" s="337"/>
      <c r="I326" s="345"/>
      <c r="J326" s="345"/>
      <c r="K326" s="345"/>
      <c r="L326" s="345"/>
      <c r="M326" s="345"/>
      <c r="N326" s="345"/>
      <c r="O326" s="345"/>
      <c r="P326" s="345"/>
      <c r="Q326" s="337"/>
      <c r="R326" s="337"/>
      <c r="S326" s="337"/>
      <c r="T326" s="337"/>
      <c r="U326" s="337"/>
      <c r="V326" s="337"/>
      <c r="W326" s="337"/>
      <c r="X326" s="337"/>
      <c r="Y326" s="337"/>
      <c r="Z326" s="337"/>
      <c r="AA326" s="337"/>
    </row>
    <row r="327" spans="2:27" s="353" customFormat="1" x14ac:dyDescent="0.25">
      <c r="B327" s="378" t="s">
        <v>208</v>
      </c>
      <c r="C327" s="364"/>
      <c r="D327" s="364"/>
      <c r="E327" s="364"/>
      <c r="F327" s="365"/>
      <c r="G327" s="683">
        <f>IF(ISNUMBER(G38)=FALSE,"",G38)</f>
        <v>0</v>
      </c>
      <c r="H327" s="683"/>
      <c r="I327" s="345"/>
      <c r="J327" s="345"/>
      <c r="K327" s="345"/>
      <c r="L327" s="345"/>
      <c r="M327" s="345"/>
      <c r="N327" s="684"/>
      <c r="O327" s="684"/>
      <c r="P327" s="345"/>
      <c r="Q327" s="337"/>
      <c r="R327" s="337"/>
      <c r="S327" s="337"/>
      <c r="T327" s="337"/>
      <c r="U327" s="337"/>
      <c r="V327" s="337"/>
      <c r="W327" s="337"/>
      <c r="X327" s="337"/>
      <c r="Y327" s="337"/>
      <c r="Z327" s="337"/>
      <c r="AA327" s="337"/>
    </row>
    <row r="328" spans="2:27" s="353" customFormat="1" x14ac:dyDescent="0.25">
      <c r="B328" s="375" t="s">
        <v>233</v>
      </c>
      <c r="C328" s="361"/>
      <c r="D328" s="361"/>
      <c r="E328" s="361"/>
      <c r="F328" s="362"/>
      <c r="G328" s="680"/>
      <c r="H328" s="681"/>
      <c r="I328" s="345"/>
      <c r="J328" s="345"/>
      <c r="K328" s="345"/>
      <c r="L328" s="345"/>
      <c r="M328" s="345"/>
      <c r="N328" s="684"/>
      <c r="O328" s="684"/>
      <c r="P328" s="345"/>
      <c r="Q328" s="337"/>
      <c r="R328" s="337"/>
      <c r="S328" s="337"/>
      <c r="T328" s="337"/>
      <c r="U328" s="337"/>
      <c r="V328" s="337"/>
      <c r="W328" s="337"/>
      <c r="X328" s="337"/>
      <c r="Y328" s="337"/>
      <c r="Z328" s="337"/>
      <c r="AA328" s="337"/>
    </row>
    <row r="329" spans="2:27" s="353" customFormat="1" x14ac:dyDescent="0.25">
      <c r="B329" s="376" t="s">
        <v>234</v>
      </c>
      <c r="C329" s="367"/>
      <c r="D329" s="367"/>
      <c r="E329" s="367"/>
      <c r="F329" s="368"/>
      <c r="G329" s="680"/>
      <c r="H329" s="681"/>
      <c r="I329" s="345"/>
      <c r="J329" s="345"/>
      <c r="K329" s="345"/>
      <c r="L329" s="345"/>
      <c r="M329" s="345"/>
      <c r="N329" s="684"/>
      <c r="O329" s="684"/>
      <c r="P329" s="345"/>
      <c r="Q329" s="337"/>
      <c r="R329" s="337"/>
      <c r="S329" s="337"/>
      <c r="T329" s="337"/>
      <c r="U329" s="337"/>
      <c r="V329" s="337"/>
      <c r="W329" s="337"/>
      <c r="X329" s="337"/>
      <c r="Y329" s="337"/>
      <c r="Z329" s="337"/>
      <c r="AA329" s="337"/>
    </row>
    <row r="330" spans="2:27" s="353" customFormat="1" x14ac:dyDescent="0.25">
      <c r="B330" s="376" t="s">
        <v>235</v>
      </c>
      <c r="C330" s="367"/>
      <c r="D330" s="367"/>
      <c r="E330" s="367"/>
      <c r="F330" s="368"/>
      <c r="G330" s="680"/>
      <c r="H330" s="681"/>
      <c r="I330" s="345"/>
      <c r="J330" s="345"/>
      <c r="K330" s="345"/>
      <c r="L330" s="345"/>
      <c r="M330" s="345"/>
      <c r="N330" s="684"/>
      <c r="O330" s="684"/>
      <c r="P330" s="345"/>
      <c r="Q330" s="337"/>
      <c r="R330" s="337"/>
      <c r="S330" s="337"/>
      <c r="T330" s="337"/>
      <c r="U330" s="337"/>
      <c r="V330" s="337"/>
      <c r="W330" s="337"/>
      <c r="X330" s="337"/>
      <c r="Y330" s="337"/>
      <c r="Z330" s="337"/>
      <c r="AA330" s="337"/>
    </row>
    <row r="331" spans="2:27" s="353" customFormat="1" x14ac:dyDescent="0.25">
      <c r="B331" s="376" t="s">
        <v>236</v>
      </c>
      <c r="C331" s="367"/>
      <c r="D331" s="367"/>
      <c r="E331" s="367"/>
      <c r="F331" s="368"/>
      <c r="G331" s="680"/>
      <c r="H331" s="681"/>
      <c r="I331" s="345"/>
      <c r="J331" s="345"/>
      <c r="K331" s="345"/>
      <c r="L331" s="345"/>
      <c r="M331" s="345"/>
      <c r="N331" s="684"/>
      <c r="O331" s="684"/>
      <c r="P331" s="345"/>
      <c r="Q331" s="337"/>
      <c r="R331" s="337"/>
      <c r="S331" s="337"/>
      <c r="T331" s="337"/>
      <c r="U331" s="337"/>
      <c r="V331" s="337"/>
      <c r="W331" s="337"/>
      <c r="X331" s="337"/>
      <c r="Y331" s="337"/>
      <c r="Z331" s="337"/>
      <c r="AA331" s="337"/>
    </row>
    <row r="332" spans="2:27" s="353" customFormat="1" x14ac:dyDescent="0.25">
      <c r="B332" s="376" t="s">
        <v>237</v>
      </c>
      <c r="C332" s="367"/>
      <c r="D332" s="367"/>
      <c r="E332" s="367"/>
      <c r="F332" s="368"/>
      <c r="G332" s="680"/>
      <c r="H332" s="681"/>
      <c r="I332" s="345"/>
      <c r="J332" s="345"/>
      <c r="K332" s="345"/>
      <c r="L332" s="345"/>
      <c r="M332" s="345"/>
      <c r="N332" s="684"/>
      <c r="O332" s="684"/>
      <c r="P332" s="345"/>
      <c r="Q332" s="337"/>
      <c r="R332" s="337"/>
      <c r="S332" s="337"/>
      <c r="T332" s="337"/>
      <c r="U332" s="337"/>
      <c r="V332" s="337"/>
      <c r="W332" s="337"/>
      <c r="X332" s="337"/>
      <c r="Y332" s="337"/>
      <c r="Z332" s="337"/>
      <c r="AA332" s="337"/>
    </row>
    <row r="333" spans="2:27" s="353" customFormat="1" x14ac:dyDescent="0.25">
      <c r="B333" s="376" t="s">
        <v>238</v>
      </c>
      <c r="C333" s="367"/>
      <c r="D333" s="367"/>
      <c r="E333" s="367"/>
      <c r="F333" s="368"/>
      <c r="G333" s="680"/>
      <c r="H333" s="681"/>
      <c r="I333" s="345"/>
      <c r="J333" s="345"/>
      <c r="K333" s="345"/>
      <c r="L333" s="345"/>
      <c r="M333" s="345"/>
      <c r="N333" s="684"/>
      <c r="O333" s="684"/>
      <c r="P333" s="345"/>
      <c r="Q333" s="337"/>
      <c r="R333" s="337"/>
      <c r="S333" s="337"/>
      <c r="T333" s="337"/>
      <c r="U333" s="337"/>
      <c r="V333" s="337"/>
      <c r="W333" s="337"/>
      <c r="X333" s="337"/>
      <c r="Y333" s="337"/>
      <c r="Z333" s="337"/>
      <c r="AA333" s="337"/>
    </row>
    <row r="334" spans="2:27" s="353" customFormat="1" x14ac:dyDescent="0.25">
      <c r="B334" s="376" t="s">
        <v>239</v>
      </c>
      <c r="C334" s="367"/>
      <c r="D334" s="367"/>
      <c r="E334" s="367"/>
      <c r="F334" s="368"/>
      <c r="G334" s="680"/>
      <c r="H334" s="681"/>
      <c r="I334" s="345"/>
      <c r="J334" s="345"/>
      <c r="K334" s="345"/>
      <c r="L334" s="345"/>
      <c r="M334" s="345"/>
      <c r="N334" s="684"/>
      <c r="O334" s="684"/>
      <c r="P334" s="345"/>
      <c r="Q334" s="337"/>
      <c r="R334" s="337"/>
      <c r="S334" s="337"/>
      <c r="T334" s="337"/>
      <c r="U334" s="337"/>
      <c r="V334" s="337"/>
      <c r="W334" s="337"/>
      <c r="X334" s="337"/>
      <c r="Y334" s="337"/>
      <c r="Z334" s="337"/>
      <c r="AA334" s="337"/>
    </row>
    <row r="335" spans="2:27" s="353" customFormat="1" x14ac:dyDescent="0.25">
      <c r="B335" s="377" t="s">
        <v>240</v>
      </c>
      <c r="C335" s="370"/>
      <c r="D335" s="370"/>
      <c r="E335" s="370"/>
      <c r="F335" s="371"/>
      <c r="G335" s="680"/>
      <c r="H335" s="681"/>
      <c r="I335" s="345"/>
      <c r="J335" s="345"/>
      <c r="K335" s="345"/>
      <c r="L335" s="345"/>
      <c r="M335" s="345"/>
      <c r="N335" s="684"/>
      <c r="O335" s="684"/>
      <c r="P335" s="345"/>
      <c r="Q335" s="337"/>
      <c r="R335" s="337"/>
      <c r="S335" s="337"/>
      <c r="T335" s="337"/>
      <c r="U335" s="337"/>
      <c r="V335" s="337"/>
      <c r="W335" s="337"/>
      <c r="X335" s="337"/>
      <c r="Y335" s="337"/>
      <c r="Z335" s="337"/>
      <c r="AA335" s="337"/>
    </row>
    <row r="336" spans="2:27" s="353" customFormat="1" x14ac:dyDescent="0.25">
      <c r="B336" s="378" t="s">
        <v>241</v>
      </c>
      <c r="C336" s="364"/>
      <c r="D336" s="364"/>
      <c r="E336" s="364"/>
      <c r="F336" s="365"/>
      <c r="G336" s="682" t="str">
        <f>IF(SUMPRODUCT(G328:G335,Parameters!Q271:Q278)&gt;0,SUMPRODUCT(G328:G335,Parameters!Q271:Q278),"N/A")</f>
        <v>N/A</v>
      </c>
      <c r="H336" s="682"/>
      <c r="I336" s="345"/>
      <c r="J336" s="345"/>
      <c r="K336" s="345"/>
      <c r="L336" s="345"/>
      <c r="M336" s="345"/>
      <c r="N336" s="684"/>
      <c r="O336" s="684"/>
      <c r="P336" s="345"/>
      <c r="Q336" s="337"/>
      <c r="R336" s="337"/>
      <c r="S336" s="337"/>
      <c r="T336" s="337"/>
      <c r="U336" s="337"/>
      <c r="V336" s="337"/>
      <c r="W336" s="337"/>
      <c r="X336" s="337"/>
      <c r="Y336" s="337"/>
      <c r="Z336" s="337"/>
      <c r="AA336" s="337"/>
    </row>
    <row r="337" spans="2:27" s="353" customFormat="1" x14ac:dyDescent="0.25">
      <c r="B337" s="378" t="s">
        <v>229</v>
      </c>
      <c r="C337" s="364"/>
      <c r="D337" s="364"/>
      <c r="E337" s="364"/>
      <c r="F337" s="365"/>
      <c r="G337" s="682" t="str">
        <f>IF(SUMPRODUCT(G328:G335,Parameters!I271:I278)&gt;0,SUMPRODUCT(G328:G335,Parameters!I271:I278),"N/A")</f>
        <v>N/A</v>
      </c>
      <c r="H337" s="682"/>
      <c r="I337" s="345"/>
      <c r="J337" s="345"/>
      <c r="K337" s="345"/>
      <c r="L337" s="345"/>
      <c r="M337" s="345"/>
      <c r="N337" s="684"/>
      <c r="O337" s="684"/>
      <c r="P337" s="345"/>
      <c r="Q337" s="337"/>
      <c r="R337" s="337"/>
      <c r="S337" s="337"/>
      <c r="T337" s="337"/>
      <c r="U337" s="337"/>
      <c r="V337" s="337"/>
      <c r="W337" s="337"/>
      <c r="X337" s="337"/>
      <c r="Y337" s="337"/>
      <c r="Z337" s="337"/>
      <c r="AA337" s="337"/>
    </row>
    <row r="338" spans="2:27" s="353" customFormat="1" x14ac:dyDescent="0.25">
      <c r="B338" s="379"/>
      <c r="C338" s="379"/>
      <c r="D338" s="379"/>
      <c r="E338" s="379"/>
      <c r="F338" s="379"/>
      <c r="G338" s="379"/>
      <c r="H338" s="379"/>
      <c r="I338" s="379"/>
      <c r="J338" s="379"/>
      <c r="K338" s="379"/>
      <c r="L338" s="379"/>
      <c r="M338" s="379"/>
      <c r="N338" s="379"/>
      <c r="O338" s="379"/>
      <c r="P338" s="379"/>
      <c r="Q338" s="379"/>
      <c r="R338" s="379"/>
      <c r="S338" s="379"/>
      <c r="T338" s="379"/>
      <c r="U338" s="379"/>
      <c r="V338" s="379"/>
      <c r="W338" s="379"/>
      <c r="X338" s="379"/>
      <c r="Y338" s="379"/>
      <c r="Z338" s="379"/>
      <c r="AA338" s="379"/>
    </row>
    <row r="339" spans="2:27" s="353" customFormat="1" x14ac:dyDescent="0.25">
      <c r="B339" s="337"/>
      <c r="C339" s="337"/>
      <c r="D339" s="337"/>
      <c r="E339" s="337"/>
      <c r="F339" s="337"/>
      <c r="G339" s="337"/>
      <c r="H339" s="337"/>
      <c r="I339" s="345"/>
      <c r="J339" s="345"/>
      <c r="K339" s="337"/>
      <c r="L339" s="337"/>
      <c r="M339" s="337"/>
      <c r="N339" s="337"/>
      <c r="O339" s="337"/>
      <c r="P339" s="337"/>
      <c r="Q339" s="337"/>
      <c r="R339" s="337"/>
      <c r="S339" s="337"/>
      <c r="T339" s="337"/>
      <c r="U339" s="337"/>
      <c r="V339" s="337"/>
      <c r="W339" s="337"/>
      <c r="X339" s="337"/>
      <c r="Y339" s="337"/>
      <c r="Z339" s="337"/>
      <c r="AA339" s="337"/>
    </row>
    <row r="340" spans="2:27" s="353" customFormat="1" x14ac:dyDescent="0.25">
      <c r="B340" s="337"/>
      <c r="C340" s="337"/>
      <c r="D340" s="337"/>
      <c r="E340" s="337"/>
      <c r="F340" s="337"/>
      <c r="G340" s="337"/>
      <c r="H340" s="337"/>
      <c r="I340" s="345"/>
      <c r="J340" s="345"/>
      <c r="K340" s="337"/>
      <c r="L340" s="337"/>
      <c r="M340" s="337"/>
      <c r="N340" s="337"/>
      <c r="O340" s="337"/>
      <c r="P340" s="337"/>
      <c r="Q340" s="337"/>
      <c r="R340" s="337"/>
      <c r="S340" s="337"/>
      <c r="T340" s="337"/>
      <c r="U340" s="337"/>
      <c r="V340" s="337"/>
      <c r="W340" s="337"/>
      <c r="X340" s="337"/>
      <c r="Y340" s="337"/>
      <c r="Z340" s="337"/>
      <c r="AA340" s="337"/>
    </row>
    <row r="341" spans="2:27" s="353" customFormat="1" ht="9.9499999999999993" customHeight="1" x14ac:dyDescent="0.25">
      <c r="B341" s="358"/>
      <c r="C341" s="358"/>
      <c r="D341" s="358"/>
      <c r="E341" s="358"/>
      <c r="F341" s="358"/>
      <c r="G341" s="358"/>
      <c r="H341" s="358"/>
      <c r="I341" s="359"/>
      <c r="J341" s="359"/>
      <c r="K341" s="358"/>
      <c r="L341" s="358"/>
      <c r="M341" s="358"/>
      <c r="N341" s="358"/>
      <c r="O341" s="358"/>
      <c r="P341" s="358"/>
      <c r="Q341" s="358"/>
      <c r="R341" s="358"/>
      <c r="S341" s="358"/>
      <c r="T341" s="358"/>
      <c r="U341" s="358"/>
      <c r="V341" s="358"/>
      <c r="W341" s="358"/>
      <c r="X341" s="358"/>
      <c r="Y341" s="358"/>
      <c r="Z341" s="358"/>
      <c r="AA341" s="358"/>
    </row>
    <row r="342" spans="2:27" hidden="1" x14ac:dyDescent="0.25"/>
    <row r="343" spans="2:27" hidden="1" x14ac:dyDescent="0.25"/>
    <row r="344" spans="2:27" hidden="1" x14ac:dyDescent="0.25"/>
    <row r="345" spans="2:27" hidden="1" x14ac:dyDescent="0.25"/>
    <row r="346" spans="2:27" hidden="1" x14ac:dyDescent="0.25"/>
    <row r="347" spans="2:27" hidden="1" x14ac:dyDescent="0.25"/>
    <row r="348" spans="2:27" hidden="1" x14ac:dyDescent="0.25"/>
    <row r="349" spans="2:27" hidden="1" x14ac:dyDescent="0.25"/>
    <row r="350" spans="2:27" hidden="1" x14ac:dyDescent="0.25"/>
    <row r="351" spans="2:27" hidden="1" x14ac:dyDescent="0.25"/>
    <row r="352" spans="2:27"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sheetData>
  <sheetProtection formatCells="0" formatRows="0" selectLockedCells="1"/>
  <mergeCells count="660">
    <mergeCell ref="Q239:W239"/>
    <mergeCell ref="Q240:W240"/>
    <mergeCell ref="Q241:W241"/>
    <mergeCell ref="Q242:W242"/>
    <mergeCell ref="Q243:W243"/>
    <mergeCell ref="Q244:W244"/>
    <mergeCell ref="X244:Y244"/>
    <mergeCell ref="X239:Y239"/>
    <mergeCell ref="X240:Y240"/>
    <mergeCell ref="X241:Y241"/>
    <mergeCell ref="X242:Y242"/>
    <mergeCell ref="X243:Y243"/>
    <mergeCell ref="X225:Y225"/>
    <mergeCell ref="X226:Y226"/>
    <mergeCell ref="X227:Y227"/>
    <mergeCell ref="X228:Y228"/>
    <mergeCell ref="X229:Y229"/>
    <mergeCell ref="X230:Y230"/>
    <mergeCell ref="X231:Y231"/>
    <mergeCell ref="X232:Y232"/>
    <mergeCell ref="X233:Y233"/>
    <mergeCell ref="X235:Y235"/>
    <mergeCell ref="X236:Y236"/>
    <mergeCell ref="X237:Y237"/>
    <mergeCell ref="X238:Y238"/>
    <mergeCell ref="Q230:W230"/>
    <mergeCell ref="Q231:W231"/>
    <mergeCell ref="Q232:W232"/>
    <mergeCell ref="Q233:W233"/>
    <mergeCell ref="Q234:W234"/>
    <mergeCell ref="Q235:W235"/>
    <mergeCell ref="Q236:W236"/>
    <mergeCell ref="Q237:W237"/>
    <mergeCell ref="Q238:W238"/>
    <mergeCell ref="X234:Y234"/>
    <mergeCell ref="B165:F165"/>
    <mergeCell ref="B167:F167"/>
    <mergeCell ref="B168:F168"/>
    <mergeCell ref="B169:F169"/>
    <mergeCell ref="J225:N225"/>
    <mergeCell ref="J226:N226"/>
    <mergeCell ref="J227:N227"/>
    <mergeCell ref="Y151:Z151"/>
    <mergeCell ref="Y152:Z152"/>
    <mergeCell ref="Y153:Z153"/>
    <mergeCell ref="V217:W217"/>
    <mergeCell ref="V218:W218"/>
    <mergeCell ref="V219:W219"/>
    <mergeCell ref="G224:H224"/>
    <mergeCell ref="G225:H225"/>
    <mergeCell ref="G226:H226"/>
    <mergeCell ref="G227:H227"/>
    <mergeCell ref="N193:O193"/>
    <mergeCell ref="N194:O194"/>
    <mergeCell ref="V199:W199"/>
    <mergeCell ref="V200:W200"/>
    <mergeCell ref="V201:W201"/>
    <mergeCell ref="V202:W202"/>
    <mergeCell ref="V203:W203"/>
    <mergeCell ref="S148:X148"/>
    <mergeCell ref="S149:X149"/>
    <mergeCell ref="S150:X150"/>
    <mergeCell ref="S151:X151"/>
    <mergeCell ref="S152:X152"/>
    <mergeCell ref="S153:X153"/>
    <mergeCell ref="B134:F134"/>
    <mergeCell ref="B135:F135"/>
    <mergeCell ref="B136:F136"/>
    <mergeCell ref="B139:F139"/>
    <mergeCell ref="B140:F140"/>
    <mergeCell ref="J148:N148"/>
    <mergeCell ref="N142:R142"/>
    <mergeCell ref="S142:T142"/>
    <mergeCell ref="B138:F138"/>
    <mergeCell ref="G138:H138"/>
    <mergeCell ref="G139:H139"/>
    <mergeCell ref="G140:H140"/>
    <mergeCell ref="B142:F142"/>
    <mergeCell ref="G142:H142"/>
    <mergeCell ref="G134:H134"/>
    <mergeCell ref="G135:H135"/>
    <mergeCell ref="O149:P149"/>
    <mergeCell ref="O150:P150"/>
    <mergeCell ref="Y148:Z148"/>
    <mergeCell ref="Y149:Z149"/>
    <mergeCell ref="Y150:Z150"/>
    <mergeCell ref="B95:E95"/>
    <mergeCell ref="B96:E96"/>
    <mergeCell ref="B97:E97"/>
    <mergeCell ref="B98:E98"/>
    <mergeCell ref="B94:F94"/>
    <mergeCell ref="V96:Y96"/>
    <mergeCell ref="I96:L96"/>
    <mergeCell ref="V111:Y111"/>
    <mergeCell ref="O107:T107"/>
    <mergeCell ref="V112:Y112"/>
    <mergeCell ref="V113:Y113"/>
    <mergeCell ref="V105:Y105"/>
    <mergeCell ref="V106:Y106"/>
    <mergeCell ref="V107:Y107"/>
    <mergeCell ref="V108:Y108"/>
    <mergeCell ref="V109:Y109"/>
    <mergeCell ref="G136:H136"/>
    <mergeCell ref="B137:F137"/>
    <mergeCell ref="G137:H137"/>
    <mergeCell ref="N141:R141"/>
    <mergeCell ref="S141:T141"/>
    <mergeCell ref="T17:U17"/>
    <mergeCell ref="V99:Y99"/>
    <mergeCell ref="V100:Y100"/>
    <mergeCell ref="V101:Y101"/>
    <mergeCell ref="V102:Y102"/>
    <mergeCell ref="V103:Y103"/>
    <mergeCell ref="V98:Z98"/>
    <mergeCell ref="O94:T94"/>
    <mergeCell ref="O96:S96"/>
    <mergeCell ref="V94:Y94"/>
    <mergeCell ref="O27:P27"/>
    <mergeCell ref="O29:P29"/>
    <mergeCell ref="O30:P30"/>
    <mergeCell ref="O31:P31"/>
    <mergeCell ref="O32:P32"/>
    <mergeCell ref="N90:O90"/>
    <mergeCell ref="O62:P62"/>
    <mergeCell ref="N68:O68"/>
    <mergeCell ref="N69:O69"/>
    <mergeCell ref="O63:P63"/>
    <mergeCell ref="O52:P52"/>
    <mergeCell ref="O53:P53"/>
    <mergeCell ref="O54:P54"/>
    <mergeCell ref="S58:T58"/>
    <mergeCell ref="AB104:AC104"/>
    <mergeCell ref="AB105:AC105"/>
    <mergeCell ref="AB106:AC106"/>
    <mergeCell ref="AB107:AC107"/>
    <mergeCell ref="I97:L97"/>
    <mergeCell ref="G113:H113"/>
    <mergeCell ref="G40:H40"/>
    <mergeCell ref="G41:H41"/>
    <mergeCell ref="G42:H42"/>
    <mergeCell ref="G44:H44"/>
    <mergeCell ref="G46:H46"/>
    <mergeCell ref="G100:H100"/>
    <mergeCell ref="G101:H101"/>
    <mergeCell ref="G102:H102"/>
    <mergeCell ref="AB111:AC111"/>
    <mergeCell ref="AB112:AC112"/>
    <mergeCell ref="AB100:AC100"/>
    <mergeCell ref="AB101:AC101"/>
    <mergeCell ref="AB102:AC102"/>
    <mergeCell ref="AB98:AC98"/>
    <mergeCell ref="AB99:AC99"/>
    <mergeCell ref="N88:O88"/>
    <mergeCell ref="N89:O89"/>
    <mergeCell ref="G110:H110"/>
    <mergeCell ref="N334:O334"/>
    <mergeCell ref="N335:O335"/>
    <mergeCell ref="N336:O336"/>
    <mergeCell ref="N319:O319"/>
    <mergeCell ref="N308:O308"/>
    <mergeCell ref="N309:O309"/>
    <mergeCell ref="N310:O310"/>
    <mergeCell ref="N311:O311"/>
    <mergeCell ref="N312:O312"/>
    <mergeCell ref="N313:O313"/>
    <mergeCell ref="N327:O327"/>
    <mergeCell ref="N314:O314"/>
    <mergeCell ref="N315:O315"/>
    <mergeCell ref="N316:O316"/>
    <mergeCell ref="N317:O317"/>
    <mergeCell ref="N318:O318"/>
    <mergeCell ref="N324:O324"/>
    <mergeCell ref="N289:O289"/>
    <mergeCell ref="N293:O293"/>
    <mergeCell ref="N294:O294"/>
    <mergeCell ref="N295:O295"/>
    <mergeCell ref="N284:O284"/>
    <mergeCell ref="N278:O278"/>
    <mergeCell ref="N279:O279"/>
    <mergeCell ref="N280:O280"/>
    <mergeCell ref="N281:O281"/>
    <mergeCell ref="N292:O292"/>
    <mergeCell ref="G282:H282"/>
    <mergeCell ref="G283:H283"/>
    <mergeCell ref="G266:H266"/>
    <mergeCell ref="N282:O282"/>
    <mergeCell ref="N283:O283"/>
    <mergeCell ref="G284:H284"/>
    <mergeCell ref="G287:H287"/>
    <mergeCell ref="G288:H288"/>
    <mergeCell ref="N288:O288"/>
    <mergeCell ref="G285:H285"/>
    <mergeCell ref="G286:H286"/>
    <mergeCell ref="G278:H278"/>
    <mergeCell ref="G279:H279"/>
    <mergeCell ref="G280:H280"/>
    <mergeCell ref="N285:O285"/>
    <mergeCell ref="N286:O286"/>
    <mergeCell ref="N287:O287"/>
    <mergeCell ref="N270:O270"/>
    <mergeCell ref="N275:O275"/>
    <mergeCell ref="N276:O276"/>
    <mergeCell ref="G276:H276"/>
    <mergeCell ref="G277:H277"/>
    <mergeCell ref="N269:O269"/>
    <mergeCell ref="G281:H281"/>
    <mergeCell ref="N258:O258"/>
    <mergeCell ref="M21:N21"/>
    <mergeCell ref="G27:H27"/>
    <mergeCell ref="G29:H29"/>
    <mergeCell ref="G30:H30"/>
    <mergeCell ref="G31:H31"/>
    <mergeCell ref="G33:H33"/>
    <mergeCell ref="N254:O254"/>
    <mergeCell ref="N255:O255"/>
    <mergeCell ref="G244:H244"/>
    <mergeCell ref="G249:H249"/>
    <mergeCell ref="G250:H250"/>
    <mergeCell ref="G251:H251"/>
    <mergeCell ref="G254:H254"/>
    <mergeCell ref="J230:N230"/>
    <mergeCell ref="J231:N231"/>
    <mergeCell ref="J232:N232"/>
    <mergeCell ref="J233:N233"/>
    <mergeCell ref="G232:H232"/>
    <mergeCell ref="G233:H233"/>
    <mergeCell ref="G234:H234"/>
    <mergeCell ref="G235:H235"/>
    <mergeCell ref="G236:H236"/>
    <mergeCell ref="G263:H263"/>
    <mergeCell ref="G264:H264"/>
    <mergeCell ref="G265:H265"/>
    <mergeCell ref="N256:O256"/>
    <mergeCell ref="N257:O257"/>
    <mergeCell ref="N267:O267"/>
    <mergeCell ref="G269:H269"/>
    <mergeCell ref="G230:H230"/>
    <mergeCell ref="G231:H231"/>
    <mergeCell ref="N250:O250"/>
    <mergeCell ref="G252:H252"/>
    <mergeCell ref="G253:H253"/>
    <mergeCell ref="N253:O253"/>
    <mergeCell ref="N264:O264"/>
    <mergeCell ref="N265:O265"/>
    <mergeCell ref="N266:O266"/>
    <mergeCell ref="G268:H268"/>
    <mergeCell ref="N259:O259"/>
    <mergeCell ref="N260:O260"/>
    <mergeCell ref="N261:O261"/>
    <mergeCell ref="N268:O268"/>
    <mergeCell ref="G241:H241"/>
    <mergeCell ref="G242:H242"/>
    <mergeCell ref="G243:H243"/>
    <mergeCell ref="G270:H270"/>
    <mergeCell ref="G275:H275"/>
    <mergeCell ref="G261:H261"/>
    <mergeCell ref="G262:H262"/>
    <mergeCell ref="N305:O305"/>
    <mergeCell ref="N306:O306"/>
    <mergeCell ref="N290:O290"/>
    <mergeCell ref="N291:O291"/>
    <mergeCell ref="G289:H289"/>
    <mergeCell ref="G290:H290"/>
    <mergeCell ref="G291:H291"/>
    <mergeCell ref="G292:H292"/>
    <mergeCell ref="G293:H293"/>
    <mergeCell ref="G294:H294"/>
    <mergeCell ref="G295:H295"/>
    <mergeCell ref="G296:H296"/>
    <mergeCell ref="G301:H301"/>
    <mergeCell ref="N301:O301"/>
    <mergeCell ref="N296:O296"/>
    <mergeCell ref="N303:O303"/>
    <mergeCell ref="N304:O304"/>
    <mergeCell ref="N277:O277"/>
    <mergeCell ref="N262:O262"/>
    <mergeCell ref="N263:O263"/>
    <mergeCell ref="N337:O337"/>
    <mergeCell ref="B17:G19"/>
    <mergeCell ref="B20:G21"/>
    <mergeCell ref="M17:N17"/>
    <mergeCell ref="M18:N18"/>
    <mergeCell ref="M19:N19"/>
    <mergeCell ref="M20:N20"/>
    <mergeCell ref="N328:O328"/>
    <mergeCell ref="N329:O329"/>
    <mergeCell ref="N330:O330"/>
    <mergeCell ref="N331:O331"/>
    <mergeCell ref="N332:O332"/>
    <mergeCell ref="N333:O333"/>
    <mergeCell ref="N320:O320"/>
    <mergeCell ref="N321:O321"/>
    <mergeCell ref="N322:O322"/>
    <mergeCell ref="N323:O323"/>
    <mergeCell ref="G255:H255"/>
    <mergeCell ref="G256:H256"/>
    <mergeCell ref="G257:H257"/>
    <mergeCell ref="G258:H258"/>
    <mergeCell ref="G259:H259"/>
    <mergeCell ref="G260:H260"/>
    <mergeCell ref="G267:H267"/>
    <mergeCell ref="G237:H237"/>
    <mergeCell ref="G238:H238"/>
    <mergeCell ref="G239:H239"/>
    <mergeCell ref="G240:H240"/>
    <mergeCell ref="J234:N234"/>
    <mergeCell ref="N251:O251"/>
    <mergeCell ref="N252:O252"/>
    <mergeCell ref="G228:H228"/>
    <mergeCell ref="G229:H229"/>
    <mergeCell ref="J228:N228"/>
    <mergeCell ref="J229:N229"/>
    <mergeCell ref="N249:O249"/>
    <mergeCell ref="Q225:W225"/>
    <mergeCell ref="Q226:W226"/>
    <mergeCell ref="Q227:W227"/>
    <mergeCell ref="Q228:W228"/>
    <mergeCell ref="Q229:W229"/>
    <mergeCell ref="V204:W204"/>
    <mergeCell ref="V205:W205"/>
    <mergeCell ref="J199:N199"/>
    <mergeCell ref="Q199:U199"/>
    <mergeCell ref="J203:N203"/>
    <mergeCell ref="J204:N204"/>
    <mergeCell ref="J205:N205"/>
    <mergeCell ref="J206:N206"/>
    <mergeCell ref="J207:N207"/>
    <mergeCell ref="J208:N208"/>
    <mergeCell ref="J209:N209"/>
    <mergeCell ref="V206:W206"/>
    <mergeCell ref="V207:W207"/>
    <mergeCell ref="V208:W208"/>
    <mergeCell ref="V209:W209"/>
    <mergeCell ref="N187:O187"/>
    <mergeCell ref="N188:O188"/>
    <mergeCell ref="N189:O189"/>
    <mergeCell ref="N190:O190"/>
    <mergeCell ref="N191:O191"/>
    <mergeCell ref="N192:O192"/>
    <mergeCell ref="J200:N200"/>
    <mergeCell ref="J201:N201"/>
    <mergeCell ref="J202:N202"/>
    <mergeCell ref="N181:O181"/>
    <mergeCell ref="N182:O182"/>
    <mergeCell ref="N183:O183"/>
    <mergeCell ref="N184:O184"/>
    <mergeCell ref="N185:O185"/>
    <mergeCell ref="N186:O186"/>
    <mergeCell ref="G183:H183"/>
    <mergeCell ref="N175:O175"/>
    <mergeCell ref="N176:O176"/>
    <mergeCell ref="N177:O177"/>
    <mergeCell ref="N178:O178"/>
    <mergeCell ref="N179:O179"/>
    <mergeCell ref="N180:O180"/>
    <mergeCell ref="B117:F117"/>
    <mergeCell ref="B130:F130"/>
    <mergeCell ref="B131:F131"/>
    <mergeCell ref="G131:H131"/>
    <mergeCell ref="I164:M164"/>
    <mergeCell ref="O155:P155"/>
    <mergeCell ref="O156:P156"/>
    <mergeCell ref="I143:J143"/>
    <mergeCell ref="S143:T143"/>
    <mergeCell ref="K143:L143"/>
    <mergeCell ref="B147:F147"/>
    <mergeCell ref="G147:H147"/>
    <mergeCell ref="G148:H148"/>
    <mergeCell ref="G149:H149"/>
    <mergeCell ref="G150:H150"/>
    <mergeCell ref="G151:H151"/>
    <mergeCell ref="B151:F151"/>
    <mergeCell ref="B150:F150"/>
    <mergeCell ref="B149:F149"/>
    <mergeCell ref="B148:F148"/>
    <mergeCell ref="N147:O147"/>
    <mergeCell ref="O148:P148"/>
    <mergeCell ref="G152:H152"/>
    <mergeCell ref="G153:H153"/>
    <mergeCell ref="B132:F132"/>
    <mergeCell ref="G132:H132"/>
    <mergeCell ref="G133:H133"/>
    <mergeCell ref="G127:H127"/>
    <mergeCell ref="K129:L129"/>
    <mergeCell ref="K130:L130"/>
    <mergeCell ref="O117:S117"/>
    <mergeCell ref="O118:S118"/>
    <mergeCell ref="V130:Z130"/>
    <mergeCell ref="B133:F133"/>
    <mergeCell ref="G118:H118"/>
    <mergeCell ref="G119:H119"/>
    <mergeCell ref="G120:H120"/>
    <mergeCell ref="G121:H121"/>
    <mergeCell ref="G122:H122"/>
    <mergeCell ref="G123:H123"/>
    <mergeCell ref="G124:H124"/>
    <mergeCell ref="G125:H125"/>
    <mergeCell ref="G126:H126"/>
    <mergeCell ref="I130:J130"/>
    <mergeCell ref="S130:T130"/>
    <mergeCell ref="I129:J129"/>
    <mergeCell ref="I117:M117"/>
    <mergeCell ref="V117:AA117"/>
    <mergeCell ref="AB108:AC108"/>
    <mergeCell ref="AB110:AC110"/>
    <mergeCell ref="G107:H107"/>
    <mergeCell ref="G108:H108"/>
    <mergeCell ref="G111:H111"/>
    <mergeCell ref="W81:X81"/>
    <mergeCell ref="W82:X82"/>
    <mergeCell ref="I83:J83"/>
    <mergeCell ref="S83:T83"/>
    <mergeCell ref="I84:J84"/>
    <mergeCell ref="S84:T84"/>
    <mergeCell ref="G99:H99"/>
    <mergeCell ref="G103:H103"/>
    <mergeCell ref="I81:J81"/>
    <mergeCell ref="I82:J82"/>
    <mergeCell ref="G81:H81"/>
    <mergeCell ref="G82:H82"/>
    <mergeCell ref="N87:O87"/>
    <mergeCell ref="G87:H87"/>
    <mergeCell ref="G88:H88"/>
    <mergeCell ref="G89:H89"/>
    <mergeCell ref="G90:H90"/>
    <mergeCell ref="G98:H98"/>
    <mergeCell ref="G105:H105"/>
    <mergeCell ref="G109:H109"/>
    <mergeCell ref="W75:X75"/>
    <mergeCell ref="W76:X76"/>
    <mergeCell ref="W74:X74"/>
    <mergeCell ref="W73:X73"/>
    <mergeCell ref="G76:H76"/>
    <mergeCell ref="G77:H77"/>
    <mergeCell ref="W77:X77"/>
    <mergeCell ref="W79:X79"/>
    <mergeCell ref="W80:X80"/>
    <mergeCell ref="O78:P78"/>
    <mergeCell ref="O79:P79"/>
    <mergeCell ref="G79:H79"/>
    <mergeCell ref="G80:H80"/>
    <mergeCell ref="O73:P73"/>
    <mergeCell ref="O74:P74"/>
    <mergeCell ref="O75:P75"/>
    <mergeCell ref="O76:P76"/>
    <mergeCell ref="O77:P77"/>
    <mergeCell ref="G83:H83"/>
    <mergeCell ref="S59:T59"/>
    <mergeCell ref="S60:T60"/>
    <mergeCell ref="S61:T61"/>
    <mergeCell ref="O56:P56"/>
    <mergeCell ref="O57:P57"/>
    <mergeCell ref="O58:P58"/>
    <mergeCell ref="O59:P59"/>
    <mergeCell ref="O60:P60"/>
    <mergeCell ref="O61:P61"/>
    <mergeCell ref="W50:X50"/>
    <mergeCell ref="W51:X51"/>
    <mergeCell ref="W52:X52"/>
    <mergeCell ref="W53:X53"/>
    <mergeCell ref="W54:X54"/>
    <mergeCell ref="W55:X55"/>
    <mergeCell ref="W56:X56"/>
    <mergeCell ref="G75:H75"/>
    <mergeCell ref="G50:H50"/>
    <mergeCell ref="G51:H51"/>
    <mergeCell ref="G52:H52"/>
    <mergeCell ref="G53:H53"/>
    <mergeCell ref="G54:H54"/>
    <mergeCell ref="W57:X57"/>
    <mergeCell ref="N67:O67"/>
    <mergeCell ref="G67:H67"/>
    <mergeCell ref="G68:H68"/>
    <mergeCell ref="G69:H69"/>
    <mergeCell ref="G73:H73"/>
    <mergeCell ref="G74:H74"/>
    <mergeCell ref="S62:T62"/>
    <mergeCell ref="S63:T63"/>
    <mergeCell ref="O50:P50"/>
    <mergeCell ref="O51:P51"/>
    <mergeCell ref="S42:T42"/>
    <mergeCell ref="S44:T44"/>
    <mergeCell ref="O33:P33"/>
    <mergeCell ref="O35:P35"/>
    <mergeCell ref="O36:P36"/>
    <mergeCell ref="O37:P37"/>
    <mergeCell ref="O38:P38"/>
    <mergeCell ref="O39:P39"/>
    <mergeCell ref="O41:P41"/>
    <mergeCell ref="S38:T38"/>
    <mergeCell ref="S39:T39"/>
    <mergeCell ref="S41:T41"/>
    <mergeCell ref="O42:P42"/>
    <mergeCell ref="O44:P44"/>
    <mergeCell ref="B6:F13"/>
    <mergeCell ref="G55:H55"/>
    <mergeCell ref="G56:H56"/>
    <mergeCell ref="G57:H57"/>
    <mergeCell ref="G58:H58"/>
    <mergeCell ref="G59:H59"/>
    <mergeCell ref="G61:H61"/>
    <mergeCell ref="G62:H62"/>
    <mergeCell ref="W78:X78"/>
    <mergeCell ref="G34:H34"/>
    <mergeCell ref="G35:H35"/>
    <mergeCell ref="G36:H36"/>
    <mergeCell ref="G37:H37"/>
    <mergeCell ref="G38:H38"/>
    <mergeCell ref="G39:H39"/>
    <mergeCell ref="W27:X27"/>
    <mergeCell ref="W29:X29"/>
    <mergeCell ref="W30:X30"/>
    <mergeCell ref="W31:X31"/>
    <mergeCell ref="W32:X32"/>
    <mergeCell ref="S35:T35"/>
    <mergeCell ref="S36:T36"/>
    <mergeCell ref="S37:T37"/>
    <mergeCell ref="W33:X33"/>
    <mergeCell ref="AB129:AC129"/>
    <mergeCell ref="AB130:AC130"/>
    <mergeCell ref="V118:Z118"/>
    <mergeCell ref="V119:Z119"/>
    <mergeCell ref="V120:Z120"/>
    <mergeCell ref="V121:Z121"/>
    <mergeCell ref="V122:Z122"/>
    <mergeCell ref="V123:Z123"/>
    <mergeCell ref="V124:Z124"/>
    <mergeCell ref="V125:Z125"/>
    <mergeCell ref="V126:Z126"/>
    <mergeCell ref="AB127:AC127"/>
    <mergeCell ref="V127:Z127"/>
    <mergeCell ref="AB118:AC118"/>
    <mergeCell ref="AB119:AC119"/>
    <mergeCell ref="AB120:AC120"/>
    <mergeCell ref="AB121:AC121"/>
    <mergeCell ref="AB122:AC122"/>
    <mergeCell ref="AB123:AC123"/>
    <mergeCell ref="AB124:AC124"/>
    <mergeCell ref="AB125:AC125"/>
    <mergeCell ref="AB126:AC126"/>
    <mergeCell ref="B164:F164"/>
    <mergeCell ref="B166:F166"/>
    <mergeCell ref="J149:N149"/>
    <mergeCell ref="J150:N150"/>
    <mergeCell ref="J151:N151"/>
    <mergeCell ref="J152:N152"/>
    <mergeCell ref="J153:N153"/>
    <mergeCell ref="J154:N154"/>
    <mergeCell ref="G159:H159"/>
    <mergeCell ref="G160:H160"/>
    <mergeCell ref="G161:H161"/>
    <mergeCell ref="G162:H162"/>
    <mergeCell ref="G163:H163"/>
    <mergeCell ref="G164:H164"/>
    <mergeCell ref="B160:F160"/>
    <mergeCell ref="B161:F161"/>
    <mergeCell ref="B162:F162"/>
    <mergeCell ref="B163:F163"/>
    <mergeCell ref="G165:H165"/>
    <mergeCell ref="G166:H166"/>
    <mergeCell ref="G154:H154"/>
    <mergeCell ref="B154:F154"/>
    <mergeCell ref="B153:F153"/>
    <mergeCell ref="B152:F152"/>
    <mergeCell ref="O151:P151"/>
    <mergeCell ref="O152:P152"/>
    <mergeCell ref="O153:P153"/>
    <mergeCell ref="O154:P154"/>
    <mergeCell ref="G184:H184"/>
    <mergeCell ref="G185:H185"/>
    <mergeCell ref="G186:H186"/>
    <mergeCell ref="G187:H187"/>
    <mergeCell ref="G188:H188"/>
    <mergeCell ref="G155:H155"/>
    <mergeCell ref="G156:H156"/>
    <mergeCell ref="I166:M166"/>
    <mergeCell ref="G177:H177"/>
    <mergeCell ref="G178:H178"/>
    <mergeCell ref="G179:H179"/>
    <mergeCell ref="G180:H180"/>
    <mergeCell ref="G181:H181"/>
    <mergeCell ref="G182:H182"/>
    <mergeCell ref="G168:H168"/>
    <mergeCell ref="G169:H169"/>
    <mergeCell ref="G174:H174"/>
    <mergeCell ref="G175:H175"/>
    <mergeCell ref="G176:H176"/>
    <mergeCell ref="G167:H167"/>
    <mergeCell ref="G189:H189"/>
    <mergeCell ref="G190:H190"/>
    <mergeCell ref="G191:H191"/>
    <mergeCell ref="G192:H192"/>
    <mergeCell ref="G193:H193"/>
    <mergeCell ref="G194:H194"/>
    <mergeCell ref="G199:H199"/>
    <mergeCell ref="G200:H200"/>
    <mergeCell ref="G201:H201"/>
    <mergeCell ref="G202:H202"/>
    <mergeCell ref="G203:H203"/>
    <mergeCell ref="G204:H204"/>
    <mergeCell ref="G205:H205"/>
    <mergeCell ref="G206:H206"/>
    <mergeCell ref="G207:H207"/>
    <mergeCell ref="G208:H208"/>
    <mergeCell ref="G209:H209"/>
    <mergeCell ref="G210:H210"/>
    <mergeCell ref="X224:Y224"/>
    <mergeCell ref="V210:W210"/>
    <mergeCell ref="V211:W211"/>
    <mergeCell ref="V212:W212"/>
    <mergeCell ref="V213:W213"/>
    <mergeCell ref="V214:W214"/>
    <mergeCell ref="V215:W215"/>
    <mergeCell ref="V216:W216"/>
    <mergeCell ref="G215:H215"/>
    <mergeCell ref="G216:H216"/>
    <mergeCell ref="G217:H217"/>
    <mergeCell ref="G218:H218"/>
    <mergeCell ref="G219:H219"/>
    <mergeCell ref="G213:H213"/>
    <mergeCell ref="G214:H214"/>
    <mergeCell ref="G211:H211"/>
    <mergeCell ref="G212:H212"/>
    <mergeCell ref="Q224:W224"/>
    <mergeCell ref="G317:H317"/>
    <mergeCell ref="G318:H318"/>
    <mergeCell ref="G302:H302"/>
    <mergeCell ref="N302:O302"/>
    <mergeCell ref="G303:H303"/>
    <mergeCell ref="G304:H304"/>
    <mergeCell ref="G305:H305"/>
    <mergeCell ref="G306:H306"/>
    <mergeCell ref="G307:H307"/>
    <mergeCell ref="G308:H308"/>
    <mergeCell ref="G309:H309"/>
    <mergeCell ref="N307:O307"/>
    <mergeCell ref="P19:U21"/>
    <mergeCell ref="V19:Z21"/>
    <mergeCell ref="G332:H332"/>
    <mergeCell ref="G333:H333"/>
    <mergeCell ref="G334:H334"/>
    <mergeCell ref="G335:H335"/>
    <mergeCell ref="G336:H336"/>
    <mergeCell ref="G337:H337"/>
    <mergeCell ref="G319:H319"/>
    <mergeCell ref="G320:H320"/>
    <mergeCell ref="G321:H321"/>
    <mergeCell ref="G322:H322"/>
    <mergeCell ref="G327:H327"/>
    <mergeCell ref="G328:H328"/>
    <mergeCell ref="G329:H329"/>
    <mergeCell ref="G330:H330"/>
    <mergeCell ref="G331:H331"/>
    <mergeCell ref="G310:H310"/>
    <mergeCell ref="G311:H311"/>
    <mergeCell ref="G312:H312"/>
    <mergeCell ref="G313:H313"/>
    <mergeCell ref="G314:H314"/>
    <mergeCell ref="G315:H315"/>
    <mergeCell ref="G316:H316"/>
  </mergeCells>
  <conditionalFormatting sqref="B36:F42 B44:F44 B46:F46 J33:N33 J35:N39 J41:N42 J44:N44 R29:V33 B51:F52 B54:F59 J53:N54 J59:N63 B68:F69 B76:F77 J77:N79 R73:V82 B87:F90 I97:L98 I100:L100 I104:L104 I108:L108 O95:S98 O101:S105 V94:Y95 V100:Y101 V103:Y103 V111:Y111 V113:Y113 B118:E127 I118:L127 V118:Z127 V129:Z130 O117:S117 B131:F140 B142:F142 B148:F154 J148:N154 S148:X153 B160:F169 B175:F194 J225:N234 Q225:W244 B250:F269 B276:F295 B302:F321 B328:F335 O108:S112 J200:N209 Q200:U219">
    <cfRule type="expression" dxfId="16" priority="5">
      <formula>IF($V$19="Minimum",TRUE,FALSE)</formula>
    </cfRule>
  </conditionalFormatting>
  <conditionalFormatting sqref="G36:H42 G44 G46 O33 O35:P39 O41:P42 O44 W29:X33 G51:H52 G54:H59 G68:H69 O53:P54 O59:P63 G76:H77 O77:P79 W73:X82 G87:H90 M97:M98 M100 M104 M108 T95:T98 T101:T105 T108:T112 Z94:Z95 Z100:Z101 Z103 Z111 Z113 F118:F127 M118:M127 T117 AA118:AA127 AA129:AA130 G131:H140 G142 G148:H154 O148:P154 Y148:Z153 G160:H169 G175:H194 G225:H244 O225:O234 X225:Y244 G250:H269 G276:H295 G302:H321 G328:H335 O200:O209 V200:W219">
    <cfRule type="expression" dxfId="15" priority="4">
      <formula>IF($V$19="Minimum",TRUE,FALSE)</formula>
    </cfRule>
  </conditionalFormatting>
  <conditionalFormatting sqref="B37:F39 B41:F41 J33:N33 J36:N39 J41:N42 J44:N44 R32:V33 B54:F55 B57:F59 J59:N63 R73:V82 B87:F90 I98:L98 O95:S98 O101:S105 V94:Y95 O108:S112 V113 O117 V129:Z130 B137:F140 B142 B160:F169 B175:F194 J200:N209 Q200:U219 J225:N234 Q225:W244 B250:F269 B276:F295 B302:F321 B328:F335">
    <cfRule type="expression" dxfId="14" priority="2">
      <formula>IF($V$19="Extended",TRUE,FALSE)</formula>
    </cfRule>
  </conditionalFormatting>
  <conditionalFormatting sqref="G37:H39 G41 O33 O36:P39 O41:P42 W32:X33 G54:H55 G57:H59 O59:P63 W73:X82 G87:H90 M98 T95:T98 T101:T105 Z94:Z95 T108:T112 T117 AA129:AA130 G137:H140 G142 G160:H169 G175:H194 O200:O209 V200:W219 O225:O234 X225:Y244 G250:H269 G276:H295 G302:H321 G328:H335">
    <cfRule type="expression" dxfId="13" priority="1">
      <formula>IF($V$19="Extended",TRUE,FALSE)</formula>
    </cfRule>
  </conditionalFormatting>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Country!$D$13:$D$196</xm:f>
          </x14:formula1>
          <xm:sqref>T17:U17</xm:sqref>
        </x14:dataValidation>
        <x14:dataValidation type="list" allowBlank="1" showInputMessage="1" showErrorMessage="1">
          <x14:formula1>
            <xm:f>Variables!$AN$2:$AN$4</xm:f>
          </x14:formula1>
          <xm:sqref>M19:N19</xm:sqref>
        </x14:dataValidation>
        <x14:dataValidation type="list" allowBlank="1" showInputMessage="1" showErrorMessage="1">
          <x14:formula1>
            <xm:f>Variables!$AT$2:$AT$18</xm:f>
          </x14:formula1>
          <xm:sqref>B20:G21</xm:sqref>
        </x14:dataValidation>
        <x14:dataValidation type="list" allowBlank="1" showInputMessage="1" showErrorMessage="1">
          <x14:formula1>
            <xm:f>Variables!$AU$2:$AU$4</xm:f>
          </x14:formula1>
          <xm:sqref>G67:H67</xm:sqref>
        </x14:dataValidation>
        <x14:dataValidation type="list" allowBlank="1" showInputMessage="1" showErrorMessage="1">
          <x14:formula1>
            <xm:f>Variables!$AV$2:$AV$4</xm:f>
          </x14:formula1>
          <xm:sqref>G68:H68</xm:sqref>
        </x14:dataValidation>
        <x14:dataValidation type="list" allowBlank="1" showInputMessage="1" showErrorMessage="1">
          <x14:formula1>
            <xm:f>Variables!$AW$2:$AW$4</xm:f>
          </x14:formula1>
          <xm:sqref>G69:H69</xm:sqref>
        </x14:dataValidation>
        <x14:dataValidation type="list" allowBlank="1" showInputMessage="1" showErrorMessage="1">
          <x14:formula1>
            <xm:f>Variables!$AY$2:$AY$4</xm:f>
          </x14:formula1>
          <xm:sqref>V19:Z21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89"/>
  <sheetViews>
    <sheetView showGridLines="0" topLeftCell="A14" workbookViewId="0">
      <selection activeCell="I30" sqref="I30:J30"/>
    </sheetView>
  </sheetViews>
  <sheetFormatPr defaultColWidth="0" defaultRowHeight="15" zeroHeight="1" x14ac:dyDescent="0.25"/>
  <cols>
    <col min="1" max="1" width="2.85546875" style="21" customWidth="1"/>
    <col min="2" max="22" width="8.85546875" customWidth="1"/>
    <col min="23" max="23" width="2.85546875" style="21" customWidth="1"/>
    <col min="24" max="24" width="5.140625" style="1" hidden="1" customWidth="1"/>
    <col min="25"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ht="15" customHeight="1" x14ac:dyDescent="0.25">
      <c r="A6" s="21"/>
      <c r="B6" s="843" t="s">
        <v>1391</v>
      </c>
      <c r="C6" s="621"/>
      <c r="D6" s="621"/>
      <c r="E6" s="621"/>
      <c r="F6" s="622"/>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623"/>
      <c r="C7" s="624"/>
      <c r="D7" s="624"/>
      <c r="E7" s="624"/>
      <c r="F7" s="625"/>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623"/>
      <c r="C8" s="624"/>
      <c r="D8" s="624"/>
      <c r="E8" s="624"/>
      <c r="F8" s="625"/>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623"/>
      <c r="C9" s="624"/>
      <c r="D9" s="624"/>
      <c r="E9" s="624"/>
      <c r="F9" s="625"/>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623"/>
      <c r="C10" s="624"/>
      <c r="D10" s="624"/>
      <c r="E10" s="624"/>
      <c r="F10" s="625"/>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623"/>
      <c r="C11" s="624"/>
      <c r="D11" s="624"/>
      <c r="E11" s="624"/>
      <c r="F11" s="625"/>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623"/>
      <c r="C12" s="624"/>
      <c r="D12" s="624"/>
      <c r="E12" s="624"/>
      <c r="F12" s="625"/>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626"/>
      <c r="C13" s="627"/>
      <c r="D13" s="627"/>
      <c r="E13" s="627"/>
      <c r="F13" s="628"/>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199"/>
      <c r="X15" s="199"/>
      <c r="Y15" s="199"/>
      <c r="Z15" s="199"/>
      <c r="AA15" s="199"/>
      <c r="AB15" s="21"/>
    </row>
    <row r="16" spans="1:28" s="24" customFormat="1" x14ac:dyDescent="0.25">
      <c r="A16" s="21"/>
      <c r="B16" s="192"/>
      <c r="C16" s="192"/>
      <c r="D16" s="192"/>
      <c r="E16" s="192"/>
      <c r="F16" s="192"/>
      <c r="G16" s="192"/>
      <c r="H16" s="192"/>
      <c r="I16" s="205"/>
      <c r="J16" s="205"/>
      <c r="K16" s="192"/>
      <c r="L16" s="192"/>
      <c r="M16" s="192"/>
      <c r="N16" s="192"/>
      <c r="O16" s="192"/>
      <c r="P16" s="192"/>
      <c r="Q16" s="192"/>
      <c r="R16" s="192"/>
      <c r="S16" s="192"/>
      <c r="T16" s="192"/>
      <c r="U16" s="192"/>
      <c r="V16" s="192"/>
      <c r="W16" s="21"/>
      <c r="X16" s="21"/>
      <c r="Y16" s="21"/>
      <c r="Z16" s="21"/>
      <c r="AA16" s="21"/>
      <c r="AB16" s="21"/>
    </row>
    <row r="17" spans="2:22" x14ac:dyDescent="0.25">
      <c r="B17" s="191"/>
      <c r="C17" s="191"/>
      <c r="D17" s="313" t="s">
        <v>118</v>
      </c>
      <c r="E17" s="15"/>
      <c r="F17" s="15"/>
      <c r="G17" s="15"/>
      <c r="H17" s="16"/>
      <c r="I17" s="849">
        <f>I18+I21</f>
        <v>1906.1204545454548</v>
      </c>
      <c r="J17" s="850"/>
      <c r="K17" s="191"/>
      <c r="L17" s="191"/>
      <c r="M17" s="191"/>
      <c r="N17" s="844" t="s">
        <v>249</v>
      </c>
      <c r="O17" s="845"/>
      <c r="P17" s="845"/>
      <c r="Q17" s="845"/>
      <c r="R17" s="845"/>
      <c r="S17" s="845"/>
      <c r="T17" s="846"/>
      <c r="U17" s="191"/>
      <c r="V17" s="191"/>
    </row>
    <row r="18" spans="2:22" x14ac:dyDescent="0.25">
      <c r="B18" s="191"/>
      <c r="C18" s="191"/>
      <c r="D18" s="11" t="s">
        <v>242</v>
      </c>
      <c r="E18" s="2"/>
      <c r="F18" s="2"/>
      <c r="G18" s="2"/>
      <c r="H18" s="3"/>
      <c r="I18" s="849">
        <f>Input!M110-Input!M102</f>
        <v>1897.1000000000001</v>
      </c>
      <c r="J18" s="850"/>
      <c r="K18" s="191"/>
      <c r="L18" s="191"/>
      <c r="M18" s="191"/>
      <c r="N18" s="14" t="s">
        <v>249</v>
      </c>
      <c r="O18" s="15"/>
      <c r="P18" s="15"/>
      <c r="Q18" s="15"/>
      <c r="R18" s="16"/>
      <c r="S18" s="849" t="str">
        <f>IF(ISNUMBER(Input!Z113),Input!Z113,"N/A")</f>
        <v>N/A</v>
      </c>
      <c r="T18" s="850"/>
      <c r="U18" s="191"/>
      <c r="V18" s="191"/>
    </row>
    <row r="19" spans="2:22" x14ac:dyDescent="0.25">
      <c r="B19" s="191"/>
      <c r="C19" s="191"/>
      <c r="D19" s="20" t="s">
        <v>243</v>
      </c>
      <c r="E19" s="4"/>
      <c r="F19" s="4"/>
      <c r="G19" s="4"/>
      <c r="H19" s="5"/>
      <c r="I19" s="849">
        <f>Input!M95</f>
        <v>1524.4</v>
      </c>
      <c r="J19" s="850"/>
      <c r="K19" s="191"/>
      <c r="L19" s="191"/>
      <c r="M19" s="191"/>
      <c r="N19" s="191"/>
      <c r="O19" s="191"/>
      <c r="P19" s="191"/>
      <c r="Q19" s="191"/>
      <c r="R19" s="191"/>
      <c r="S19" s="191"/>
      <c r="T19" s="191"/>
      <c r="U19" s="191"/>
      <c r="V19" s="191"/>
    </row>
    <row r="20" spans="2:22" x14ac:dyDescent="0.25">
      <c r="B20" s="191"/>
      <c r="C20" s="191"/>
      <c r="D20" s="20" t="s">
        <v>244</v>
      </c>
      <c r="E20" s="4"/>
      <c r="F20" s="4"/>
      <c r="G20" s="4"/>
      <c r="H20" s="5"/>
      <c r="I20" s="849">
        <f>Input!M104</f>
        <v>147.80000000000001</v>
      </c>
      <c r="J20" s="850"/>
      <c r="K20" s="191"/>
      <c r="L20" s="191"/>
      <c r="M20" s="191"/>
      <c r="N20" s="317" t="s">
        <v>250</v>
      </c>
      <c r="O20" s="2"/>
      <c r="P20" s="2"/>
      <c r="Q20" s="2"/>
      <c r="R20" s="3"/>
      <c r="S20" s="232"/>
      <c r="T20" s="232"/>
      <c r="U20" s="191"/>
      <c r="V20" s="191"/>
    </row>
    <row r="21" spans="2:22" x14ac:dyDescent="0.25">
      <c r="B21" s="191"/>
      <c r="C21" s="191"/>
      <c r="D21" s="13" t="s">
        <v>245</v>
      </c>
      <c r="E21" s="6"/>
      <c r="F21" s="6"/>
      <c r="G21" s="6"/>
      <c r="H21" s="7"/>
      <c r="I21" s="849">
        <f>Input!Z112*Input!M102</f>
        <v>9.0204545454545464</v>
      </c>
      <c r="J21" s="850"/>
      <c r="K21" s="191"/>
      <c r="L21" s="191"/>
      <c r="M21" s="191"/>
      <c r="N21" s="11" t="s">
        <v>1269</v>
      </c>
      <c r="O21" s="2"/>
      <c r="P21" s="2"/>
      <c r="Q21" s="2"/>
      <c r="R21" s="3"/>
      <c r="S21" s="851" t="str">
        <f>IF(ISNUMBER(Input!F96),Input!F96,"N/A")</f>
        <v>N/A</v>
      </c>
      <c r="T21" s="850"/>
      <c r="U21" s="191"/>
      <c r="V21" s="191"/>
    </row>
    <row r="22" spans="2:22" x14ac:dyDescent="0.25">
      <c r="B22" s="191"/>
      <c r="C22" s="191"/>
      <c r="D22" s="191"/>
      <c r="E22" s="191"/>
      <c r="F22" s="191"/>
      <c r="G22" s="191"/>
      <c r="H22" s="191"/>
      <c r="I22" s="191"/>
      <c r="J22" s="191"/>
      <c r="K22" s="191"/>
      <c r="L22" s="191"/>
      <c r="M22" s="191"/>
      <c r="N22" s="258" t="s">
        <v>1270</v>
      </c>
      <c r="O22" s="259"/>
      <c r="P22" s="259"/>
      <c r="Q22" s="259"/>
      <c r="R22" s="260"/>
      <c r="S22" s="851">
        <f>IF(ISNUMBER(Input!O50),Input!O50/I17,IF(ISNUMBER(Input!Z102),Input!Z102/I17,"N/A"))</f>
        <v>3.0218447036042984E-2</v>
      </c>
      <c r="T22" s="850"/>
      <c r="U22" s="191"/>
      <c r="V22" s="191"/>
    </row>
    <row r="23" spans="2:22" x14ac:dyDescent="0.25">
      <c r="B23" s="191"/>
      <c r="C23" s="191"/>
      <c r="D23" s="872" t="str">
        <f>IF(Setup!B7="Losses/Provisions","Loss Rates","PD or NPL ratios")</f>
        <v>PD or NPL ratios</v>
      </c>
      <c r="E23" s="870"/>
      <c r="F23" s="870"/>
      <c r="G23" s="870"/>
      <c r="H23" s="870"/>
      <c r="I23" s="870"/>
      <c r="J23" s="871"/>
      <c r="K23" s="191"/>
      <c r="L23" s="191"/>
      <c r="M23" s="191"/>
      <c r="N23" s="232"/>
      <c r="O23" s="232"/>
      <c r="P23" s="232"/>
      <c r="Q23" s="232"/>
      <c r="R23" s="232"/>
      <c r="S23" s="232"/>
      <c r="T23" s="232"/>
      <c r="U23" s="191"/>
      <c r="V23" s="191"/>
    </row>
    <row r="24" spans="2:22" x14ac:dyDescent="0.25">
      <c r="B24" s="191"/>
      <c r="C24" s="191"/>
      <c r="D24" s="11" t="str">
        <f>IF(Setup!B7="Losses/Provisions","Loss Rates (Country)","NPLs (Country level)")</f>
        <v>NPLs (Country level)</v>
      </c>
      <c r="E24" s="2"/>
      <c r="F24" s="2"/>
      <c r="G24" s="2"/>
      <c r="H24" s="3"/>
      <c r="I24" s="847">
        <f>IF(Setup!B7="Losses/Provisions",IF(ISNUMBER(Input!F96),Input!F96,"N/A"),IF(ISNUMBER(Input!F95),Input!F95,"N/A"))</f>
        <v>3.2000000000000001E-2</v>
      </c>
      <c r="J24" s="848"/>
      <c r="K24" s="191"/>
      <c r="L24" s="265"/>
      <c r="M24" s="191"/>
      <c r="N24" s="313" t="s">
        <v>251</v>
      </c>
      <c r="O24" s="15"/>
      <c r="P24" s="15"/>
      <c r="Q24" s="15"/>
      <c r="R24" s="16"/>
      <c r="S24" s="232"/>
      <c r="T24" s="232"/>
      <c r="U24" s="191"/>
      <c r="V24" s="191"/>
    </row>
    <row r="25" spans="2:22" x14ac:dyDescent="0.25">
      <c r="B25" s="191"/>
      <c r="C25" s="191"/>
      <c r="D25" s="12" t="str">
        <f>IF(Setup!B7="Losses/Provisions","Loss Rates (Bank)","PD or NPL (Bank-level (Flow, if available))")</f>
        <v>PD or NPL (Bank-level (Flow, if available))</v>
      </c>
      <c r="E25" s="4"/>
      <c r="F25" s="4"/>
      <c r="G25" s="4"/>
      <c r="H25" s="257"/>
      <c r="I25" s="847">
        <f>IF(ISNUMBER(IF(Assumptions!H26="Fine-granular sectors",IF(ISNUMBER(Input!G199),Input!G199,IF(Setup!B7="PD/LGD",'Summary of Input Data'!S22/'Summary of Input Data'!I30,Input!Z108)),IF(Assumptions!H26="Broad sectors (Basel II)",IF(ISNUMBER(Input!O199),Input!O199,IF(Setup!B7="PD/LGD",'Summary of Input Data'!S22/'Summary of Input Data'!I30,Input!Z108)),IF(ISNUMBER(Input!V199),Input!V199,IF(Setup!B7="PD/LGD",'Summary of Input Data'!S22/'Summary of Input Data'!I30,Input!Z108))))),IF(Assumptions!H26="Fine-granular sectors",IF(ISNUMBER(Input!G199),Input!G199,IF(Setup!B7="PD/LGD",'Summary of Input Data'!S22/'Summary of Input Data'!I30,Input!Z108)),IF(Assumptions!H26="Broad sectors (Basel II)",IF(ISNUMBER(Input!O199),Input!O199,IF(Setup!B7="PD/LGD",'Summary of Input Data'!S22/'Summary of Input Data'!I30,Input!Z108)),IF(ISNUMBER(Input!V199),Input!V199,IF(Setup!B7="PD/LGD",'Summary of Input Data'!S22/'Summary of Input Data'!I30,Input!Z108)))),"N/A")</f>
        <v>3.4239805149277824E-2</v>
      </c>
      <c r="J25" s="848"/>
      <c r="K25" s="191"/>
      <c r="L25" s="265"/>
      <c r="M25" s="191"/>
      <c r="N25" s="11" t="s">
        <v>252</v>
      </c>
      <c r="O25" s="2"/>
      <c r="P25" s="2"/>
      <c r="Q25" s="2"/>
      <c r="R25" s="3"/>
      <c r="S25" s="847">
        <f>IF(ISNUMBER(100%-SUM(S26:S27)),100%-SUM(S26:S27),"N/A")</f>
        <v>0.57090377527891623</v>
      </c>
      <c r="T25" s="848">
        <f>IF(ISNUMBER(100%-SUM(T26:T27)),100%-SUM(T26:T27),"n.a.")</f>
        <v>1</v>
      </c>
      <c r="U25" s="191"/>
      <c r="V25" s="191"/>
    </row>
    <row r="26" spans="2:22" x14ac:dyDescent="0.25">
      <c r="B26" s="191"/>
      <c r="C26" s="191"/>
      <c r="D26" s="258" t="str">
        <f>IF(Setup!B7="Losses/Provisions","Loss Rates (Loans, Stock)","NPL (Loans, Stock)")</f>
        <v>NPL (Loans, Stock)</v>
      </c>
      <c r="E26" s="259"/>
      <c r="F26" s="259"/>
      <c r="G26" s="259"/>
      <c r="H26" s="260"/>
      <c r="I26" s="847">
        <f>IF(Setup!B7="Losses/Provisions",IF(ISNUMBER(Input!Z107),Input!Z107,"N/A"),IF(ISNUMBER(Input!Z105),Input!Z105,"N/A"))</f>
        <v>5.6373893752534529E-2</v>
      </c>
      <c r="J26" s="848"/>
      <c r="K26" s="191"/>
      <c r="L26" s="191"/>
      <c r="M26" s="191"/>
      <c r="N26" s="12" t="s">
        <v>124</v>
      </c>
      <c r="O26" s="4"/>
      <c r="P26" s="4"/>
      <c r="Q26" s="4"/>
      <c r="R26" s="5"/>
      <c r="S26" s="847">
        <f>IF(ISNUMBER(IF(ISNUMBER(Input!T99),Input!T99/I17,0.2*Input!G30/I17)),IF(ISNUMBER(Input!T99),Input!T99/I17,0.2*Input!G30/I17),"N/A")</f>
        <v>0.26239398683427662</v>
      </c>
      <c r="T26" s="848"/>
      <c r="U26" s="191"/>
      <c r="V26" s="191"/>
    </row>
    <row r="27" spans="2:22" x14ac:dyDescent="0.25">
      <c r="B27" s="191"/>
      <c r="C27" s="191"/>
      <c r="D27" s="232"/>
      <c r="E27" s="232"/>
      <c r="F27" s="232"/>
      <c r="G27" s="232"/>
      <c r="H27" s="232"/>
      <c r="I27" s="232"/>
      <c r="J27" s="232"/>
      <c r="K27" s="191"/>
      <c r="L27" s="191"/>
      <c r="M27" s="191"/>
      <c r="N27" s="13" t="s">
        <v>125</v>
      </c>
      <c r="O27" s="6"/>
      <c r="P27" s="6"/>
      <c r="Q27" s="6"/>
      <c r="R27" s="7"/>
      <c r="S27" s="847">
        <f>IF(ISNUMBER(IF(ISNUMBER(Input!T100+Input!T101),(Input!T100+Input!T101)/I17,0.2*Input!G30/I17)),IF(ISNUMBER(Input!T100+Input!T101),(Input!T100+Input!T101)/I17,0.2*Input!G30/I17),"N/A")</f>
        <v>0.16670223788680719</v>
      </c>
      <c r="T27" s="848"/>
      <c r="U27" s="191"/>
      <c r="V27" s="191"/>
    </row>
    <row r="28" spans="2:22" x14ac:dyDescent="0.25">
      <c r="B28" s="191"/>
      <c r="C28" s="191"/>
      <c r="D28" s="868" t="s">
        <v>247</v>
      </c>
      <c r="E28" s="869"/>
      <c r="F28" s="869"/>
      <c r="G28" s="869"/>
      <c r="H28" s="869"/>
      <c r="I28" s="870"/>
      <c r="J28" s="871"/>
      <c r="K28" s="191"/>
      <c r="L28" s="191"/>
      <c r="M28" s="191"/>
      <c r="N28" s="232"/>
      <c r="O28" s="232"/>
      <c r="P28" s="232"/>
      <c r="Q28" s="232"/>
      <c r="R28" s="232"/>
      <c r="S28" s="232"/>
      <c r="T28" s="232"/>
      <c r="U28" s="191"/>
      <c r="V28" s="191"/>
    </row>
    <row r="29" spans="2:22" x14ac:dyDescent="0.25">
      <c r="B29" s="191"/>
      <c r="C29" s="191"/>
      <c r="D29" s="11" t="s">
        <v>1264</v>
      </c>
      <c r="E29" s="2"/>
      <c r="F29" s="2"/>
      <c r="G29" s="2"/>
      <c r="H29" s="3"/>
      <c r="I29" s="847">
        <f>IF(ISERROR(VLOOKUP(Input!T17,Country!$D$13:$F$196,3,FALSE)),"N/A",VLOOKUP(Input!T17,Country!$D$13:$F$196,3,FALSE)/100)</f>
        <v>0.46899999999999997</v>
      </c>
      <c r="J29" s="848"/>
      <c r="K29" s="191"/>
      <c r="L29" s="191"/>
      <c r="M29" s="191"/>
      <c r="N29" s="313" t="s">
        <v>259</v>
      </c>
      <c r="O29" s="15"/>
      <c r="P29" s="15"/>
      <c r="Q29" s="15"/>
      <c r="R29" s="16"/>
      <c r="S29" s="191"/>
      <c r="T29" s="191"/>
      <c r="U29" s="232"/>
      <c r="V29" s="232"/>
    </row>
    <row r="30" spans="2:22" x14ac:dyDescent="0.25">
      <c r="B30" s="191"/>
      <c r="C30" s="191"/>
      <c r="D30" s="12" t="s">
        <v>1265</v>
      </c>
      <c r="E30" s="4"/>
      <c r="F30" s="4"/>
      <c r="G30" s="4"/>
      <c r="H30" s="257"/>
      <c r="I30" s="847">
        <f>IF(ISNUMBER(IF(Assumptions!H26="Fine-granular sectors",Input!G224,IF(Assumptions!H26="Broad sectors (Basel II)",Input!O224,Input!X224))),IF(Assumptions!H26="Fine-granular sectors",Input!G224,IF(Assumptions!H26="Broad sectors (Basel II)",Input!O224,Input!X224)),"N/A")</f>
        <v>0.70824730645748213</v>
      </c>
      <c r="J30" s="848"/>
      <c r="K30" s="191"/>
      <c r="L30" s="191"/>
      <c r="M30" s="191"/>
      <c r="N30" s="11" t="s">
        <v>253</v>
      </c>
      <c r="O30" s="2"/>
      <c r="P30" s="2"/>
      <c r="Q30" s="2"/>
      <c r="R30" s="3"/>
      <c r="S30" s="852">
        <v>0.45</v>
      </c>
      <c r="T30" s="853"/>
      <c r="U30" s="232"/>
      <c r="V30" s="232"/>
    </row>
    <row r="31" spans="2:22" x14ac:dyDescent="0.25">
      <c r="B31" s="191"/>
      <c r="C31" s="191"/>
      <c r="D31" s="258" t="s">
        <v>1266</v>
      </c>
      <c r="E31" s="259"/>
      <c r="F31" s="259"/>
      <c r="G31" s="259"/>
      <c r="H31" s="260"/>
      <c r="I31" s="876">
        <f>IF(ISERROR(VLOOKUP(Input!T17,Country!$D$13:$H$196,5,FALSE)),"N/A",VLOOKUP(Input!T17,Country!$D$13:$H$196,5,FALSE))</f>
        <v>1.2</v>
      </c>
      <c r="J31" s="877"/>
      <c r="K31" s="191"/>
      <c r="L31" s="191"/>
      <c r="M31" s="191"/>
      <c r="N31" s="12" t="s">
        <v>254</v>
      </c>
      <c r="O31" s="4"/>
      <c r="P31" s="4"/>
      <c r="Q31" s="4"/>
      <c r="R31" s="5"/>
      <c r="S31" s="849">
        <f>S$30*Input!T108</f>
        <v>0</v>
      </c>
      <c r="T31" s="850"/>
      <c r="U31" s="232"/>
      <c r="V31" s="232"/>
    </row>
    <row r="32" spans="2:22" x14ac:dyDescent="0.25">
      <c r="B32" s="191"/>
      <c r="C32" s="191"/>
      <c r="D32" s="232"/>
      <c r="E32" s="232"/>
      <c r="F32" s="232"/>
      <c r="G32" s="232"/>
      <c r="H32" s="232"/>
      <c r="I32" s="232"/>
      <c r="J32" s="232"/>
      <c r="K32" s="191"/>
      <c r="L32" s="191"/>
      <c r="M32" s="191"/>
      <c r="N32" s="12" t="s">
        <v>255</v>
      </c>
      <c r="O32" s="4"/>
      <c r="P32" s="4"/>
      <c r="Q32" s="4"/>
      <c r="R32" s="5"/>
      <c r="S32" s="849">
        <f>S$30*Input!T109</f>
        <v>0</v>
      </c>
      <c r="T32" s="850"/>
      <c r="U32" s="191"/>
      <c r="V32" s="191"/>
    </row>
    <row r="33" spans="2:22" x14ac:dyDescent="0.25">
      <c r="B33" s="191"/>
      <c r="C33" s="191"/>
      <c r="D33" s="868" t="s">
        <v>248</v>
      </c>
      <c r="E33" s="869"/>
      <c r="F33" s="869"/>
      <c r="G33" s="869"/>
      <c r="H33" s="869"/>
      <c r="I33" s="870"/>
      <c r="J33" s="871"/>
      <c r="K33" s="191"/>
      <c r="L33" s="191"/>
      <c r="M33" s="191"/>
      <c r="N33" s="12" t="s">
        <v>256</v>
      </c>
      <c r="O33" s="4"/>
      <c r="P33" s="4"/>
      <c r="Q33" s="4"/>
      <c r="R33" s="5"/>
      <c r="S33" s="849">
        <f>S$30*Input!T110</f>
        <v>0</v>
      </c>
      <c r="T33" s="850"/>
      <c r="U33" s="191"/>
      <c r="V33" s="191"/>
    </row>
    <row r="34" spans="2:22" x14ac:dyDescent="0.25">
      <c r="B34" s="191"/>
      <c r="C34" s="191"/>
      <c r="D34" s="11" t="s">
        <v>1267</v>
      </c>
      <c r="E34" s="2"/>
      <c r="F34" s="2"/>
      <c r="G34" s="2"/>
      <c r="H34" s="3"/>
      <c r="I34" s="847">
        <f>IF(ISNUMBER(0.12*(1-EXP(-50*I24))/(1-EXP(-50))+0.24*(1-(1-EXP(-50*I24))/(1-EXP(-50)))),0.12*(1-EXP(-50*I24))/(1-EXP(-50))+0.24*(1-(1-EXP(-50*I24))/(1-EXP(-50))),"N/A")</f>
        <v>0.14422758215935866</v>
      </c>
      <c r="J34" s="848">
        <f>IF(ISNUMBER(0.12*(1-EXP(-50*J24))/(1-EXP(-50))+0.24*(1-(1-EXP(-50*J24))/(1-EXP(-50)))),0.12*(1-EXP(-50*J24))/(1-EXP(-50))+0.24*(1-(1-EXP(-50*J24))/(1-EXP(-50))),"n.a.")</f>
        <v>0.24</v>
      </c>
      <c r="K34" s="191"/>
      <c r="L34" s="191"/>
      <c r="M34" s="191"/>
      <c r="N34" s="12" t="s">
        <v>257</v>
      </c>
      <c r="O34" s="4"/>
      <c r="P34" s="4"/>
      <c r="Q34" s="4"/>
      <c r="R34" s="5"/>
      <c r="S34" s="849">
        <f>S$30*Input!T111</f>
        <v>0</v>
      </c>
      <c r="T34" s="850"/>
      <c r="U34" s="191"/>
      <c r="V34" s="191"/>
    </row>
    <row r="35" spans="2:22" x14ac:dyDescent="0.25">
      <c r="B35" s="191"/>
      <c r="C35" s="191"/>
      <c r="D35" s="258" t="s">
        <v>1268</v>
      </c>
      <c r="E35" s="259"/>
      <c r="F35" s="259"/>
      <c r="G35" s="259"/>
      <c r="H35" s="260"/>
      <c r="I35" s="847">
        <f>IF(ISNUMBER(0.12*(1-EXP(-50*I25))/(1-EXP(-50))+0.24*(1-(1-EXP(-50*I25))/(1-EXP(-50)))),0.12*(1-EXP(-50*I25))/(1-EXP(-50))+0.24*(1-(1-EXP(-50*I25))/(1-EXP(-50))),"n.a.")</f>
        <v>0.14166074173222318</v>
      </c>
      <c r="J35" s="848">
        <f>IF(ISNUMBER(0.12*(1-EXP(-50*J25))/(1-EXP(-50))+0.24*(1-(1-EXP(-50*J25))/(1-EXP(-50)))),0.12*(1-EXP(-50*J25))/(1-EXP(-50))+0.24*(1-(1-EXP(-50*J25))/(1-EXP(-50))),"n.a.")</f>
        <v>0.24</v>
      </c>
      <c r="K35" s="191"/>
      <c r="L35" s="191"/>
      <c r="M35" s="191"/>
      <c r="N35" s="13" t="s">
        <v>258</v>
      </c>
      <c r="O35" s="6"/>
      <c r="P35" s="6"/>
      <c r="Q35" s="6"/>
      <c r="R35" s="7"/>
      <c r="S35" s="849">
        <f>S$30*Input!T112</f>
        <v>0</v>
      </c>
      <c r="T35" s="850"/>
      <c r="U35" s="191"/>
      <c r="V35" s="191"/>
    </row>
    <row r="36" spans="2:22" x14ac:dyDescent="0.25">
      <c r="B36" s="191"/>
      <c r="C36" s="191"/>
      <c r="D36" s="232"/>
      <c r="E36" s="232"/>
      <c r="F36" s="232"/>
      <c r="G36" s="232"/>
      <c r="H36" s="232"/>
      <c r="I36" s="232"/>
      <c r="J36" s="232"/>
      <c r="K36" s="191"/>
      <c r="L36" s="191"/>
      <c r="M36" s="191"/>
      <c r="N36" s="232"/>
      <c r="O36" s="232"/>
      <c r="P36" s="232"/>
      <c r="Q36" s="232"/>
      <c r="R36" s="232"/>
      <c r="S36" s="232"/>
      <c r="T36" s="232"/>
      <c r="U36" s="191"/>
      <c r="V36" s="191"/>
    </row>
    <row r="37" spans="2:22" x14ac:dyDescent="0.25">
      <c r="B37" s="191"/>
      <c r="C37" s="191"/>
      <c r="D37" s="313" t="s">
        <v>260</v>
      </c>
      <c r="E37" s="15"/>
      <c r="F37" s="15"/>
      <c r="G37" s="15"/>
      <c r="H37" s="16"/>
      <c r="I37" s="232"/>
      <c r="J37" s="232"/>
      <c r="K37" s="232"/>
      <c r="L37" s="191"/>
      <c r="M37" s="191"/>
      <c r="N37" s="313" t="s">
        <v>266</v>
      </c>
      <c r="O37" s="15"/>
      <c r="P37" s="15"/>
      <c r="Q37" s="15"/>
      <c r="R37" s="16"/>
      <c r="S37" s="849" t="str">
        <f>IF(ISNUMBER(Input!G73*Input!M21*Input!M19),IF(Input!G73*Input!M21*Input!M19&gt;3000000000,"Group 1","Group 2"),"N/A")</f>
        <v>Group 2</v>
      </c>
      <c r="T37" s="850"/>
      <c r="U37" s="191"/>
      <c r="V37" s="191"/>
    </row>
    <row r="38" spans="2:22" x14ac:dyDescent="0.25">
      <c r="B38" s="191"/>
      <c r="C38" s="191"/>
      <c r="D38" s="11" t="s">
        <v>261</v>
      </c>
      <c r="E38" s="2"/>
      <c r="F38" s="2"/>
      <c r="G38" s="2"/>
      <c r="H38" s="3"/>
      <c r="I38" s="866">
        <f>IF(ISNUMBER(Input!Z94),Input!Z94,Input!Z96)</f>
        <v>0.01</v>
      </c>
      <c r="J38" s="867"/>
      <c r="K38" s="191"/>
      <c r="L38" s="191"/>
      <c r="M38" s="191"/>
      <c r="N38" s="232"/>
      <c r="O38" s="232"/>
      <c r="P38" s="232"/>
      <c r="Q38" s="232"/>
      <c r="R38" s="232"/>
      <c r="S38" s="232"/>
      <c r="T38" s="232"/>
      <c r="U38" s="191"/>
      <c r="V38" s="191"/>
    </row>
    <row r="39" spans="2:22" x14ac:dyDescent="0.25">
      <c r="B39" s="191"/>
      <c r="C39" s="191"/>
      <c r="D39" s="12" t="s">
        <v>262</v>
      </c>
      <c r="E39" s="4"/>
      <c r="F39" s="4"/>
      <c r="G39" s="4"/>
      <c r="H39" s="5"/>
      <c r="I39" s="847">
        <f>IF(ISNUMBER((I25/0.004-1)*0.1)=FALSE,"",(I25/0.004-1)*0.1)</f>
        <v>0.75599512873194552</v>
      </c>
      <c r="J39" s="848"/>
      <c r="K39" s="191"/>
      <c r="L39" s="191"/>
      <c r="M39" s="191"/>
      <c r="N39" s="313" t="s">
        <v>267</v>
      </c>
      <c r="O39" s="15"/>
      <c r="P39" s="15"/>
      <c r="Q39" s="15"/>
      <c r="R39" s="16"/>
      <c r="S39" s="849">
        <f>IF(ISNUMBER(SUM(S40:S41))=FALSE,"",SUM(S40:S41))</f>
        <v>2250.1909090909094</v>
      </c>
      <c r="T39" s="850">
        <f>IF(ISNUMBER(SUM(T40:T41))=FALSE,"",SUM(T40:T41))</f>
        <v>0</v>
      </c>
      <c r="U39" s="191"/>
      <c r="V39" s="191"/>
    </row>
    <row r="40" spans="2:22" x14ac:dyDescent="0.25">
      <c r="B40" s="191"/>
      <c r="C40" s="191"/>
      <c r="D40" s="12" t="s">
        <v>263</v>
      </c>
      <c r="E40" s="4"/>
      <c r="F40" s="4"/>
      <c r="G40" s="4"/>
      <c r="H40" s="5"/>
      <c r="I40" s="847" t="str">
        <f>IF(Input!Z95="","",IF(Input!Z95&gt;100,Parameters!O164,IF(Input!Z95&gt;50,Parameters!O163,IF(Input!Z95&gt;30,Parameters!O162,IF(Input!Z95&gt;20,Parameters!O161,Parameters!O160)))))</f>
        <v/>
      </c>
      <c r="J40" s="848"/>
      <c r="K40" s="191"/>
      <c r="L40" s="191"/>
      <c r="M40" s="191"/>
      <c r="N40" s="19" t="s">
        <v>268</v>
      </c>
      <c r="O40" s="2"/>
      <c r="P40" s="2"/>
      <c r="Q40" s="2"/>
      <c r="R40" s="3"/>
      <c r="S40" s="849">
        <f>IF(ISNUMBER(Input!O73+Input!O78)=FALSE,"",Input!O73+Input!O78)</f>
        <v>2250.1909090909094</v>
      </c>
      <c r="T40" s="850"/>
      <c r="U40" s="191"/>
      <c r="V40" s="191"/>
    </row>
    <row r="41" spans="2:22" ht="30" customHeight="1" x14ac:dyDescent="0.25">
      <c r="B41" s="191"/>
      <c r="C41" s="191"/>
      <c r="D41" s="873" t="s">
        <v>264</v>
      </c>
      <c r="E41" s="874"/>
      <c r="F41" s="874"/>
      <c r="G41" s="874"/>
      <c r="H41" s="875"/>
      <c r="I41" s="861">
        <f>IF(ISNUMBER((Parameters!N154+Parameters!N155*(IF('Summary of Input Data'!I40="",1,'Summary of Input Data'!I40)*'Summary of Input Data'!I38)*(1+'Summary of Input Data'!I39)))=FALSE,"",(Parameters!N154+Parameters!N155*(IF('Summary of Input Data'!I40="",1,'Summary of Input Data'!I40)*'Summary of Input Data'!I38)*(1+'Summary of Input Data'!I39)))</f>
        <v>0.24123782626893778</v>
      </c>
      <c r="J41" s="862"/>
      <c r="K41" s="191"/>
      <c r="L41" s="191"/>
      <c r="M41" s="191"/>
      <c r="N41" s="28" t="s">
        <v>269</v>
      </c>
      <c r="O41" s="6"/>
      <c r="P41" s="6"/>
      <c r="Q41" s="6"/>
      <c r="R41" s="7"/>
      <c r="S41" s="849">
        <f>IF(ISNUMBER(Input!O79+IF(((Input!W76+Input!W77)*12.5-Input!W81)&gt;(Input!O74+Input!O75),((Input!W76+Input!W77)*12.5-Input!W81)-(Input!O74+Input!O75))),Input!O79+IF(((Input!W76+Input!W77)*12.5-Input!W81)&gt;(Input!O74+Input!O75),((Input!W76+Input!W77)*12.5-Input!W81)-(Input!O74+Input!O75)),"")</f>
        <v>0</v>
      </c>
      <c r="T41" s="850"/>
      <c r="U41" s="191"/>
      <c r="V41" s="191"/>
    </row>
    <row r="42" spans="2:22" x14ac:dyDescent="0.25">
      <c r="B42" s="232"/>
      <c r="C42" s="232"/>
      <c r="D42" s="13" t="s">
        <v>265</v>
      </c>
      <c r="E42" s="6"/>
      <c r="F42" s="6"/>
      <c r="G42" s="6"/>
      <c r="H42" s="7"/>
      <c r="I42" s="866">
        <f>IF(ISNUMBER(Input!G148/Input!G147*Input!G148/Input!G147+Input!G149/Input!G147*Input!G149/Input!G147+Input!G150/Input!G147*Input!G150/Input!G147+Input!G151/Input!G147*Input!G151/Input!G147+Input!G152/Input!G147*Input!G152/Input!G147+Input!G153/Input!G147*Input!G153/Input!G147+Input!G154/Input!G147*Input!G154/Input!G147+Input!O148/Input!G147*Input!O148/Input!G147+Input!O149/Input!G147*Input!O149/Input!G147+Input!O150/Input!G147*Input!O150/Input!G147+Input!O151/Input!G147*Input!O151/Input!G147+Input!O152/Input!G147*Input!O152/Input!G147+Input!O153/Input!G147*Input!O153/Input!G147+Input!Y148/Input!G147*Input!Y148/Input!G147+Input!Y149/Input!G147*Input!Y149/Input!G147+Input!Y150/Input!G147*Input!Y150/Input!G147+Input!Y151/Input!G147*Input!Y151/Input!G147+Input!Y152/Input!G147*Input!Y152/Input!G147+Input!Y154/Input!G147*Input!Y154/Input!G147)=FALSE,"",(Input!G148/Input!G147*Input!G148/Input!G147+Input!G149/Input!G147*Input!G149/Input!G147+Input!G150/Input!G147*Input!G150/Input!G147+Input!G151/Input!G147*Input!G151/Input!G147+Input!G152/Input!G147*Input!G152/Input!G147+Input!G153/Input!G147*Input!G153/Input!G147+Input!G154/Input!G147*Input!G154/Input!G147+Input!O148/Input!G147*Input!O148/Input!G147+Input!O149/Input!G147*Input!O149/Input!G147+Input!O150/Input!G147*Input!O150/Input!G147+Input!O151/Input!G147*Input!O151/Input!G147+Input!O152/Input!G147*Input!O152/Input!G147+Input!O153/Input!G147*Input!O153/Input!G147+Input!Y148/Input!G147*Input!Y148/Input!G147+Input!Y149/Input!G147*Input!Y149/Input!G147+Input!Y150/Input!G147*Input!Y150/Input!G147+Input!Y151/Input!G147*Input!Y151/Input!G147+Input!Y152/Input!G147*Input!Y152/Input!G147+Input!Y154/Input!G147*Input!Y154/Input!G147))</f>
        <v>6.1700096535177752E-2</v>
      </c>
      <c r="J42" s="867"/>
      <c r="K42" s="191"/>
      <c r="L42" s="232"/>
      <c r="M42" s="232"/>
      <c r="N42" s="232"/>
      <c r="O42" s="232"/>
      <c r="P42" s="232"/>
      <c r="Q42" s="232"/>
      <c r="R42" s="232"/>
      <c r="S42" s="232"/>
      <c r="T42" s="232"/>
      <c r="U42" s="232"/>
      <c r="V42" s="232"/>
    </row>
    <row r="43" spans="2:22" x14ac:dyDescent="0.25">
      <c r="B43" s="232"/>
      <c r="C43" s="232"/>
      <c r="D43" s="232"/>
      <c r="E43" s="232"/>
      <c r="F43" s="232"/>
      <c r="G43" s="232"/>
      <c r="H43" s="232"/>
      <c r="I43" s="232"/>
      <c r="J43" s="232"/>
      <c r="K43" s="232"/>
      <c r="L43" s="232"/>
      <c r="M43" s="232"/>
      <c r="N43" s="232"/>
      <c r="O43" s="232"/>
      <c r="P43" s="232"/>
      <c r="Q43" s="232"/>
      <c r="R43" s="232"/>
      <c r="S43" s="232"/>
      <c r="T43" s="232"/>
      <c r="U43" s="232"/>
      <c r="V43" s="232"/>
    </row>
    <row r="44" spans="2:22" x14ac:dyDescent="0.25">
      <c r="B44" s="211"/>
      <c r="C44" s="211"/>
      <c r="D44" s="211"/>
      <c r="E44" s="211"/>
      <c r="F44" s="211"/>
      <c r="G44" s="211"/>
      <c r="H44" s="211"/>
      <c r="I44" s="211"/>
      <c r="J44" s="211"/>
      <c r="K44" s="211"/>
      <c r="L44" s="211"/>
      <c r="M44" s="211"/>
      <c r="N44" s="211"/>
      <c r="O44" s="211"/>
      <c r="P44" s="211"/>
      <c r="Q44" s="211"/>
      <c r="R44" s="211"/>
      <c r="S44" s="211"/>
      <c r="T44" s="211"/>
      <c r="U44" s="211"/>
      <c r="V44" s="211"/>
    </row>
    <row r="45" spans="2:22" x14ac:dyDescent="0.25">
      <c r="B45" s="193"/>
      <c r="C45" s="193"/>
      <c r="D45" s="193"/>
      <c r="E45" s="193"/>
      <c r="F45" s="193"/>
      <c r="G45" s="193"/>
      <c r="H45" s="193"/>
      <c r="I45" s="193"/>
      <c r="J45" s="193"/>
      <c r="K45" s="193"/>
      <c r="L45" s="193"/>
      <c r="M45" s="193"/>
      <c r="N45" s="193"/>
      <c r="O45" s="193"/>
      <c r="P45" s="193"/>
      <c r="Q45" s="193"/>
      <c r="R45" s="193"/>
      <c r="S45" s="193"/>
      <c r="T45" s="193"/>
      <c r="U45" s="193"/>
      <c r="V45" s="193"/>
    </row>
    <row r="46" spans="2:22" ht="18.75" x14ac:dyDescent="0.25">
      <c r="B46" s="203" t="s">
        <v>270</v>
      </c>
      <c r="C46" s="191"/>
      <c r="D46" s="191"/>
      <c r="E46" s="191"/>
      <c r="F46" s="191"/>
      <c r="G46" s="191"/>
      <c r="H46" s="191"/>
      <c r="I46" s="191"/>
      <c r="J46" s="191"/>
      <c r="K46" s="191"/>
      <c r="L46" s="191"/>
      <c r="M46" s="191"/>
      <c r="N46" s="191"/>
      <c r="O46" s="191"/>
      <c r="P46" s="191"/>
      <c r="Q46" s="191"/>
      <c r="R46" s="191"/>
      <c r="S46" s="191"/>
      <c r="T46" s="191"/>
      <c r="U46" s="191"/>
      <c r="V46" s="191"/>
    </row>
    <row r="47" spans="2:22" x14ac:dyDescent="0.25">
      <c r="B47" s="191"/>
      <c r="C47" s="191"/>
      <c r="D47" s="191"/>
      <c r="E47" s="191"/>
      <c r="F47" s="191"/>
      <c r="G47" s="191"/>
      <c r="H47" s="191"/>
      <c r="I47" s="191"/>
      <c r="J47" s="191"/>
      <c r="K47" s="191"/>
      <c r="L47" s="191"/>
      <c r="M47" s="191"/>
      <c r="N47" s="191"/>
      <c r="O47" s="191"/>
      <c r="P47" s="191"/>
      <c r="Q47" s="191"/>
      <c r="R47" s="191"/>
      <c r="S47" s="191"/>
      <c r="T47" s="191"/>
      <c r="U47" s="191"/>
      <c r="V47" s="191"/>
    </row>
    <row r="48" spans="2:22" ht="30" customHeight="1" x14ac:dyDescent="0.25">
      <c r="B48" s="191"/>
      <c r="C48" s="191"/>
      <c r="D48" s="238" t="s">
        <v>271</v>
      </c>
      <c r="E48" s="15"/>
      <c r="F48" s="16"/>
      <c r="G48" s="857" t="s">
        <v>285</v>
      </c>
      <c r="H48" s="857"/>
      <c r="I48" s="861">
        <f>IF(ISNUMBER(Input!G27/Input!G27),Input!G27/Input!G27,"N/A")</f>
        <v>1</v>
      </c>
      <c r="J48" s="862"/>
      <c r="K48" s="191"/>
      <c r="L48" s="191"/>
      <c r="M48" s="191"/>
      <c r="N48" s="854" t="s">
        <v>302</v>
      </c>
      <c r="O48" s="855"/>
      <c r="P48" s="856"/>
      <c r="Q48" s="857" t="s">
        <v>316</v>
      </c>
      <c r="R48" s="857"/>
      <c r="S48" s="861">
        <f>S39/Input!G27</f>
        <v>0.49308445471478235</v>
      </c>
      <c r="T48" s="862"/>
      <c r="U48" s="191"/>
      <c r="V48" s="191"/>
    </row>
    <row r="49" spans="2:22" x14ac:dyDescent="0.25">
      <c r="B49" s="191"/>
      <c r="C49" s="191"/>
      <c r="D49" s="11" t="s">
        <v>272</v>
      </c>
      <c r="E49" s="2"/>
      <c r="F49" s="3"/>
      <c r="G49" s="860" t="s">
        <v>286</v>
      </c>
      <c r="H49" s="860"/>
      <c r="I49" s="847">
        <f>IF(ISNUMBER(Input!G33/Input!G27),Input!G33/Input!G27,"N/A")</f>
        <v>0.12036813849019393</v>
      </c>
      <c r="J49" s="848"/>
      <c r="K49" s="191"/>
      <c r="L49" s="191"/>
      <c r="M49" s="191"/>
      <c r="N49" s="191"/>
      <c r="O49" s="191"/>
      <c r="P49" s="191"/>
      <c r="Q49" s="863"/>
      <c r="R49" s="863"/>
      <c r="S49" s="191"/>
      <c r="T49" s="191"/>
      <c r="U49" s="191"/>
      <c r="V49" s="191"/>
    </row>
    <row r="50" spans="2:22" x14ac:dyDescent="0.25">
      <c r="B50" s="191"/>
      <c r="C50" s="191"/>
      <c r="D50" s="12" t="s">
        <v>273</v>
      </c>
      <c r="E50" s="4"/>
      <c r="F50" s="5"/>
      <c r="G50" s="860" t="s">
        <v>287</v>
      </c>
      <c r="H50" s="860"/>
      <c r="I50" s="847">
        <f>IF(ISNUMBER(Input!M100/Input!G29),Input!M100/Input!G29,"N/A")</f>
        <v>0</v>
      </c>
      <c r="J50" s="848"/>
      <c r="K50" s="191"/>
      <c r="L50" s="191"/>
      <c r="M50" s="191"/>
      <c r="N50" s="313" t="s">
        <v>303</v>
      </c>
      <c r="O50" s="15"/>
      <c r="P50" s="16"/>
      <c r="Q50" s="232"/>
      <c r="R50" s="232"/>
      <c r="S50" s="192"/>
      <c r="T50" s="232"/>
      <c r="U50" s="232"/>
      <c r="V50" s="232"/>
    </row>
    <row r="51" spans="2:22" x14ac:dyDescent="0.25">
      <c r="B51" s="191"/>
      <c r="C51" s="191"/>
      <c r="D51" s="12" t="s">
        <v>274</v>
      </c>
      <c r="E51" s="4"/>
      <c r="F51" s="5"/>
      <c r="G51" s="860" t="s">
        <v>288</v>
      </c>
      <c r="H51" s="860"/>
      <c r="I51" s="847">
        <f>IF(ISNUMBER(Input!G29/Input!G27),Input!G29/Input!G27,"N/A")</f>
        <v>0.3340418538402542</v>
      </c>
      <c r="J51" s="848"/>
      <c r="K51" s="191"/>
      <c r="L51" s="191"/>
      <c r="M51" s="191"/>
      <c r="N51" s="11" t="s">
        <v>304</v>
      </c>
      <c r="O51" s="2"/>
      <c r="P51" s="3"/>
      <c r="Q51" s="860" t="s">
        <v>317</v>
      </c>
      <c r="R51" s="860"/>
      <c r="S51" s="847">
        <f>IF(ISNUMBER(Input!G51/Input!G$27),Input!G51/Input!G$27,"N/A")</f>
        <v>2.8684124027610388E-2</v>
      </c>
      <c r="T51" s="848"/>
      <c r="U51" s="191"/>
      <c r="V51" s="191"/>
    </row>
    <row r="52" spans="2:22" x14ac:dyDescent="0.25">
      <c r="B52" s="191"/>
      <c r="C52" s="191"/>
      <c r="D52" s="12" t="s">
        <v>275</v>
      </c>
      <c r="E52" s="4"/>
      <c r="F52" s="5"/>
      <c r="G52" s="860" t="s">
        <v>289</v>
      </c>
      <c r="H52" s="860"/>
      <c r="I52" s="847">
        <f>IF(ISNUMBER((Input!G36+Input!G40)/Input!G27),(Input!G36+Input!G40)/Input!G27,"N/A")</f>
        <v>6.9069792922099263E-2</v>
      </c>
      <c r="J52" s="848"/>
      <c r="K52" s="191"/>
      <c r="L52" s="191"/>
      <c r="M52" s="191"/>
      <c r="N52" s="12" t="s">
        <v>45</v>
      </c>
      <c r="O52" s="4"/>
      <c r="P52" s="5"/>
      <c r="Q52" s="860" t="s">
        <v>318</v>
      </c>
      <c r="R52" s="860"/>
      <c r="S52" s="847">
        <f>IF(ISNUMBER(Input!G52/Input!G$27),Input!G52/Input!G$27,"N/A")</f>
        <v>1.6829188123151088E-2</v>
      </c>
      <c r="T52" s="848"/>
      <c r="U52" s="191"/>
      <c r="V52" s="191"/>
    </row>
    <row r="53" spans="2:22" x14ac:dyDescent="0.25">
      <c r="B53" s="191"/>
      <c r="C53" s="191"/>
      <c r="D53" s="12" t="s">
        <v>276</v>
      </c>
      <c r="E53" s="4"/>
      <c r="F53" s="5"/>
      <c r="G53" s="860" t="s">
        <v>290</v>
      </c>
      <c r="H53" s="860"/>
      <c r="I53" s="847">
        <f>IF(ISNUMBER((Input!G34+Input!G42)/Input!G27),(Input!G34+Input!G42)/Input!G27,"N/A")</f>
        <v>3.2387421934918378E-2</v>
      </c>
      <c r="J53" s="848"/>
      <c r="K53" s="191"/>
      <c r="L53" s="191"/>
      <c r="M53" s="191"/>
      <c r="N53" s="12" t="s">
        <v>305</v>
      </c>
      <c r="O53" s="4"/>
      <c r="P53" s="5"/>
      <c r="Q53" s="860" t="s">
        <v>319</v>
      </c>
      <c r="R53" s="860"/>
      <c r="S53" s="847">
        <f>IF(ISNUMBER(Input!G50/Input!G$27),Input!G50/Input!G$27,"N/A")</f>
        <v>1.1854935904459298E-2</v>
      </c>
      <c r="T53" s="848"/>
      <c r="U53" s="191"/>
      <c r="V53" s="191"/>
    </row>
    <row r="54" spans="2:22" x14ac:dyDescent="0.25">
      <c r="B54" s="191"/>
      <c r="C54" s="191"/>
      <c r="D54" s="13" t="s">
        <v>277</v>
      </c>
      <c r="E54" s="6"/>
      <c r="F54" s="7"/>
      <c r="G54" s="860" t="s">
        <v>291</v>
      </c>
      <c r="H54" s="860"/>
      <c r="I54" s="847">
        <f>IF(ISNUMBER(Input!G46/Input!G27),Input!G46/Input!G27,"N/A")</f>
        <v>8.6337241152624079E-3</v>
      </c>
      <c r="J54" s="848"/>
      <c r="K54" s="191"/>
      <c r="L54" s="191"/>
      <c r="M54" s="191"/>
      <c r="N54" s="12" t="s">
        <v>50</v>
      </c>
      <c r="O54" s="4"/>
      <c r="P54" s="5"/>
      <c r="Q54" s="860" t="s">
        <v>300</v>
      </c>
      <c r="R54" s="860"/>
      <c r="S54" s="847">
        <f>IF(ISNUMBER(Input!G57/Input!G$27),Input!G57/Input!G$27,"N/A")</f>
        <v>0</v>
      </c>
      <c r="T54" s="848"/>
      <c r="U54" s="191"/>
      <c r="V54" s="191"/>
    </row>
    <row r="55" spans="2:22" x14ac:dyDescent="0.25">
      <c r="B55" s="191"/>
      <c r="C55" s="191"/>
      <c r="D55" s="191"/>
      <c r="E55" s="191"/>
      <c r="F55" s="191"/>
      <c r="G55" s="191"/>
      <c r="H55" s="191"/>
      <c r="I55" s="191"/>
      <c r="J55" s="191"/>
      <c r="K55" s="191"/>
      <c r="L55" s="191"/>
      <c r="M55" s="191"/>
      <c r="N55" s="12" t="s">
        <v>306</v>
      </c>
      <c r="O55" s="4"/>
      <c r="P55" s="5"/>
      <c r="Q55" s="860" t="s">
        <v>320</v>
      </c>
      <c r="R55" s="860"/>
      <c r="S55" s="847">
        <f>IF(ISNUMBER((Input!G54+Input!G55+Input!G59+Input!O53)/Input!G27),(Input!G54+Input!G55+Input!G59+Input!O53)/Input!G27,"N/A")</f>
        <v>2.4652131039772103E-2</v>
      </c>
      <c r="T55" s="848"/>
      <c r="U55" s="191"/>
      <c r="V55" s="191"/>
    </row>
    <row r="56" spans="2:22" x14ac:dyDescent="0.25">
      <c r="B56" s="191"/>
      <c r="C56" s="191"/>
      <c r="D56" s="313" t="s">
        <v>278</v>
      </c>
      <c r="E56" s="15"/>
      <c r="F56" s="16"/>
      <c r="G56" s="860" t="s">
        <v>292</v>
      </c>
      <c r="H56" s="860"/>
      <c r="I56" s="847">
        <f>IF(ISNUMBER(Input!O27/Input!G27),Input!O27/Input!G27,"N/A")</f>
        <v>3.4472093787662978</v>
      </c>
      <c r="J56" s="848"/>
      <c r="K56" s="191"/>
      <c r="L56" s="191"/>
      <c r="M56" s="191"/>
      <c r="N56" s="12" t="s">
        <v>307</v>
      </c>
      <c r="O56" s="4"/>
      <c r="P56" s="5"/>
      <c r="Q56" s="860" t="s">
        <v>321</v>
      </c>
      <c r="R56" s="860"/>
      <c r="S56" s="847">
        <f>IF(ISNUMBER(S54+S55),S54+S55,"N/A")</f>
        <v>2.4652131039772103E-2</v>
      </c>
      <c r="T56" s="848">
        <f>IF(ISNUMBER(T54+T55),T54+T55,"n.a.")</f>
        <v>0</v>
      </c>
      <c r="U56" s="191"/>
      <c r="V56" s="191"/>
    </row>
    <row r="57" spans="2:22" x14ac:dyDescent="0.25">
      <c r="B57" s="191"/>
      <c r="C57" s="191"/>
      <c r="D57" s="11" t="s">
        <v>279</v>
      </c>
      <c r="E57" s="2"/>
      <c r="F57" s="3"/>
      <c r="G57" s="860" t="s">
        <v>293</v>
      </c>
      <c r="H57" s="860"/>
      <c r="I57" s="847">
        <f>IF(ISNUMBER(Input!O29/Input!G27),Input!O29/Input!G27,"N/A")</f>
        <v>0.31916292319491618</v>
      </c>
      <c r="J57" s="848"/>
      <c r="K57" s="191"/>
      <c r="L57" s="191"/>
      <c r="M57" s="191"/>
      <c r="N57" s="12" t="s">
        <v>308</v>
      </c>
      <c r="O57" s="4"/>
      <c r="P57" s="5"/>
      <c r="Q57" s="860" t="s">
        <v>322</v>
      </c>
      <c r="R57" s="860"/>
      <c r="S57" s="847">
        <f>IF(ISNUMBER(Input!G61/Input!G27),Input!G61/Input!G27,"N/A")</f>
        <v>4.921661005806946E-2</v>
      </c>
      <c r="T57" s="848"/>
      <c r="U57" s="191"/>
      <c r="V57" s="191"/>
    </row>
    <row r="58" spans="2:22" x14ac:dyDescent="0.25">
      <c r="B58" s="191"/>
      <c r="C58" s="191"/>
      <c r="D58" s="12" t="s">
        <v>280</v>
      </c>
      <c r="E58" s="4"/>
      <c r="F58" s="5"/>
      <c r="G58" s="860" t="s">
        <v>294</v>
      </c>
      <c r="H58" s="860"/>
      <c r="I58" s="847">
        <f>IF(ISNUMBER(Input!O37/Input!G27),Input!O37/Input!G27,"N/A")</f>
        <v>5.0509477374821955E-2</v>
      </c>
      <c r="J58" s="848"/>
      <c r="K58" s="191"/>
      <c r="L58" s="191"/>
      <c r="M58" s="191"/>
      <c r="N58" s="12" t="s">
        <v>309</v>
      </c>
      <c r="O58" s="4"/>
      <c r="P58" s="5"/>
      <c r="Q58" s="860" t="s">
        <v>323</v>
      </c>
      <c r="R58" s="860"/>
      <c r="S58" s="847">
        <f>(Input!G62+Input!O50)/Input!G27</f>
        <v>3.3570724224827431E-2</v>
      </c>
      <c r="T58" s="848"/>
      <c r="U58" s="191"/>
      <c r="V58" s="191"/>
    </row>
    <row r="59" spans="2:22" x14ac:dyDescent="0.25">
      <c r="B59" s="191"/>
      <c r="C59" s="191"/>
      <c r="D59" s="12" t="s">
        <v>281</v>
      </c>
      <c r="E59" s="4"/>
      <c r="F59" s="5"/>
      <c r="G59" s="860" t="s">
        <v>295</v>
      </c>
      <c r="H59" s="860"/>
      <c r="I59" s="847">
        <f>IF(ISNUMBER(Input!O36/Input!G27),Input!O36/Input!G27,"N/A")</f>
        <v>0</v>
      </c>
      <c r="J59" s="848"/>
      <c r="K59" s="191"/>
      <c r="L59" s="191"/>
      <c r="M59" s="191"/>
      <c r="N59" s="12" t="s">
        <v>310</v>
      </c>
      <c r="O59" s="4"/>
      <c r="P59" s="5"/>
      <c r="Q59" s="860" t="s">
        <v>324</v>
      </c>
      <c r="R59" s="860"/>
      <c r="S59" s="847">
        <f>IF(ISNUMBER(S57-S58),S57-S58,"N/A")</f>
        <v>1.5645885833242029E-2</v>
      </c>
      <c r="T59" s="848">
        <f>IF(ISNUMBER(T57-T58),T57-T58,"n.a.")</f>
        <v>0</v>
      </c>
      <c r="U59" s="191"/>
      <c r="V59" s="191"/>
    </row>
    <row r="60" spans="2:22" x14ac:dyDescent="0.25">
      <c r="B60" s="191"/>
      <c r="C60" s="191"/>
      <c r="D60" s="12" t="s">
        <v>282</v>
      </c>
      <c r="E60" s="4"/>
      <c r="F60" s="5"/>
      <c r="G60" s="860" t="s">
        <v>296</v>
      </c>
      <c r="H60" s="860"/>
      <c r="I60" s="847">
        <f>IF(ISNUMBER((Input!O41+Input!O39)/Input!G27),(Input!O41+Input!O39)/Input!G27,"N/A")</f>
        <v>4.2883751506519116E-2</v>
      </c>
      <c r="J60" s="848"/>
      <c r="K60" s="191"/>
      <c r="L60" s="191"/>
      <c r="M60" s="191"/>
      <c r="N60" s="12" t="s">
        <v>311</v>
      </c>
      <c r="O60" s="4"/>
      <c r="P60" s="5"/>
      <c r="Q60" s="860" t="s">
        <v>300</v>
      </c>
      <c r="R60" s="860"/>
      <c r="S60" s="847">
        <f>IF(ISNUMBER(Input!O57/Input!G$27),Input!O57/Input!G$27,"N/A")</f>
        <v>6.5739016106058939E-5</v>
      </c>
      <c r="T60" s="848"/>
      <c r="U60" s="191"/>
      <c r="V60" s="191"/>
    </row>
    <row r="61" spans="2:22" x14ac:dyDescent="0.25">
      <c r="B61" s="191"/>
      <c r="C61" s="191"/>
      <c r="D61" s="13" t="s">
        <v>33</v>
      </c>
      <c r="E61" s="6"/>
      <c r="F61" s="7"/>
      <c r="G61" s="860" t="s">
        <v>297</v>
      </c>
      <c r="H61" s="860"/>
      <c r="I61" s="847">
        <f>IF(ISNUMBER((Input!O42+Input!O38)/Input!G27),(Input!O42+Input!O38)/Input!G27,"N/A")</f>
        <v>8.1253423907088868E-2</v>
      </c>
      <c r="J61" s="848"/>
      <c r="K61" s="191"/>
      <c r="L61" s="191"/>
      <c r="M61" s="191"/>
      <c r="N61" s="13" t="s">
        <v>312</v>
      </c>
      <c r="O61" s="6"/>
      <c r="P61" s="7"/>
      <c r="Q61" s="860" t="s">
        <v>325</v>
      </c>
      <c r="R61" s="860"/>
      <c r="S61" s="847">
        <f>IF(ISNUMBER(Input!O58/Input!G$27),Input!O58/Input!G$27,"N/A")</f>
        <v>5.6535553851210698E-3</v>
      </c>
      <c r="T61" s="848"/>
      <c r="U61" s="191"/>
      <c r="V61" s="191"/>
    </row>
    <row r="62" spans="2:22" x14ac:dyDescent="0.25">
      <c r="B62" s="191"/>
      <c r="C62" s="191"/>
      <c r="D62" s="191"/>
      <c r="E62" s="191"/>
      <c r="F62" s="191"/>
      <c r="G62" s="191"/>
      <c r="H62" s="191"/>
      <c r="I62" s="191"/>
      <c r="J62" s="191"/>
      <c r="K62" s="191"/>
      <c r="L62" s="191"/>
      <c r="M62" s="191"/>
      <c r="N62" s="191"/>
      <c r="O62" s="191"/>
      <c r="P62" s="191"/>
      <c r="Q62" s="863"/>
      <c r="R62" s="863"/>
      <c r="S62" s="191"/>
      <c r="T62" s="191"/>
      <c r="U62" s="191"/>
      <c r="V62" s="191"/>
    </row>
    <row r="63" spans="2:22" x14ac:dyDescent="0.25">
      <c r="B63" s="191"/>
      <c r="C63" s="191"/>
      <c r="D63" s="313" t="s">
        <v>154</v>
      </c>
      <c r="E63" s="15"/>
      <c r="F63" s="16"/>
      <c r="G63" s="860" t="s">
        <v>298</v>
      </c>
      <c r="H63" s="860"/>
      <c r="I63" s="847">
        <f>IF(ISNUMBER(Input!W27/Input!G27),Input!W27/Input!G27,"N/A")</f>
        <v>6.9069792922099263E-2</v>
      </c>
      <c r="J63" s="848"/>
      <c r="K63" s="191"/>
      <c r="L63" s="191"/>
      <c r="M63" s="191"/>
      <c r="N63" s="11" t="s">
        <v>313</v>
      </c>
      <c r="O63" s="2"/>
      <c r="P63" s="3"/>
      <c r="Q63" s="860" t="s">
        <v>326</v>
      </c>
      <c r="R63" s="860"/>
      <c r="S63" s="847">
        <f>IF(ISNUMBER(S61/I63),S61/I63,"N/A")</f>
        <v>8.1852791878172598E-2</v>
      </c>
      <c r="T63" s="848"/>
      <c r="U63" s="191"/>
      <c r="V63" s="191"/>
    </row>
    <row r="64" spans="2:22" x14ac:dyDescent="0.25">
      <c r="B64" s="191"/>
      <c r="C64" s="191"/>
      <c r="D64" s="11" t="s">
        <v>283</v>
      </c>
      <c r="E64" s="2"/>
      <c r="F64" s="3"/>
      <c r="G64" s="860" t="s">
        <v>299</v>
      </c>
      <c r="H64" s="860"/>
      <c r="I64" s="847">
        <f>IF(ISNUMBER((Input!W29+Input!W30)/Input!G27),(Input!W29+Input!W30)/Input!G27,"N/A")</f>
        <v>6.2408239290018631E-2</v>
      </c>
      <c r="J64" s="848"/>
      <c r="K64" s="191"/>
      <c r="L64" s="191"/>
      <c r="M64" s="191"/>
      <c r="N64" s="12" t="s">
        <v>314</v>
      </c>
      <c r="O64" s="4"/>
      <c r="P64" s="5"/>
      <c r="Q64" s="860" t="s">
        <v>325</v>
      </c>
      <c r="R64" s="860"/>
      <c r="S64" s="847">
        <f>S61</f>
        <v>5.6535553851210698E-3</v>
      </c>
      <c r="T64" s="848"/>
      <c r="U64" s="191"/>
      <c r="V64" s="191"/>
    </row>
    <row r="65" spans="2:27" x14ac:dyDescent="0.25">
      <c r="B65" s="191"/>
      <c r="C65" s="191"/>
      <c r="D65" s="12" t="s">
        <v>40</v>
      </c>
      <c r="E65" s="4"/>
      <c r="F65" s="5"/>
      <c r="G65" s="860" t="s">
        <v>300</v>
      </c>
      <c r="H65" s="860"/>
      <c r="I65" s="847">
        <f>IF(ISNUMBER(Input!W32/Input!G27),Input!W32/Input!G27,"N/A")</f>
        <v>0</v>
      </c>
      <c r="J65" s="848"/>
      <c r="K65" s="191"/>
      <c r="L65" s="191"/>
      <c r="M65" s="191"/>
      <c r="N65" s="13" t="s">
        <v>315</v>
      </c>
      <c r="O65" s="6"/>
      <c r="P65" s="7"/>
      <c r="Q65" s="860">
        <v>18.5</v>
      </c>
      <c r="R65" s="860"/>
      <c r="S65" s="858">
        <f>I56/I63</f>
        <v>49.909073604060914</v>
      </c>
      <c r="T65" s="859"/>
      <c r="U65" s="191"/>
      <c r="V65" s="191"/>
    </row>
    <row r="66" spans="2:27" x14ac:dyDescent="0.25">
      <c r="B66" s="191"/>
      <c r="C66" s="191"/>
      <c r="D66" s="13" t="s">
        <v>284</v>
      </c>
      <c r="E66" s="6"/>
      <c r="F66" s="7"/>
      <c r="G66" s="860" t="s">
        <v>301</v>
      </c>
      <c r="H66" s="860"/>
      <c r="I66" s="847">
        <f>IF(ISNUMBER((Input!W27-(Input!W29+Input!W30+Input!W32))/Input!G27),(Input!W27-(Input!W29+Input!W30+Input!W32))/Input!G27,"N/A")</f>
        <v>6.661553632080635E-3</v>
      </c>
      <c r="J66" s="848"/>
      <c r="K66" s="191"/>
      <c r="L66" s="191"/>
      <c r="M66" s="191"/>
      <c r="N66" s="191"/>
      <c r="O66" s="191"/>
      <c r="P66" s="191"/>
      <c r="Q66" s="191"/>
      <c r="R66" s="191"/>
      <c r="S66" s="191"/>
      <c r="T66" s="191"/>
      <c r="U66" s="191"/>
      <c r="V66" s="191"/>
    </row>
    <row r="67" spans="2:27" s="21" customFormat="1" x14ac:dyDescent="0.25">
      <c r="B67" s="202"/>
      <c r="C67" s="202"/>
      <c r="D67" s="202"/>
      <c r="E67" s="202"/>
      <c r="F67" s="202"/>
      <c r="G67" s="202"/>
      <c r="H67" s="202"/>
      <c r="I67" s="202"/>
      <c r="J67" s="202"/>
      <c r="K67" s="202"/>
      <c r="L67" s="202"/>
      <c r="M67" s="202"/>
      <c r="N67" s="202"/>
      <c r="O67" s="202"/>
      <c r="P67" s="202"/>
      <c r="Q67" s="202"/>
      <c r="R67" s="202"/>
      <c r="S67" s="202"/>
      <c r="T67" s="202"/>
      <c r="U67" s="202"/>
      <c r="V67" s="202"/>
      <c r="W67" s="204"/>
      <c r="X67" s="202"/>
      <c r="Y67" s="202"/>
      <c r="Z67" s="202"/>
      <c r="AA67" s="202"/>
    </row>
    <row r="68" spans="2:27" s="21" customFormat="1" ht="18.75" x14ac:dyDescent="0.25">
      <c r="B68" s="236" t="s">
        <v>1371</v>
      </c>
      <c r="C68" s="192"/>
      <c r="D68" s="192"/>
      <c r="E68" s="192"/>
      <c r="F68" s="192"/>
      <c r="G68" s="192"/>
      <c r="H68" s="192"/>
      <c r="I68" s="205"/>
      <c r="J68" s="205"/>
      <c r="K68" s="192"/>
      <c r="L68" s="192"/>
      <c r="M68" s="192"/>
      <c r="N68" s="192"/>
      <c r="O68" s="192"/>
      <c r="P68" s="192"/>
      <c r="Q68" s="192"/>
      <c r="R68" s="192"/>
      <c r="S68" s="192"/>
      <c r="T68" s="192"/>
      <c r="U68" s="192"/>
      <c r="V68" s="192"/>
      <c r="W68" s="204"/>
      <c r="X68" s="192"/>
      <c r="Y68" s="192"/>
      <c r="Z68" s="192"/>
      <c r="AA68" s="192"/>
    </row>
    <row r="69" spans="2:27" s="21" customFormat="1" x14ac:dyDescent="0.25">
      <c r="B69" s="192"/>
      <c r="C69" s="192"/>
      <c r="D69" s="192"/>
      <c r="E69" s="192"/>
      <c r="F69" s="192"/>
      <c r="G69" s="192"/>
      <c r="H69" s="192"/>
      <c r="I69" s="230"/>
      <c r="J69" s="230"/>
      <c r="K69" s="192"/>
      <c r="L69" s="192"/>
      <c r="M69" s="192"/>
      <c r="N69" s="192"/>
      <c r="O69" s="192"/>
      <c r="P69" s="192"/>
      <c r="Q69" s="192"/>
      <c r="R69" s="192"/>
      <c r="S69" s="192"/>
      <c r="T69" s="192"/>
      <c r="U69" s="192"/>
      <c r="V69" s="192"/>
      <c r="W69" s="229"/>
      <c r="X69" s="192"/>
      <c r="Y69" s="192"/>
      <c r="Z69" s="192"/>
      <c r="AA69" s="192"/>
    </row>
    <row r="70" spans="2:27" s="21" customFormat="1" x14ac:dyDescent="0.25">
      <c r="B70" s="192"/>
      <c r="C70" s="192"/>
      <c r="D70" s="14" t="s">
        <v>5</v>
      </c>
      <c r="E70" s="15"/>
      <c r="F70" s="16"/>
      <c r="G70" s="851">
        <f>Input!G27</f>
        <v>4563.5</v>
      </c>
      <c r="H70" s="850"/>
      <c r="I70" s="192"/>
      <c r="J70" s="317" t="s">
        <v>1373</v>
      </c>
      <c r="K70" s="2"/>
      <c r="L70" s="3"/>
      <c r="M70" s="232"/>
      <c r="N70" s="232"/>
      <c r="O70" s="192"/>
      <c r="P70" s="317" t="s">
        <v>1201</v>
      </c>
      <c r="Q70" s="2"/>
      <c r="R70" s="3"/>
      <c r="S70" s="232"/>
      <c r="T70" s="232"/>
      <c r="U70" s="192"/>
      <c r="V70" s="192"/>
      <c r="W70" s="229"/>
      <c r="X70" s="192"/>
      <c r="Y70" s="192"/>
    </row>
    <row r="71" spans="2:27" s="21" customFormat="1" x14ac:dyDescent="0.25">
      <c r="B71" s="192"/>
      <c r="C71" s="192"/>
      <c r="D71" s="192"/>
      <c r="E71" s="192"/>
      <c r="F71" s="192"/>
      <c r="G71" s="192"/>
      <c r="H71" s="192"/>
      <c r="I71" s="192"/>
      <c r="J71" s="11" t="s">
        <v>1185</v>
      </c>
      <c r="K71" s="2"/>
      <c r="L71" s="3"/>
      <c r="M71" s="865">
        <f>G74/G$70</f>
        <v>9.972011115869997E-2</v>
      </c>
      <c r="N71" s="848"/>
      <c r="O71" s="192"/>
      <c r="P71" s="11" t="s">
        <v>1378</v>
      </c>
      <c r="Q71" s="2"/>
      <c r="R71" s="3"/>
      <c r="S71" s="865">
        <f>Input!G79</f>
        <v>0.20223738591877052</v>
      </c>
      <c r="T71" s="848"/>
      <c r="U71" s="192"/>
      <c r="V71" s="192"/>
      <c r="W71" s="229"/>
    </row>
    <row r="72" spans="2:27" s="21" customFormat="1" x14ac:dyDescent="0.25">
      <c r="B72" s="192"/>
      <c r="C72" s="192"/>
      <c r="D72" s="14" t="s">
        <v>36</v>
      </c>
      <c r="E72" s="15"/>
      <c r="F72" s="16"/>
      <c r="G72" s="864">
        <f>Input!W27</f>
        <v>315.2</v>
      </c>
      <c r="H72" s="848"/>
      <c r="I72" s="192"/>
      <c r="J72" s="12" t="s">
        <v>1354</v>
      </c>
      <c r="K72" s="4"/>
      <c r="L72" s="257"/>
      <c r="M72" s="865">
        <f>G75/G$70</f>
        <v>6.9145492395191091E-2</v>
      </c>
      <c r="N72" s="848"/>
      <c r="O72" s="192"/>
      <c r="P72" s="12" t="s">
        <v>1379</v>
      </c>
      <c r="Q72" s="4"/>
      <c r="R72" s="257"/>
      <c r="S72" s="865">
        <f>Input!G80</f>
        <v>0.14023052589477256</v>
      </c>
      <c r="T72" s="848"/>
      <c r="U72" s="192"/>
      <c r="V72" s="192"/>
      <c r="W72" s="229"/>
      <c r="X72" s="192"/>
      <c r="Y72" s="192"/>
    </row>
    <row r="73" spans="2:27" s="21" customFormat="1" ht="15" customHeight="1" x14ac:dyDescent="0.25">
      <c r="B73" s="192"/>
      <c r="C73" s="192"/>
      <c r="D73" s="192"/>
      <c r="E73" s="192"/>
      <c r="F73" s="192"/>
      <c r="G73" s="192"/>
      <c r="H73" s="192"/>
      <c r="I73" s="192"/>
      <c r="J73" s="13" t="s">
        <v>1372</v>
      </c>
      <c r="K73" s="6"/>
      <c r="L73" s="7"/>
      <c r="M73" s="865">
        <f>G76/G$70</f>
        <v>0</v>
      </c>
      <c r="N73" s="848"/>
      <c r="O73" s="192"/>
      <c r="P73" s="13" t="s">
        <v>1380</v>
      </c>
      <c r="Q73" s="6"/>
      <c r="R73" s="7"/>
      <c r="S73" s="865">
        <f>Input!G81</f>
        <v>0</v>
      </c>
      <c r="T73" s="848"/>
      <c r="U73" s="192"/>
      <c r="V73" s="192"/>
      <c r="W73" s="229"/>
    </row>
    <row r="74" spans="2:27" s="21" customFormat="1" x14ac:dyDescent="0.25">
      <c r="B74" s="192"/>
      <c r="C74" s="192"/>
      <c r="D74" s="11" t="s">
        <v>1185</v>
      </c>
      <c r="E74" s="2"/>
      <c r="F74" s="3"/>
      <c r="G74" s="864">
        <f>Input!G73</f>
        <v>455.07272727272732</v>
      </c>
      <c r="H74" s="848"/>
      <c r="I74" s="192"/>
      <c r="J74" s="192"/>
      <c r="K74" s="192"/>
      <c r="L74" s="192"/>
      <c r="M74" s="230"/>
      <c r="N74" s="230"/>
      <c r="O74" s="192"/>
      <c r="P74" s="192"/>
      <c r="Q74" s="192"/>
      <c r="R74" s="192"/>
      <c r="S74" s="230"/>
      <c r="T74" s="230"/>
      <c r="U74" s="192"/>
      <c r="V74" s="192"/>
      <c r="W74" s="229"/>
      <c r="X74" s="192"/>
      <c r="Y74" s="192"/>
    </row>
    <row r="75" spans="2:27" s="21" customFormat="1" x14ac:dyDescent="0.25">
      <c r="B75" s="192"/>
      <c r="C75" s="192"/>
      <c r="D75" s="12" t="s">
        <v>1354</v>
      </c>
      <c r="E75" s="4"/>
      <c r="F75" s="257"/>
      <c r="G75" s="864">
        <f>Input!G74</f>
        <v>315.54545454545456</v>
      </c>
      <c r="H75" s="848"/>
      <c r="I75" s="192"/>
      <c r="J75" s="14" t="s">
        <v>1374</v>
      </c>
      <c r="K75" s="15"/>
      <c r="L75" s="16"/>
      <c r="M75" s="864">
        <f>Input!O29</f>
        <v>1456.5</v>
      </c>
      <c r="N75" s="848"/>
      <c r="O75" s="192"/>
      <c r="P75" s="14" t="s">
        <v>1381</v>
      </c>
      <c r="Q75" s="15"/>
      <c r="R75" s="16"/>
      <c r="S75" s="865">
        <f>M77/G70</f>
        <v>0.49308445471478235</v>
      </c>
      <c r="T75" s="848"/>
      <c r="U75" s="192"/>
      <c r="V75" s="192"/>
      <c r="W75" s="229"/>
      <c r="X75" s="192"/>
      <c r="Y75" s="192"/>
    </row>
    <row r="76" spans="2:27" s="21" customFormat="1" x14ac:dyDescent="0.25">
      <c r="B76" s="192"/>
      <c r="C76" s="192"/>
      <c r="D76" s="13" t="s">
        <v>1372</v>
      </c>
      <c r="E76" s="6"/>
      <c r="F76" s="7"/>
      <c r="G76" s="864">
        <f>Input!G75</f>
        <v>0</v>
      </c>
      <c r="H76" s="848"/>
      <c r="I76" s="192"/>
      <c r="J76" s="192"/>
      <c r="K76" s="192"/>
      <c r="L76" s="192"/>
      <c r="M76" s="230"/>
      <c r="N76" s="230"/>
      <c r="O76" s="192"/>
      <c r="P76" s="192"/>
      <c r="Q76" s="192"/>
      <c r="R76" s="192"/>
      <c r="S76" s="230"/>
      <c r="T76" s="230"/>
      <c r="U76" s="192"/>
      <c r="V76" s="192"/>
      <c r="W76" s="229"/>
      <c r="X76" s="192"/>
      <c r="Y76" s="192"/>
    </row>
    <row r="77" spans="2:27" s="21" customFormat="1" x14ac:dyDescent="0.25">
      <c r="B77" s="192"/>
      <c r="C77" s="192"/>
      <c r="D77" s="192"/>
      <c r="E77" s="192"/>
      <c r="F77" s="192"/>
      <c r="G77" s="230"/>
      <c r="H77" s="230"/>
      <c r="I77" s="192"/>
      <c r="J77" s="14" t="s">
        <v>1375</v>
      </c>
      <c r="K77" s="15"/>
      <c r="L77" s="16"/>
      <c r="M77" s="864">
        <f>Input!O73+Input!O79</f>
        <v>2250.1909090909094</v>
      </c>
      <c r="N77" s="848"/>
      <c r="O77" s="192"/>
      <c r="P77" s="192"/>
      <c r="Q77" s="192"/>
      <c r="R77" s="192"/>
      <c r="S77" s="230"/>
      <c r="T77" s="230"/>
      <c r="U77" s="192"/>
      <c r="V77" s="192"/>
      <c r="W77" s="229"/>
      <c r="X77" s="192"/>
      <c r="Y77" s="192"/>
    </row>
    <row r="78" spans="2:27" s="21" customFormat="1" x14ac:dyDescent="0.25">
      <c r="B78" s="192"/>
      <c r="C78" s="192"/>
      <c r="D78" s="317" t="s">
        <v>1373</v>
      </c>
      <c r="E78" s="2"/>
      <c r="F78" s="3"/>
      <c r="G78" s="232"/>
      <c r="H78" s="232"/>
      <c r="I78" s="192"/>
      <c r="J78" s="192"/>
      <c r="K78" s="192"/>
      <c r="L78" s="192"/>
      <c r="M78" s="230"/>
      <c r="N78" s="230"/>
      <c r="O78" s="192"/>
      <c r="P78" s="192"/>
      <c r="Q78" s="192"/>
      <c r="R78" s="192"/>
      <c r="S78" s="230"/>
      <c r="T78" s="230"/>
      <c r="U78" s="192"/>
      <c r="V78" s="192"/>
      <c r="W78" s="229"/>
      <c r="X78" s="192"/>
      <c r="Y78" s="192"/>
    </row>
    <row r="79" spans="2:27" s="21" customFormat="1" x14ac:dyDescent="0.25">
      <c r="B79" s="192"/>
      <c r="C79" s="192"/>
      <c r="D79" s="14" t="s">
        <v>246</v>
      </c>
      <c r="E79" s="15"/>
      <c r="F79" s="16"/>
      <c r="G79" s="865">
        <f>Input!G199</f>
        <v>3.4511192368376478E-2</v>
      </c>
      <c r="H79" s="848"/>
      <c r="I79" s="192"/>
      <c r="J79" s="317" t="s">
        <v>1376</v>
      </c>
      <c r="K79" s="2"/>
      <c r="L79" s="3"/>
      <c r="M79" s="232"/>
      <c r="N79" s="232"/>
      <c r="O79" s="192"/>
      <c r="P79" s="192"/>
      <c r="Q79" s="192"/>
      <c r="R79" s="192"/>
      <c r="S79" s="230"/>
      <c r="T79" s="230"/>
      <c r="U79" s="192"/>
      <c r="V79" s="192"/>
      <c r="W79" s="229"/>
      <c r="X79" s="192"/>
      <c r="Y79" s="192"/>
    </row>
    <row r="80" spans="2:27" s="21" customFormat="1" x14ac:dyDescent="0.25">
      <c r="B80" s="192"/>
      <c r="C80" s="192"/>
      <c r="D80" s="192"/>
      <c r="E80" s="192"/>
      <c r="F80" s="192"/>
      <c r="G80" s="230"/>
      <c r="H80" s="230"/>
      <c r="I80" s="192"/>
      <c r="J80" s="14" t="s">
        <v>1377</v>
      </c>
      <c r="K80" s="15"/>
      <c r="L80" s="16"/>
      <c r="M80" s="865">
        <f>Input!W51</f>
        <v>3.5489372868013645E-2</v>
      </c>
      <c r="N80" s="848"/>
      <c r="O80" s="192"/>
      <c r="P80" s="192"/>
      <c r="Q80" s="192"/>
      <c r="R80" s="192"/>
      <c r="S80" s="230"/>
      <c r="T80" s="230"/>
      <c r="U80" s="192"/>
      <c r="V80" s="192"/>
      <c r="W80" s="229"/>
      <c r="X80" s="192"/>
      <c r="Y80" s="192"/>
    </row>
    <row r="81" spans="2:27" s="21" customFormat="1" x14ac:dyDescent="0.25">
      <c r="B81" s="192"/>
      <c r="C81" s="192"/>
      <c r="D81" s="192"/>
      <c r="E81" s="192"/>
      <c r="F81" s="192"/>
      <c r="G81" s="192"/>
      <c r="H81" s="192"/>
      <c r="I81" s="192"/>
      <c r="J81" s="192"/>
      <c r="K81" s="192"/>
      <c r="L81" s="192"/>
      <c r="M81" s="230"/>
      <c r="N81" s="230"/>
      <c r="O81" s="192"/>
      <c r="P81" s="192"/>
      <c r="Q81" s="192"/>
      <c r="R81" s="192"/>
      <c r="S81" s="230"/>
      <c r="T81" s="230"/>
      <c r="U81" s="192"/>
      <c r="V81" s="192"/>
      <c r="W81" s="229"/>
      <c r="X81" s="192"/>
      <c r="Y81" s="192"/>
    </row>
    <row r="82" spans="2:27" s="21" customFormat="1" x14ac:dyDescent="0.25">
      <c r="B82" s="192"/>
      <c r="C82" s="192"/>
      <c r="D82" s="192"/>
      <c r="E82" s="192"/>
      <c r="F82" s="192"/>
      <c r="G82" s="192"/>
      <c r="H82" s="192"/>
      <c r="I82" s="205"/>
      <c r="J82" s="205"/>
      <c r="K82" s="192"/>
      <c r="L82" s="192"/>
      <c r="M82" s="192"/>
      <c r="N82" s="192"/>
      <c r="O82" s="192"/>
      <c r="P82" s="192"/>
      <c r="Q82" s="192"/>
      <c r="R82" s="192"/>
      <c r="S82" s="192"/>
      <c r="T82" s="192"/>
      <c r="U82" s="192"/>
      <c r="V82" s="192"/>
      <c r="W82" s="204"/>
      <c r="X82" s="192"/>
      <c r="Y82" s="192"/>
      <c r="Z82" s="192"/>
      <c r="AA82" s="192"/>
    </row>
    <row r="83" spans="2:27" s="21" customFormat="1" ht="9.9499999999999993" customHeight="1" x14ac:dyDescent="0.25">
      <c r="B83" s="199"/>
      <c r="C83" s="199"/>
      <c r="D83" s="199"/>
      <c r="E83" s="199"/>
      <c r="F83" s="199"/>
      <c r="G83" s="199"/>
      <c r="H83" s="199"/>
      <c r="I83" s="200"/>
      <c r="J83" s="200"/>
      <c r="K83" s="199"/>
      <c r="L83" s="199"/>
      <c r="M83" s="199"/>
      <c r="N83" s="199"/>
      <c r="O83" s="199"/>
      <c r="P83" s="199"/>
      <c r="Q83" s="199"/>
      <c r="R83" s="199"/>
      <c r="S83" s="199"/>
      <c r="T83" s="199"/>
      <c r="U83" s="199"/>
      <c r="V83" s="199"/>
      <c r="W83" s="204"/>
      <c r="X83" s="199"/>
      <c r="Y83" s="199"/>
      <c r="Z83" s="199"/>
      <c r="AA83" s="199"/>
    </row>
    <row r="84" spans="2:27" x14ac:dyDescent="0.25"/>
    <row r="85" spans="2:27" x14ac:dyDescent="0.25"/>
    <row r="86" spans="2:27" x14ac:dyDescent="0.25"/>
    <row r="87" spans="2:27" x14ac:dyDescent="0.25"/>
    <row r="88" spans="2:27" x14ac:dyDescent="0.25"/>
    <row r="89" spans="2:27" x14ac:dyDescent="0.25"/>
  </sheetData>
  <sheetProtection formatCells="0" selectLockedCells="1"/>
  <mergeCells count="123">
    <mergeCell ref="M80:N80"/>
    <mergeCell ref="D28:J28"/>
    <mergeCell ref="D23:J23"/>
    <mergeCell ref="I25:J25"/>
    <mergeCell ref="D41:H41"/>
    <mergeCell ref="G66:H66"/>
    <mergeCell ref="I66:J66"/>
    <mergeCell ref="G49:H49"/>
    <mergeCell ref="G50:H50"/>
    <mergeCell ref="G51:H51"/>
    <mergeCell ref="G52:H52"/>
    <mergeCell ref="G53:H53"/>
    <mergeCell ref="I48:J48"/>
    <mergeCell ref="G48:H48"/>
    <mergeCell ref="D33:J33"/>
    <mergeCell ref="I29:J29"/>
    <mergeCell ref="I30:J30"/>
    <mergeCell ref="I31:J31"/>
    <mergeCell ref="I34:J34"/>
    <mergeCell ref="I38:J38"/>
    <mergeCell ref="I39:J39"/>
    <mergeCell ref="I40:J40"/>
    <mergeCell ref="I41:J41"/>
    <mergeCell ref="I35:J35"/>
    <mergeCell ref="S35:T35"/>
    <mergeCell ref="S37:T37"/>
    <mergeCell ref="G74:H74"/>
    <mergeCell ref="G75:H75"/>
    <mergeCell ref="G76:H76"/>
    <mergeCell ref="G70:H70"/>
    <mergeCell ref="G72:H72"/>
    <mergeCell ref="G79:H79"/>
    <mergeCell ref="M72:N72"/>
    <mergeCell ref="M73:N73"/>
    <mergeCell ref="S71:T71"/>
    <mergeCell ref="S73:T73"/>
    <mergeCell ref="M75:N75"/>
    <mergeCell ref="M77:N77"/>
    <mergeCell ref="S75:T75"/>
    <mergeCell ref="S72:T72"/>
    <mergeCell ref="M71:N71"/>
    <mergeCell ref="S56:T56"/>
    <mergeCell ref="Q61:R61"/>
    <mergeCell ref="Q62:R62"/>
    <mergeCell ref="Q63:R63"/>
    <mergeCell ref="Q64:R64"/>
    <mergeCell ref="S64:T64"/>
    <mergeCell ref="I42:J42"/>
    <mergeCell ref="S54:T54"/>
    <mergeCell ref="S55:T55"/>
    <mergeCell ref="G56:H56"/>
    <mergeCell ref="I56:J56"/>
    <mergeCell ref="G54:H54"/>
    <mergeCell ref="I49:J49"/>
    <mergeCell ref="I50:J50"/>
    <mergeCell ref="I51:J51"/>
    <mergeCell ref="I52:J52"/>
    <mergeCell ref="I53:J53"/>
    <mergeCell ref="I54:J54"/>
    <mergeCell ref="Q55:R55"/>
    <mergeCell ref="Q56:R56"/>
    <mergeCell ref="Q57:R57"/>
    <mergeCell ref="Q58:R58"/>
    <mergeCell ref="Q59:R59"/>
    <mergeCell ref="Q60:R60"/>
    <mergeCell ref="Q49:R49"/>
    <mergeCell ref="Q51:R51"/>
    <mergeCell ref="Q52:R52"/>
    <mergeCell ref="Q53:R53"/>
    <mergeCell ref="Q54:R54"/>
    <mergeCell ref="I61:J61"/>
    <mergeCell ref="G63:H63"/>
    <mergeCell ref="G64:H64"/>
    <mergeCell ref="G65:H65"/>
    <mergeCell ref="I63:J63"/>
    <mergeCell ref="I64:J64"/>
    <mergeCell ref="I65:J65"/>
    <mergeCell ref="G61:H61"/>
    <mergeCell ref="G57:H57"/>
    <mergeCell ref="G58:H58"/>
    <mergeCell ref="G59:H59"/>
    <mergeCell ref="G60:H60"/>
    <mergeCell ref="I57:J57"/>
    <mergeCell ref="I58:J58"/>
    <mergeCell ref="I59:J59"/>
    <mergeCell ref="I60:J60"/>
    <mergeCell ref="S30:T30"/>
    <mergeCell ref="S31:T31"/>
    <mergeCell ref="S32:T32"/>
    <mergeCell ref="S33:T33"/>
    <mergeCell ref="N48:P48"/>
    <mergeCell ref="Q48:R48"/>
    <mergeCell ref="S22:T22"/>
    <mergeCell ref="S27:T27"/>
    <mergeCell ref="S65:T65"/>
    <mergeCell ref="S57:T57"/>
    <mergeCell ref="S58:T58"/>
    <mergeCell ref="S59:T59"/>
    <mergeCell ref="S60:T60"/>
    <mergeCell ref="Q65:R65"/>
    <mergeCell ref="S61:T61"/>
    <mergeCell ref="S63:T63"/>
    <mergeCell ref="S41:T41"/>
    <mergeCell ref="S48:T48"/>
    <mergeCell ref="S39:T39"/>
    <mergeCell ref="S40:T40"/>
    <mergeCell ref="S34:T34"/>
    <mergeCell ref="S51:T51"/>
    <mergeCell ref="S52:T52"/>
    <mergeCell ref="S53:T53"/>
    <mergeCell ref="B6:F13"/>
    <mergeCell ref="N17:T17"/>
    <mergeCell ref="I24:J24"/>
    <mergeCell ref="I26:J26"/>
    <mergeCell ref="I17:J17"/>
    <mergeCell ref="I18:J18"/>
    <mergeCell ref="I19:J19"/>
    <mergeCell ref="I20:J20"/>
    <mergeCell ref="I21:J21"/>
    <mergeCell ref="S18:T18"/>
    <mergeCell ref="S21:T21"/>
    <mergeCell ref="S25:T25"/>
    <mergeCell ref="S26:T26"/>
  </mergeCells>
  <pageMargins left="0.7" right="0.7" top="0.75" bottom="0.75" header="0.3" footer="0.3"/>
  <pageSetup orientation="portrait" horizontalDpi="4294967292" verticalDpi="4294967292"/>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H500"/>
  <sheetViews>
    <sheetView showGridLines="0" topLeftCell="A262" workbookViewId="0">
      <selection activeCell="L222" sqref="L222:N222"/>
    </sheetView>
  </sheetViews>
  <sheetFormatPr defaultColWidth="0" defaultRowHeight="15" zeroHeight="1" x14ac:dyDescent="0.25"/>
  <cols>
    <col min="1" max="1" width="2.85546875" style="21" customWidth="1"/>
    <col min="2" max="2" width="9.140625" style="21" customWidth="1"/>
    <col min="3" max="22" width="8.85546875" style="233" customWidth="1"/>
    <col min="23" max="23" width="2.85546875" style="21" customWidth="1"/>
    <col min="24" max="34" width="0" hidden="1" customWidth="1"/>
    <col min="35" max="16384" width="9.140625" hidden="1"/>
  </cols>
  <sheetData>
    <row r="1" spans="1:23" s="233" customFormat="1" x14ac:dyDescent="0.25">
      <c r="A1" s="21"/>
      <c r="B1" s="21"/>
      <c r="W1" s="21"/>
    </row>
    <row r="2" spans="1:23" s="233" customFormat="1" x14ac:dyDescent="0.25">
      <c r="A2" s="21"/>
      <c r="B2" s="21"/>
      <c r="W2" s="21"/>
    </row>
    <row r="3" spans="1:23" s="233" customFormat="1" x14ac:dyDescent="0.25">
      <c r="A3" s="21"/>
      <c r="B3" s="21"/>
      <c r="W3" s="21"/>
    </row>
    <row r="4" spans="1:23" s="233" customFormat="1" x14ac:dyDescent="0.25">
      <c r="A4" s="21"/>
      <c r="B4" s="21"/>
      <c r="W4" s="21"/>
    </row>
    <row r="5" spans="1:23" s="24" customFormat="1" ht="15.75" thickBot="1" x14ac:dyDescent="0.3">
      <c r="A5" s="21"/>
      <c r="B5" s="22"/>
      <c r="C5" s="22"/>
      <c r="D5" s="22"/>
      <c r="E5" s="22"/>
      <c r="F5" s="22"/>
      <c r="G5" s="22"/>
      <c r="H5" s="22"/>
      <c r="I5" s="231"/>
      <c r="J5" s="231"/>
      <c r="K5" s="22"/>
      <c r="L5" s="22"/>
      <c r="M5" s="22"/>
      <c r="N5" s="22"/>
      <c r="O5" s="22"/>
      <c r="P5" s="22"/>
      <c r="Q5" s="21"/>
      <c r="R5" s="21"/>
      <c r="S5" s="21"/>
      <c r="T5" s="21"/>
      <c r="U5" s="21"/>
      <c r="V5" s="21"/>
      <c r="W5" s="21"/>
    </row>
    <row r="6" spans="1:23" ht="15" customHeight="1" x14ac:dyDescent="0.25">
      <c r="B6" s="878" t="s">
        <v>1253</v>
      </c>
      <c r="C6" s="879"/>
      <c r="D6" s="879"/>
      <c r="E6" s="879"/>
      <c r="F6" s="880"/>
      <c r="G6" s="276"/>
      <c r="H6" s="277"/>
      <c r="I6" s="277"/>
      <c r="J6" s="277"/>
      <c r="K6" s="277"/>
      <c r="L6" s="277"/>
      <c r="M6" s="277"/>
      <c r="N6" s="277"/>
      <c r="O6" s="277"/>
      <c r="P6" s="277"/>
      <c r="Q6" s="278"/>
      <c r="R6" s="278"/>
      <c r="S6" s="278"/>
      <c r="T6" s="278"/>
      <c r="U6" s="278"/>
      <c r="V6" s="279"/>
    </row>
    <row r="7" spans="1:23" ht="15" customHeight="1" x14ac:dyDescent="0.25">
      <c r="B7" s="881"/>
      <c r="C7" s="882"/>
      <c r="D7" s="882"/>
      <c r="E7" s="882"/>
      <c r="F7" s="883"/>
      <c r="G7" s="280"/>
      <c r="H7" s="231"/>
      <c r="I7" s="231"/>
      <c r="J7" s="231"/>
      <c r="K7" s="231"/>
      <c r="L7" s="231"/>
      <c r="M7" s="231"/>
      <c r="N7" s="231"/>
      <c r="O7" s="231"/>
      <c r="P7" s="231"/>
      <c r="Q7" s="229"/>
      <c r="R7" s="229"/>
      <c r="S7" s="229"/>
      <c r="T7" s="229"/>
      <c r="U7" s="229"/>
      <c r="V7" s="281"/>
    </row>
    <row r="8" spans="1:23" ht="15" customHeight="1" x14ac:dyDescent="0.25">
      <c r="B8" s="881"/>
      <c r="C8" s="882"/>
      <c r="D8" s="882"/>
      <c r="E8" s="882"/>
      <c r="F8" s="883"/>
      <c r="G8" s="280"/>
      <c r="H8" s="231"/>
      <c r="I8" s="231"/>
      <c r="J8" s="231"/>
      <c r="K8" s="231"/>
      <c r="L8" s="231"/>
      <c r="M8" s="231"/>
      <c r="N8" s="231"/>
      <c r="O8" s="231"/>
      <c r="P8" s="231"/>
      <c r="Q8" s="229"/>
      <c r="R8" s="229"/>
      <c r="S8" s="229"/>
      <c r="T8" s="229"/>
      <c r="U8" s="229"/>
      <c r="V8" s="281"/>
    </row>
    <row r="9" spans="1:23" ht="15" customHeight="1" x14ac:dyDescent="0.25">
      <c r="B9" s="881"/>
      <c r="C9" s="882"/>
      <c r="D9" s="882"/>
      <c r="E9" s="882"/>
      <c r="F9" s="883"/>
      <c r="G9" s="280"/>
      <c r="H9" s="231"/>
      <c r="I9" s="231"/>
      <c r="J9" s="231"/>
      <c r="K9" s="231"/>
      <c r="L9" s="231"/>
      <c r="M9" s="231"/>
      <c r="N9" s="231"/>
      <c r="O9" s="231"/>
      <c r="P9" s="231"/>
      <c r="Q9" s="229"/>
      <c r="R9" s="229"/>
      <c r="S9" s="229"/>
      <c r="T9" s="229"/>
      <c r="U9" s="229"/>
      <c r="V9" s="281"/>
    </row>
    <row r="10" spans="1:23" ht="15" customHeight="1" x14ac:dyDescent="0.25">
      <c r="B10" s="881"/>
      <c r="C10" s="882"/>
      <c r="D10" s="882"/>
      <c r="E10" s="882"/>
      <c r="F10" s="883"/>
      <c r="G10" s="280"/>
      <c r="H10" s="231"/>
      <c r="I10" s="231"/>
      <c r="J10" s="231"/>
      <c r="K10" s="231"/>
      <c r="L10" s="231"/>
      <c r="M10" s="231"/>
      <c r="N10" s="231"/>
      <c r="O10" s="231"/>
      <c r="P10" s="231"/>
      <c r="Q10" s="229"/>
      <c r="R10" s="229"/>
      <c r="S10" s="229"/>
      <c r="T10" s="229"/>
      <c r="U10" s="229"/>
      <c r="V10" s="281"/>
    </row>
    <row r="11" spans="1:23" ht="15" customHeight="1" x14ac:dyDescent="0.25">
      <c r="B11" s="881"/>
      <c r="C11" s="882"/>
      <c r="D11" s="882"/>
      <c r="E11" s="882"/>
      <c r="F11" s="883"/>
      <c r="G11" s="280"/>
      <c r="H11" s="231"/>
      <c r="I11" s="231"/>
      <c r="J11" s="231"/>
      <c r="K11" s="231"/>
      <c r="L11" s="231"/>
      <c r="M11" s="231"/>
      <c r="N11" s="231"/>
      <c r="O11" s="231"/>
      <c r="P11" s="231"/>
      <c r="Q11" s="229"/>
      <c r="R11" s="229"/>
      <c r="S11" s="229"/>
      <c r="T11" s="229"/>
      <c r="U11" s="229"/>
      <c r="V11" s="281"/>
    </row>
    <row r="12" spans="1:23" ht="15" customHeight="1" x14ac:dyDescent="0.25">
      <c r="B12" s="881"/>
      <c r="C12" s="882"/>
      <c r="D12" s="882"/>
      <c r="E12" s="882"/>
      <c r="F12" s="883"/>
      <c r="G12" s="280"/>
      <c r="H12" s="231"/>
      <c r="I12" s="231"/>
      <c r="J12" s="231"/>
      <c r="K12" s="231"/>
      <c r="L12" s="231"/>
      <c r="M12" s="231"/>
      <c r="N12" s="231"/>
      <c r="O12" s="231"/>
      <c r="P12" s="231"/>
      <c r="Q12" s="229"/>
      <c r="R12" s="229"/>
      <c r="S12" s="229"/>
      <c r="T12" s="229"/>
      <c r="U12" s="229"/>
      <c r="V12" s="281"/>
    </row>
    <row r="13" spans="1:23" ht="15" customHeight="1" thickBot="1" x14ac:dyDescent="0.3">
      <c r="B13" s="884"/>
      <c r="C13" s="885"/>
      <c r="D13" s="885"/>
      <c r="E13" s="885"/>
      <c r="F13" s="886"/>
      <c r="G13" s="282"/>
      <c r="H13" s="283"/>
      <c r="I13" s="283"/>
      <c r="J13" s="283"/>
      <c r="K13" s="283"/>
      <c r="L13" s="283"/>
      <c r="M13" s="283"/>
      <c r="N13" s="283"/>
      <c r="O13" s="283"/>
      <c r="P13" s="283"/>
      <c r="Q13" s="284"/>
      <c r="R13" s="284"/>
      <c r="S13" s="284"/>
      <c r="T13" s="284"/>
      <c r="U13" s="284"/>
      <c r="V13" s="285"/>
    </row>
    <row r="14" spans="1:23" x14ac:dyDescent="0.25">
      <c r="B14" s="22"/>
      <c r="C14" s="22"/>
      <c r="D14" s="22"/>
      <c r="E14" s="22"/>
      <c r="F14" s="22"/>
      <c r="G14" s="22"/>
      <c r="H14" s="22"/>
      <c r="I14" s="231"/>
      <c r="J14" s="231"/>
      <c r="K14" s="22"/>
      <c r="L14" s="22"/>
      <c r="M14" s="22"/>
      <c r="N14" s="22"/>
      <c r="O14" s="22"/>
      <c r="P14" s="22"/>
      <c r="Q14" s="21"/>
      <c r="R14" s="21"/>
      <c r="S14" s="21"/>
      <c r="T14" s="21"/>
      <c r="U14" s="21"/>
      <c r="V14" s="21"/>
    </row>
    <row r="15" spans="1:23" ht="18.75" x14ac:dyDescent="0.25">
      <c r="B15" s="252" t="s">
        <v>1252</v>
      </c>
      <c r="C15" s="199"/>
      <c r="D15" s="199"/>
      <c r="E15" s="199"/>
      <c r="F15" s="199"/>
      <c r="G15" s="199"/>
      <c r="H15" s="199"/>
      <c r="I15" s="200"/>
      <c r="J15" s="200"/>
      <c r="K15" s="199"/>
      <c r="L15" s="199"/>
      <c r="M15" s="199"/>
      <c r="N15" s="199"/>
      <c r="O15" s="199"/>
      <c r="P15" s="199"/>
      <c r="Q15" s="199"/>
      <c r="R15" s="199"/>
      <c r="S15" s="199"/>
      <c r="T15" s="199"/>
      <c r="U15" s="199"/>
      <c r="V15" s="199"/>
    </row>
    <row r="16" spans="1:23" x14ac:dyDescent="0.25">
      <c r="B16" s="192"/>
      <c r="C16" s="232"/>
      <c r="D16" s="232"/>
      <c r="E16" s="232"/>
      <c r="F16" s="232"/>
      <c r="G16" s="232"/>
      <c r="H16" s="232"/>
      <c r="I16" s="232"/>
      <c r="J16" s="232"/>
      <c r="K16" s="232"/>
      <c r="L16" s="232"/>
      <c r="M16" s="232"/>
      <c r="N16" s="232"/>
      <c r="O16" s="232"/>
      <c r="P16" s="232"/>
      <c r="Q16" s="232"/>
      <c r="R16" s="232"/>
      <c r="S16" s="232"/>
      <c r="T16" s="232"/>
      <c r="U16" s="232"/>
      <c r="V16" s="232"/>
    </row>
    <row r="17" spans="1:23" ht="18.75" x14ac:dyDescent="0.3">
      <c r="B17" s="239" t="s">
        <v>1239</v>
      </c>
      <c r="C17" s="214"/>
      <c r="D17" s="214"/>
      <c r="E17" s="214"/>
      <c r="F17" s="214"/>
      <c r="G17" s="214"/>
      <c r="H17" s="214"/>
      <c r="I17" s="214"/>
      <c r="J17" s="214"/>
      <c r="K17" s="214"/>
      <c r="L17" s="214"/>
      <c r="M17" s="214"/>
      <c r="N17" s="214"/>
      <c r="O17" s="214"/>
      <c r="P17" s="214"/>
      <c r="Q17" s="214"/>
      <c r="R17" s="214"/>
      <c r="S17" s="214"/>
      <c r="T17" s="214"/>
      <c r="U17" s="214"/>
      <c r="V17" s="214"/>
    </row>
    <row r="18" spans="1:23" x14ac:dyDescent="0.25">
      <c r="B18" s="192"/>
      <c r="C18" s="232"/>
      <c r="D18" s="232"/>
      <c r="E18" s="232"/>
      <c r="F18" s="232"/>
      <c r="G18" s="232"/>
      <c r="H18" s="232"/>
      <c r="I18" s="232"/>
      <c r="J18" s="232"/>
      <c r="K18" s="232"/>
      <c r="L18" s="232"/>
      <c r="M18" s="232"/>
      <c r="N18" s="232"/>
      <c r="O18" s="232"/>
      <c r="P18" s="232"/>
      <c r="Q18" s="232"/>
      <c r="R18" s="232"/>
      <c r="S18" s="232"/>
      <c r="T18" s="232"/>
      <c r="U18" s="232"/>
      <c r="V18" s="232"/>
    </row>
    <row r="19" spans="1:23" s="233" customFormat="1" x14ac:dyDescent="0.25">
      <c r="A19" s="21"/>
      <c r="B19" s="192"/>
      <c r="C19" s="232"/>
      <c r="D19" s="232"/>
      <c r="E19" s="909" t="s">
        <v>1250</v>
      </c>
      <c r="F19" s="910"/>
      <c r="G19" s="910"/>
      <c r="H19" s="910"/>
      <c r="I19" s="911"/>
      <c r="J19" s="473">
        <v>8</v>
      </c>
      <c r="K19" s="232"/>
      <c r="L19" s="232"/>
      <c r="M19" s="232"/>
      <c r="N19" s="232"/>
      <c r="O19" s="232"/>
      <c r="P19" s="232"/>
      <c r="Q19" s="232"/>
      <c r="R19" s="232"/>
      <c r="S19" s="232"/>
      <c r="T19" s="232"/>
      <c r="U19" s="232"/>
      <c r="V19" s="232"/>
      <c r="W19" s="21"/>
    </row>
    <row r="20" spans="1:23" s="233" customFormat="1" x14ac:dyDescent="0.25">
      <c r="A20" s="21"/>
      <c r="B20" s="192"/>
      <c r="C20" s="232"/>
      <c r="D20" s="232"/>
      <c r="E20" s="232"/>
      <c r="F20" s="232"/>
      <c r="G20" s="232"/>
      <c r="H20" s="232"/>
      <c r="I20" s="232"/>
      <c r="J20" s="232"/>
      <c r="K20" s="232"/>
      <c r="L20" s="232"/>
      <c r="M20" s="232"/>
      <c r="N20" s="232"/>
      <c r="O20" s="232"/>
      <c r="P20" s="232"/>
      <c r="Q20" s="232"/>
      <c r="R20" s="232"/>
      <c r="S20" s="232"/>
      <c r="T20" s="232"/>
      <c r="U20" s="232"/>
      <c r="V20" s="232"/>
      <c r="W20" s="21"/>
    </row>
    <row r="21" spans="1:23" x14ac:dyDescent="0.25">
      <c r="B21" s="192"/>
      <c r="C21" s="232"/>
      <c r="D21" s="232"/>
      <c r="E21" s="240" t="s">
        <v>1240</v>
      </c>
      <c r="F21" s="241"/>
      <c r="G21" s="241"/>
      <c r="H21" s="905" t="s">
        <v>167</v>
      </c>
      <c r="I21" s="905"/>
      <c r="J21" s="905"/>
      <c r="K21" s="905"/>
      <c r="L21" s="905"/>
      <c r="M21" s="905"/>
      <c r="N21" s="905"/>
      <c r="O21" s="905"/>
      <c r="P21" s="906">
        <v>100</v>
      </c>
      <c r="Q21" s="907"/>
      <c r="R21" s="908"/>
      <c r="S21" s="232"/>
      <c r="T21" s="232"/>
      <c r="U21" s="232"/>
      <c r="V21" s="232"/>
    </row>
    <row r="22" spans="1:23" x14ac:dyDescent="0.25">
      <c r="B22" s="192"/>
      <c r="C22" s="232"/>
      <c r="D22" s="232"/>
      <c r="E22" s="243" t="s">
        <v>1241</v>
      </c>
      <c r="F22" s="193"/>
      <c r="G22" s="193"/>
      <c r="H22" s="905" t="s">
        <v>168</v>
      </c>
      <c r="I22" s="905"/>
      <c r="J22" s="905"/>
      <c r="K22" s="905"/>
      <c r="L22" s="905"/>
      <c r="M22" s="905"/>
      <c r="N22" s="905"/>
      <c r="O22" s="905"/>
      <c r="P22" s="906">
        <v>100</v>
      </c>
      <c r="Q22" s="907"/>
      <c r="R22" s="908"/>
      <c r="S22" s="232"/>
      <c r="T22" s="232"/>
      <c r="U22" s="232"/>
      <c r="V22" s="232"/>
    </row>
    <row r="23" spans="1:23" x14ac:dyDescent="0.25">
      <c r="B23" s="192"/>
      <c r="C23" s="232"/>
      <c r="D23" s="232"/>
      <c r="E23" s="243" t="s">
        <v>1242</v>
      </c>
      <c r="F23" s="193"/>
      <c r="G23" s="193"/>
      <c r="H23" s="905" t="s">
        <v>169</v>
      </c>
      <c r="I23" s="905"/>
      <c r="J23" s="905"/>
      <c r="K23" s="905"/>
      <c r="L23" s="905"/>
      <c r="M23" s="905"/>
      <c r="N23" s="905"/>
      <c r="O23" s="905"/>
      <c r="P23" s="906">
        <v>100</v>
      </c>
      <c r="Q23" s="907"/>
      <c r="R23" s="908"/>
      <c r="S23" s="232"/>
      <c r="T23" s="232"/>
      <c r="U23" s="232"/>
      <c r="V23" s="232"/>
    </row>
    <row r="24" spans="1:23" x14ac:dyDescent="0.25">
      <c r="B24" s="192"/>
      <c r="C24" s="232"/>
      <c r="D24" s="232"/>
      <c r="E24" s="243" t="s">
        <v>1243</v>
      </c>
      <c r="F24" s="193"/>
      <c r="G24" s="193"/>
      <c r="H24" s="905" t="s">
        <v>170</v>
      </c>
      <c r="I24" s="905"/>
      <c r="J24" s="905"/>
      <c r="K24" s="905"/>
      <c r="L24" s="905"/>
      <c r="M24" s="905"/>
      <c r="N24" s="905"/>
      <c r="O24" s="905"/>
      <c r="P24" s="906">
        <v>100</v>
      </c>
      <c r="Q24" s="907"/>
      <c r="R24" s="908"/>
      <c r="S24" s="232"/>
      <c r="T24" s="232"/>
      <c r="U24" s="232"/>
      <c r="V24" s="232"/>
    </row>
    <row r="25" spans="1:23" x14ac:dyDescent="0.25">
      <c r="B25" s="192"/>
      <c r="C25" s="232"/>
      <c r="D25" s="232"/>
      <c r="E25" s="243" t="s">
        <v>1244</v>
      </c>
      <c r="F25" s="193"/>
      <c r="G25" s="193"/>
      <c r="H25" s="905" t="s">
        <v>171</v>
      </c>
      <c r="I25" s="905"/>
      <c r="J25" s="905"/>
      <c r="K25" s="905"/>
      <c r="L25" s="905"/>
      <c r="M25" s="905"/>
      <c r="N25" s="905"/>
      <c r="O25" s="905"/>
      <c r="P25" s="906">
        <v>200</v>
      </c>
      <c r="Q25" s="907"/>
      <c r="R25" s="908"/>
      <c r="S25" s="232"/>
      <c r="T25" s="232"/>
      <c r="U25" s="232"/>
      <c r="V25" s="232"/>
    </row>
    <row r="26" spans="1:23" x14ac:dyDescent="0.25">
      <c r="B26" s="192"/>
      <c r="C26" s="232"/>
      <c r="D26" s="232"/>
      <c r="E26" s="243" t="s">
        <v>1245</v>
      </c>
      <c r="F26" s="193"/>
      <c r="G26" s="193"/>
      <c r="H26" s="905" t="s">
        <v>172</v>
      </c>
      <c r="I26" s="905"/>
      <c r="J26" s="905"/>
      <c r="K26" s="905"/>
      <c r="L26" s="905"/>
      <c r="M26" s="905"/>
      <c r="N26" s="905"/>
      <c r="O26" s="905"/>
      <c r="P26" s="906">
        <v>200</v>
      </c>
      <c r="Q26" s="907"/>
      <c r="R26" s="908"/>
      <c r="S26" s="232"/>
      <c r="T26" s="232"/>
      <c r="U26" s="232"/>
      <c r="V26" s="232"/>
    </row>
    <row r="27" spans="1:23" x14ac:dyDescent="0.25">
      <c r="B27" s="192"/>
      <c r="C27" s="232"/>
      <c r="D27" s="232"/>
      <c r="E27" s="243" t="s">
        <v>1246</v>
      </c>
      <c r="F27" s="193"/>
      <c r="G27" s="193"/>
      <c r="H27" s="905" t="s">
        <v>173</v>
      </c>
      <c r="I27" s="905"/>
      <c r="J27" s="905"/>
      <c r="K27" s="905"/>
      <c r="L27" s="905"/>
      <c r="M27" s="905"/>
      <c r="N27" s="905"/>
      <c r="O27" s="905"/>
      <c r="P27" s="906">
        <v>100</v>
      </c>
      <c r="Q27" s="907"/>
      <c r="R27" s="908"/>
      <c r="S27" s="232"/>
      <c r="T27" s="232"/>
      <c r="U27" s="232"/>
      <c r="V27" s="232"/>
    </row>
    <row r="28" spans="1:23" x14ac:dyDescent="0.25">
      <c r="B28" s="192"/>
      <c r="C28" s="232"/>
      <c r="D28" s="232"/>
      <c r="E28" s="243" t="s">
        <v>1247</v>
      </c>
      <c r="F28" s="193"/>
      <c r="G28" s="193"/>
      <c r="H28" s="905" t="s">
        <v>174</v>
      </c>
      <c r="I28" s="905"/>
      <c r="J28" s="905"/>
      <c r="K28" s="905"/>
      <c r="L28" s="905"/>
      <c r="M28" s="905"/>
      <c r="N28" s="905"/>
      <c r="O28" s="905"/>
      <c r="P28" s="906">
        <v>100</v>
      </c>
      <c r="Q28" s="907"/>
      <c r="R28" s="908"/>
      <c r="S28" s="232"/>
      <c r="T28" s="232"/>
      <c r="U28" s="232"/>
      <c r="V28" s="232"/>
    </row>
    <row r="29" spans="1:23" x14ac:dyDescent="0.25">
      <c r="B29" s="192"/>
      <c r="C29" s="232"/>
      <c r="D29" s="232"/>
      <c r="E29" s="243" t="s">
        <v>1248</v>
      </c>
      <c r="F29" s="193"/>
      <c r="G29" s="193"/>
      <c r="H29" s="905"/>
      <c r="I29" s="905"/>
      <c r="J29" s="905"/>
      <c r="K29" s="905"/>
      <c r="L29" s="905"/>
      <c r="M29" s="905"/>
      <c r="N29" s="905"/>
      <c r="O29" s="905"/>
      <c r="P29" s="906"/>
      <c r="Q29" s="907"/>
      <c r="R29" s="908"/>
      <c r="S29" s="232"/>
      <c r="T29" s="232"/>
      <c r="U29" s="232"/>
      <c r="V29" s="232"/>
    </row>
    <row r="30" spans="1:23" x14ac:dyDescent="0.25">
      <c r="B30" s="192"/>
      <c r="C30" s="232"/>
      <c r="D30" s="232"/>
      <c r="E30" s="245" t="s">
        <v>1249</v>
      </c>
      <c r="F30" s="246"/>
      <c r="G30" s="246"/>
      <c r="H30" s="905"/>
      <c r="I30" s="905"/>
      <c r="J30" s="905"/>
      <c r="K30" s="905"/>
      <c r="L30" s="905"/>
      <c r="M30" s="905"/>
      <c r="N30" s="905"/>
      <c r="O30" s="905"/>
      <c r="P30" s="906"/>
      <c r="Q30" s="907"/>
      <c r="R30" s="908"/>
      <c r="S30" s="232"/>
      <c r="T30" s="232"/>
      <c r="U30" s="232"/>
      <c r="V30" s="232"/>
    </row>
    <row r="31" spans="1:23" x14ac:dyDescent="0.25">
      <c r="B31" s="192"/>
      <c r="C31" s="232"/>
      <c r="D31" s="232"/>
      <c r="E31" s="232"/>
      <c r="F31" s="232"/>
      <c r="G31" s="232"/>
      <c r="H31" s="232"/>
      <c r="I31" s="232"/>
      <c r="J31" s="232"/>
      <c r="K31" s="232"/>
      <c r="L31" s="232"/>
      <c r="M31" s="232"/>
      <c r="N31" s="232"/>
      <c r="O31" s="232"/>
      <c r="P31" s="232"/>
      <c r="Q31" s="232"/>
      <c r="R31" s="232"/>
      <c r="S31" s="232"/>
      <c r="T31" s="232"/>
      <c r="U31" s="232"/>
      <c r="V31" s="232"/>
    </row>
    <row r="32" spans="1:23" x14ac:dyDescent="0.25">
      <c r="B32" s="192"/>
      <c r="C32" s="232"/>
      <c r="D32" s="232"/>
      <c r="E32" s="232"/>
      <c r="F32" s="232"/>
      <c r="G32" s="232"/>
      <c r="H32" s="232"/>
      <c r="I32" s="192"/>
      <c r="J32" s="192"/>
      <c r="K32" s="192"/>
      <c r="L32" s="192"/>
      <c r="M32" s="192"/>
      <c r="N32" s="192"/>
      <c r="O32" s="192"/>
      <c r="P32" s="192"/>
      <c r="Q32" s="232"/>
      <c r="R32" s="232"/>
      <c r="S32" s="232"/>
      <c r="T32" s="232"/>
      <c r="U32" s="232"/>
      <c r="V32" s="232"/>
    </row>
    <row r="33" spans="2:22" ht="18.75" x14ac:dyDescent="0.3">
      <c r="B33" s="239" t="s">
        <v>1251</v>
      </c>
      <c r="C33" s="214"/>
      <c r="D33" s="214"/>
      <c r="E33" s="214"/>
      <c r="F33" s="214"/>
      <c r="G33" s="214"/>
      <c r="H33" s="214"/>
      <c r="I33" s="214"/>
      <c r="J33" s="214"/>
      <c r="K33" s="214"/>
      <c r="L33" s="214"/>
      <c r="M33" s="214"/>
      <c r="N33" s="214"/>
      <c r="O33" s="214"/>
      <c r="P33" s="214"/>
      <c r="Q33" s="214"/>
      <c r="R33" s="214"/>
      <c r="S33" s="214"/>
      <c r="T33" s="214"/>
      <c r="U33" s="214"/>
      <c r="V33" s="214"/>
    </row>
    <row r="34" spans="2:22" x14ac:dyDescent="0.25">
      <c r="B34" s="192"/>
      <c r="C34" s="192"/>
      <c r="D34" s="192"/>
      <c r="E34" s="192"/>
      <c r="F34" s="192"/>
      <c r="G34" s="192"/>
      <c r="H34" s="192"/>
      <c r="I34" s="192"/>
      <c r="J34" s="192"/>
      <c r="K34" s="192"/>
      <c r="L34" s="192"/>
      <c r="M34" s="192"/>
      <c r="N34" s="192"/>
      <c r="O34" s="192"/>
      <c r="P34" s="192"/>
      <c r="Q34" s="232"/>
      <c r="R34" s="232"/>
      <c r="S34" s="232"/>
      <c r="T34" s="232"/>
      <c r="U34" s="232"/>
      <c r="V34" s="232"/>
    </row>
    <row r="35" spans="2:22" ht="15.75" x14ac:dyDescent="0.25">
      <c r="B35" s="192"/>
      <c r="C35" s="253" t="s">
        <v>1254</v>
      </c>
      <c r="D35" s="192"/>
      <c r="E35" s="192"/>
      <c r="F35" s="192"/>
      <c r="G35" s="192"/>
      <c r="H35" s="192"/>
      <c r="I35" s="192"/>
      <c r="J35" s="192"/>
      <c r="K35" s="192"/>
      <c r="L35" s="192"/>
      <c r="M35" s="192"/>
      <c r="N35" s="192"/>
      <c r="O35" s="192"/>
      <c r="P35" s="192"/>
      <c r="Q35" s="232"/>
      <c r="R35" s="232"/>
      <c r="S35" s="232"/>
      <c r="T35" s="232"/>
      <c r="U35" s="232"/>
      <c r="V35" s="232"/>
    </row>
    <row r="36" spans="2:22" x14ac:dyDescent="0.25">
      <c r="B36" s="192"/>
      <c r="C36" s="192"/>
      <c r="D36" s="192"/>
      <c r="E36" s="192"/>
      <c r="F36" s="192"/>
      <c r="G36" s="192"/>
      <c r="H36" s="192"/>
      <c r="I36" s="192"/>
      <c r="J36" s="192"/>
      <c r="K36" s="192"/>
      <c r="L36" s="192"/>
      <c r="M36" s="192"/>
      <c r="N36" s="192"/>
      <c r="O36" s="192"/>
      <c r="P36" s="192"/>
      <c r="Q36" s="232"/>
      <c r="R36" s="232"/>
      <c r="S36" s="232"/>
      <c r="T36" s="232"/>
      <c r="U36" s="232"/>
      <c r="V36" s="232"/>
    </row>
    <row r="37" spans="2:22" ht="15" customHeight="1" x14ac:dyDescent="0.25">
      <c r="B37" s="192"/>
      <c r="C37" s="192"/>
      <c r="D37" s="192"/>
      <c r="E37" s="192"/>
      <c r="F37" s="896" t="s">
        <v>1255</v>
      </c>
      <c r="G37" s="897"/>
      <c r="H37" s="898"/>
      <c r="I37" s="890" t="s">
        <v>1411</v>
      </c>
      <c r="J37" s="890"/>
      <c r="K37" s="890"/>
      <c r="L37" s="890"/>
      <c r="M37" s="890"/>
      <c r="N37" s="890"/>
      <c r="O37" s="890"/>
      <c r="P37" s="890"/>
      <c r="Q37" s="890"/>
      <c r="R37" s="891"/>
      <c r="S37" s="232"/>
      <c r="T37" s="232"/>
      <c r="U37" s="232"/>
      <c r="V37" s="232"/>
    </row>
    <row r="38" spans="2:22" x14ac:dyDescent="0.25">
      <c r="B38" s="192"/>
      <c r="C38" s="192"/>
      <c r="D38" s="192"/>
      <c r="E38" s="192"/>
      <c r="F38" s="899"/>
      <c r="G38" s="900"/>
      <c r="H38" s="901"/>
      <c r="I38" s="892"/>
      <c r="J38" s="892"/>
      <c r="K38" s="892"/>
      <c r="L38" s="892"/>
      <c r="M38" s="892"/>
      <c r="N38" s="892"/>
      <c r="O38" s="892"/>
      <c r="P38" s="892"/>
      <c r="Q38" s="892"/>
      <c r="R38" s="893"/>
      <c r="S38" s="232"/>
      <c r="T38" s="232"/>
      <c r="U38" s="232"/>
      <c r="V38" s="232"/>
    </row>
    <row r="39" spans="2:22" x14ac:dyDescent="0.25">
      <c r="B39" s="192"/>
      <c r="C39" s="192"/>
      <c r="D39" s="192"/>
      <c r="E39" s="192"/>
      <c r="F39" s="899"/>
      <c r="G39" s="900"/>
      <c r="H39" s="901"/>
      <c r="I39" s="892"/>
      <c r="J39" s="892"/>
      <c r="K39" s="892"/>
      <c r="L39" s="892"/>
      <c r="M39" s="892"/>
      <c r="N39" s="892"/>
      <c r="O39" s="892"/>
      <c r="P39" s="892"/>
      <c r="Q39" s="892"/>
      <c r="R39" s="893"/>
      <c r="S39" s="232"/>
      <c r="T39" s="232"/>
      <c r="U39" s="232"/>
      <c r="V39" s="232"/>
    </row>
    <row r="40" spans="2:22" x14ac:dyDescent="0.25">
      <c r="B40" s="192"/>
      <c r="C40" s="192"/>
      <c r="D40" s="192"/>
      <c r="E40" s="192"/>
      <c r="F40" s="899"/>
      <c r="G40" s="900"/>
      <c r="H40" s="901"/>
      <c r="I40" s="892"/>
      <c r="J40" s="892"/>
      <c r="K40" s="892"/>
      <c r="L40" s="892"/>
      <c r="M40" s="892"/>
      <c r="N40" s="892"/>
      <c r="O40" s="892"/>
      <c r="P40" s="892"/>
      <c r="Q40" s="892"/>
      <c r="R40" s="893"/>
      <c r="S40" s="232"/>
      <c r="T40" s="232"/>
      <c r="U40" s="232"/>
      <c r="V40" s="232"/>
    </row>
    <row r="41" spans="2:22" x14ac:dyDescent="0.25">
      <c r="B41" s="192"/>
      <c r="C41" s="192"/>
      <c r="D41" s="192"/>
      <c r="E41" s="192"/>
      <c r="F41" s="899"/>
      <c r="G41" s="900"/>
      <c r="H41" s="901"/>
      <c r="I41" s="892"/>
      <c r="J41" s="892"/>
      <c r="K41" s="892"/>
      <c r="L41" s="892"/>
      <c r="M41" s="892"/>
      <c r="N41" s="892"/>
      <c r="O41" s="892"/>
      <c r="P41" s="892"/>
      <c r="Q41" s="892"/>
      <c r="R41" s="893"/>
      <c r="S41" s="232"/>
      <c r="T41" s="232"/>
      <c r="U41" s="232"/>
      <c r="V41" s="232"/>
    </row>
    <row r="42" spans="2:22" ht="7.5" customHeight="1" x14ac:dyDescent="0.25">
      <c r="B42" s="192"/>
      <c r="C42" s="192"/>
      <c r="D42" s="192"/>
      <c r="E42" s="192"/>
      <c r="F42" s="899"/>
      <c r="G42" s="900"/>
      <c r="H42" s="901"/>
      <c r="I42" s="892"/>
      <c r="J42" s="892"/>
      <c r="K42" s="892"/>
      <c r="L42" s="892"/>
      <c r="M42" s="892"/>
      <c r="N42" s="892"/>
      <c r="O42" s="892"/>
      <c r="P42" s="892"/>
      <c r="Q42" s="892"/>
      <c r="R42" s="893"/>
      <c r="S42" s="232"/>
      <c r="T42" s="232"/>
      <c r="U42" s="232"/>
      <c r="V42" s="232"/>
    </row>
    <row r="43" spans="2:22" ht="7.5" customHeight="1" x14ac:dyDescent="0.25">
      <c r="B43" s="192"/>
      <c r="C43" s="192"/>
      <c r="D43" s="192"/>
      <c r="E43" s="192"/>
      <c r="F43" s="902"/>
      <c r="G43" s="903"/>
      <c r="H43" s="904"/>
      <c r="I43" s="894"/>
      <c r="J43" s="894"/>
      <c r="K43" s="894"/>
      <c r="L43" s="894"/>
      <c r="M43" s="894"/>
      <c r="N43" s="894"/>
      <c r="O43" s="894"/>
      <c r="P43" s="894"/>
      <c r="Q43" s="894"/>
      <c r="R43" s="895"/>
      <c r="S43" s="232"/>
      <c r="T43" s="232"/>
      <c r="U43" s="232"/>
      <c r="V43" s="232"/>
    </row>
    <row r="44" spans="2:22" x14ac:dyDescent="0.25">
      <c r="B44" s="192"/>
      <c r="C44" s="192"/>
      <c r="D44" s="192"/>
      <c r="E44" s="192"/>
      <c r="F44" s="192"/>
      <c r="G44" s="192"/>
      <c r="H44" s="192"/>
      <c r="I44" s="254"/>
      <c r="J44" s="254"/>
      <c r="K44" s="254"/>
      <c r="L44" s="254"/>
      <c r="M44" s="254"/>
      <c r="N44" s="254"/>
      <c r="O44" s="254"/>
      <c r="P44" s="254"/>
      <c r="Q44" s="254"/>
      <c r="R44" s="254"/>
      <c r="S44" s="232"/>
      <c r="T44" s="232"/>
      <c r="U44" s="232"/>
      <c r="V44" s="232"/>
    </row>
    <row r="45" spans="2:22" ht="15" customHeight="1" x14ac:dyDescent="0.25">
      <c r="B45" s="192"/>
      <c r="C45" s="192"/>
      <c r="D45" s="192"/>
      <c r="E45" s="192"/>
      <c r="F45" s="896" t="s">
        <v>1260</v>
      </c>
      <c r="G45" s="897"/>
      <c r="H45" s="898"/>
      <c r="I45" s="890" t="s">
        <v>1412</v>
      </c>
      <c r="J45" s="890"/>
      <c r="K45" s="890"/>
      <c r="L45" s="890"/>
      <c r="M45" s="890"/>
      <c r="N45" s="890"/>
      <c r="O45" s="890"/>
      <c r="P45" s="890"/>
      <c r="Q45" s="890"/>
      <c r="R45" s="891"/>
      <c r="S45" s="232"/>
      <c r="T45" s="232"/>
      <c r="U45" s="232"/>
      <c r="V45" s="232"/>
    </row>
    <row r="46" spans="2:22" ht="15" customHeight="1" x14ac:dyDescent="0.25">
      <c r="B46" s="192"/>
      <c r="C46" s="192"/>
      <c r="D46" s="192"/>
      <c r="E46" s="192"/>
      <c r="F46" s="899"/>
      <c r="G46" s="900"/>
      <c r="H46" s="901"/>
      <c r="I46" s="892"/>
      <c r="J46" s="892"/>
      <c r="K46" s="892"/>
      <c r="L46" s="892"/>
      <c r="M46" s="892"/>
      <c r="N46" s="892"/>
      <c r="O46" s="892"/>
      <c r="P46" s="892"/>
      <c r="Q46" s="892"/>
      <c r="R46" s="893"/>
      <c r="S46" s="232"/>
      <c r="T46" s="232"/>
      <c r="U46" s="232"/>
      <c r="V46" s="232"/>
    </row>
    <row r="47" spans="2:22" ht="15" customHeight="1" x14ac:dyDescent="0.25">
      <c r="B47" s="192"/>
      <c r="C47" s="192"/>
      <c r="D47" s="192"/>
      <c r="E47" s="192"/>
      <c r="F47" s="899"/>
      <c r="G47" s="900"/>
      <c r="H47" s="901"/>
      <c r="I47" s="892"/>
      <c r="J47" s="892"/>
      <c r="K47" s="892"/>
      <c r="L47" s="892"/>
      <c r="M47" s="892"/>
      <c r="N47" s="892"/>
      <c r="O47" s="892"/>
      <c r="P47" s="892"/>
      <c r="Q47" s="892"/>
      <c r="R47" s="893"/>
      <c r="S47" s="232"/>
      <c r="T47" s="232"/>
      <c r="U47" s="232"/>
      <c r="V47" s="232"/>
    </row>
    <row r="48" spans="2:22" ht="15" customHeight="1" x14ac:dyDescent="0.25">
      <c r="B48" s="192"/>
      <c r="C48" s="192"/>
      <c r="D48" s="192"/>
      <c r="E48" s="192"/>
      <c r="F48" s="899"/>
      <c r="G48" s="900"/>
      <c r="H48" s="901"/>
      <c r="I48" s="892"/>
      <c r="J48" s="892"/>
      <c r="K48" s="892"/>
      <c r="L48" s="892"/>
      <c r="M48" s="892"/>
      <c r="N48" s="892"/>
      <c r="O48" s="892"/>
      <c r="P48" s="892"/>
      <c r="Q48" s="892"/>
      <c r="R48" s="893"/>
      <c r="S48" s="232"/>
      <c r="T48" s="232"/>
      <c r="U48" s="232"/>
      <c r="V48" s="232"/>
    </row>
    <row r="49" spans="2:22" ht="15" customHeight="1" x14ac:dyDescent="0.25">
      <c r="B49" s="192"/>
      <c r="C49" s="192"/>
      <c r="D49" s="192"/>
      <c r="E49" s="192"/>
      <c r="F49" s="899"/>
      <c r="G49" s="900"/>
      <c r="H49" s="901"/>
      <c r="I49" s="894"/>
      <c r="J49" s="894"/>
      <c r="K49" s="894"/>
      <c r="L49" s="894"/>
      <c r="M49" s="894"/>
      <c r="N49" s="894"/>
      <c r="O49" s="894"/>
      <c r="P49" s="894"/>
      <c r="Q49" s="894"/>
      <c r="R49" s="895"/>
      <c r="S49" s="232"/>
      <c r="T49" s="232"/>
      <c r="U49" s="232"/>
      <c r="V49" s="232"/>
    </row>
    <row r="50" spans="2:22" ht="15" customHeight="1" x14ac:dyDescent="0.25">
      <c r="B50" s="192"/>
      <c r="C50" s="192"/>
      <c r="D50" s="192"/>
      <c r="E50" s="192"/>
      <c r="F50" s="899"/>
      <c r="G50" s="900"/>
      <c r="H50" s="901"/>
      <c r="I50" s="915" t="s">
        <v>1413</v>
      </c>
      <c r="J50" s="915"/>
      <c r="K50" s="915"/>
      <c r="L50" s="915"/>
      <c r="M50" s="915"/>
      <c r="N50" s="915"/>
      <c r="O50" s="915"/>
      <c r="P50" s="915"/>
      <c r="Q50" s="915"/>
      <c r="R50" s="916"/>
      <c r="S50" s="232"/>
      <c r="T50" s="232"/>
      <c r="U50" s="232"/>
      <c r="V50" s="232"/>
    </row>
    <row r="51" spans="2:22" ht="15" customHeight="1" x14ac:dyDescent="0.25">
      <c r="B51" s="192"/>
      <c r="C51" s="192"/>
      <c r="D51" s="192"/>
      <c r="E51" s="192"/>
      <c r="F51" s="899"/>
      <c r="G51" s="900"/>
      <c r="H51" s="901"/>
      <c r="I51" s="917"/>
      <c r="J51" s="917"/>
      <c r="K51" s="917"/>
      <c r="L51" s="917"/>
      <c r="M51" s="917"/>
      <c r="N51" s="917"/>
      <c r="O51" s="917"/>
      <c r="P51" s="917"/>
      <c r="Q51" s="917"/>
      <c r="R51" s="918"/>
      <c r="S51" s="232"/>
      <c r="T51" s="232"/>
      <c r="U51" s="232"/>
      <c r="V51" s="232"/>
    </row>
    <row r="52" spans="2:22" ht="15" customHeight="1" x14ac:dyDescent="0.25">
      <c r="B52" s="192"/>
      <c r="C52" s="192"/>
      <c r="D52" s="192"/>
      <c r="E52" s="192"/>
      <c r="F52" s="899"/>
      <c r="G52" s="900"/>
      <c r="H52" s="901"/>
      <c r="I52" s="919"/>
      <c r="J52" s="919"/>
      <c r="K52" s="919"/>
      <c r="L52" s="919"/>
      <c r="M52" s="919"/>
      <c r="N52" s="919"/>
      <c r="O52" s="919"/>
      <c r="P52" s="919"/>
      <c r="Q52" s="919"/>
      <c r="R52" s="920"/>
      <c r="S52" s="232"/>
      <c r="T52" s="232"/>
      <c r="U52" s="232"/>
      <c r="V52" s="232"/>
    </row>
    <row r="53" spans="2:22" ht="15" customHeight="1" x14ac:dyDescent="0.25">
      <c r="B53" s="192"/>
      <c r="C53" s="192"/>
      <c r="D53" s="192"/>
      <c r="E53" s="192"/>
      <c r="F53" s="899"/>
      <c r="G53" s="900"/>
      <c r="H53" s="901"/>
      <c r="I53" s="890" t="s">
        <v>1414</v>
      </c>
      <c r="J53" s="890"/>
      <c r="K53" s="890"/>
      <c r="L53" s="890"/>
      <c r="M53" s="890"/>
      <c r="N53" s="890"/>
      <c r="O53" s="890"/>
      <c r="P53" s="890"/>
      <c r="Q53" s="890"/>
      <c r="R53" s="891"/>
      <c r="S53" s="232"/>
      <c r="T53" s="232"/>
      <c r="U53" s="232"/>
      <c r="V53" s="232"/>
    </row>
    <row r="54" spans="2:22" ht="15" customHeight="1" x14ac:dyDescent="0.25">
      <c r="B54" s="192"/>
      <c r="C54" s="192"/>
      <c r="D54" s="192"/>
      <c r="E54" s="192"/>
      <c r="F54" s="899"/>
      <c r="G54" s="900"/>
      <c r="H54" s="901"/>
      <c r="I54" s="892"/>
      <c r="J54" s="892"/>
      <c r="K54" s="892"/>
      <c r="L54" s="892"/>
      <c r="M54" s="892"/>
      <c r="N54" s="892"/>
      <c r="O54" s="892"/>
      <c r="P54" s="892"/>
      <c r="Q54" s="892"/>
      <c r="R54" s="893"/>
      <c r="S54" s="232"/>
      <c r="T54" s="232"/>
      <c r="U54" s="232"/>
      <c r="V54" s="232"/>
    </row>
    <row r="55" spans="2:22" ht="15" customHeight="1" x14ac:dyDescent="0.25">
      <c r="B55" s="192"/>
      <c r="C55" s="192"/>
      <c r="D55" s="192"/>
      <c r="E55" s="192"/>
      <c r="F55" s="899"/>
      <c r="G55" s="900"/>
      <c r="H55" s="901"/>
      <c r="I55" s="892"/>
      <c r="J55" s="892"/>
      <c r="K55" s="892"/>
      <c r="L55" s="892"/>
      <c r="M55" s="892"/>
      <c r="N55" s="892"/>
      <c r="O55" s="892"/>
      <c r="P55" s="892"/>
      <c r="Q55" s="892"/>
      <c r="R55" s="893"/>
      <c r="S55" s="232"/>
      <c r="T55" s="232"/>
      <c r="U55" s="232"/>
      <c r="V55" s="232"/>
    </row>
    <row r="56" spans="2:22" ht="15" customHeight="1" x14ac:dyDescent="0.25">
      <c r="B56" s="192"/>
      <c r="C56" s="192"/>
      <c r="D56" s="192"/>
      <c r="E56" s="192"/>
      <c r="F56" s="899"/>
      <c r="G56" s="900"/>
      <c r="H56" s="901"/>
      <c r="I56" s="894"/>
      <c r="J56" s="894"/>
      <c r="K56" s="894"/>
      <c r="L56" s="894"/>
      <c r="M56" s="894"/>
      <c r="N56" s="894"/>
      <c r="O56" s="894"/>
      <c r="P56" s="894"/>
      <c r="Q56" s="894"/>
      <c r="R56" s="895"/>
      <c r="S56" s="232"/>
      <c r="T56" s="232"/>
      <c r="U56" s="232"/>
      <c r="V56" s="232"/>
    </row>
    <row r="57" spans="2:22" ht="15" customHeight="1" x14ac:dyDescent="0.25">
      <c r="B57" s="192"/>
      <c r="C57" s="192"/>
      <c r="D57" s="192"/>
      <c r="E57" s="192"/>
      <c r="F57" s="899"/>
      <c r="G57" s="900"/>
      <c r="H57" s="901"/>
      <c r="I57" s="890" t="s">
        <v>1415</v>
      </c>
      <c r="J57" s="890"/>
      <c r="K57" s="890"/>
      <c r="L57" s="890"/>
      <c r="M57" s="890"/>
      <c r="N57" s="890"/>
      <c r="O57" s="890"/>
      <c r="P57" s="890"/>
      <c r="Q57" s="890"/>
      <c r="R57" s="891"/>
      <c r="S57" s="232"/>
      <c r="T57" s="232"/>
      <c r="U57" s="232"/>
      <c r="V57" s="232"/>
    </row>
    <row r="58" spans="2:22" ht="15" customHeight="1" x14ac:dyDescent="0.25">
      <c r="B58" s="192"/>
      <c r="C58" s="192"/>
      <c r="D58" s="192"/>
      <c r="E58" s="192"/>
      <c r="F58" s="899"/>
      <c r="G58" s="900"/>
      <c r="H58" s="901"/>
      <c r="I58" s="894"/>
      <c r="J58" s="894"/>
      <c r="K58" s="894"/>
      <c r="L58" s="894"/>
      <c r="M58" s="894"/>
      <c r="N58" s="894"/>
      <c r="O58" s="894"/>
      <c r="P58" s="894"/>
      <c r="Q58" s="894"/>
      <c r="R58" s="895"/>
      <c r="S58" s="232"/>
      <c r="T58" s="232"/>
      <c r="U58" s="232"/>
      <c r="V58" s="232"/>
    </row>
    <row r="59" spans="2:22" ht="15" customHeight="1" x14ac:dyDescent="0.25">
      <c r="B59" s="192"/>
      <c r="C59" s="192"/>
      <c r="D59" s="192"/>
      <c r="E59" s="192"/>
      <c r="F59" s="899"/>
      <c r="G59" s="900"/>
      <c r="H59" s="901"/>
      <c r="I59" s="915" t="s">
        <v>1416</v>
      </c>
      <c r="J59" s="915"/>
      <c r="K59" s="915"/>
      <c r="L59" s="915"/>
      <c r="M59" s="915"/>
      <c r="N59" s="915"/>
      <c r="O59" s="915"/>
      <c r="P59" s="915"/>
      <c r="Q59" s="915"/>
      <c r="R59" s="916"/>
      <c r="S59" s="232"/>
      <c r="T59" s="232"/>
      <c r="U59" s="232"/>
      <c r="V59" s="232"/>
    </row>
    <row r="60" spans="2:22" ht="15" customHeight="1" x14ac:dyDescent="0.25">
      <c r="B60" s="192"/>
      <c r="C60" s="192"/>
      <c r="D60" s="192"/>
      <c r="E60" s="192"/>
      <c r="F60" s="899"/>
      <c r="G60" s="900"/>
      <c r="H60" s="901"/>
      <c r="I60" s="917"/>
      <c r="J60" s="917"/>
      <c r="K60" s="917"/>
      <c r="L60" s="917"/>
      <c r="M60" s="917"/>
      <c r="N60" s="917"/>
      <c r="O60" s="917"/>
      <c r="P60" s="917"/>
      <c r="Q60" s="917"/>
      <c r="R60" s="918"/>
      <c r="S60" s="232"/>
      <c r="T60" s="232"/>
      <c r="U60" s="232"/>
      <c r="V60" s="232"/>
    </row>
    <row r="61" spans="2:22" ht="15" customHeight="1" x14ac:dyDescent="0.25">
      <c r="B61" s="192"/>
      <c r="C61" s="192"/>
      <c r="D61" s="192"/>
      <c r="E61" s="192"/>
      <c r="F61" s="899"/>
      <c r="G61" s="900"/>
      <c r="H61" s="901"/>
      <c r="I61" s="917"/>
      <c r="J61" s="917"/>
      <c r="K61" s="917"/>
      <c r="L61" s="917"/>
      <c r="M61" s="917"/>
      <c r="N61" s="917"/>
      <c r="O61" s="917"/>
      <c r="P61" s="917"/>
      <c r="Q61" s="917"/>
      <c r="R61" s="918"/>
      <c r="S61" s="232"/>
      <c r="T61" s="232"/>
      <c r="U61" s="232"/>
      <c r="V61" s="232"/>
    </row>
    <row r="62" spans="2:22" ht="15" customHeight="1" x14ac:dyDescent="0.25">
      <c r="B62" s="192"/>
      <c r="C62" s="192"/>
      <c r="D62" s="192"/>
      <c r="E62" s="192"/>
      <c r="F62" s="899"/>
      <c r="G62" s="900"/>
      <c r="H62" s="901"/>
      <c r="I62" s="917"/>
      <c r="J62" s="917"/>
      <c r="K62" s="917"/>
      <c r="L62" s="917"/>
      <c r="M62" s="917"/>
      <c r="N62" s="917"/>
      <c r="O62" s="917"/>
      <c r="P62" s="917"/>
      <c r="Q62" s="917"/>
      <c r="R62" s="918"/>
      <c r="S62" s="232"/>
      <c r="T62" s="232"/>
      <c r="U62" s="232"/>
      <c r="V62" s="232"/>
    </row>
    <row r="63" spans="2:22" ht="7.5" customHeight="1" x14ac:dyDescent="0.25">
      <c r="B63" s="192"/>
      <c r="C63" s="192"/>
      <c r="D63" s="192"/>
      <c r="E63" s="192"/>
      <c r="F63" s="899"/>
      <c r="G63" s="900"/>
      <c r="H63" s="901"/>
      <c r="I63" s="917"/>
      <c r="J63" s="917"/>
      <c r="K63" s="917"/>
      <c r="L63" s="917"/>
      <c r="M63" s="917"/>
      <c r="N63" s="917"/>
      <c r="O63" s="917"/>
      <c r="P63" s="917"/>
      <c r="Q63" s="917"/>
      <c r="R63" s="918"/>
      <c r="S63" s="232"/>
      <c r="T63" s="232"/>
      <c r="U63" s="232"/>
      <c r="V63" s="232"/>
    </row>
    <row r="64" spans="2:22" ht="7.5" customHeight="1" x14ac:dyDescent="0.25">
      <c r="B64" s="192"/>
      <c r="C64" s="192"/>
      <c r="D64" s="192"/>
      <c r="E64" s="192"/>
      <c r="F64" s="899"/>
      <c r="G64" s="900"/>
      <c r="H64" s="901"/>
      <c r="I64" s="919"/>
      <c r="J64" s="919"/>
      <c r="K64" s="919"/>
      <c r="L64" s="919"/>
      <c r="M64" s="919"/>
      <c r="N64" s="919"/>
      <c r="O64" s="919"/>
      <c r="P64" s="919"/>
      <c r="Q64" s="919"/>
      <c r="R64" s="920"/>
      <c r="S64" s="232"/>
      <c r="T64" s="232"/>
      <c r="U64" s="232"/>
      <c r="V64" s="232"/>
    </row>
    <row r="65" spans="2:22" ht="15" customHeight="1" x14ac:dyDescent="0.25">
      <c r="B65" s="192"/>
      <c r="C65" s="192"/>
      <c r="D65" s="192"/>
      <c r="E65" s="192"/>
      <c r="F65" s="899"/>
      <c r="G65" s="900"/>
      <c r="H65" s="901"/>
      <c r="I65" s="254"/>
      <c r="J65" s="254"/>
      <c r="K65" s="254"/>
      <c r="L65" s="254"/>
      <c r="M65" s="254"/>
      <c r="N65" s="254"/>
      <c r="O65" s="254"/>
      <c r="P65" s="254"/>
      <c r="Q65" s="254"/>
      <c r="R65" s="254"/>
      <c r="S65" s="232"/>
      <c r="T65" s="232"/>
      <c r="U65" s="232"/>
      <c r="V65" s="232"/>
    </row>
    <row r="66" spans="2:22" ht="15" customHeight="1" x14ac:dyDescent="0.25">
      <c r="B66" s="192"/>
      <c r="C66" s="192"/>
      <c r="D66" s="192"/>
      <c r="E66" s="192"/>
      <c r="F66" s="899"/>
      <c r="G66" s="900"/>
      <c r="H66" s="901"/>
      <c r="I66" s="890" t="s">
        <v>1417</v>
      </c>
      <c r="J66" s="890"/>
      <c r="K66" s="890"/>
      <c r="L66" s="890"/>
      <c r="M66" s="890"/>
      <c r="N66" s="890"/>
      <c r="O66" s="890"/>
      <c r="P66" s="890"/>
      <c r="Q66" s="890"/>
      <c r="R66" s="891"/>
      <c r="S66" s="232"/>
      <c r="T66" s="232"/>
      <c r="U66" s="232"/>
      <c r="V66" s="232"/>
    </row>
    <row r="67" spans="2:22" ht="15" customHeight="1" x14ac:dyDescent="0.25">
      <c r="B67" s="192"/>
      <c r="C67" s="192"/>
      <c r="D67" s="192"/>
      <c r="E67" s="192"/>
      <c r="F67" s="899"/>
      <c r="G67" s="900"/>
      <c r="H67" s="901"/>
      <c r="I67" s="892"/>
      <c r="J67" s="892"/>
      <c r="K67" s="892"/>
      <c r="L67" s="892"/>
      <c r="M67" s="892"/>
      <c r="N67" s="892"/>
      <c r="O67" s="892"/>
      <c r="P67" s="892"/>
      <c r="Q67" s="892"/>
      <c r="R67" s="893"/>
      <c r="S67" s="232"/>
      <c r="T67" s="232"/>
      <c r="U67" s="232"/>
      <c r="V67" s="232"/>
    </row>
    <row r="68" spans="2:22" ht="15" customHeight="1" x14ac:dyDescent="0.25">
      <c r="B68" s="192"/>
      <c r="C68" s="232"/>
      <c r="D68" s="232"/>
      <c r="E68" s="232"/>
      <c r="F68" s="899"/>
      <c r="G68" s="900"/>
      <c r="H68" s="901"/>
      <c r="I68" s="894"/>
      <c r="J68" s="894"/>
      <c r="K68" s="894"/>
      <c r="L68" s="894"/>
      <c r="M68" s="894"/>
      <c r="N68" s="894"/>
      <c r="O68" s="894"/>
      <c r="P68" s="894"/>
      <c r="Q68" s="894"/>
      <c r="R68" s="895"/>
      <c r="S68" s="232"/>
      <c r="T68" s="232"/>
      <c r="U68" s="232"/>
      <c r="V68" s="232"/>
    </row>
    <row r="69" spans="2:22" ht="15" customHeight="1" x14ac:dyDescent="0.25">
      <c r="B69" s="192"/>
      <c r="C69" s="232"/>
      <c r="D69" s="232"/>
      <c r="E69" s="232"/>
      <c r="F69" s="899"/>
      <c r="G69" s="900"/>
      <c r="H69" s="901"/>
      <c r="I69" s="255"/>
      <c r="J69" s="255"/>
      <c r="K69" s="255"/>
      <c r="L69" s="255"/>
      <c r="M69" s="255"/>
      <c r="N69" s="255"/>
      <c r="O69" s="255"/>
      <c r="P69" s="255"/>
      <c r="Q69" s="255"/>
      <c r="R69" s="255"/>
      <c r="S69" s="232"/>
      <c r="T69" s="232"/>
      <c r="U69" s="232"/>
      <c r="V69" s="232"/>
    </row>
    <row r="70" spans="2:22" ht="15" customHeight="1" x14ac:dyDescent="0.25">
      <c r="B70" s="192"/>
      <c r="C70" s="232"/>
      <c r="D70" s="232"/>
      <c r="E70" s="232"/>
      <c r="F70" s="899"/>
      <c r="G70" s="900"/>
      <c r="H70" s="901"/>
      <c r="I70" s="947" t="s">
        <v>1256</v>
      </c>
      <c r="J70" s="947"/>
      <c r="K70" s="948"/>
      <c r="L70" s="912">
        <v>0.40218399999999999</v>
      </c>
      <c r="M70" s="913"/>
      <c r="N70" s="914"/>
      <c r="O70" s="255"/>
      <c r="P70" s="255"/>
      <c r="Q70" s="255"/>
      <c r="R70" s="255"/>
      <c r="S70" s="232"/>
      <c r="T70" s="232"/>
      <c r="U70" s="232"/>
      <c r="V70" s="232"/>
    </row>
    <row r="71" spans="2:22" ht="15" customHeight="1" x14ac:dyDescent="0.25">
      <c r="B71" s="192"/>
      <c r="C71" s="232"/>
      <c r="D71" s="232"/>
      <c r="E71" s="232"/>
      <c r="F71" s="899"/>
      <c r="G71" s="900"/>
      <c r="H71" s="901"/>
      <c r="I71" s="947" t="s">
        <v>1257</v>
      </c>
      <c r="J71" s="947"/>
      <c r="K71" s="948"/>
      <c r="L71" s="912">
        <v>2.1535359999999999</v>
      </c>
      <c r="M71" s="913"/>
      <c r="N71" s="914"/>
      <c r="O71" s="255"/>
      <c r="P71" s="255"/>
      <c r="Q71" s="255"/>
      <c r="R71" s="255"/>
      <c r="S71" s="232"/>
      <c r="T71" s="232"/>
      <c r="U71" s="232"/>
      <c r="V71" s="232"/>
    </row>
    <row r="72" spans="2:22" ht="15" customHeight="1" x14ac:dyDescent="0.25">
      <c r="B72" s="192"/>
      <c r="C72" s="232"/>
      <c r="D72" s="232"/>
      <c r="E72" s="232"/>
      <c r="F72" s="899"/>
      <c r="G72" s="900"/>
      <c r="H72" s="901"/>
      <c r="I72" s="255"/>
      <c r="J72" s="255"/>
      <c r="K72" s="255"/>
      <c r="L72" s="255"/>
      <c r="M72" s="255"/>
      <c r="N72" s="255"/>
      <c r="O72" s="255"/>
      <c r="P72" s="255"/>
      <c r="Q72" s="255"/>
      <c r="R72" s="255"/>
      <c r="S72" s="232"/>
      <c r="T72" s="232"/>
      <c r="U72" s="232"/>
      <c r="V72" s="232"/>
    </row>
    <row r="73" spans="2:22" ht="15" customHeight="1" x14ac:dyDescent="0.25">
      <c r="B73" s="192"/>
      <c r="C73" s="232"/>
      <c r="D73" s="232"/>
      <c r="E73" s="232"/>
      <c r="F73" s="899"/>
      <c r="G73" s="900"/>
      <c r="H73" s="901"/>
      <c r="I73" s="255"/>
      <c r="J73" s="255"/>
      <c r="K73" s="255"/>
      <c r="L73" s="255"/>
      <c r="M73" s="255"/>
      <c r="N73" s="255"/>
      <c r="O73" s="255"/>
      <c r="P73" s="255"/>
      <c r="Q73" s="255"/>
      <c r="R73" s="255"/>
      <c r="S73" s="232"/>
      <c r="T73" s="232"/>
      <c r="U73" s="232"/>
      <c r="V73" s="232"/>
    </row>
    <row r="74" spans="2:22" ht="15" customHeight="1" x14ac:dyDescent="0.25">
      <c r="B74" s="192"/>
      <c r="C74" s="232"/>
      <c r="D74" s="232"/>
      <c r="E74" s="232"/>
      <c r="F74" s="899"/>
      <c r="G74" s="900"/>
      <c r="H74" s="901"/>
      <c r="I74" s="923" t="s">
        <v>1258</v>
      </c>
      <c r="J74" s="924"/>
      <c r="K74" s="256" t="s">
        <v>1005</v>
      </c>
      <c r="L74" s="251" t="s">
        <v>247</v>
      </c>
      <c r="M74" s="932" t="s">
        <v>1259</v>
      </c>
      <c r="N74" s="933"/>
      <c r="O74" s="933"/>
      <c r="P74" s="933"/>
      <c r="Q74" s="933"/>
      <c r="R74" s="934"/>
      <c r="S74" s="232"/>
      <c r="T74" s="232"/>
      <c r="U74" s="232"/>
      <c r="V74" s="232"/>
    </row>
    <row r="75" spans="2:22" ht="15" customHeight="1" x14ac:dyDescent="0.25">
      <c r="B75" s="192"/>
      <c r="C75" s="232"/>
      <c r="D75" s="232"/>
      <c r="E75" s="232"/>
      <c r="F75" s="899"/>
      <c r="G75" s="900"/>
      <c r="H75" s="901"/>
      <c r="I75" s="925"/>
      <c r="J75" s="926"/>
      <c r="K75" s="452">
        <v>0</v>
      </c>
      <c r="L75" s="452">
        <v>0.40218400000000004</v>
      </c>
      <c r="M75" s="944">
        <v>0.55218400000000001</v>
      </c>
      <c r="N75" s="945"/>
      <c r="O75" s="945"/>
      <c r="P75" s="945"/>
      <c r="Q75" s="945"/>
      <c r="R75" s="946"/>
      <c r="S75" s="232"/>
      <c r="T75" s="232"/>
      <c r="U75" s="232"/>
      <c r="V75" s="232"/>
    </row>
    <row r="76" spans="2:22" ht="15" customHeight="1" x14ac:dyDescent="0.25">
      <c r="B76" s="192"/>
      <c r="C76" s="232"/>
      <c r="D76" s="232"/>
      <c r="E76" s="232"/>
      <c r="F76" s="899"/>
      <c r="G76" s="900"/>
      <c r="H76" s="901"/>
      <c r="I76" s="925"/>
      <c r="J76" s="926"/>
      <c r="K76" s="452">
        <v>0.02</v>
      </c>
      <c r="L76" s="452">
        <v>0.44525472000000005</v>
      </c>
      <c r="M76" s="944">
        <v>0.59525472000000001</v>
      </c>
      <c r="N76" s="945"/>
      <c r="O76" s="945"/>
      <c r="P76" s="945"/>
      <c r="Q76" s="945"/>
      <c r="R76" s="946"/>
      <c r="S76" s="232"/>
      <c r="T76" s="232"/>
      <c r="U76" s="232"/>
      <c r="V76" s="232"/>
    </row>
    <row r="77" spans="2:22" ht="15" customHeight="1" x14ac:dyDescent="0.25">
      <c r="B77" s="192"/>
      <c r="C77" s="232"/>
      <c r="D77" s="232"/>
      <c r="E77" s="232"/>
      <c r="F77" s="899"/>
      <c r="G77" s="900"/>
      <c r="H77" s="901"/>
      <c r="I77" s="925"/>
      <c r="J77" s="926"/>
      <c r="K77" s="452">
        <v>0.04</v>
      </c>
      <c r="L77" s="452">
        <v>0.48832544000000006</v>
      </c>
      <c r="M77" s="944">
        <v>0.63832544000000002</v>
      </c>
      <c r="N77" s="945"/>
      <c r="O77" s="945"/>
      <c r="P77" s="945"/>
      <c r="Q77" s="945"/>
      <c r="R77" s="946"/>
      <c r="S77" s="232"/>
      <c r="T77" s="232"/>
      <c r="U77" s="232"/>
      <c r="V77" s="232"/>
    </row>
    <row r="78" spans="2:22" ht="15" customHeight="1" x14ac:dyDescent="0.25">
      <c r="B78" s="192"/>
      <c r="C78" s="232"/>
      <c r="D78" s="232"/>
      <c r="E78" s="232"/>
      <c r="F78" s="899"/>
      <c r="G78" s="900"/>
      <c r="H78" s="901"/>
      <c r="I78" s="925"/>
      <c r="J78" s="926"/>
      <c r="K78" s="452">
        <v>0.06</v>
      </c>
      <c r="L78" s="452">
        <v>0.53139616000000012</v>
      </c>
      <c r="M78" s="944">
        <v>0.68139616000000003</v>
      </c>
      <c r="N78" s="945"/>
      <c r="O78" s="945"/>
      <c r="P78" s="945"/>
      <c r="Q78" s="945"/>
      <c r="R78" s="946"/>
      <c r="S78" s="232"/>
      <c r="T78" s="232"/>
      <c r="U78" s="232"/>
      <c r="V78" s="232"/>
    </row>
    <row r="79" spans="2:22" ht="15" customHeight="1" x14ac:dyDescent="0.25">
      <c r="B79" s="192"/>
      <c r="C79" s="232"/>
      <c r="D79" s="232"/>
      <c r="E79" s="232"/>
      <c r="F79" s="899"/>
      <c r="G79" s="900"/>
      <c r="H79" s="901"/>
      <c r="I79" s="925"/>
      <c r="J79" s="926"/>
      <c r="K79" s="452">
        <v>0.08</v>
      </c>
      <c r="L79" s="452">
        <v>0.57446688000000012</v>
      </c>
      <c r="M79" s="944">
        <v>0.72446688000000004</v>
      </c>
      <c r="N79" s="945"/>
      <c r="O79" s="945"/>
      <c r="P79" s="945"/>
      <c r="Q79" s="945"/>
      <c r="R79" s="946"/>
      <c r="S79" s="232"/>
      <c r="T79" s="232"/>
      <c r="U79" s="232"/>
      <c r="V79" s="232"/>
    </row>
    <row r="80" spans="2:22" ht="15" customHeight="1" x14ac:dyDescent="0.25">
      <c r="B80" s="192"/>
      <c r="C80" s="232"/>
      <c r="D80" s="232"/>
      <c r="E80" s="232"/>
      <c r="F80" s="899"/>
      <c r="G80" s="900"/>
      <c r="H80" s="901"/>
      <c r="I80" s="925"/>
      <c r="J80" s="926"/>
      <c r="K80" s="452">
        <v>0.1</v>
      </c>
      <c r="L80" s="452">
        <v>0.61753760000000013</v>
      </c>
      <c r="M80" s="944">
        <v>0.76753760000000004</v>
      </c>
      <c r="N80" s="945"/>
      <c r="O80" s="945"/>
      <c r="P80" s="945"/>
      <c r="Q80" s="945"/>
      <c r="R80" s="946"/>
      <c r="S80" s="232"/>
      <c r="T80" s="232"/>
      <c r="U80" s="232"/>
      <c r="V80" s="232"/>
    </row>
    <row r="81" spans="2:22" ht="15" customHeight="1" x14ac:dyDescent="0.25">
      <c r="B81" s="192"/>
      <c r="C81" s="232"/>
      <c r="D81" s="232"/>
      <c r="E81" s="232"/>
      <c r="F81" s="899"/>
      <c r="G81" s="900"/>
      <c r="H81" s="901"/>
      <c r="I81" s="925"/>
      <c r="J81" s="926"/>
      <c r="K81" s="452">
        <v>0.15</v>
      </c>
      <c r="L81" s="452">
        <v>0.72521440000000004</v>
      </c>
      <c r="M81" s="944">
        <v>0.87521440000000006</v>
      </c>
      <c r="N81" s="945"/>
      <c r="O81" s="945"/>
      <c r="P81" s="945"/>
      <c r="Q81" s="945"/>
      <c r="R81" s="946"/>
      <c r="S81" s="232"/>
      <c r="T81" s="232"/>
      <c r="U81" s="232"/>
      <c r="V81" s="232"/>
    </row>
    <row r="82" spans="2:22" ht="15" customHeight="1" x14ac:dyDescent="0.25">
      <c r="B82" s="192"/>
      <c r="C82" s="232"/>
      <c r="D82" s="232"/>
      <c r="E82" s="232"/>
      <c r="F82" s="899"/>
      <c r="G82" s="900"/>
      <c r="H82" s="901"/>
      <c r="I82" s="927"/>
      <c r="J82" s="928"/>
      <c r="K82" s="452">
        <v>0.2</v>
      </c>
      <c r="L82" s="452">
        <v>0.83289120000000016</v>
      </c>
      <c r="M82" s="944">
        <v>0.98289120000000008</v>
      </c>
      <c r="N82" s="945"/>
      <c r="O82" s="945"/>
      <c r="P82" s="945"/>
      <c r="Q82" s="945"/>
      <c r="R82" s="946"/>
      <c r="S82" s="232"/>
      <c r="T82" s="232"/>
      <c r="U82" s="232"/>
      <c r="V82" s="232"/>
    </row>
    <row r="83" spans="2:22" x14ac:dyDescent="0.25">
      <c r="B83" s="192"/>
      <c r="C83" s="232"/>
      <c r="D83" s="232"/>
      <c r="E83" s="232"/>
      <c r="F83" s="899"/>
      <c r="G83" s="900"/>
      <c r="H83" s="901"/>
      <c r="I83" s="232"/>
      <c r="J83" s="232"/>
      <c r="K83" s="232"/>
      <c r="L83" s="232"/>
      <c r="M83" s="232"/>
      <c r="N83" s="232"/>
      <c r="O83" s="232"/>
      <c r="P83" s="232"/>
      <c r="Q83" s="232"/>
      <c r="R83" s="232"/>
      <c r="S83" s="232"/>
      <c r="T83" s="232"/>
      <c r="U83" s="232"/>
      <c r="V83" s="232"/>
    </row>
    <row r="84" spans="2:22" ht="15" customHeight="1" x14ac:dyDescent="0.25">
      <c r="B84" s="192"/>
      <c r="C84" s="232"/>
      <c r="D84" s="232"/>
      <c r="E84" s="232"/>
      <c r="F84" s="899"/>
      <c r="G84" s="900"/>
      <c r="H84" s="901"/>
      <c r="I84" s="923" t="s">
        <v>1261</v>
      </c>
      <c r="J84" s="924"/>
      <c r="K84" s="932" t="s">
        <v>1262</v>
      </c>
      <c r="L84" s="933"/>
      <c r="M84" s="933"/>
      <c r="N84" s="934"/>
      <c r="O84" s="232"/>
      <c r="P84" s="935" t="s">
        <v>1410</v>
      </c>
      <c r="Q84" s="936"/>
      <c r="R84" s="936"/>
      <c r="S84" s="936"/>
      <c r="T84" s="937"/>
      <c r="U84" s="232"/>
      <c r="V84" s="232"/>
    </row>
    <row r="85" spans="2:22" x14ac:dyDescent="0.25">
      <c r="B85" s="192"/>
      <c r="C85" s="232"/>
      <c r="D85" s="232"/>
      <c r="E85" s="232"/>
      <c r="F85" s="899"/>
      <c r="G85" s="900"/>
      <c r="H85" s="901"/>
      <c r="I85" s="925"/>
      <c r="J85" s="926"/>
      <c r="K85" s="14" t="s">
        <v>1256</v>
      </c>
      <c r="L85" s="16"/>
      <c r="M85" s="889">
        <f>M90</f>
        <v>0.63451065343552693</v>
      </c>
      <c r="N85" s="888"/>
      <c r="O85" s="232"/>
      <c r="P85" s="938"/>
      <c r="Q85" s="939"/>
      <c r="R85" s="939"/>
      <c r="S85" s="939"/>
      <c r="T85" s="940"/>
      <c r="U85" s="232"/>
      <c r="V85" s="232"/>
    </row>
    <row r="86" spans="2:22" x14ac:dyDescent="0.25">
      <c r="B86" s="192"/>
      <c r="C86" s="232"/>
      <c r="D86" s="232"/>
      <c r="E86" s="232"/>
      <c r="F86" s="899"/>
      <c r="G86" s="900"/>
      <c r="H86" s="901"/>
      <c r="I86" s="927"/>
      <c r="J86" s="928"/>
      <c r="K86" s="14" t="s">
        <v>1257</v>
      </c>
      <c r="L86" s="16"/>
      <c r="M86" s="887">
        <f>M91</f>
        <v>2.1535359999999999</v>
      </c>
      <c r="N86" s="888"/>
      <c r="O86" s="232"/>
      <c r="P86" s="941"/>
      <c r="Q86" s="942"/>
      <c r="R86" s="942"/>
      <c r="S86" s="942"/>
      <c r="T86" s="943"/>
      <c r="U86" s="232"/>
      <c r="V86" s="232"/>
    </row>
    <row r="87" spans="2:22" x14ac:dyDescent="0.25">
      <c r="B87" s="192"/>
      <c r="C87" s="232"/>
      <c r="D87" s="232"/>
      <c r="E87" s="232"/>
      <c r="F87" s="899"/>
      <c r="G87" s="900"/>
      <c r="H87" s="901"/>
      <c r="I87" s="232"/>
      <c r="J87" s="232"/>
      <c r="K87" s="232"/>
      <c r="L87" s="232"/>
      <c r="M87" s="232"/>
      <c r="N87" s="232"/>
      <c r="O87" s="232"/>
      <c r="P87" s="232"/>
      <c r="Q87" s="232"/>
      <c r="R87" s="232"/>
      <c r="S87" s="232"/>
      <c r="T87" s="232"/>
      <c r="U87" s="232"/>
      <c r="V87" s="232"/>
    </row>
    <row r="88" spans="2:22" x14ac:dyDescent="0.25">
      <c r="B88" s="192"/>
      <c r="C88" s="232"/>
      <c r="D88" s="232"/>
      <c r="E88" s="232"/>
      <c r="F88" s="899"/>
      <c r="G88" s="900"/>
      <c r="H88" s="901"/>
      <c r="I88" s="923" t="s">
        <v>1263</v>
      </c>
      <c r="J88" s="924"/>
      <c r="K88" s="14" t="s">
        <v>1005</v>
      </c>
      <c r="L88" s="16"/>
      <c r="M88" s="889">
        <f>'Summary of Input Data'!I25</f>
        <v>3.4239805149277824E-2</v>
      </c>
      <c r="N88" s="888"/>
      <c r="O88" s="232"/>
      <c r="P88" s="232"/>
      <c r="Q88" s="232"/>
      <c r="R88" s="232"/>
      <c r="S88" s="232"/>
      <c r="T88" s="232"/>
      <c r="U88" s="232"/>
      <c r="V88" s="232"/>
    </row>
    <row r="89" spans="2:22" x14ac:dyDescent="0.25">
      <c r="B89" s="192"/>
      <c r="C89" s="232"/>
      <c r="D89" s="232"/>
      <c r="E89" s="232"/>
      <c r="F89" s="899"/>
      <c r="G89" s="900"/>
      <c r="H89" s="901"/>
      <c r="I89" s="925"/>
      <c r="J89" s="926"/>
      <c r="K89" s="14" t="s">
        <v>247</v>
      </c>
      <c r="L89" s="16"/>
      <c r="M89" s="889">
        <f>'Summary of Input Data'!I30</f>
        <v>0.70824730645748213</v>
      </c>
      <c r="N89" s="888"/>
      <c r="O89" s="232"/>
      <c r="P89" s="232"/>
      <c r="Q89" s="232"/>
      <c r="R89" s="232"/>
      <c r="S89" s="232"/>
      <c r="T89" s="232"/>
      <c r="U89" s="232"/>
      <c r="V89" s="232"/>
    </row>
    <row r="90" spans="2:22" x14ac:dyDescent="0.25">
      <c r="B90" s="192"/>
      <c r="C90" s="232"/>
      <c r="D90" s="232"/>
      <c r="E90" s="232"/>
      <c r="F90" s="899"/>
      <c r="G90" s="900"/>
      <c r="H90" s="901"/>
      <c r="I90" s="925"/>
      <c r="J90" s="926"/>
      <c r="K90" s="14" t="s">
        <v>1256</v>
      </c>
      <c r="L90" s="16"/>
      <c r="M90" s="889">
        <f>$L$70+(M89-($L$71*M88+$L$70))</f>
        <v>0.63451065343552693</v>
      </c>
      <c r="N90" s="888"/>
      <c r="O90" s="232"/>
      <c r="P90" s="232"/>
      <c r="Q90" s="232"/>
      <c r="R90" s="232"/>
      <c r="S90" s="232"/>
      <c r="T90" s="232"/>
      <c r="U90" s="232"/>
      <c r="V90" s="232"/>
    </row>
    <row r="91" spans="2:22" x14ac:dyDescent="0.25">
      <c r="B91" s="192"/>
      <c r="C91" s="232"/>
      <c r="D91" s="232"/>
      <c r="E91" s="232"/>
      <c r="F91" s="902"/>
      <c r="G91" s="903"/>
      <c r="H91" s="904"/>
      <c r="I91" s="927"/>
      <c r="J91" s="928"/>
      <c r="K91" s="14" t="s">
        <v>1257</v>
      </c>
      <c r="L91" s="16"/>
      <c r="M91" s="921">
        <v>2.1535359999999999</v>
      </c>
      <c r="N91" s="922"/>
      <c r="O91" s="232"/>
      <c r="P91" s="232"/>
      <c r="Q91" s="232"/>
      <c r="R91" s="232"/>
      <c r="S91" s="232"/>
      <c r="T91" s="232"/>
      <c r="U91" s="232"/>
      <c r="V91" s="232"/>
    </row>
    <row r="92" spans="2:22" x14ac:dyDescent="0.25">
      <c r="B92" s="192"/>
      <c r="C92" s="232"/>
      <c r="D92" s="232"/>
      <c r="E92" s="232"/>
      <c r="F92" s="232"/>
      <c r="G92" s="232"/>
      <c r="H92" s="232"/>
      <c r="I92" s="232"/>
      <c r="J92" s="232"/>
      <c r="K92" s="232"/>
      <c r="L92" s="232"/>
      <c r="M92" s="232"/>
      <c r="N92" s="232"/>
      <c r="O92" s="232"/>
      <c r="P92" s="232"/>
      <c r="Q92" s="232"/>
      <c r="R92" s="232"/>
      <c r="S92" s="232"/>
      <c r="T92" s="232"/>
      <c r="U92" s="232"/>
      <c r="V92" s="232"/>
    </row>
    <row r="93" spans="2:22" x14ac:dyDescent="0.25">
      <c r="B93" s="192"/>
      <c r="C93" s="232"/>
      <c r="D93" s="232"/>
      <c r="E93" s="232"/>
      <c r="F93" s="232"/>
      <c r="G93" s="232"/>
      <c r="H93" s="232"/>
      <c r="I93" s="232"/>
      <c r="J93" s="232"/>
      <c r="K93" s="232"/>
      <c r="L93" s="232"/>
      <c r="M93" s="232"/>
      <c r="N93" s="232"/>
      <c r="O93" s="232"/>
      <c r="P93" s="232"/>
      <c r="Q93" s="232"/>
      <c r="R93" s="232"/>
      <c r="S93" s="232"/>
      <c r="T93" s="232"/>
      <c r="U93" s="232"/>
      <c r="V93" s="232"/>
    </row>
    <row r="94" spans="2:22" ht="15.75" x14ac:dyDescent="0.25">
      <c r="B94" s="192"/>
      <c r="C94" s="253" t="s">
        <v>1402</v>
      </c>
      <c r="D94" s="232"/>
      <c r="E94" s="232"/>
      <c r="F94" s="232"/>
      <c r="G94" s="232"/>
      <c r="H94" s="232"/>
      <c r="I94" s="232"/>
      <c r="J94" s="232"/>
      <c r="K94" s="232"/>
      <c r="L94" s="232"/>
      <c r="M94" s="232"/>
      <c r="N94" s="232"/>
      <c r="O94" s="232"/>
      <c r="P94" s="232"/>
      <c r="Q94" s="232"/>
      <c r="R94" s="232"/>
      <c r="S94" s="232"/>
      <c r="T94" s="232"/>
      <c r="U94" s="232"/>
      <c r="V94" s="232"/>
    </row>
    <row r="95" spans="2:22" x14ac:dyDescent="0.25">
      <c r="B95" s="192"/>
      <c r="C95" s="232"/>
      <c r="D95" s="232"/>
      <c r="E95" s="232"/>
      <c r="F95" s="232"/>
      <c r="G95" s="232"/>
      <c r="H95" s="232"/>
      <c r="I95" s="232"/>
      <c r="J95" s="232"/>
      <c r="K95" s="232"/>
      <c r="L95" s="232"/>
      <c r="M95" s="232"/>
      <c r="N95" s="232"/>
      <c r="O95" s="232"/>
      <c r="P95" s="232"/>
      <c r="Q95" s="232"/>
      <c r="R95" s="232"/>
      <c r="S95" s="232"/>
      <c r="T95" s="232"/>
      <c r="U95" s="232"/>
      <c r="V95" s="232"/>
    </row>
    <row r="96" spans="2:22" ht="15" customHeight="1" x14ac:dyDescent="0.25">
      <c r="B96" s="192"/>
      <c r="C96" s="232"/>
      <c r="D96" s="232"/>
      <c r="E96" s="232"/>
      <c r="F96" s="896" t="s">
        <v>1255</v>
      </c>
      <c r="G96" s="897"/>
      <c r="H96" s="898"/>
      <c r="I96" s="929" t="s">
        <v>1418</v>
      </c>
      <c r="J96" s="915"/>
      <c r="K96" s="915"/>
      <c r="L96" s="915"/>
      <c r="M96" s="915"/>
      <c r="N96" s="915"/>
      <c r="O96" s="915"/>
      <c r="P96" s="915"/>
      <c r="Q96" s="915"/>
      <c r="R96" s="916"/>
      <c r="S96" s="232"/>
      <c r="T96" s="232"/>
      <c r="U96" s="232"/>
      <c r="V96" s="232"/>
    </row>
    <row r="97" spans="2:22" x14ac:dyDescent="0.25">
      <c r="B97" s="192"/>
      <c r="C97" s="232"/>
      <c r="D97" s="232"/>
      <c r="E97" s="232"/>
      <c r="F97" s="899"/>
      <c r="G97" s="900"/>
      <c r="H97" s="901"/>
      <c r="I97" s="930"/>
      <c r="J97" s="917"/>
      <c r="K97" s="917"/>
      <c r="L97" s="917"/>
      <c r="M97" s="917"/>
      <c r="N97" s="917"/>
      <c r="O97" s="917"/>
      <c r="P97" s="917"/>
      <c r="Q97" s="917"/>
      <c r="R97" s="918"/>
      <c r="S97" s="232"/>
      <c r="T97" s="232"/>
      <c r="U97" s="232"/>
      <c r="V97" s="232"/>
    </row>
    <row r="98" spans="2:22" x14ac:dyDescent="0.25">
      <c r="B98" s="192"/>
      <c r="C98" s="232"/>
      <c r="D98" s="232"/>
      <c r="E98" s="232"/>
      <c r="F98" s="899"/>
      <c r="G98" s="900"/>
      <c r="H98" s="901"/>
      <c r="I98" s="930"/>
      <c r="J98" s="917"/>
      <c r="K98" s="917"/>
      <c r="L98" s="917"/>
      <c r="M98" s="917"/>
      <c r="N98" s="917"/>
      <c r="O98" s="917"/>
      <c r="P98" s="917"/>
      <c r="Q98" s="917"/>
      <c r="R98" s="918"/>
      <c r="S98" s="232"/>
      <c r="T98" s="232"/>
      <c r="U98" s="232"/>
      <c r="V98" s="232"/>
    </row>
    <row r="99" spans="2:22" x14ac:dyDescent="0.25">
      <c r="B99" s="192"/>
      <c r="C99" s="232"/>
      <c r="D99" s="232"/>
      <c r="E99" s="232"/>
      <c r="F99" s="899"/>
      <c r="G99" s="900"/>
      <c r="H99" s="901"/>
      <c r="I99" s="930"/>
      <c r="J99" s="917"/>
      <c r="K99" s="917"/>
      <c r="L99" s="917"/>
      <c r="M99" s="917"/>
      <c r="N99" s="917"/>
      <c r="O99" s="917"/>
      <c r="P99" s="917"/>
      <c r="Q99" s="917"/>
      <c r="R99" s="918"/>
      <c r="S99" s="232"/>
      <c r="T99" s="232"/>
      <c r="U99" s="232"/>
      <c r="V99" s="232"/>
    </row>
    <row r="100" spans="2:22" x14ac:dyDescent="0.25">
      <c r="B100" s="192"/>
      <c r="C100" s="232"/>
      <c r="D100" s="232"/>
      <c r="E100" s="232"/>
      <c r="F100" s="899"/>
      <c r="G100" s="900"/>
      <c r="H100" s="901"/>
      <c r="I100" s="930"/>
      <c r="J100" s="917"/>
      <c r="K100" s="917"/>
      <c r="L100" s="917"/>
      <c r="M100" s="917"/>
      <c r="N100" s="917"/>
      <c r="O100" s="917"/>
      <c r="P100" s="917"/>
      <c r="Q100" s="917"/>
      <c r="R100" s="918"/>
      <c r="S100" s="232"/>
      <c r="T100" s="232"/>
      <c r="U100" s="232"/>
      <c r="V100" s="232"/>
    </row>
    <row r="101" spans="2:22" ht="7.5" customHeight="1" x14ac:dyDescent="0.25">
      <c r="B101" s="192"/>
      <c r="C101" s="232"/>
      <c r="D101" s="232"/>
      <c r="E101" s="232"/>
      <c r="F101" s="899"/>
      <c r="G101" s="900"/>
      <c r="H101" s="901"/>
      <c r="I101" s="930"/>
      <c r="J101" s="917"/>
      <c r="K101" s="917"/>
      <c r="L101" s="917"/>
      <c r="M101" s="917"/>
      <c r="N101" s="917"/>
      <c r="O101" s="917"/>
      <c r="P101" s="917"/>
      <c r="Q101" s="917"/>
      <c r="R101" s="918"/>
      <c r="S101" s="232"/>
      <c r="T101" s="232"/>
      <c r="U101" s="232"/>
      <c r="V101" s="232"/>
    </row>
    <row r="102" spans="2:22" ht="7.5" customHeight="1" x14ac:dyDescent="0.25">
      <c r="B102" s="192"/>
      <c r="C102" s="232"/>
      <c r="D102" s="232"/>
      <c r="E102" s="232"/>
      <c r="F102" s="902"/>
      <c r="G102" s="903"/>
      <c r="H102" s="904"/>
      <c r="I102" s="931"/>
      <c r="J102" s="919"/>
      <c r="K102" s="919"/>
      <c r="L102" s="919"/>
      <c r="M102" s="919"/>
      <c r="N102" s="919"/>
      <c r="O102" s="919"/>
      <c r="P102" s="919"/>
      <c r="Q102" s="919"/>
      <c r="R102" s="920"/>
      <c r="S102" s="232"/>
      <c r="T102" s="232"/>
      <c r="U102" s="232"/>
      <c r="V102" s="232"/>
    </row>
    <row r="103" spans="2:22" x14ac:dyDescent="0.25">
      <c r="B103" s="192"/>
      <c r="C103" s="232"/>
      <c r="D103" s="232"/>
      <c r="E103" s="232"/>
      <c r="F103" s="896" t="s">
        <v>1260</v>
      </c>
      <c r="G103" s="897"/>
      <c r="H103" s="898"/>
      <c r="I103" s="915" t="s">
        <v>1419</v>
      </c>
      <c r="J103" s="915"/>
      <c r="K103" s="915"/>
      <c r="L103" s="915"/>
      <c r="M103" s="915"/>
      <c r="N103" s="915"/>
      <c r="O103" s="915"/>
      <c r="P103" s="915"/>
      <c r="Q103" s="915"/>
      <c r="R103" s="916"/>
      <c r="S103" s="232"/>
      <c r="T103" s="232"/>
      <c r="U103" s="232"/>
      <c r="V103" s="232"/>
    </row>
    <row r="104" spans="2:22" x14ac:dyDescent="0.25">
      <c r="B104" s="192"/>
      <c r="C104" s="232"/>
      <c r="D104" s="232"/>
      <c r="E104" s="232"/>
      <c r="F104" s="899"/>
      <c r="G104" s="900"/>
      <c r="H104" s="901"/>
      <c r="I104" s="917"/>
      <c r="J104" s="917"/>
      <c r="K104" s="917"/>
      <c r="L104" s="917"/>
      <c r="M104" s="917"/>
      <c r="N104" s="917"/>
      <c r="O104" s="917"/>
      <c r="P104" s="917"/>
      <c r="Q104" s="917"/>
      <c r="R104" s="918"/>
      <c r="S104" s="232"/>
      <c r="T104" s="232"/>
      <c r="U104" s="232"/>
      <c r="V104" s="232"/>
    </row>
    <row r="105" spans="2:22" x14ac:dyDescent="0.25">
      <c r="B105" s="192"/>
      <c r="C105" s="232"/>
      <c r="D105" s="232"/>
      <c r="E105" s="232"/>
      <c r="F105" s="899"/>
      <c r="G105" s="900"/>
      <c r="H105" s="901"/>
      <c r="I105" s="917"/>
      <c r="J105" s="917"/>
      <c r="K105" s="917"/>
      <c r="L105" s="917"/>
      <c r="M105" s="917"/>
      <c r="N105" s="917"/>
      <c r="O105" s="917"/>
      <c r="P105" s="917"/>
      <c r="Q105" s="917"/>
      <c r="R105" s="918"/>
      <c r="S105" s="232"/>
      <c r="T105" s="232"/>
      <c r="U105" s="232"/>
      <c r="V105" s="232"/>
    </row>
    <row r="106" spans="2:22" x14ac:dyDescent="0.25">
      <c r="B106" s="192"/>
      <c r="C106" s="232"/>
      <c r="D106" s="232"/>
      <c r="E106" s="232"/>
      <c r="F106" s="899"/>
      <c r="G106" s="900"/>
      <c r="H106" s="901"/>
      <c r="I106" s="917"/>
      <c r="J106" s="917"/>
      <c r="K106" s="917"/>
      <c r="L106" s="917"/>
      <c r="M106" s="917"/>
      <c r="N106" s="917"/>
      <c r="O106" s="917"/>
      <c r="P106" s="917"/>
      <c r="Q106" s="917"/>
      <c r="R106" s="918"/>
      <c r="S106" s="232"/>
      <c r="T106" s="232"/>
      <c r="U106" s="232"/>
      <c r="V106" s="232"/>
    </row>
    <row r="107" spans="2:22" x14ac:dyDescent="0.25">
      <c r="B107" s="192"/>
      <c r="C107" s="232"/>
      <c r="D107" s="232"/>
      <c r="E107" s="232"/>
      <c r="F107" s="899"/>
      <c r="G107" s="900"/>
      <c r="H107" s="901"/>
      <c r="I107" s="917"/>
      <c r="J107" s="917"/>
      <c r="K107" s="917"/>
      <c r="L107" s="917"/>
      <c r="M107" s="917"/>
      <c r="N107" s="917"/>
      <c r="O107" s="917"/>
      <c r="P107" s="917"/>
      <c r="Q107" s="917"/>
      <c r="R107" s="918"/>
      <c r="S107" s="232"/>
      <c r="T107" s="232"/>
      <c r="U107" s="232"/>
      <c r="V107" s="232"/>
    </row>
    <row r="108" spans="2:22" ht="219" customHeight="1" x14ac:dyDescent="0.25">
      <c r="B108" s="192"/>
      <c r="C108" s="232"/>
      <c r="D108" s="232"/>
      <c r="E108" s="232"/>
      <c r="F108" s="899"/>
      <c r="G108" s="900"/>
      <c r="H108" s="901"/>
      <c r="I108" s="919"/>
      <c r="J108" s="919"/>
      <c r="K108" s="919"/>
      <c r="L108" s="919"/>
      <c r="M108" s="919"/>
      <c r="N108" s="919"/>
      <c r="O108" s="919"/>
      <c r="P108" s="919"/>
      <c r="Q108" s="919"/>
      <c r="R108" s="920"/>
      <c r="S108" s="232"/>
      <c r="T108" s="232"/>
      <c r="U108" s="232"/>
      <c r="V108" s="232"/>
    </row>
    <row r="109" spans="2:22" x14ac:dyDescent="0.25">
      <c r="B109" s="192"/>
      <c r="C109" s="232"/>
      <c r="D109" s="232"/>
      <c r="E109" s="232"/>
      <c r="F109" s="899"/>
      <c r="G109" s="900"/>
      <c r="H109" s="901"/>
      <c r="I109" s="955" t="s">
        <v>1420</v>
      </c>
      <c r="J109" s="955"/>
      <c r="K109" s="955"/>
      <c r="L109" s="955"/>
      <c r="M109" s="955"/>
      <c r="N109" s="955"/>
      <c r="O109" s="955"/>
      <c r="P109" s="955"/>
      <c r="Q109" s="955"/>
      <c r="R109" s="956"/>
      <c r="S109" s="232"/>
      <c r="T109" s="232"/>
      <c r="U109" s="232"/>
      <c r="V109" s="232"/>
    </row>
    <row r="110" spans="2:22" x14ac:dyDescent="0.25">
      <c r="B110" s="192"/>
      <c r="C110" s="232"/>
      <c r="D110" s="232"/>
      <c r="E110" s="232"/>
      <c r="F110" s="899"/>
      <c r="G110" s="900"/>
      <c r="H110" s="901"/>
      <c r="I110" s="957"/>
      <c r="J110" s="957"/>
      <c r="K110" s="957"/>
      <c r="L110" s="957"/>
      <c r="M110" s="957"/>
      <c r="N110" s="957"/>
      <c r="O110" s="957"/>
      <c r="P110" s="957"/>
      <c r="Q110" s="957"/>
      <c r="R110" s="958"/>
      <c r="S110" s="232"/>
      <c r="T110" s="232"/>
      <c r="U110" s="232"/>
      <c r="V110" s="232"/>
    </row>
    <row r="111" spans="2:22" x14ac:dyDescent="0.25">
      <c r="B111" s="192"/>
      <c r="C111" s="232"/>
      <c r="D111" s="232"/>
      <c r="E111" s="232"/>
      <c r="F111" s="899"/>
      <c r="G111" s="900"/>
      <c r="H111" s="901"/>
      <c r="I111" s="959"/>
      <c r="J111" s="959"/>
      <c r="K111" s="959"/>
      <c r="L111" s="959"/>
      <c r="M111" s="959"/>
      <c r="N111" s="959"/>
      <c r="O111" s="959"/>
      <c r="P111" s="959"/>
      <c r="Q111" s="959"/>
      <c r="R111" s="960"/>
      <c r="S111" s="232"/>
      <c r="T111" s="232"/>
      <c r="U111" s="232"/>
      <c r="V111" s="232"/>
    </row>
    <row r="112" spans="2:22" x14ac:dyDescent="0.25">
      <c r="B112" s="192"/>
      <c r="C112" s="232"/>
      <c r="D112" s="232"/>
      <c r="E112" s="232"/>
      <c r="F112" s="899"/>
      <c r="G112" s="900"/>
      <c r="H112" s="901"/>
      <c r="I112" s="232"/>
      <c r="J112" s="232"/>
      <c r="K112" s="232"/>
      <c r="L112" s="232"/>
      <c r="M112" s="232"/>
      <c r="N112" s="232"/>
      <c r="O112" s="232"/>
      <c r="P112" s="232"/>
      <c r="Q112" s="232"/>
      <c r="R112" s="232"/>
      <c r="S112" s="232"/>
      <c r="T112" s="232"/>
      <c r="U112" s="232"/>
      <c r="V112" s="232"/>
    </row>
    <row r="113" spans="2:22" x14ac:dyDescent="0.25">
      <c r="B113" s="192"/>
      <c r="C113" s="232"/>
      <c r="D113" s="232"/>
      <c r="E113" s="232"/>
      <c r="F113" s="899"/>
      <c r="G113" s="900"/>
      <c r="H113" s="901"/>
      <c r="I113" s="232"/>
      <c r="J113" s="232"/>
      <c r="K113" s="232"/>
      <c r="L113" s="232"/>
      <c r="M113" s="232"/>
      <c r="N113" s="232"/>
      <c r="O113" s="232"/>
      <c r="P113" s="232"/>
      <c r="Q113" s="232"/>
      <c r="R113" s="232"/>
      <c r="S113" s="232"/>
      <c r="T113" s="232"/>
      <c r="U113" s="232"/>
      <c r="V113" s="232"/>
    </row>
    <row r="114" spans="2:22" x14ac:dyDescent="0.25">
      <c r="B114" s="192"/>
      <c r="C114" s="232"/>
      <c r="D114" s="232"/>
      <c r="E114" s="232"/>
      <c r="F114" s="899"/>
      <c r="G114" s="900"/>
      <c r="H114" s="901"/>
      <c r="I114" s="232"/>
      <c r="J114" s="232"/>
      <c r="K114" s="232"/>
      <c r="L114" s="232"/>
      <c r="M114" s="232"/>
      <c r="N114" s="232"/>
      <c r="O114" s="232"/>
      <c r="P114" s="232"/>
      <c r="Q114" s="232"/>
      <c r="R114" s="232"/>
      <c r="S114" s="232"/>
      <c r="T114" s="232"/>
      <c r="U114" s="232"/>
      <c r="V114" s="232"/>
    </row>
    <row r="115" spans="2:22" x14ac:dyDescent="0.25">
      <c r="B115" s="192"/>
      <c r="C115" s="232"/>
      <c r="D115" s="232"/>
      <c r="E115" s="232"/>
      <c r="F115" s="899"/>
      <c r="G115" s="900"/>
      <c r="H115" s="901"/>
      <c r="I115" s="232"/>
      <c r="J115" s="232"/>
      <c r="K115" s="232"/>
      <c r="L115" s="232"/>
      <c r="M115" s="232"/>
      <c r="N115" s="232"/>
      <c r="O115" s="232"/>
      <c r="P115" s="232"/>
      <c r="Q115" s="232"/>
      <c r="R115" s="232"/>
      <c r="S115" s="232"/>
      <c r="T115" s="232"/>
      <c r="U115" s="232"/>
      <c r="V115" s="232"/>
    </row>
    <row r="116" spans="2:22" ht="15" customHeight="1" x14ac:dyDescent="0.25">
      <c r="B116" s="192"/>
      <c r="C116" s="232"/>
      <c r="D116" s="232"/>
      <c r="E116" s="232"/>
      <c r="F116" s="899"/>
      <c r="G116" s="900"/>
      <c r="H116" s="901"/>
      <c r="I116" s="961" t="s">
        <v>1263</v>
      </c>
      <c r="J116" s="961"/>
      <c r="K116" s="962"/>
      <c r="L116" s="963" t="s">
        <v>1263</v>
      </c>
      <c r="M116" s="961"/>
      <c r="N116" s="962"/>
      <c r="O116" s="232"/>
      <c r="P116" s="232"/>
      <c r="Q116" s="232"/>
      <c r="R116" s="232"/>
      <c r="S116" s="232"/>
      <c r="T116" s="232"/>
      <c r="U116" s="232"/>
      <c r="V116" s="232"/>
    </row>
    <row r="117" spans="2:22" x14ac:dyDescent="0.25">
      <c r="B117" s="192"/>
      <c r="C117" s="232"/>
      <c r="D117" s="232"/>
      <c r="E117" s="232"/>
      <c r="F117" s="899"/>
      <c r="G117" s="900"/>
      <c r="H117" s="901"/>
      <c r="I117" s="2" t="s">
        <v>1271</v>
      </c>
      <c r="J117" s="2"/>
      <c r="K117" s="3"/>
      <c r="L117" s="887">
        <f>IF(Summary!G25="Eco IRB",0.1204,-0.0218)</f>
        <v>-2.18E-2</v>
      </c>
      <c r="M117" s="964"/>
      <c r="N117" s="888"/>
      <c r="O117" s="232"/>
      <c r="P117" s="232"/>
      <c r="Q117" s="232"/>
      <c r="R117" s="232"/>
      <c r="S117" s="232"/>
      <c r="T117" s="232"/>
      <c r="U117" s="232"/>
      <c r="V117" s="232"/>
    </row>
    <row r="118" spans="2:22" x14ac:dyDescent="0.25">
      <c r="B118" s="192"/>
      <c r="C118" s="232"/>
      <c r="D118" s="232"/>
      <c r="E118" s="232"/>
      <c r="F118" s="899"/>
      <c r="G118" s="900"/>
      <c r="H118" s="901"/>
      <c r="I118" s="4" t="s">
        <v>1272</v>
      </c>
      <c r="J118" s="4"/>
      <c r="K118" s="257"/>
      <c r="L118" s="887">
        <f>IF(Summary!G25="Eco IRB",-0.0491,-0.0107)</f>
        <v>-1.0699999999999999E-2</v>
      </c>
      <c r="M118" s="964"/>
      <c r="N118" s="888"/>
      <c r="O118" s="232"/>
      <c r="P118" s="232"/>
      <c r="Q118" s="232"/>
      <c r="R118" s="232"/>
      <c r="S118" s="232"/>
      <c r="T118" s="232"/>
      <c r="U118" s="232"/>
      <c r="V118" s="232"/>
    </row>
    <row r="119" spans="2:22" x14ac:dyDescent="0.25">
      <c r="B119" s="192"/>
      <c r="C119" s="232"/>
      <c r="D119" s="232"/>
      <c r="E119" s="232"/>
      <c r="F119" s="902"/>
      <c r="G119" s="903"/>
      <c r="H119" s="904"/>
      <c r="I119" s="259" t="s">
        <v>1273</v>
      </c>
      <c r="J119" s="259"/>
      <c r="K119" s="260"/>
      <c r="L119" s="887">
        <f>IF(Summary!G25="Eco IRB",0.0059,0.0044)</f>
        <v>4.4000000000000003E-3</v>
      </c>
      <c r="M119" s="964"/>
      <c r="N119" s="888"/>
      <c r="O119" s="232"/>
      <c r="P119" s="232"/>
      <c r="Q119" s="232"/>
      <c r="R119" s="232"/>
      <c r="S119" s="232"/>
      <c r="T119" s="232"/>
      <c r="U119" s="232"/>
      <c r="V119" s="232"/>
    </row>
    <row r="120" spans="2:22" x14ac:dyDescent="0.25">
      <c r="B120" s="192"/>
      <c r="C120" s="232"/>
      <c r="D120" s="232"/>
      <c r="E120" s="232"/>
      <c r="F120" s="232"/>
      <c r="G120" s="232"/>
      <c r="H120" s="232"/>
      <c r="I120" s="232"/>
      <c r="J120" s="232"/>
      <c r="K120" s="232"/>
      <c r="L120" s="232"/>
      <c r="M120" s="232"/>
      <c r="N120" s="232"/>
      <c r="O120" s="232"/>
      <c r="P120" s="232"/>
      <c r="Q120" s="232"/>
      <c r="R120" s="232"/>
      <c r="S120" s="232"/>
      <c r="T120" s="232"/>
      <c r="U120" s="232"/>
      <c r="V120" s="232"/>
    </row>
    <row r="121" spans="2:22" ht="15.75" x14ac:dyDescent="0.25">
      <c r="B121" s="192"/>
      <c r="C121" s="253" t="s">
        <v>1274</v>
      </c>
      <c r="D121" s="232"/>
      <c r="E121" s="232"/>
      <c r="F121" s="232"/>
      <c r="G121" s="232"/>
      <c r="H121" s="232"/>
      <c r="I121" s="232"/>
      <c r="J121" s="232"/>
      <c r="K121" s="232"/>
      <c r="L121" s="232"/>
      <c r="M121" s="232"/>
      <c r="N121" s="232"/>
      <c r="O121" s="232"/>
      <c r="P121" s="232"/>
      <c r="Q121" s="232"/>
      <c r="R121" s="232"/>
      <c r="S121" s="232"/>
      <c r="T121" s="232"/>
      <c r="U121" s="232"/>
      <c r="V121" s="232"/>
    </row>
    <row r="122" spans="2:22" x14ac:dyDescent="0.25">
      <c r="B122" s="192"/>
      <c r="C122" s="232"/>
      <c r="D122" s="232"/>
      <c r="E122" s="232"/>
      <c r="F122" s="232"/>
      <c r="G122" s="232"/>
      <c r="H122" s="232"/>
      <c r="I122" s="232"/>
      <c r="J122" s="232"/>
      <c r="K122" s="232"/>
      <c r="L122" s="232"/>
      <c r="M122" s="232"/>
      <c r="N122" s="232"/>
      <c r="O122" s="232"/>
      <c r="P122" s="232"/>
      <c r="Q122" s="232"/>
      <c r="R122" s="232"/>
      <c r="S122" s="232"/>
      <c r="T122" s="232"/>
      <c r="U122" s="232"/>
      <c r="V122" s="232"/>
    </row>
    <row r="123" spans="2:22" ht="15" customHeight="1" x14ac:dyDescent="0.25">
      <c r="B123" s="192"/>
      <c r="C123" s="232"/>
      <c r="D123" s="232"/>
      <c r="E123" s="232"/>
      <c r="F123" s="896" t="s">
        <v>1255</v>
      </c>
      <c r="G123" s="897"/>
      <c r="H123" s="898"/>
      <c r="I123" s="929" t="s">
        <v>1421</v>
      </c>
      <c r="J123" s="915"/>
      <c r="K123" s="915"/>
      <c r="L123" s="915"/>
      <c r="M123" s="915"/>
      <c r="N123" s="915"/>
      <c r="O123" s="915"/>
      <c r="P123" s="915"/>
      <c r="Q123" s="915"/>
      <c r="R123" s="916"/>
      <c r="S123" s="232"/>
      <c r="T123" s="232"/>
      <c r="U123" s="232"/>
      <c r="V123" s="232"/>
    </row>
    <row r="124" spans="2:22" x14ac:dyDescent="0.25">
      <c r="B124" s="192"/>
      <c r="C124" s="232"/>
      <c r="D124" s="232"/>
      <c r="E124" s="232"/>
      <c r="F124" s="899"/>
      <c r="G124" s="900"/>
      <c r="H124" s="901"/>
      <c r="I124" s="930"/>
      <c r="J124" s="917"/>
      <c r="K124" s="917"/>
      <c r="L124" s="917"/>
      <c r="M124" s="917"/>
      <c r="N124" s="917"/>
      <c r="O124" s="917"/>
      <c r="P124" s="917"/>
      <c r="Q124" s="917"/>
      <c r="R124" s="918"/>
      <c r="S124" s="232"/>
      <c r="T124" s="232"/>
      <c r="U124" s="232"/>
      <c r="V124" s="232"/>
    </row>
    <row r="125" spans="2:22" x14ac:dyDescent="0.25">
      <c r="B125" s="192"/>
      <c r="C125" s="232"/>
      <c r="D125" s="232"/>
      <c r="E125" s="232"/>
      <c r="F125" s="899"/>
      <c r="G125" s="900"/>
      <c r="H125" s="901"/>
      <c r="I125" s="930"/>
      <c r="J125" s="917"/>
      <c r="K125" s="917"/>
      <c r="L125" s="917"/>
      <c r="M125" s="917"/>
      <c r="N125" s="917"/>
      <c r="O125" s="917"/>
      <c r="P125" s="917"/>
      <c r="Q125" s="917"/>
      <c r="R125" s="918"/>
      <c r="S125" s="232"/>
      <c r="T125" s="232"/>
      <c r="U125" s="232"/>
      <c r="V125" s="232"/>
    </row>
    <row r="126" spans="2:22" x14ac:dyDescent="0.25">
      <c r="B126" s="192"/>
      <c r="C126" s="232"/>
      <c r="D126" s="232"/>
      <c r="E126" s="232"/>
      <c r="F126" s="899"/>
      <c r="G126" s="900"/>
      <c r="H126" s="901"/>
      <c r="I126" s="930"/>
      <c r="J126" s="917"/>
      <c r="K126" s="917"/>
      <c r="L126" s="917"/>
      <c r="M126" s="917"/>
      <c r="N126" s="917"/>
      <c r="O126" s="917"/>
      <c r="P126" s="917"/>
      <c r="Q126" s="917"/>
      <c r="R126" s="918"/>
      <c r="S126" s="232"/>
      <c r="T126" s="232"/>
      <c r="U126" s="232"/>
      <c r="V126" s="232"/>
    </row>
    <row r="127" spans="2:22" x14ac:dyDescent="0.25">
      <c r="B127" s="192"/>
      <c r="C127" s="232"/>
      <c r="D127" s="232"/>
      <c r="E127" s="232"/>
      <c r="F127" s="899"/>
      <c r="G127" s="900"/>
      <c r="H127" s="901"/>
      <c r="I127" s="930"/>
      <c r="J127" s="917"/>
      <c r="K127" s="917"/>
      <c r="L127" s="917"/>
      <c r="M127" s="917"/>
      <c r="N127" s="917"/>
      <c r="O127" s="917"/>
      <c r="P127" s="917"/>
      <c r="Q127" s="917"/>
      <c r="R127" s="918"/>
      <c r="S127" s="232"/>
      <c r="T127" s="232"/>
      <c r="U127" s="232"/>
      <c r="V127" s="232"/>
    </row>
    <row r="128" spans="2:22" x14ac:dyDescent="0.25">
      <c r="B128" s="192"/>
      <c r="C128" s="232"/>
      <c r="D128" s="232"/>
      <c r="E128" s="232"/>
      <c r="F128" s="902"/>
      <c r="G128" s="903"/>
      <c r="H128" s="904"/>
      <c r="I128" s="931"/>
      <c r="J128" s="919"/>
      <c r="K128" s="919"/>
      <c r="L128" s="919"/>
      <c r="M128" s="919"/>
      <c r="N128" s="919"/>
      <c r="O128" s="919"/>
      <c r="P128" s="919"/>
      <c r="Q128" s="919"/>
      <c r="R128" s="920"/>
      <c r="S128" s="232"/>
      <c r="T128" s="232"/>
      <c r="U128" s="232"/>
      <c r="V128" s="232"/>
    </row>
    <row r="129" spans="2:22" ht="15" customHeight="1" x14ac:dyDescent="0.25">
      <c r="B129" s="192"/>
      <c r="C129" s="232"/>
      <c r="D129" s="232"/>
      <c r="E129" s="232"/>
      <c r="F129" s="896" t="s">
        <v>1260</v>
      </c>
      <c r="G129" s="897"/>
      <c r="H129" s="898"/>
      <c r="I129" s="915" t="s">
        <v>1422</v>
      </c>
      <c r="J129" s="915"/>
      <c r="K129" s="915"/>
      <c r="L129" s="915"/>
      <c r="M129" s="915"/>
      <c r="N129" s="915"/>
      <c r="O129" s="915"/>
      <c r="P129" s="915"/>
      <c r="Q129" s="915"/>
      <c r="R129" s="916"/>
      <c r="S129" s="232"/>
      <c r="T129" s="232"/>
      <c r="U129" s="232"/>
      <c r="V129" s="232"/>
    </row>
    <row r="130" spans="2:22" x14ac:dyDescent="0.25">
      <c r="B130" s="192"/>
      <c r="C130" s="232"/>
      <c r="D130" s="232"/>
      <c r="E130" s="232"/>
      <c r="F130" s="899"/>
      <c r="G130" s="900"/>
      <c r="H130" s="901"/>
      <c r="I130" s="917"/>
      <c r="J130" s="917"/>
      <c r="K130" s="917"/>
      <c r="L130" s="917"/>
      <c r="M130" s="917"/>
      <c r="N130" s="917"/>
      <c r="O130" s="917"/>
      <c r="P130" s="917"/>
      <c r="Q130" s="917"/>
      <c r="R130" s="918"/>
      <c r="S130" s="232"/>
      <c r="T130" s="232"/>
      <c r="U130" s="232"/>
      <c r="V130" s="232"/>
    </row>
    <row r="131" spans="2:22" x14ac:dyDescent="0.25">
      <c r="B131" s="192"/>
      <c r="C131" s="232"/>
      <c r="D131" s="232"/>
      <c r="E131" s="232"/>
      <c r="F131" s="899"/>
      <c r="G131" s="900"/>
      <c r="H131" s="901"/>
      <c r="I131" s="917"/>
      <c r="J131" s="917"/>
      <c r="K131" s="917"/>
      <c r="L131" s="917"/>
      <c r="M131" s="917"/>
      <c r="N131" s="917"/>
      <c r="O131" s="917"/>
      <c r="P131" s="917"/>
      <c r="Q131" s="917"/>
      <c r="R131" s="918"/>
      <c r="S131" s="232"/>
      <c r="T131" s="232"/>
      <c r="U131" s="232"/>
      <c r="V131" s="232"/>
    </row>
    <row r="132" spans="2:22" x14ac:dyDescent="0.25">
      <c r="B132" s="192"/>
      <c r="C132" s="232"/>
      <c r="D132" s="232"/>
      <c r="E132" s="232"/>
      <c r="F132" s="899"/>
      <c r="G132" s="900"/>
      <c r="H132" s="901"/>
      <c r="I132" s="917"/>
      <c r="J132" s="917"/>
      <c r="K132" s="917"/>
      <c r="L132" s="917"/>
      <c r="M132" s="917"/>
      <c r="N132" s="917"/>
      <c r="O132" s="917"/>
      <c r="P132" s="917"/>
      <c r="Q132" s="917"/>
      <c r="R132" s="918"/>
      <c r="S132" s="232"/>
      <c r="T132" s="232"/>
      <c r="U132" s="232"/>
      <c r="V132" s="232"/>
    </row>
    <row r="133" spans="2:22" ht="7.5" customHeight="1" x14ac:dyDescent="0.25">
      <c r="B133" s="192"/>
      <c r="C133" s="232"/>
      <c r="D133" s="232"/>
      <c r="E133" s="232"/>
      <c r="F133" s="899"/>
      <c r="G133" s="900"/>
      <c r="H133" s="901"/>
      <c r="I133" s="917"/>
      <c r="J133" s="917"/>
      <c r="K133" s="917"/>
      <c r="L133" s="917"/>
      <c r="M133" s="917"/>
      <c r="N133" s="917"/>
      <c r="O133" s="917"/>
      <c r="P133" s="917"/>
      <c r="Q133" s="917"/>
      <c r="R133" s="918"/>
      <c r="S133" s="232"/>
      <c r="T133" s="232"/>
      <c r="U133" s="232"/>
      <c r="V133" s="232"/>
    </row>
    <row r="134" spans="2:22" ht="7.5" customHeight="1" x14ac:dyDescent="0.25">
      <c r="B134" s="192"/>
      <c r="C134" s="232"/>
      <c r="D134" s="232"/>
      <c r="E134" s="232"/>
      <c r="F134" s="899"/>
      <c r="G134" s="900"/>
      <c r="H134" s="901"/>
      <c r="I134" s="919"/>
      <c r="J134" s="919"/>
      <c r="K134" s="919"/>
      <c r="L134" s="919"/>
      <c r="M134" s="919"/>
      <c r="N134" s="919"/>
      <c r="O134" s="919"/>
      <c r="P134" s="919"/>
      <c r="Q134" s="919"/>
      <c r="R134" s="920"/>
      <c r="S134" s="232"/>
      <c r="T134" s="232"/>
      <c r="U134" s="232"/>
      <c r="V134" s="232"/>
    </row>
    <row r="135" spans="2:22" ht="15" customHeight="1" x14ac:dyDescent="0.25">
      <c r="B135" s="192"/>
      <c r="C135" s="232"/>
      <c r="D135" s="232"/>
      <c r="E135" s="232"/>
      <c r="F135" s="899"/>
      <c r="G135" s="900"/>
      <c r="H135" s="901"/>
      <c r="I135" s="915" t="s">
        <v>1423</v>
      </c>
      <c r="J135" s="915"/>
      <c r="K135" s="915"/>
      <c r="L135" s="915"/>
      <c r="M135" s="915"/>
      <c r="N135" s="915"/>
      <c r="O135" s="915"/>
      <c r="P135" s="915"/>
      <c r="Q135" s="915"/>
      <c r="R135" s="916"/>
      <c r="S135" s="232"/>
      <c r="T135" s="232"/>
      <c r="U135" s="232"/>
      <c r="V135" s="232"/>
    </row>
    <row r="136" spans="2:22" x14ac:dyDescent="0.25">
      <c r="B136" s="192"/>
      <c r="C136" s="232"/>
      <c r="D136" s="232"/>
      <c r="E136" s="232"/>
      <c r="F136" s="899"/>
      <c r="G136" s="900"/>
      <c r="H136" s="901"/>
      <c r="I136" s="917"/>
      <c r="J136" s="917"/>
      <c r="K136" s="917"/>
      <c r="L136" s="917"/>
      <c r="M136" s="917"/>
      <c r="N136" s="917"/>
      <c r="O136" s="917"/>
      <c r="P136" s="917"/>
      <c r="Q136" s="917"/>
      <c r="R136" s="918"/>
      <c r="S136" s="232"/>
      <c r="T136" s="232"/>
      <c r="U136" s="232"/>
      <c r="V136" s="232"/>
    </row>
    <row r="137" spans="2:22" x14ac:dyDescent="0.25">
      <c r="B137" s="192"/>
      <c r="C137" s="232"/>
      <c r="D137" s="232"/>
      <c r="E137" s="232"/>
      <c r="F137" s="899"/>
      <c r="G137" s="900"/>
      <c r="H137" s="901"/>
      <c r="I137" s="917"/>
      <c r="J137" s="917"/>
      <c r="K137" s="917"/>
      <c r="L137" s="917"/>
      <c r="M137" s="917"/>
      <c r="N137" s="917"/>
      <c r="O137" s="917"/>
      <c r="P137" s="917"/>
      <c r="Q137" s="917"/>
      <c r="R137" s="918"/>
      <c r="S137" s="232"/>
      <c r="T137" s="232"/>
      <c r="U137" s="232"/>
      <c r="V137" s="232"/>
    </row>
    <row r="138" spans="2:22" x14ac:dyDescent="0.25">
      <c r="B138" s="192"/>
      <c r="C138" s="232"/>
      <c r="D138" s="232"/>
      <c r="E138" s="232"/>
      <c r="F138" s="899"/>
      <c r="G138" s="900"/>
      <c r="H138" s="901"/>
      <c r="I138" s="917"/>
      <c r="J138" s="917"/>
      <c r="K138" s="917"/>
      <c r="L138" s="917"/>
      <c r="M138" s="917"/>
      <c r="N138" s="917"/>
      <c r="O138" s="917"/>
      <c r="P138" s="917"/>
      <c r="Q138" s="917"/>
      <c r="R138" s="918"/>
      <c r="S138" s="232"/>
      <c r="T138" s="232"/>
      <c r="U138" s="232"/>
      <c r="V138" s="232"/>
    </row>
    <row r="139" spans="2:22" x14ac:dyDescent="0.25">
      <c r="B139" s="192"/>
      <c r="C139" s="232"/>
      <c r="D139" s="232"/>
      <c r="E139" s="232"/>
      <c r="F139" s="899"/>
      <c r="G139" s="900"/>
      <c r="H139" s="901"/>
      <c r="I139" s="917"/>
      <c r="J139" s="917"/>
      <c r="K139" s="917"/>
      <c r="L139" s="917"/>
      <c r="M139" s="917"/>
      <c r="N139" s="917"/>
      <c r="O139" s="917"/>
      <c r="P139" s="917"/>
      <c r="Q139" s="917"/>
      <c r="R139" s="918"/>
      <c r="S139" s="232"/>
      <c r="T139" s="232"/>
      <c r="U139" s="232"/>
      <c r="V139" s="232"/>
    </row>
    <row r="140" spans="2:22" x14ac:dyDescent="0.25">
      <c r="B140" s="192"/>
      <c r="C140" s="232"/>
      <c r="D140" s="232"/>
      <c r="E140" s="232"/>
      <c r="F140" s="899"/>
      <c r="G140" s="900"/>
      <c r="H140" s="901"/>
      <c r="I140" s="917"/>
      <c r="J140" s="917"/>
      <c r="K140" s="917"/>
      <c r="L140" s="917"/>
      <c r="M140" s="917"/>
      <c r="N140" s="917"/>
      <c r="O140" s="917"/>
      <c r="P140" s="917"/>
      <c r="Q140" s="917"/>
      <c r="R140" s="918"/>
      <c r="S140" s="232"/>
      <c r="T140" s="232"/>
      <c r="U140" s="232"/>
      <c r="V140" s="232"/>
    </row>
    <row r="141" spans="2:22" ht="7.5" customHeight="1" x14ac:dyDescent="0.25">
      <c r="B141" s="192"/>
      <c r="C141" s="232"/>
      <c r="D141" s="232"/>
      <c r="E141" s="232"/>
      <c r="F141" s="899"/>
      <c r="G141" s="900"/>
      <c r="H141" s="901"/>
      <c r="I141" s="917"/>
      <c r="J141" s="917"/>
      <c r="K141" s="917"/>
      <c r="L141" s="917"/>
      <c r="M141" s="917"/>
      <c r="N141" s="917"/>
      <c r="O141" s="917"/>
      <c r="P141" s="917"/>
      <c r="Q141" s="917"/>
      <c r="R141" s="918"/>
      <c r="S141" s="232"/>
      <c r="T141" s="232"/>
      <c r="U141" s="232"/>
      <c r="V141" s="232"/>
    </row>
    <row r="142" spans="2:22" ht="7.5" customHeight="1" x14ac:dyDescent="0.25">
      <c r="B142" s="192"/>
      <c r="C142" s="232"/>
      <c r="D142" s="232"/>
      <c r="E142" s="232"/>
      <c r="F142" s="899"/>
      <c r="G142" s="900"/>
      <c r="H142" s="901"/>
      <c r="I142" s="919"/>
      <c r="J142" s="919"/>
      <c r="K142" s="919"/>
      <c r="L142" s="919"/>
      <c r="M142" s="919"/>
      <c r="N142" s="919"/>
      <c r="O142" s="919"/>
      <c r="P142" s="919"/>
      <c r="Q142" s="919"/>
      <c r="R142" s="920"/>
      <c r="S142" s="232"/>
      <c r="T142" s="232"/>
      <c r="U142" s="232"/>
      <c r="V142" s="232"/>
    </row>
    <row r="143" spans="2:22" x14ac:dyDescent="0.25">
      <c r="B143" s="192"/>
      <c r="C143" s="232"/>
      <c r="D143" s="232"/>
      <c r="E143" s="232"/>
      <c r="F143" s="899"/>
      <c r="G143" s="900"/>
      <c r="H143" s="901"/>
      <c r="I143" s="232"/>
      <c r="J143" s="232"/>
      <c r="K143" s="232"/>
      <c r="L143" s="232"/>
      <c r="M143" s="232"/>
      <c r="N143" s="232"/>
      <c r="O143" s="232"/>
      <c r="P143" s="232"/>
      <c r="Q143" s="232"/>
      <c r="R143" s="232"/>
      <c r="S143" s="232"/>
      <c r="T143" s="232"/>
      <c r="U143" s="232"/>
      <c r="V143" s="232"/>
    </row>
    <row r="144" spans="2:22" x14ac:dyDescent="0.25">
      <c r="B144" s="192"/>
      <c r="C144" s="232"/>
      <c r="D144" s="232"/>
      <c r="E144" s="232"/>
      <c r="F144" s="899"/>
      <c r="G144" s="900"/>
      <c r="H144" s="901"/>
      <c r="I144" s="232"/>
      <c r="J144" s="232"/>
      <c r="K144" s="232"/>
      <c r="L144" s="232"/>
      <c r="M144" s="232"/>
      <c r="N144" s="232"/>
      <c r="O144" s="232"/>
      <c r="P144" s="232"/>
      <c r="Q144" s="232"/>
      <c r="R144" s="232"/>
      <c r="S144" s="232"/>
      <c r="T144" s="232"/>
      <c r="U144" s="232"/>
      <c r="V144" s="232"/>
    </row>
    <row r="145" spans="2:22" x14ac:dyDescent="0.25">
      <c r="B145" s="192"/>
      <c r="C145" s="232"/>
      <c r="D145" s="232"/>
      <c r="E145" s="232"/>
      <c r="F145" s="899"/>
      <c r="G145" s="900"/>
      <c r="H145" s="901"/>
      <c r="I145" s="933" t="s">
        <v>1275</v>
      </c>
      <c r="J145" s="933"/>
      <c r="K145" s="933"/>
      <c r="L145" s="934"/>
      <c r="M145" s="256" t="s">
        <v>1281</v>
      </c>
      <c r="N145" s="256">
        <v>0.4</v>
      </c>
      <c r="O145" s="256">
        <v>0.8</v>
      </c>
      <c r="P145" s="256">
        <v>1.2</v>
      </c>
      <c r="Q145" s="256">
        <v>1.6</v>
      </c>
      <c r="R145" s="256">
        <v>2</v>
      </c>
      <c r="S145" s="256">
        <v>2.4</v>
      </c>
      <c r="T145" s="232"/>
      <c r="U145" s="232"/>
      <c r="V145" s="232"/>
    </row>
    <row r="146" spans="2:22" x14ac:dyDescent="0.25">
      <c r="B146" s="192"/>
      <c r="C146" s="232"/>
      <c r="D146" s="232"/>
      <c r="E146" s="232"/>
      <c r="F146" s="899"/>
      <c r="G146" s="900"/>
      <c r="H146" s="901"/>
      <c r="I146" s="327" t="s">
        <v>1276</v>
      </c>
      <c r="J146" s="327"/>
      <c r="K146" s="327"/>
      <c r="L146" s="328"/>
      <c r="M146" s="474">
        <v>5.9999999999999995E-4</v>
      </c>
      <c r="N146" s="453">
        <f>100*($N$155*M146+$N$154)</f>
        <v>2.7559399999999998</v>
      </c>
      <c r="O146" s="453">
        <f t="shared" ref="O146:O150" si="0">1.1*N146</f>
        <v>3.0315340000000002</v>
      </c>
      <c r="P146" s="453">
        <f t="shared" ref="P146:P150" si="1">1.1*O146</f>
        <v>3.3346874000000004</v>
      </c>
      <c r="Q146" s="453">
        <f t="shared" ref="Q146:Q150" si="2">1.1*P146</f>
        <v>3.6681561400000007</v>
      </c>
      <c r="R146" s="453">
        <f t="shared" ref="R146:R150" si="3">1.1*Q146</f>
        <v>4.0349717540000007</v>
      </c>
      <c r="S146" s="453">
        <f t="shared" ref="S146:S150" si="4">1.1*R146</f>
        <v>4.4384689294000008</v>
      </c>
      <c r="T146" s="232"/>
      <c r="U146" s="232"/>
      <c r="V146" s="232"/>
    </row>
    <row r="147" spans="2:22" x14ac:dyDescent="0.25">
      <c r="B147" s="192"/>
      <c r="C147" s="232"/>
      <c r="D147" s="232"/>
      <c r="E147" s="232"/>
      <c r="F147" s="899"/>
      <c r="G147" s="900"/>
      <c r="H147" s="901"/>
      <c r="I147" s="329" t="s">
        <v>1279</v>
      </c>
      <c r="J147" s="329"/>
      <c r="K147" s="329"/>
      <c r="L147" s="330"/>
      <c r="M147" s="475">
        <v>1E-3</v>
      </c>
      <c r="N147" s="454">
        <f t="shared" ref="N147:N150" si="5">100*($N$155*M147+$N$154)</f>
        <v>3.2599000000000005</v>
      </c>
      <c r="O147" s="454">
        <f t="shared" si="0"/>
        <v>3.5858900000000009</v>
      </c>
      <c r="P147" s="454">
        <f t="shared" si="1"/>
        <v>3.9444790000000012</v>
      </c>
      <c r="Q147" s="454">
        <f t="shared" si="2"/>
        <v>4.3389269000000015</v>
      </c>
      <c r="R147" s="454">
        <f t="shared" si="3"/>
        <v>4.7728195900000019</v>
      </c>
      <c r="S147" s="454">
        <f t="shared" si="4"/>
        <v>5.2501015490000027</v>
      </c>
      <c r="T147" s="232"/>
      <c r="U147" s="232"/>
      <c r="V147" s="232"/>
    </row>
    <row r="148" spans="2:22" x14ac:dyDescent="0.25">
      <c r="B148" s="192"/>
      <c r="C148" s="232"/>
      <c r="D148" s="232"/>
      <c r="E148" s="232"/>
      <c r="F148" s="899"/>
      <c r="G148" s="900"/>
      <c r="H148" s="901"/>
      <c r="I148" s="329" t="s">
        <v>1280</v>
      </c>
      <c r="J148" s="329"/>
      <c r="K148" s="329"/>
      <c r="L148" s="330"/>
      <c r="M148" s="475">
        <v>4.0000000000000001E-3</v>
      </c>
      <c r="N148" s="454">
        <f t="shared" si="5"/>
        <v>7.0396000000000001</v>
      </c>
      <c r="O148" s="454">
        <f t="shared" si="0"/>
        <v>7.7435600000000004</v>
      </c>
      <c r="P148" s="454">
        <f t="shared" si="1"/>
        <v>8.5179160000000014</v>
      </c>
      <c r="Q148" s="454">
        <f t="shared" si="2"/>
        <v>9.3697076000000017</v>
      </c>
      <c r="R148" s="454">
        <f t="shared" si="3"/>
        <v>10.306678360000003</v>
      </c>
      <c r="S148" s="454">
        <f t="shared" si="4"/>
        <v>11.337346196000004</v>
      </c>
      <c r="T148" s="232"/>
      <c r="U148" s="232"/>
      <c r="V148" s="232"/>
    </row>
    <row r="149" spans="2:22" x14ac:dyDescent="0.25">
      <c r="B149" s="192"/>
      <c r="C149" s="232"/>
      <c r="D149" s="232"/>
      <c r="E149" s="232"/>
      <c r="F149" s="899"/>
      <c r="G149" s="900"/>
      <c r="H149" s="901"/>
      <c r="I149" s="329" t="s">
        <v>1277</v>
      </c>
      <c r="J149" s="329"/>
      <c r="K149" s="329"/>
      <c r="L149" s="330"/>
      <c r="M149" s="475">
        <v>1.0999999999999999E-2</v>
      </c>
      <c r="N149" s="454">
        <f t="shared" si="5"/>
        <v>15.858899999999998</v>
      </c>
      <c r="O149" s="454">
        <f t="shared" si="0"/>
        <v>17.444790000000001</v>
      </c>
      <c r="P149" s="454">
        <f t="shared" si="1"/>
        <v>19.189269000000003</v>
      </c>
      <c r="Q149" s="454">
        <f t="shared" si="2"/>
        <v>21.108195900000005</v>
      </c>
      <c r="R149" s="454">
        <f t="shared" si="3"/>
        <v>23.219015490000007</v>
      </c>
      <c r="S149" s="454">
        <f t="shared" si="4"/>
        <v>25.540917039000011</v>
      </c>
      <c r="T149" s="232"/>
      <c r="U149" s="232"/>
      <c r="V149" s="232"/>
    </row>
    <row r="150" spans="2:22" x14ac:dyDescent="0.25">
      <c r="B150" s="192"/>
      <c r="C150" s="232"/>
      <c r="D150" s="232"/>
      <c r="E150" s="232"/>
      <c r="F150" s="899"/>
      <c r="G150" s="900"/>
      <c r="H150" s="901"/>
      <c r="I150" s="331" t="s">
        <v>1278</v>
      </c>
      <c r="J150" s="331"/>
      <c r="K150" s="331"/>
      <c r="L150" s="332"/>
      <c r="M150" s="476">
        <v>3.1E-2</v>
      </c>
      <c r="N150" s="455">
        <f t="shared" si="5"/>
        <v>41.056899999999999</v>
      </c>
      <c r="O150" s="455">
        <f t="shared" si="0"/>
        <v>45.162590000000002</v>
      </c>
      <c r="P150" s="455">
        <f t="shared" si="1"/>
        <v>49.678849000000007</v>
      </c>
      <c r="Q150" s="455">
        <f t="shared" si="2"/>
        <v>54.646733900000015</v>
      </c>
      <c r="R150" s="455">
        <f t="shared" si="3"/>
        <v>60.111407290000024</v>
      </c>
      <c r="S150" s="455">
        <f t="shared" si="4"/>
        <v>66.122548019000035</v>
      </c>
      <c r="T150" s="232"/>
      <c r="U150" s="232"/>
      <c r="V150" s="232"/>
    </row>
    <row r="151" spans="2:22" x14ac:dyDescent="0.25">
      <c r="B151" s="192"/>
      <c r="C151" s="232"/>
      <c r="D151" s="232"/>
      <c r="E151" s="232"/>
      <c r="F151" s="899"/>
      <c r="G151" s="900"/>
      <c r="H151" s="901"/>
      <c r="I151" s="953" t="s">
        <v>1282</v>
      </c>
      <c r="J151" s="953"/>
      <c r="K151" s="953"/>
      <c r="L151" s="953"/>
      <c r="M151" s="953"/>
      <c r="N151" s="953"/>
      <c r="O151" s="953"/>
      <c r="P151" s="953"/>
      <c r="Q151" s="953"/>
      <c r="R151" s="953"/>
      <c r="S151" s="953"/>
      <c r="T151" s="232"/>
      <c r="U151" s="232"/>
      <c r="V151" s="232"/>
    </row>
    <row r="152" spans="2:22" x14ac:dyDescent="0.25">
      <c r="B152" s="192"/>
      <c r="C152" s="232"/>
      <c r="D152" s="232"/>
      <c r="E152" s="232"/>
      <c r="F152" s="899"/>
      <c r="G152" s="900"/>
      <c r="H152" s="901"/>
      <c r="I152" s="954"/>
      <c r="J152" s="954"/>
      <c r="K152" s="954"/>
      <c r="L152" s="954"/>
      <c r="M152" s="954"/>
      <c r="N152" s="954"/>
      <c r="O152" s="954"/>
      <c r="P152" s="954"/>
      <c r="Q152" s="954"/>
      <c r="R152" s="954"/>
      <c r="S152" s="954"/>
      <c r="T152" s="232"/>
      <c r="U152" s="232"/>
      <c r="V152" s="232"/>
    </row>
    <row r="153" spans="2:22" x14ac:dyDescent="0.25">
      <c r="B153" s="192"/>
      <c r="C153" s="232"/>
      <c r="D153" s="232"/>
      <c r="E153" s="232"/>
      <c r="F153" s="899"/>
      <c r="G153" s="900"/>
      <c r="H153" s="901"/>
      <c r="I153" s="934" t="s">
        <v>1283</v>
      </c>
      <c r="J153" s="975"/>
      <c r="K153" s="975"/>
      <c r="L153" s="975"/>
      <c r="M153" s="975"/>
      <c r="N153" s="949" t="s">
        <v>1284</v>
      </c>
      <c r="O153" s="950"/>
      <c r="P153" s="950"/>
      <c r="Q153" s="951"/>
      <c r="R153" s="232"/>
      <c r="S153" s="232"/>
      <c r="T153" s="232"/>
      <c r="U153" s="232"/>
      <c r="V153" s="232"/>
    </row>
    <row r="154" spans="2:22" x14ac:dyDescent="0.25">
      <c r="B154" s="192"/>
      <c r="C154" s="232"/>
      <c r="D154" s="232"/>
      <c r="E154" s="232"/>
      <c r="F154" s="899"/>
      <c r="G154" s="900"/>
      <c r="H154" s="901"/>
      <c r="I154" s="327" t="s">
        <v>1285</v>
      </c>
      <c r="J154" s="327"/>
      <c r="K154" s="327"/>
      <c r="L154" s="327"/>
      <c r="M154" s="327"/>
      <c r="N154" s="952">
        <v>0.02</v>
      </c>
      <c r="O154" s="952"/>
      <c r="P154" s="952"/>
      <c r="Q154" s="952"/>
      <c r="R154" s="232"/>
      <c r="S154" s="232"/>
      <c r="T154" s="232"/>
      <c r="U154" s="232"/>
      <c r="V154" s="232"/>
    </row>
    <row r="155" spans="2:22" x14ac:dyDescent="0.25">
      <c r="B155" s="192"/>
      <c r="C155" s="232"/>
      <c r="D155" s="232"/>
      <c r="E155" s="232"/>
      <c r="F155" s="899"/>
      <c r="G155" s="900"/>
      <c r="H155" s="901"/>
      <c r="I155" s="329" t="s">
        <v>1286</v>
      </c>
      <c r="J155" s="329"/>
      <c r="K155" s="329"/>
      <c r="L155" s="329"/>
      <c r="M155" s="329"/>
      <c r="N155" s="952">
        <v>12.599</v>
      </c>
      <c r="O155" s="952"/>
      <c r="P155" s="952"/>
      <c r="Q155" s="952"/>
      <c r="R155" s="232"/>
      <c r="S155" s="232"/>
      <c r="T155" s="232"/>
      <c r="U155" s="232"/>
      <c r="V155" s="232"/>
    </row>
    <row r="156" spans="2:22" x14ac:dyDescent="0.25">
      <c r="B156" s="192"/>
      <c r="C156" s="232"/>
      <c r="D156" s="232"/>
      <c r="E156" s="232"/>
      <c r="F156" s="899"/>
      <c r="G156" s="900"/>
      <c r="H156" s="901"/>
      <c r="I156" s="331" t="s">
        <v>1287</v>
      </c>
      <c r="J156" s="331"/>
      <c r="K156" s="331"/>
      <c r="L156" s="331"/>
      <c r="M156" s="331"/>
      <c r="N156" s="952" t="s">
        <v>1288</v>
      </c>
      <c r="O156" s="952"/>
      <c r="P156" s="952"/>
      <c r="Q156" s="952"/>
      <c r="R156" s="232"/>
      <c r="S156" s="232"/>
      <c r="T156" s="232"/>
      <c r="U156" s="232"/>
      <c r="V156" s="232"/>
    </row>
    <row r="157" spans="2:22" x14ac:dyDescent="0.25">
      <c r="B157" s="192"/>
      <c r="C157" s="232"/>
      <c r="D157" s="232"/>
      <c r="E157" s="232"/>
      <c r="F157" s="899"/>
      <c r="G157" s="900"/>
      <c r="H157" s="901"/>
      <c r="I157" s="232"/>
      <c r="J157" s="232"/>
      <c r="K157" s="232"/>
      <c r="L157" s="232"/>
      <c r="M157" s="232"/>
      <c r="N157" s="232"/>
      <c r="O157" s="232"/>
      <c r="P157" s="232"/>
      <c r="Q157" s="232"/>
      <c r="R157" s="232"/>
      <c r="S157" s="232"/>
      <c r="T157" s="232"/>
      <c r="U157" s="232"/>
      <c r="V157" s="232"/>
    </row>
    <row r="158" spans="2:22" x14ac:dyDescent="0.25">
      <c r="B158" s="192"/>
      <c r="C158" s="232"/>
      <c r="D158" s="232"/>
      <c r="E158" s="232"/>
      <c r="F158" s="899"/>
      <c r="G158" s="900"/>
      <c r="H158" s="901"/>
      <c r="I158" s="232"/>
      <c r="J158" s="232"/>
      <c r="K158" s="232"/>
      <c r="L158" s="232"/>
      <c r="M158" s="232"/>
      <c r="N158" s="232"/>
      <c r="O158" s="232"/>
      <c r="P158" s="232"/>
      <c r="Q158" s="232"/>
      <c r="R158" s="232"/>
      <c r="S158" s="232"/>
      <c r="T158" s="232"/>
      <c r="U158" s="232"/>
      <c r="V158" s="232"/>
    </row>
    <row r="159" spans="2:22" x14ac:dyDescent="0.25">
      <c r="B159" s="192"/>
      <c r="C159" s="232"/>
      <c r="D159" s="232"/>
      <c r="E159" s="232"/>
      <c r="F159" s="899"/>
      <c r="G159" s="900"/>
      <c r="H159" s="901"/>
      <c r="I159" s="934" t="s">
        <v>1289</v>
      </c>
      <c r="J159" s="975"/>
      <c r="K159" s="975"/>
      <c r="L159" s="975" t="s">
        <v>1290</v>
      </c>
      <c r="M159" s="975"/>
      <c r="N159" s="975"/>
      <c r="O159" s="975" t="s">
        <v>1291</v>
      </c>
      <c r="P159" s="975"/>
      <c r="Q159" s="975"/>
      <c r="R159" s="232"/>
      <c r="S159" s="232"/>
      <c r="T159" s="232"/>
      <c r="U159" s="232"/>
      <c r="V159" s="232"/>
    </row>
    <row r="160" spans="2:22" x14ac:dyDescent="0.25">
      <c r="B160" s="192"/>
      <c r="C160" s="232"/>
      <c r="D160" s="232"/>
      <c r="E160" s="232"/>
      <c r="F160" s="899"/>
      <c r="G160" s="900"/>
      <c r="H160" s="901"/>
      <c r="I160" s="979">
        <v>10</v>
      </c>
      <c r="J160" s="979"/>
      <c r="K160" s="980"/>
      <c r="L160" s="976">
        <v>5.333333333333333</v>
      </c>
      <c r="M160" s="977"/>
      <c r="N160" s="978"/>
      <c r="O160" s="976">
        <v>0.1875</v>
      </c>
      <c r="P160" s="977"/>
      <c r="Q160" s="978"/>
      <c r="R160" s="232"/>
      <c r="S160" s="232"/>
      <c r="T160" s="232"/>
      <c r="U160" s="232"/>
      <c r="V160" s="232"/>
    </row>
    <row r="161" spans="2:22" x14ac:dyDescent="0.25">
      <c r="B161" s="192"/>
      <c r="C161" s="232"/>
      <c r="D161" s="232"/>
      <c r="E161" s="232"/>
      <c r="F161" s="899"/>
      <c r="G161" s="900"/>
      <c r="H161" s="901"/>
      <c r="I161" s="971">
        <v>20</v>
      </c>
      <c r="J161" s="971"/>
      <c r="K161" s="972"/>
      <c r="L161" s="965">
        <v>4</v>
      </c>
      <c r="M161" s="966"/>
      <c r="N161" s="967"/>
      <c r="O161" s="965">
        <v>0.25</v>
      </c>
      <c r="P161" s="966"/>
      <c r="Q161" s="967"/>
      <c r="R161" s="232"/>
      <c r="S161" s="232"/>
      <c r="T161" s="232"/>
      <c r="U161" s="232"/>
      <c r="V161" s="232"/>
    </row>
    <row r="162" spans="2:22" x14ac:dyDescent="0.25">
      <c r="B162" s="192"/>
      <c r="C162" s="232"/>
      <c r="D162" s="232"/>
      <c r="E162" s="232"/>
      <c r="F162" s="899"/>
      <c r="G162" s="900"/>
      <c r="H162" s="901"/>
      <c r="I162" s="971">
        <v>30</v>
      </c>
      <c r="J162" s="971"/>
      <c r="K162" s="972"/>
      <c r="L162" s="965">
        <v>3</v>
      </c>
      <c r="M162" s="966"/>
      <c r="N162" s="967"/>
      <c r="O162" s="965">
        <v>0.33333333333333331</v>
      </c>
      <c r="P162" s="966"/>
      <c r="Q162" s="967"/>
      <c r="R162" s="232"/>
      <c r="S162" s="232"/>
      <c r="T162" s="232"/>
      <c r="U162" s="232"/>
      <c r="V162" s="232"/>
    </row>
    <row r="163" spans="2:22" x14ac:dyDescent="0.25">
      <c r="B163" s="192"/>
      <c r="C163" s="232"/>
      <c r="D163" s="232"/>
      <c r="E163" s="232"/>
      <c r="F163" s="899"/>
      <c r="G163" s="900"/>
      <c r="H163" s="901"/>
      <c r="I163" s="971">
        <v>50</v>
      </c>
      <c r="J163" s="971"/>
      <c r="K163" s="972"/>
      <c r="L163" s="965">
        <v>2.5333333333333332</v>
      </c>
      <c r="M163" s="966"/>
      <c r="N163" s="967"/>
      <c r="O163" s="965">
        <v>0.39473684210526316</v>
      </c>
      <c r="P163" s="966"/>
      <c r="Q163" s="967"/>
      <c r="R163" s="232"/>
      <c r="S163" s="232"/>
      <c r="T163" s="232"/>
      <c r="U163" s="232"/>
      <c r="V163" s="232"/>
    </row>
    <row r="164" spans="2:22" x14ac:dyDescent="0.25">
      <c r="B164" s="192"/>
      <c r="C164" s="232"/>
      <c r="D164" s="232"/>
      <c r="E164" s="232"/>
      <c r="F164" s="902"/>
      <c r="G164" s="903"/>
      <c r="H164" s="904"/>
      <c r="I164" s="973">
        <v>100</v>
      </c>
      <c r="J164" s="973"/>
      <c r="K164" s="974"/>
      <c r="L164" s="968">
        <v>2</v>
      </c>
      <c r="M164" s="969"/>
      <c r="N164" s="970"/>
      <c r="O164" s="968">
        <v>0.5</v>
      </c>
      <c r="P164" s="969"/>
      <c r="Q164" s="970"/>
      <c r="R164" s="232"/>
      <c r="S164" s="232"/>
      <c r="T164" s="232"/>
      <c r="U164" s="232"/>
      <c r="V164" s="232"/>
    </row>
    <row r="165" spans="2:22" x14ac:dyDescent="0.25">
      <c r="B165" s="192"/>
      <c r="C165" s="232"/>
      <c r="D165" s="232"/>
      <c r="E165" s="232"/>
      <c r="F165" s="232"/>
      <c r="G165" s="232"/>
      <c r="H165" s="232"/>
      <c r="I165" s="232"/>
      <c r="J165" s="232"/>
      <c r="K165" s="232"/>
      <c r="L165" s="232"/>
      <c r="M165" s="232"/>
      <c r="N165" s="232"/>
      <c r="O165" s="232"/>
      <c r="P165" s="232"/>
      <c r="Q165" s="232"/>
      <c r="R165" s="232"/>
      <c r="S165" s="232"/>
      <c r="T165" s="232"/>
      <c r="U165" s="232"/>
      <c r="V165" s="232"/>
    </row>
    <row r="166" spans="2:22" ht="15.75" x14ac:dyDescent="0.25">
      <c r="B166" s="192"/>
      <c r="C166" s="253" t="s">
        <v>1292</v>
      </c>
      <c r="D166" s="232"/>
      <c r="E166" s="232"/>
      <c r="F166" s="232"/>
      <c r="G166" s="232"/>
      <c r="H166" s="232"/>
      <c r="I166" s="232"/>
      <c r="J166" s="232"/>
      <c r="K166" s="232"/>
      <c r="L166" s="232"/>
      <c r="M166" s="232"/>
      <c r="N166" s="232"/>
      <c r="O166" s="232"/>
      <c r="P166" s="232"/>
      <c r="Q166" s="232"/>
      <c r="R166" s="232"/>
      <c r="S166" s="232"/>
      <c r="T166" s="232"/>
      <c r="U166" s="232"/>
      <c r="V166" s="232"/>
    </row>
    <row r="167" spans="2:22" x14ac:dyDescent="0.25">
      <c r="B167" s="192"/>
      <c r="C167" s="232"/>
      <c r="D167" s="232"/>
      <c r="E167" s="232"/>
      <c r="F167" s="232"/>
      <c r="G167" s="232"/>
      <c r="H167" s="232"/>
      <c r="I167" s="232"/>
      <c r="J167" s="232"/>
      <c r="K167" s="232"/>
      <c r="L167" s="232"/>
      <c r="M167" s="232"/>
      <c r="N167" s="232"/>
      <c r="O167" s="232"/>
      <c r="P167" s="232"/>
      <c r="Q167" s="232"/>
      <c r="R167" s="232"/>
      <c r="S167" s="232"/>
      <c r="T167" s="232"/>
      <c r="U167" s="232"/>
      <c r="V167" s="232"/>
    </row>
    <row r="168" spans="2:22" ht="15" customHeight="1" x14ac:dyDescent="0.25">
      <c r="B168" s="192"/>
      <c r="C168" s="232"/>
      <c r="D168" s="232"/>
      <c r="E168" s="232"/>
      <c r="F168" s="896" t="s">
        <v>1255</v>
      </c>
      <c r="G168" s="897"/>
      <c r="H168" s="898"/>
      <c r="I168" s="929" t="s">
        <v>1424</v>
      </c>
      <c r="J168" s="915"/>
      <c r="K168" s="915"/>
      <c r="L168" s="915"/>
      <c r="M168" s="915"/>
      <c r="N168" s="915"/>
      <c r="O168" s="915"/>
      <c r="P168" s="915"/>
      <c r="Q168" s="915"/>
      <c r="R168" s="916"/>
      <c r="S168" s="232"/>
      <c r="T168" s="232"/>
      <c r="U168" s="232"/>
      <c r="V168" s="232"/>
    </row>
    <row r="169" spans="2:22" x14ac:dyDescent="0.25">
      <c r="B169" s="192"/>
      <c r="C169" s="232"/>
      <c r="D169" s="232"/>
      <c r="E169" s="232"/>
      <c r="F169" s="899"/>
      <c r="G169" s="900"/>
      <c r="H169" s="901"/>
      <c r="I169" s="930"/>
      <c r="J169" s="917"/>
      <c r="K169" s="917"/>
      <c r="L169" s="917"/>
      <c r="M169" s="917"/>
      <c r="N169" s="917"/>
      <c r="O169" s="917"/>
      <c r="P169" s="917"/>
      <c r="Q169" s="917"/>
      <c r="R169" s="918"/>
      <c r="S169" s="232"/>
      <c r="T169" s="232"/>
      <c r="U169" s="232"/>
      <c r="V169" s="232"/>
    </row>
    <row r="170" spans="2:22" x14ac:dyDescent="0.25">
      <c r="B170" s="192"/>
      <c r="C170" s="232"/>
      <c r="D170" s="232"/>
      <c r="E170" s="232"/>
      <c r="F170" s="899"/>
      <c r="G170" s="900"/>
      <c r="H170" s="901"/>
      <c r="I170" s="930"/>
      <c r="J170" s="917"/>
      <c r="K170" s="917"/>
      <c r="L170" s="917"/>
      <c r="M170" s="917"/>
      <c r="N170" s="917"/>
      <c r="O170" s="917"/>
      <c r="P170" s="917"/>
      <c r="Q170" s="917"/>
      <c r="R170" s="918"/>
      <c r="S170" s="232"/>
      <c r="T170" s="232"/>
      <c r="U170" s="232"/>
      <c r="V170" s="232"/>
    </row>
    <row r="171" spans="2:22" x14ac:dyDescent="0.25">
      <c r="B171" s="192"/>
      <c r="C171" s="232"/>
      <c r="D171" s="232"/>
      <c r="E171" s="232"/>
      <c r="F171" s="899"/>
      <c r="G171" s="900"/>
      <c r="H171" s="901"/>
      <c r="I171" s="930"/>
      <c r="J171" s="917"/>
      <c r="K171" s="917"/>
      <c r="L171" s="917"/>
      <c r="M171" s="917"/>
      <c r="N171" s="917"/>
      <c r="O171" s="917"/>
      <c r="P171" s="917"/>
      <c r="Q171" s="917"/>
      <c r="R171" s="918"/>
      <c r="S171" s="232"/>
      <c r="T171" s="232"/>
      <c r="U171" s="232"/>
      <c r="V171" s="232"/>
    </row>
    <row r="172" spans="2:22" x14ac:dyDescent="0.25">
      <c r="B172" s="192"/>
      <c r="C172" s="232"/>
      <c r="D172" s="232"/>
      <c r="E172" s="232"/>
      <c r="F172" s="899"/>
      <c r="G172" s="900"/>
      <c r="H172" s="901"/>
      <c r="I172" s="930"/>
      <c r="J172" s="917"/>
      <c r="K172" s="917"/>
      <c r="L172" s="917"/>
      <c r="M172" s="917"/>
      <c r="N172" s="917"/>
      <c r="O172" s="917"/>
      <c r="P172" s="917"/>
      <c r="Q172" s="917"/>
      <c r="R172" s="918"/>
      <c r="S172" s="232"/>
      <c r="T172" s="232"/>
      <c r="U172" s="232"/>
      <c r="V172" s="232"/>
    </row>
    <row r="173" spans="2:22" x14ac:dyDescent="0.25">
      <c r="B173" s="192"/>
      <c r="C173" s="232"/>
      <c r="D173" s="232"/>
      <c r="E173" s="232"/>
      <c r="F173" s="899"/>
      <c r="G173" s="900"/>
      <c r="H173" s="901"/>
      <c r="I173" s="930"/>
      <c r="J173" s="917"/>
      <c r="K173" s="917"/>
      <c r="L173" s="917"/>
      <c r="M173" s="917"/>
      <c r="N173" s="917"/>
      <c r="O173" s="917"/>
      <c r="P173" s="917"/>
      <c r="Q173" s="917"/>
      <c r="R173" s="918"/>
      <c r="S173" s="232"/>
      <c r="T173" s="232"/>
      <c r="U173" s="232"/>
      <c r="V173" s="232"/>
    </row>
    <row r="174" spans="2:22" x14ac:dyDescent="0.25">
      <c r="B174" s="192"/>
      <c r="C174" s="232"/>
      <c r="D174" s="232"/>
      <c r="E174" s="232"/>
      <c r="F174" s="899"/>
      <c r="G174" s="900"/>
      <c r="H174" s="901"/>
      <c r="I174" s="930"/>
      <c r="J174" s="917"/>
      <c r="K174" s="917"/>
      <c r="L174" s="917"/>
      <c r="M174" s="917"/>
      <c r="N174" s="917"/>
      <c r="O174" s="917"/>
      <c r="P174" s="917"/>
      <c r="Q174" s="917"/>
      <c r="R174" s="918"/>
      <c r="S174" s="232"/>
      <c r="T174" s="232"/>
      <c r="U174" s="232"/>
      <c r="V174" s="232"/>
    </row>
    <row r="175" spans="2:22" ht="5.0999999999999996" customHeight="1" x14ac:dyDescent="0.25">
      <c r="B175" s="192"/>
      <c r="C175" s="232"/>
      <c r="D175" s="232"/>
      <c r="E175" s="232"/>
      <c r="F175" s="899"/>
      <c r="G175" s="900"/>
      <c r="H175" s="901"/>
      <c r="I175" s="930"/>
      <c r="J175" s="917"/>
      <c r="K175" s="917"/>
      <c r="L175" s="917"/>
      <c r="M175" s="917"/>
      <c r="N175" s="917"/>
      <c r="O175" s="917"/>
      <c r="P175" s="917"/>
      <c r="Q175" s="917"/>
      <c r="R175" s="918"/>
      <c r="S175" s="232"/>
      <c r="T175" s="232"/>
      <c r="U175" s="232"/>
      <c r="V175" s="232"/>
    </row>
    <row r="176" spans="2:22" ht="5.0999999999999996" customHeight="1" x14ac:dyDescent="0.25">
      <c r="B176" s="192"/>
      <c r="C176" s="232"/>
      <c r="D176" s="232"/>
      <c r="E176" s="232"/>
      <c r="F176" s="899"/>
      <c r="G176" s="900"/>
      <c r="H176" s="901"/>
      <c r="I176" s="930"/>
      <c r="J176" s="917"/>
      <c r="K176" s="917"/>
      <c r="L176" s="917"/>
      <c r="M176" s="917"/>
      <c r="N176" s="917"/>
      <c r="O176" s="917"/>
      <c r="P176" s="917"/>
      <c r="Q176" s="917"/>
      <c r="R176" s="918"/>
      <c r="S176" s="232"/>
      <c r="T176" s="232"/>
      <c r="U176" s="232"/>
      <c r="V176" s="232"/>
    </row>
    <row r="177" spans="2:22" ht="5.0999999999999996" customHeight="1" x14ac:dyDescent="0.25">
      <c r="B177" s="192"/>
      <c r="C177" s="232"/>
      <c r="D177" s="232"/>
      <c r="E177" s="232"/>
      <c r="F177" s="902"/>
      <c r="G177" s="903"/>
      <c r="H177" s="904"/>
      <c r="I177" s="931"/>
      <c r="J177" s="919"/>
      <c r="K177" s="919"/>
      <c r="L177" s="919"/>
      <c r="M177" s="919"/>
      <c r="N177" s="919"/>
      <c r="O177" s="919"/>
      <c r="P177" s="919"/>
      <c r="Q177" s="919"/>
      <c r="R177" s="920"/>
      <c r="S177" s="232"/>
      <c r="T177" s="232"/>
      <c r="U177" s="232"/>
      <c r="V177" s="232"/>
    </row>
    <row r="178" spans="2:22" ht="15" customHeight="1" x14ac:dyDescent="0.25">
      <c r="B178" s="192"/>
      <c r="C178" s="232"/>
      <c r="D178" s="232"/>
      <c r="E178" s="232"/>
      <c r="F178" s="896" t="s">
        <v>1260</v>
      </c>
      <c r="G178" s="897"/>
      <c r="H178" s="898"/>
      <c r="I178" s="955" t="s">
        <v>1425</v>
      </c>
      <c r="J178" s="955"/>
      <c r="K178" s="955"/>
      <c r="L178" s="955"/>
      <c r="M178" s="955"/>
      <c r="N178" s="955"/>
      <c r="O178" s="955"/>
      <c r="P178" s="955"/>
      <c r="Q178" s="955"/>
      <c r="R178" s="956"/>
      <c r="S178" s="232"/>
      <c r="T178" s="232"/>
      <c r="U178" s="232"/>
      <c r="V178" s="232"/>
    </row>
    <row r="179" spans="2:22" ht="15" customHeight="1" x14ac:dyDescent="0.25">
      <c r="B179" s="192"/>
      <c r="C179" s="232"/>
      <c r="D179" s="232"/>
      <c r="E179" s="232"/>
      <c r="F179" s="899"/>
      <c r="G179" s="900"/>
      <c r="H179" s="901"/>
      <c r="I179" s="957"/>
      <c r="J179" s="957"/>
      <c r="K179" s="957"/>
      <c r="L179" s="957"/>
      <c r="M179" s="957"/>
      <c r="N179" s="957"/>
      <c r="O179" s="957"/>
      <c r="P179" s="957"/>
      <c r="Q179" s="957"/>
      <c r="R179" s="958"/>
      <c r="S179" s="232"/>
      <c r="T179" s="232"/>
      <c r="U179" s="232"/>
      <c r="V179" s="232"/>
    </row>
    <row r="180" spans="2:22" ht="15" customHeight="1" x14ac:dyDescent="0.25">
      <c r="B180" s="192"/>
      <c r="C180" s="232"/>
      <c r="D180" s="232"/>
      <c r="E180" s="232"/>
      <c r="F180" s="899"/>
      <c r="G180" s="900"/>
      <c r="H180" s="901"/>
      <c r="I180" s="957"/>
      <c r="J180" s="957"/>
      <c r="K180" s="957"/>
      <c r="L180" s="957"/>
      <c r="M180" s="957"/>
      <c r="N180" s="957"/>
      <c r="O180" s="957"/>
      <c r="P180" s="957"/>
      <c r="Q180" s="957"/>
      <c r="R180" s="958"/>
      <c r="S180" s="232"/>
      <c r="T180" s="232"/>
      <c r="U180" s="232"/>
      <c r="V180" s="232"/>
    </row>
    <row r="181" spans="2:22" ht="15" customHeight="1" x14ac:dyDescent="0.25">
      <c r="B181" s="192"/>
      <c r="C181" s="232"/>
      <c r="D181" s="232"/>
      <c r="E181" s="232"/>
      <c r="F181" s="899"/>
      <c r="G181" s="900"/>
      <c r="H181" s="901"/>
      <c r="I181" s="959"/>
      <c r="J181" s="959"/>
      <c r="K181" s="959"/>
      <c r="L181" s="959"/>
      <c r="M181" s="959"/>
      <c r="N181" s="959"/>
      <c r="O181" s="959"/>
      <c r="P181" s="959"/>
      <c r="Q181" s="959"/>
      <c r="R181" s="960"/>
      <c r="S181" s="232"/>
      <c r="T181" s="232"/>
      <c r="U181" s="232"/>
      <c r="V181" s="232"/>
    </row>
    <row r="182" spans="2:22" ht="15" customHeight="1" x14ac:dyDescent="0.25">
      <c r="B182" s="192"/>
      <c r="C182" s="232"/>
      <c r="D182" s="232"/>
      <c r="E182" s="232"/>
      <c r="F182" s="899"/>
      <c r="G182" s="900"/>
      <c r="H182" s="901"/>
      <c r="I182" s="232"/>
      <c r="J182" s="232"/>
      <c r="K182" s="232"/>
      <c r="L182" s="232"/>
      <c r="M182" s="232"/>
      <c r="N182" s="232"/>
      <c r="O182" s="232"/>
      <c r="P182" s="232"/>
      <c r="Q182" s="232"/>
      <c r="R182" s="232"/>
      <c r="S182" s="232"/>
      <c r="T182" s="232"/>
      <c r="U182" s="232"/>
      <c r="V182" s="232"/>
    </row>
    <row r="183" spans="2:22" ht="15" customHeight="1" x14ac:dyDescent="0.25">
      <c r="B183" s="192"/>
      <c r="C183" s="232"/>
      <c r="D183" s="232"/>
      <c r="E183" s="232"/>
      <c r="F183" s="899"/>
      <c r="G183" s="900"/>
      <c r="H183" s="901"/>
      <c r="I183" s="232"/>
      <c r="J183" s="232"/>
      <c r="K183" s="232"/>
      <c r="L183" s="11" t="s">
        <v>1294</v>
      </c>
      <c r="M183" s="2"/>
      <c r="N183" s="2"/>
      <c r="O183" s="2"/>
      <c r="P183" s="3"/>
      <c r="Q183" s="887" t="str">
        <f>Input!G67</f>
        <v>Standardized</v>
      </c>
      <c r="R183" s="888"/>
      <c r="S183" s="232"/>
      <c r="T183" s="232"/>
      <c r="U183" s="232"/>
      <c r="V183" s="232"/>
    </row>
    <row r="184" spans="2:22" ht="15" customHeight="1" x14ac:dyDescent="0.25">
      <c r="B184" s="192"/>
      <c r="C184" s="232"/>
      <c r="D184" s="232"/>
      <c r="E184" s="232"/>
      <c r="F184" s="899"/>
      <c r="G184" s="900"/>
      <c r="H184" s="901"/>
      <c r="I184" s="232"/>
      <c r="J184" s="232"/>
      <c r="K184" s="232"/>
      <c r="L184" s="12" t="s">
        <v>1295</v>
      </c>
      <c r="M184" s="4"/>
      <c r="N184" s="4"/>
      <c r="O184" s="4"/>
      <c r="P184" s="257"/>
      <c r="Q184" s="986">
        <f>'Y1 to Y5'!K27</f>
        <v>2816.7113636363638</v>
      </c>
      <c r="R184" s="987"/>
      <c r="S184" s="232"/>
      <c r="T184" s="232"/>
      <c r="U184" s="232"/>
      <c r="V184" s="232"/>
    </row>
    <row r="185" spans="2:22" ht="15" customHeight="1" x14ac:dyDescent="0.25">
      <c r="B185" s="192"/>
      <c r="C185" s="232"/>
      <c r="D185" s="232"/>
      <c r="E185" s="232"/>
      <c r="F185" s="899"/>
      <c r="G185" s="900"/>
      <c r="H185" s="901"/>
      <c r="I185" s="232"/>
      <c r="J185" s="232"/>
      <c r="K185" s="232"/>
      <c r="L185" s="12" t="s">
        <v>1296</v>
      </c>
      <c r="M185" s="4"/>
      <c r="N185" s="4"/>
      <c r="O185" s="4"/>
      <c r="P185" s="257"/>
      <c r="Q185" s="984">
        <f>IF(Setup!B7="Losses/Provisions",IF(ISNUMBER('Summary of Input Data'!I25/'Summary of Input Data'!I30),'Summary of Input Data'!I25/'Summary of Input Data'!I30,IF(ISNUMBER('Summary of Input Data'!I25/'Summary of Input Data'!I29),'Summary of Input Data'!I25/'Summary of Input Data'!I29,"N/A")),IF(ISNUMBER('Summary of Input Data'!I25),'Summary of Input Data'!I25,"N/A"))</f>
        <v>3.4239805149277824E-2</v>
      </c>
      <c r="R185" s="985"/>
      <c r="S185" s="232"/>
      <c r="T185" s="232"/>
      <c r="U185" s="232"/>
      <c r="V185" s="232"/>
    </row>
    <row r="186" spans="2:22" ht="15" customHeight="1" x14ac:dyDescent="0.25">
      <c r="B186" s="192"/>
      <c r="C186" s="232"/>
      <c r="D186" s="232"/>
      <c r="E186" s="232"/>
      <c r="F186" s="899"/>
      <c r="G186" s="900"/>
      <c r="H186" s="901"/>
      <c r="I186" s="232"/>
      <c r="J186" s="232"/>
      <c r="K186" s="232"/>
      <c r="L186" s="12" t="s">
        <v>1297</v>
      </c>
      <c r="M186" s="4"/>
      <c r="N186" s="4"/>
      <c r="O186" s="4"/>
      <c r="P186" s="257"/>
      <c r="Q186" s="984">
        <f>IF(ISNUMBER('Summary of Input Data'!I30),'Summary of Input Data'!I30,IF(ISNUMBER('Summary of Input Data'!I29),'Summary of Input Data'!I29,"N/A"))</f>
        <v>0.70824730645748213</v>
      </c>
      <c r="R186" s="985"/>
      <c r="S186" s="232"/>
      <c r="T186" s="232"/>
      <c r="U186" s="232"/>
      <c r="V186" s="232"/>
    </row>
    <row r="187" spans="2:22" ht="15" customHeight="1" x14ac:dyDescent="0.25">
      <c r="B187" s="192"/>
      <c r="C187" s="232"/>
      <c r="D187" s="232"/>
      <c r="E187" s="232"/>
      <c r="F187" s="899"/>
      <c r="G187" s="900"/>
      <c r="H187" s="901"/>
      <c r="I187" s="232"/>
      <c r="J187" s="232"/>
      <c r="K187" s="232"/>
      <c r="L187" s="12" t="s">
        <v>1301</v>
      </c>
      <c r="M187" s="4"/>
      <c r="N187" s="4"/>
      <c r="O187" s="4"/>
      <c r="P187" s="257"/>
      <c r="Q187" s="984">
        <f>IF(ISNUMBER(0.12*(1-EXP(-50*Q185))/(1-EXP(-50))+0.24*(1-(1-EXP(-50*Q185))/(1-EXP(-50)))),0.12*(1-EXP(-50*Q185))/(1-EXP(-50))+0.24*(1-(1-EXP(-50*Q185))/(1-EXP(-50))),"N/A")</f>
        <v>0.14166074173222318</v>
      </c>
      <c r="R187" s="985">
        <f>IF(ISNUMBER(0.12*(1-EXP(-50*R185))/(1-EXP(-50))+0.24*(1-(1-EXP(-50*R185))/(1-EXP(-50)))),0.12*(1-EXP(-50*R185))/(1-EXP(-50))+0.24*(1-(1-EXP(-50*R185))/(1-EXP(-50))),"n.a.")</f>
        <v>0.24</v>
      </c>
      <c r="S187" s="232"/>
      <c r="T187" s="232"/>
      <c r="U187" s="232"/>
      <c r="V187" s="232"/>
    </row>
    <row r="188" spans="2:22" ht="15" customHeight="1" x14ac:dyDescent="0.25">
      <c r="B188" s="192"/>
      <c r="C188" s="232"/>
      <c r="D188" s="232"/>
      <c r="E188" s="232"/>
      <c r="F188" s="899"/>
      <c r="G188" s="900"/>
      <c r="H188" s="901"/>
      <c r="I188" s="232"/>
      <c r="J188" s="232"/>
      <c r="K188" s="232"/>
      <c r="L188" s="12" t="s">
        <v>1298</v>
      </c>
      <c r="M188" s="4"/>
      <c r="N188" s="4"/>
      <c r="O188" s="4"/>
      <c r="P188" s="257"/>
      <c r="Q188" s="984">
        <f>IF(ISNUMBER(0.03*(1-EXP(-35*Q185))/(1-EXP(-35))+0.16*(1-(1-EXP(-35*Q185))/(1-EXP(-35)))),0.03*(1-EXP(-35*Q185))/(1-EXP(-35))+0.16*(1-(1-EXP(-35*Q185))/(1-EXP(-35))),"n.a.")</f>
        <v>6.9218213548612614E-2</v>
      </c>
      <c r="R188" s="985">
        <f>IF(ISNUMBER(0.03*(1-EXP(-35*R185))/(1-EXP(-35))+0.16*(1-(1-EXP(-35*R185))/(1-EXP(-35)))),0.03*(1-EXP(-35*R185))/(1-EXP(-35))+0.16*(1-(1-EXP(-35*R185))/(1-EXP(-35))),"n.a.")</f>
        <v>0.16</v>
      </c>
      <c r="S188" s="232"/>
      <c r="T188" s="232"/>
      <c r="U188" s="232"/>
      <c r="V188" s="232"/>
    </row>
    <row r="189" spans="2:22" ht="15" customHeight="1" x14ac:dyDescent="0.25">
      <c r="B189" s="192"/>
      <c r="C189" s="232"/>
      <c r="D189" s="232"/>
      <c r="E189" s="232"/>
      <c r="F189" s="899"/>
      <c r="G189" s="900"/>
      <c r="H189" s="901"/>
      <c r="I189" s="232"/>
      <c r="J189" s="232"/>
      <c r="K189" s="232"/>
      <c r="L189" s="12" t="s">
        <v>1008</v>
      </c>
      <c r="M189" s="4"/>
      <c r="N189" s="4"/>
      <c r="O189" s="4"/>
      <c r="P189" s="257"/>
      <c r="Q189" s="984">
        <f>IF(ISNUMBER((0.11852-0.05478*LN(Q185))^2),(0.11852-0.05478*LN(Q185))^2,"n.a.")</f>
        <v>9.2032017467564606E-2</v>
      </c>
      <c r="R189" s="985" t="str">
        <f>IF(ISNUMBER((0.11852-0.05478*LN(R185))^2),(0.11852-0.05478*LN(R185))^2,"n.a.")</f>
        <v>n.a.</v>
      </c>
      <c r="S189" s="232"/>
      <c r="T189" s="232"/>
      <c r="U189" s="232"/>
      <c r="V189" s="232"/>
    </row>
    <row r="190" spans="2:22" ht="15" customHeight="1" x14ac:dyDescent="0.25">
      <c r="B190" s="192"/>
      <c r="C190" s="232"/>
      <c r="D190" s="232"/>
      <c r="E190" s="232"/>
      <c r="F190" s="899"/>
      <c r="G190" s="900"/>
      <c r="H190" s="901"/>
      <c r="I190" s="923" t="s">
        <v>1300</v>
      </c>
      <c r="J190" s="923"/>
      <c r="K190" s="923"/>
      <c r="L190" s="12" t="s">
        <v>909</v>
      </c>
      <c r="M190" s="4"/>
      <c r="N190" s="4"/>
      <c r="O190" s="4"/>
      <c r="P190" s="257"/>
      <c r="Q190" s="984">
        <f>IF(ISNUMBER(1.06*(('Summary of Input Data'!S25+0.85*'Summary of Input Data'!S26)*(Q186*NORMDIST((1-Q187)^-0.5*NORMINV(Q185,0,1)+(Q187/(1-Q187))^0.5*NORMINV(0.999,0,1),0,1,1)-Q185*Q186)*(1-1.5*Q189)^-1*(1+(IF(Input!Z113&gt;0,Input!Z113-2.5,0))*Q189)+'Summary of Input Data'!S27*0.5*(Q186*NORMDIST((1-Q188)^-0.5*NORMINV(Q185,0,1)+(Q188/(1-Q188))^0.5*NORMINV(0.999,0,1),0,1,1)-0.5*Q185*Q186)*(1-1.5*Q189)^-1*(1+(IF(Input!Z113&gt;0,Input!Z113-2.5,0))*Q189))),1.06*(('Summary of Input Data'!S25+0.85*'Summary of Input Data'!S26)*(Q186*NORMDIST((1-Q187)^-0.5*NORMINV(Q185,0,1)+(Q187/(1-Q187))^0.5*NORMINV(0.999,0,1),0,1,1)-Q185*Q186)*(1-1.5*Q189)^-1*(1+(IF(Input!Z113&gt;0,Input!Z113-2.5,0))*Q189)+'Summary of Input Data'!S27*0.5*(Q186*NORMDIST((1-Q188)^-0.5*NORMINV(Q185,0,1)+(Q188/(1-Q188))^0.5*NORMINV(0.999,0,1),0,1,1)-0.5*Q185*Q186)*(1-1.5*Q189)^-1*(1+(IF(Input!Z113&gt;0,Input!Z113-2.5,0))*Q189)),"N/A")</f>
        <v>0.15076176767427971</v>
      </c>
      <c r="R190" s="985"/>
      <c r="S190" s="232"/>
      <c r="T190" s="232"/>
      <c r="U190" s="232"/>
      <c r="V190" s="232"/>
    </row>
    <row r="191" spans="2:22" ht="15" customHeight="1" x14ac:dyDescent="0.25">
      <c r="B191" s="192"/>
      <c r="C191" s="232"/>
      <c r="D191" s="232"/>
      <c r="E191" s="232"/>
      <c r="F191" s="899"/>
      <c r="G191" s="900"/>
      <c r="H191" s="901"/>
      <c r="I191" s="925"/>
      <c r="J191" s="925"/>
      <c r="K191" s="925"/>
      <c r="L191" s="12" t="s">
        <v>1299</v>
      </c>
      <c r="M191" s="4"/>
      <c r="N191" s="4"/>
      <c r="O191" s="4"/>
      <c r="P191" s="257"/>
      <c r="Q191" s="986">
        <f>IF(ISNUMBER(Q190*Q184),Q190*Q184,"n.a.")</f>
        <v>424.65238421004904</v>
      </c>
      <c r="R191" s="987">
        <f>IF(ISNUMBER(R190*R184),R190*R184,"n.a.")</f>
        <v>0</v>
      </c>
      <c r="S191" s="232"/>
      <c r="T191" s="232"/>
      <c r="U191" s="232"/>
      <c r="V191" s="232"/>
    </row>
    <row r="192" spans="2:22" ht="15" customHeight="1" x14ac:dyDescent="0.25">
      <c r="B192" s="192"/>
      <c r="C192" s="232"/>
      <c r="D192" s="232"/>
      <c r="E192" s="232"/>
      <c r="F192" s="899"/>
      <c r="G192" s="900"/>
      <c r="H192" s="901"/>
      <c r="I192" s="927"/>
      <c r="J192" s="927"/>
      <c r="K192" s="927"/>
      <c r="L192" s="258" t="s">
        <v>816</v>
      </c>
      <c r="M192" s="259"/>
      <c r="N192" s="259"/>
      <c r="O192" s="259"/>
      <c r="P192" s="260"/>
      <c r="Q192" s="986">
        <f>IF(ISNUMBER((Q191*12.5)*IF(Assumptions!H30="Yes",(1+'Summary of Input Data'!I41),1)+SUM(Input!O75:O79)),(Q191*12.5)*IF(Assumptions!H30="Yes",(1+'Summary of Input Data'!I41),1)+SUM(Input!O75:O79),"N/A")</f>
        <v>5456.0002571710675</v>
      </c>
      <c r="R192" s="987"/>
      <c r="S192" s="232"/>
      <c r="T192" s="232"/>
      <c r="U192" s="232"/>
      <c r="V192" s="232"/>
    </row>
    <row r="193" spans="2:22" ht="15" customHeight="1" x14ac:dyDescent="0.25">
      <c r="B193" s="192"/>
      <c r="C193" s="232"/>
      <c r="D193" s="232"/>
      <c r="E193" s="232"/>
      <c r="F193" s="899"/>
      <c r="G193" s="900"/>
      <c r="H193" s="901"/>
      <c r="I193" s="232"/>
      <c r="J193" s="232"/>
      <c r="K193" s="232"/>
      <c r="L193" s="232"/>
      <c r="M193" s="232"/>
      <c r="N193" s="232"/>
      <c r="O193" s="232"/>
      <c r="P193" s="232"/>
      <c r="Q193" s="232"/>
      <c r="R193" s="232"/>
      <c r="S193" s="232"/>
      <c r="T193" s="232"/>
      <c r="U193" s="232"/>
      <c r="V193" s="232"/>
    </row>
    <row r="194" spans="2:22" ht="15" customHeight="1" x14ac:dyDescent="0.25">
      <c r="B194" s="192"/>
      <c r="C194" s="232"/>
      <c r="D194" s="232"/>
      <c r="E194" s="232"/>
      <c r="F194" s="899"/>
      <c r="G194" s="900"/>
      <c r="H194" s="901"/>
      <c r="I194" s="232"/>
      <c r="J194" s="232"/>
      <c r="K194" s="232"/>
      <c r="L194" s="14" t="s">
        <v>1302</v>
      </c>
      <c r="M194" s="15"/>
      <c r="N194" s="15"/>
      <c r="O194" s="15"/>
      <c r="P194" s="16"/>
      <c r="Q194" s="889">
        <f>'Summary of Input Data'!S40</f>
        <v>2250.1909090909094</v>
      </c>
      <c r="R194" s="888"/>
      <c r="S194" s="232"/>
      <c r="T194" s="232"/>
      <c r="U194" s="232"/>
      <c r="V194" s="232"/>
    </row>
    <row r="195" spans="2:22" ht="15" customHeight="1" x14ac:dyDescent="0.25">
      <c r="B195" s="192"/>
      <c r="C195" s="232"/>
      <c r="D195" s="232"/>
      <c r="E195" s="232"/>
      <c r="F195" s="899"/>
      <c r="G195" s="900"/>
      <c r="H195" s="901"/>
      <c r="I195" s="232"/>
      <c r="J195" s="232"/>
      <c r="K195" s="232"/>
      <c r="L195" s="232"/>
      <c r="M195" s="232"/>
      <c r="N195" s="232"/>
      <c r="O195" s="232"/>
      <c r="P195" s="232"/>
      <c r="Q195" s="232"/>
      <c r="R195" s="232"/>
      <c r="S195" s="232"/>
      <c r="T195" s="232"/>
      <c r="U195" s="232"/>
      <c r="V195" s="232"/>
    </row>
    <row r="196" spans="2:22" ht="30" customHeight="1" x14ac:dyDescent="0.25">
      <c r="B196" s="192"/>
      <c r="C196" s="232"/>
      <c r="D196" s="232"/>
      <c r="E196" s="232"/>
      <c r="F196" s="902"/>
      <c r="G196" s="903"/>
      <c r="H196" s="904"/>
      <c r="I196" s="610" t="s">
        <v>1300</v>
      </c>
      <c r="J196" s="610"/>
      <c r="K196" s="611"/>
      <c r="L196" s="26" t="s">
        <v>1303</v>
      </c>
      <c r="M196" s="15"/>
      <c r="N196" s="15"/>
      <c r="O196" s="15"/>
      <c r="P196" s="16"/>
      <c r="Q196" s="988">
        <f>IF(Assumptions!H29="Yes",Q192/Q194,1)</f>
        <v>1</v>
      </c>
      <c r="R196" s="989"/>
      <c r="S196" s="232"/>
      <c r="T196" s="232"/>
      <c r="U196" s="232"/>
      <c r="V196" s="232"/>
    </row>
    <row r="197" spans="2:22" x14ac:dyDescent="0.25">
      <c r="B197" s="192"/>
      <c r="C197" s="232"/>
      <c r="D197" s="232"/>
      <c r="E197" s="232"/>
      <c r="F197" s="232"/>
      <c r="G197" s="232"/>
      <c r="H197" s="232"/>
      <c r="I197" s="232"/>
      <c r="J197" s="232"/>
      <c r="K197" s="232"/>
      <c r="L197" s="232"/>
      <c r="M197" s="232"/>
      <c r="N197" s="232"/>
      <c r="O197" s="232"/>
      <c r="P197" s="232"/>
      <c r="Q197" s="232"/>
      <c r="R197" s="232"/>
      <c r="S197" s="232"/>
      <c r="T197" s="232"/>
      <c r="U197" s="232"/>
      <c r="V197" s="232"/>
    </row>
    <row r="198" spans="2:22" ht="15.75" x14ac:dyDescent="0.25">
      <c r="B198" s="192"/>
      <c r="C198" s="253" t="s">
        <v>1304</v>
      </c>
      <c r="D198" s="232"/>
      <c r="E198" s="232"/>
      <c r="F198" s="232"/>
      <c r="G198" s="232"/>
      <c r="H198" s="232"/>
      <c r="I198" s="232"/>
      <c r="J198" s="232"/>
      <c r="K198" s="232"/>
      <c r="L198" s="232"/>
      <c r="M198" s="232"/>
      <c r="N198" s="232"/>
      <c r="O198" s="232"/>
      <c r="P198" s="232"/>
      <c r="Q198" s="232"/>
      <c r="R198" s="261"/>
      <c r="S198" s="232"/>
      <c r="T198" s="232"/>
      <c r="U198" s="232"/>
      <c r="V198" s="232"/>
    </row>
    <row r="199" spans="2:22" x14ac:dyDescent="0.25">
      <c r="B199" s="192"/>
      <c r="C199" s="232"/>
      <c r="D199" s="232"/>
      <c r="E199" s="232"/>
      <c r="F199" s="232"/>
      <c r="G199" s="232"/>
      <c r="H199" s="232"/>
      <c r="I199" s="232"/>
      <c r="J199" s="232"/>
      <c r="K199" s="232"/>
      <c r="L199" s="232"/>
      <c r="M199" s="232"/>
      <c r="N199" s="232"/>
      <c r="O199" s="232"/>
      <c r="P199" s="232"/>
      <c r="Q199" s="232"/>
      <c r="R199" s="262"/>
      <c r="S199" s="232"/>
      <c r="T199" s="232"/>
      <c r="U199" s="232"/>
      <c r="V199" s="232"/>
    </row>
    <row r="200" spans="2:22" x14ac:dyDescent="0.25">
      <c r="B200" s="192"/>
      <c r="C200" s="232"/>
      <c r="D200" s="232"/>
      <c r="E200" s="232"/>
      <c r="F200" s="896" t="s">
        <v>1255</v>
      </c>
      <c r="G200" s="897"/>
      <c r="H200" s="898"/>
      <c r="I200" s="981" t="s">
        <v>1426</v>
      </c>
      <c r="J200" s="955"/>
      <c r="K200" s="955"/>
      <c r="L200" s="955"/>
      <c r="M200" s="955"/>
      <c r="N200" s="955"/>
      <c r="O200" s="955"/>
      <c r="P200" s="955"/>
      <c r="Q200" s="955"/>
      <c r="R200" s="956"/>
      <c r="S200" s="232"/>
      <c r="T200" s="232"/>
      <c r="U200" s="232"/>
      <c r="V200" s="232"/>
    </row>
    <row r="201" spans="2:22" x14ac:dyDescent="0.25">
      <c r="B201" s="192"/>
      <c r="C201" s="232"/>
      <c r="D201" s="232"/>
      <c r="E201" s="232"/>
      <c r="F201" s="899"/>
      <c r="G201" s="900"/>
      <c r="H201" s="901"/>
      <c r="I201" s="982"/>
      <c r="J201" s="957"/>
      <c r="K201" s="957"/>
      <c r="L201" s="957"/>
      <c r="M201" s="957"/>
      <c r="N201" s="957"/>
      <c r="O201" s="957"/>
      <c r="P201" s="957"/>
      <c r="Q201" s="957"/>
      <c r="R201" s="958"/>
      <c r="S201" s="232"/>
      <c r="T201" s="232"/>
      <c r="U201" s="232"/>
      <c r="V201" s="232"/>
    </row>
    <row r="202" spans="2:22" x14ac:dyDescent="0.25">
      <c r="B202" s="192"/>
      <c r="C202" s="232"/>
      <c r="D202" s="232"/>
      <c r="E202" s="232"/>
      <c r="F202" s="902"/>
      <c r="G202" s="903"/>
      <c r="H202" s="904"/>
      <c r="I202" s="983"/>
      <c r="J202" s="959"/>
      <c r="K202" s="959"/>
      <c r="L202" s="959"/>
      <c r="M202" s="959"/>
      <c r="N202" s="959"/>
      <c r="O202" s="959"/>
      <c r="P202" s="959"/>
      <c r="Q202" s="959"/>
      <c r="R202" s="960"/>
      <c r="S202" s="232"/>
      <c r="T202" s="232"/>
      <c r="U202" s="232"/>
      <c r="V202" s="232"/>
    </row>
    <row r="203" spans="2:22" ht="15" customHeight="1" x14ac:dyDescent="0.25">
      <c r="B203" s="192"/>
      <c r="C203" s="232"/>
      <c r="D203" s="232"/>
      <c r="E203" s="232"/>
      <c r="F203" s="896" t="s">
        <v>1260</v>
      </c>
      <c r="G203" s="897"/>
      <c r="H203" s="898"/>
      <c r="I203" s="915" t="s">
        <v>1427</v>
      </c>
      <c r="J203" s="915"/>
      <c r="K203" s="915"/>
      <c r="L203" s="915"/>
      <c r="M203" s="915"/>
      <c r="N203" s="915"/>
      <c r="O203" s="915"/>
      <c r="P203" s="915"/>
      <c r="Q203" s="915"/>
      <c r="R203" s="916"/>
      <c r="S203" s="232"/>
      <c r="T203" s="232"/>
      <c r="U203" s="232"/>
      <c r="V203" s="232"/>
    </row>
    <row r="204" spans="2:22" ht="15" customHeight="1" x14ac:dyDescent="0.25">
      <c r="B204" s="192"/>
      <c r="C204" s="232"/>
      <c r="D204" s="232"/>
      <c r="E204" s="232"/>
      <c r="F204" s="899"/>
      <c r="G204" s="900"/>
      <c r="H204" s="901"/>
      <c r="I204" s="917"/>
      <c r="J204" s="917"/>
      <c r="K204" s="917"/>
      <c r="L204" s="917"/>
      <c r="M204" s="917"/>
      <c r="N204" s="917"/>
      <c r="O204" s="917"/>
      <c r="P204" s="917"/>
      <c r="Q204" s="917"/>
      <c r="R204" s="918"/>
      <c r="S204" s="232"/>
      <c r="T204" s="232"/>
      <c r="U204" s="232"/>
      <c r="V204" s="232"/>
    </row>
    <row r="205" spans="2:22" ht="15" customHeight="1" x14ac:dyDescent="0.25">
      <c r="B205" s="192"/>
      <c r="C205" s="232"/>
      <c r="D205" s="232"/>
      <c r="E205" s="232"/>
      <c r="F205" s="899"/>
      <c r="G205" s="900"/>
      <c r="H205" s="901"/>
      <c r="I205" s="917"/>
      <c r="J205" s="917"/>
      <c r="K205" s="917"/>
      <c r="L205" s="917"/>
      <c r="M205" s="917"/>
      <c r="N205" s="917"/>
      <c r="O205" s="917"/>
      <c r="P205" s="917"/>
      <c r="Q205" s="917"/>
      <c r="R205" s="918"/>
      <c r="S205" s="232"/>
      <c r="T205" s="232"/>
      <c r="U205" s="232"/>
      <c r="V205" s="232"/>
    </row>
    <row r="206" spans="2:22" ht="15" customHeight="1" x14ac:dyDescent="0.25">
      <c r="B206" s="192"/>
      <c r="C206" s="232"/>
      <c r="D206" s="232"/>
      <c r="E206" s="232"/>
      <c r="F206" s="899"/>
      <c r="G206" s="900"/>
      <c r="H206" s="901"/>
      <c r="I206" s="917"/>
      <c r="J206" s="917"/>
      <c r="K206" s="917"/>
      <c r="L206" s="917"/>
      <c r="M206" s="917"/>
      <c r="N206" s="917"/>
      <c r="O206" s="917"/>
      <c r="P206" s="917"/>
      <c r="Q206" s="917"/>
      <c r="R206" s="918"/>
      <c r="S206" s="232"/>
      <c r="T206" s="232"/>
      <c r="U206" s="232"/>
      <c r="V206" s="232"/>
    </row>
    <row r="207" spans="2:22" ht="15" customHeight="1" x14ac:dyDescent="0.25">
      <c r="B207" s="192"/>
      <c r="C207" s="232"/>
      <c r="D207" s="232"/>
      <c r="E207" s="232"/>
      <c r="F207" s="899"/>
      <c r="G207" s="900"/>
      <c r="H207" s="901"/>
      <c r="I207" s="917"/>
      <c r="J207" s="917"/>
      <c r="K207" s="917"/>
      <c r="L207" s="917"/>
      <c r="M207" s="917"/>
      <c r="N207" s="917"/>
      <c r="O207" s="917"/>
      <c r="P207" s="917"/>
      <c r="Q207" s="917"/>
      <c r="R207" s="918"/>
      <c r="S207" s="232"/>
      <c r="T207" s="232"/>
      <c r="U207" s="232"/>
      <c r="V207" s="232"/>
    </row>
    <row r="208" spans="2:22" ht="15" customHeight="1" x14ac:dyDescent="0.25">
      <c r="B208" s="192"/>
      <c r="C208" s="232"/>
      <c r="D208" s="232"/>
      <c r="E208" s="232"/>
      <c r="F208" s="899"/>
      <c r="G208" s="900"/>
      <c r="H208" s="901"/>
      <c r="I208" s="917"/>
      <c r="J208" s="917"/>
      <c r="K208" s="917"/>
      <c r="L208" s="917"/>
      <c r="M208" s="917"/>
      <c r="N208" s="917"/>
      <c r="O208" s="917"/>
      <c r="P208" s="917"/>
      <c r="Q208" s="917"/>
      <c r="R208" s="918"/>
      <c r="S208" s="232"/>
      <c r="T208" s="232"/>
      <c r="U208" s="232"/>
      <c r="V208" s="232"/>
    </row>
    <row r="209" spans="2:22" ht="7.5" customHeight="1" x14ac:dyDescent="0.25">
      <c r="B209" s="192"/>
      <c r="C209" s="232"/>
      <c r="D209" s="232"/>
      <c r="E209" s="232"/>
      <c r="F209" s="899"/>
      <c r="G209" s="900"/>
      <c r="H209" s="901"/>
      <c r="I209" s="917"/>
      <c r="J209" s="917"/>
      <c r="K209" s="917"/>
      <c r="L209" s="917"/>
      <c r="M209" s="917"/>
      <c r="N209" s="917"/>
      <c r="O209" s="917"/>
      <c r="P209" s="917"/>
      <c r="Q209" s="917"/>
      <c r="R209" s="918"/>
      <c r="S209" s="232"/>
      <c r="T209" s="232"/>
      <c r="U209" s="232"/>
      <c r="V209" s="232"/>
    </row>
    <row r="210" spans="2:22" ht="7.5" customHeight="1" x14ac:dyDescent="0.25">
      <c r="B210" s="192"/>
      <c r="C210" s="232"/>
      <c r="D210" s="232"/>
      <c r="E210" s="232"/>
      <c r="F210" s="899"/>
      <c r="G210" s="900"/>
      <c r="H210" s="901"/>
      <c r="I210" s="919"/>
      <c r="J210" s="919"/>
      <c r="K210" s="919"/>
      <c r="L210" s="919"/>
      <c r="M210" s="919"/>
      <c r="N210" s="919"/>
      <c r="O210" s="919"/>
      <c r="P210" s="919"/>
      <c r="Q210" s="919"/>
      <c r="R210" s="920"/>
      <c r="S210" s="232"/>
      <c r="T210" s="232"/>
      <c r="U210" s="232"/>
      <c r="V210" s="232"/>
    </row>
    <row r="211" spans="2:22" ht="15" customHeight="1" x14ac:dyDescent="0.25">
      <c r="B211" s="192"/>
      <c r="C211" s="232"/>
      <c r="D211" s="232"/>
      <c r="E211" s="232"/>
      <c r="F211" s="899"/>
      <c r="G211" s="900"/>
      <c r="H211" s="901"/>
      <c r="I211" s="957" t="s">
        <v>1428</v>
      </c>
      <c r="J211" s="957"/>
      <c r="K211" s="957"/>
      <c r="L211" s="957"/>
      <c r="M211" s="957"/>
      <c r="N211" s="957"/>
      <c r="O211" s="957"/>
      <c r="P211" s="957"/>
      <c r="Q211" s="957"/>
      <c r="R211" s="958"/>
      <c r="S211" s="232"/>
      <c r="T211" s="232"/>
      <c r="U211" s="232"/>
      <c r="V211" s="232"/>
    </row>
    <row r="212" spans="2:22" ht="15" customHeight="1" x14ac:dyDescent="0.25">
      <c r="B212" s="192"/>
      <c r="C212" s="232"/>
      <c r="D212" s="232"/>
      <c r="E212" s="232"/>
      <c r="F212" s="899"/>
      <c r="G212" s="900"/>
      <c r="H212" s="901"/>
      <c r="I212" s="957"/>
      <c r="J212" s="957"/>
      <c r="K212" s="957"/>
      <c r="L212" s="957"/>
      <c r="M212" s="957"/>
      <c r="N212" s="957"/>
      <c r="O212" s="957"/>
      <c r="P212" s="957"/>
      <c r="Q212" s="957"/>
      <c r="R212" s="958"/>
      <c r="S212" s="232"/>
      <c r="T212" s="232"/>
      <c r="U212" s="232"/>
      <c r="V212" s="232"/>
    </row>
    <row r="213" spans="2:22" ht="15" customHeight="1" x14ac:dyDescent="0.25">
      <c r="B213" s="192"/>
      <c r="C213" s="232"/>
      <c r="D213" s="232"/>
      <c r="E213" s="232"/>
      <c r="F213" s="899"/>
      <c r="G213" s="900"/>
      <c r="H213" s="901"/>
      <c r="I213" s="957"/>
      <c r="J213" s="957"/>
      <c r="K213" s="957"/>
      <c r="L213" s="957"/>
      <c r="M213" s="957"/>
      <c r="N213" s="957"/>
      <c r="O213" s="957"/>
      <c r="P213" s="957"/>
      <c r="Q213" s="957"/>
      <c r="R213" s="958"/>
      <c r="S213" s="232"/>
      <c r="T213" s="232"/>
      <c r="U213" s="232"/>
      <c r="V213" s="232"/>
    </row>
    <row r="214" spans="2:22" ht="15" customHeight="1" x14ac:dyDescent="0.25">
      <c r="B214" s="192"/>
      <c r="C214" s="232"/>
      <c r="D214" s="232"/>
      <c r="E214" s="232"/>
      <c r="F214" s="899"/>
      <c r="G214" s="900"/>
      <c r="H214" s="901"/>
      <c r="I214" s="957"/>
      <c r="J214" s="957"/>
      <c r="K214" s="957"/>
      <c r="L214" s="957"/>
      <c r="M214" s="957"/>
      <c r="N214" s="957"/>
      <c r="O214" s="957"/>
      <c r="P214" s="957"/>
      <c r="Q214" s="957"/>
      <c r="R214" s="958"/>
      <c r="S214" s="232"/>
      <c r="T214" s="232"/>
      <c r="U214" s="232"/>
      <c r="V214" s="232"/>
    </row>
    <row r="215" spans="2:22" ht="15" customHeight="1" x14ac:dyDescent="0.25">
      <c r="B215" s="192"/>
      <c r="C215" s="232"/>
      <c r="D215" s="232"/>
      <c r="E215" s="232"/>
      <c r="F215" s="899"/>
      <c r="G215" s="900"/>
      <c r="H215" s="901"/>
      <c r="I215" s="957"/>
      <c r="J215" s="957"/>
      <c r="K215" s="957"/>
      <c r="L215" s="957"/>
      <c r="M215" s="957"/>
      <c r="N215" s="957"/>
      <c r="O215" s="957"/>
      <c r="P215" s="957"/>
      <c r="Q215" s="957"/>
      <c r="R215" s="958"/>
      <c r="S215" s="232"/>
      <c r="T215" s="232"/>
      <c r="U215" s="232"/>
      <c r="V215" s="232"/>
    </row>
    <row r="216" spans="2:22" ht="15" customHeight="1" x14ac:dyDescent="0.25">
      <c r="B216" s="192"/>
      <c r="C216" s="232"/>
      <c r="D216" s="232"/>
      <c r="E216" s="232"/>
      <c r="F216" s="899"/>
      <c r="G216" s="900"/>
      <c r="H216" s="901"/>
      <c r="I216" s="957"/>
      <c r="J216" s="957"/>
      <c r="K216" s="957"/>
      <c r="L216" s="957"/>
      <c r="M216" s="957"/>
      <c r="N216" s="957"/>
      <c r="O216" s="957"/>
      <c r="P216" s="957"/>
      <c r="Q216" s="957"/>
      <c r="R216" s="958"/>
      <c r="S216" s="232"/>
      <c r="T216" s="232"/>
      <c r="U216" s="232"/>
      <c r="V216" s="232"/>
    </row>
    <row r="217" spans="2:22" ht="15" customHeight="1" x14ac:dyDescent="0.25">
      <c r="B217" s="192"/>
      <c r="C217" s="232"/>
      <c r="D217" s="232"/>
      <c r="E217" s="232"/>
      <c r="F217" s="899"/>
      <c r="G217" s="900"/>
      <c r="H217" s="901"/>
      <c r="I217" s="959"/>
      <c r="J217" s="959"/>
      <c r="K217" s="959"/>
      <c r="L217" s="959"/>
      <c r="M217" s="959"/>
      <c r="N217" s="959"/>
      <c r="O217" s="959"/>
      <c r="P217" s="959"/>
      <c r="Q217" s="959"/>
      <c r="R217" s="960"/>
      <c r="S217" s="232"/>
      <c r="T217" s="232"/>
      <c r="U217" s="232"/>
      <c r="V217" s="232"/>
    </row>
    <row r="218" spans="2:22" ht="7.5" customHeight="1" x14ac:dyDescent="0.25">
      <c r="B218" s="192"/>
      <c r="C218" s="232"/>
      <c r="D218" s="232"/>
      <c r="E218" s="232"/>
      <c r="F218" s="899"/>
      <c r="G218" s="900"/>
      <c r="H218" s="901"/>
      <c r="I218" s="915" t="s">
        <v>1429</v>
      </c>
      <c r="J218" s="915"/>
      <c r="K218" s="915"/>
      <c r="L218" s="915"/>
      <c r="M218" s="915"/>
      <c r="N218" s="915"/>
      <c r="O218" s="915"/>
      <c r="P218" s="915"/>
      <c r="Q218" s="915"/>
      <c r="R218" s="916"/>
      <c r="S218" s="232"/>
      <c r="T218" s="232"/>
      <c r="U218" s="232"/>
      <c r="V218" s="232"/>
    </row>
    <row r="219" spans="2:22" ht="7.5" customHeight="1" x14ac:dyDescent="0.25">
      <c r="B219" s="192"/>
      <c r="C219" s="232"/>
      <c r="D219" s="232"/>
      <c r="E219" s="232"/>
      <c r="F219" s="899"/>
      <c r="G219" s="900"/>
      <c r="H219" s="901"/>
      <c r="I219" s="919"/>
      <c r="J219" s="919"/>
      <c r="K219" s="919"/>
      <c r="L219" s="919"/>
      <c r="M219" s="919"/>
      <c r="N219" s="919"/>
      <c r="O219" s="919"/>
      <c r="P219" s="919"/>
      <c r="Q219" s="919"/>
      <c r="R219" s="920"/>
      <c r="S219" s="232"/>
      <c r="T219" s="232"/>
      <c r="U219" s="232"/>
      <c r="V219" s="232"/>
    </row>
    <row r="220" spans="2:22" ht="15" customHeight="1" x14ac:dyDescent="0.25">
      <c r="B220" s="192"/>
      <c r="C220" s="232"/>
      <c r="D220" s="232"/>
      <c r="E220" s="232"/>
      <c r="F220" s="899"/>
      <c r="G220" s="900"/>
      <c r="H220" s="901"/>
      <c r="I220" s="232"/>
      <c r="J220" s="232"/>
      <c r="K220" s="232"/>
      <c r="L220" s="232"/>
      <c r="M220" s="232"/>
      <c r="N220" s="232"/>
      <c r="O220" s="232"/>
      <c r="P220" s="232"/>
      <c r="Q220" s="232"/>
      <c r="R220" s="232"/>
      <c r="S220" s="232"/>
      <c r="T220" s="232"/>
      <c r="U220" s="232"/>
      <c r="V220" s="232"/>
    </row>
    <row r="221" spans="2:22" ht="15" customHeight="1" x14ac:dyDescent="0.25">
      <c r="B221" s="192"/>
      <c r="C221" s="232"/>
      <c r="D221" s="232"/>
      <c r="E221" s="232"/>
      <c r="F221" s="899"/>
      <c r="G221" s="900"/>
      <c r="H221" s="901"/>
      <c r="I221" s="961" t="s">
        <v>1305</v>
      </c>
      <c r="J221" s="961"/>
      <c r="K221" s="962"/>
      <c r="L221" s="963" t="s">
        <v>1284</v>
      </c>
      <c r="M221" s="961"/>
      <c r="N221" s="962"/>
      <c r="O221" s="232"/>
      <c r="P221" s="232"/>
      <c r="Q221" s="232"/>
      <c r="R221" s="232"/>
      <c r="S221" s="232"/>
      <c r="T221" s="232"/>
      <c r="U221" s="232"/>
      <c r="V221" s="232"/>
    </row>
    <row r="222" spans="2:22" ht="15" customHeight="1" x14ac:dyDescent="0.25">
      <c r="B222" s="192"/>
      <c r="C222" s="232"/>
      <c r="D222" s="232"/>
      <c r="E222" s="232"/>
      <c r="F222" s="899"/>
      <c r="G222" s="900"/>
      <c r="H222" s="901"/>
      <c r="I222" s="249" t="s">
        <v>1306</v>
      </c>
      <c r="J222" s="249"/>
      <c r="K222" s="250"/>
      <c r="L222" s="921">
        <v>1</v>
      </c>
      <c r="M222" s="994"/>
      <c r="N222" s="922"/>
      <c r="O222" s="232"/>
      <c r="P222" s="232"/>
      <c r="Q222" s="232"/>
      <c r="R222" s="232"/>
      <c r="S222" s="232"/>
      <c r="T222" s="232"/>
      <c r="U222" s="232"/>
      <c r="V222" s="232"/>
    </row>
    <row r="223" spans="2:22" x14ac:dyDescent="0.25">
      <c r="B223" s="192"/>
      <c r="C223" s="232"/>
      <c r="D223" s="232"/>
      <c r="E223" s="232"/>
      <c r="F223" s="899"/>
      <c r="G223" s="900"/>
      <c r="H223" s="901"/>
      <c r="I223" s="232"/>
      <c r="J223" s="232"/>
      <c r="K223" s="232"/>
      <c r="L223" s="232"/>
      <c r="M223" s="232"/>
      <c r="N223" s="232"/>
      <c r="O223" s="232"/>
      <c r="P223" s="232"/>
      <c r="Q223" s="232"/>
      <c r="R223" s="232"/>
      <c r="S223" s="232"/>
      <c r="T223" s="232"/>
      <c r="U223" s="232"/>
      <c r="V223" s="232"/>
    </row>
    <row r="224" spans="2:22" x14ac:dyDescent="0.25">
      <c r="B224" s="192"/>
      <c r="C224" s="232"/>
      <c r="D224" s="232"/>
      <c r="E224" s="232"/>
      <c r="F224" s="899"/>
      <c r="G224" s="900"/>
      <c r="H224" s="901"/>
      <c r="I224" s="232"/>
      <c r="J224" s="232"/>
      <c r="K224" s="232"/>
      <c r="L224" s="232"/>
      <c r="M224" s="232"/>
      <c r="N224" s="232"/>
      <c r="O224" s="232"/>
      <c r="P224" s="232"/>
      <c r="Q224" s="232"/>
      <c r="R224" s="232"/>
      <c r="S224" s="232"/>
      <c r="T224" s="232"/>
      <c r="U224" s="232"/>
      <c r="V224" s="232"/>
    </row>
    <row r="225" spans="2:22" x14ac:dyDescent="0.25">
      <c r="B225" s="192"/>
      <c r="C225" s="232"/>
      <c r="D225" s="232"/>
      <c r="E225" s="232"/>
      <c r="F225" s="899"/>
      <c r="G225" s="900"/>
      <c r="H225" s="901"/>
      <c r="I225" s="232"/>
      <c r="J225" s="232"/>
      <c r="K225" s="232"/>
      <c r="L225" s="232"/>
      <c r="M225" s="232"/>
      <c r="N225" s="232"/>
      <c r="O225" s="232"/>
      <c r="P225" s="232"/>
      <c r="Q225" s="232"/>
      <c r="R225" s="232"/>
      <c r="S225" s="232"/>
      <c r="T225" s="232"/>
      <c r="U225" s="232"/>
      <c r="V225" s="232"/>
    </row>
    <row r="226" spans="2:22" x14ac:dyDescent="0.25">
      <c r="B226" s="192"/>
      <c r="C226" s="232"/>
      <c r="D226" s="232"/>
      <c r="E226" s="232"/>
      <c r="F226" s="899"/>
      <c r="G226" s="900"/>
      <c r="H226" s="901"/>
      <c r="I226" s="232"/>
      <c r="J226" s="232"/>
      <c r="K226" s="232"/>
      <c r="L226" s="232"/>
      <c r="M226" s="232"/>
      <c r="N226" s="232"/>
      <c r="O226" s="232"/>
      <c r="P226" s="232"/>
      <c r="Q226" s="232"/>
      <c r="R226" s="232"/>
      <c r="S226" s="232"/>
      <c r="T226" s="232"/>
      <c r="U226" s="232"/>
      <c r="V226" s="232"/>
    </row>
    <row r="227" spans="2:22" x14ac:dyDescent="0.25">
      <c r="B227" s="192"/>
      <c r="C227" s="232"/>
      <c r="D227" s="232"/>
      <c r="E227" s="232"/>
      <c r="F227" s="899"/>
      <c r="G227" s="900"/>
      <c r="H227" s="901"/>
      <c r="I227" s="232"/>
      <c r="J227" s="232"/>
      <c r="K227" s="232"/>
      <c r="L227" s="232"/>
      <c r="M227" s="232"/>
      <c r="N227" s="232"/>
      <c r="O227" s="232"/>
      <c r="P227" s="232"/>
      <c r="Q227" s="232"/>
      <c r="R227" s="232"/>
      <c r="S227" s="232"/>
      <c r="T227" s="232"/>
      <c r="U227" s="232"/>
      <c r="V227" s="232"/>
    </row>
    <row r="228" spans="2:22" x14ac:dyDescent="0.25">
      <c r="B228" s="192"/>
      <c r="C228" s="232"/>
      <c r="D228" s="232"/>
      <c r="E228" s="232"/>
      <c r="F228" s="899"/>
      <c r="G228" s="900"/>
      <c r="H228" s="901"/>
      <c r="I228" s="232"/>
      <c r="J228" s="232"/>
      <c r="K228" s="232"/>
      <c r="L228" s="232"/>
      <c r="M228" s="232"/>
      <c r="N228" s="232"/>
      <c r="O228" s="232"/>
      <c r="P228" s="232"/>
      <c r="Q228" s="232"/>
      <c r="R228" s="232"/>
      <c r="S228" s="232"/>
      <c r="T228" s="232"/>
      <c r="U228" s="232"/>
      <c r="V228" s="232"/>
    </row>
    <row r="229" spans="2:22" x14ac:dyDescent="0.25">
      <c r="B229" s="192"/>
      <c r="C229" s="232"/>
      <c r="D229" s="232"/>
      <c r="E229" s="232"/>
      <c r="F229" s="899"/>
      <c r="G229" s="900"/>
      <c r="H229" s="901"/>
      <c r="I229" s="232"/>
      <c r="J229" s="232"/>
      <c r="K229" s="232"/>
      <c r="L229" s="232"/>
      <c r="M229" s="232"/>
      <c r="N229" s="232"/>
      <c r="O229" s="232"/>
      <c r="P229" s="232"/>
      <c r="Q229" s="232"/>
      <c r="R229" s="232"/>
      <c r="S229" s="232"/>
      <c r="T229" s="232"/>
      <c r="U229" s="232"/>
      <c r="V229" s="232"/>
    </row>
    <row r="230" spans="2:22" x14ac:dyDescent="0.25">
      <c r="B230" s="192"/>
      <c r="C230" s="232"/>
      <c r="D230" s="232"/>
      <c r="E230" s="232"/>
      <c r="F230" s="899"/>
      <c r="G230" s="900"/>
      <c r="H230" s="901"/>
      <c r="I230" s="232"/>
      <c r="J230" s="232"/>
      <c r="K230" s="232"/>
      <c r="L230" s="232"/>
      <c r="M230" s="232"/>
      <c r="N230" s="232"/>
      <c r="O230" s="232"/>
      <c r="P230" s="232"/>
      <c r="Q230" s="232"/>
      <c r="R230" s="232"/>
      <c r="S230" s="232"/>
      <c r="T230" s="232"/>
      <c r="U230" s="232"/>
      <c r="V230" s="232"/>
    </row>
    <row r="231" spans="2:22" x14ac:dyDescent="0.25">
      <c r="B231" s="192"/>
      <c r="C231" s="232"/>
      <c r="D231" s="232"/>
      <c r="E231" s="232"/>
      <c r="F231" s="902"/>
      <c r="G231" s="903"/>
      <c r="H231" s="904"/>
      <c r="I231" s="232"/>
      <c r="J231" s="232"/>
      <c r="K231" s="232"/>
      <c r="L231" s="232"/>
      <c r="M231" s="232"/>
      <c r="N231" s="232"/>
      <c r="O231" s="232"/>
      <c r="P231" s="232"/>
      <c r="Q231" s="232"/>
      <c r="R231" s="232"/>
      <c r="S231" s="232"/>
      <c r="T231" s="232"/>
      <c r="U231" s="232"/>
      <c r="V231" s="232"/>
    </row>
    <row r="232" spans="2:22" x14ac:dyDescent="0.25">
      <c r="B232" s="192"/>
      <c r="C232" s="232"/>
      <c r="D232" s="232"/>
      <c r="E232" s="232"/>
      <c r="F232" s="232"/>
      <c r="G232" s="232"/>
      <c r="H232" s="232"/>
      <c r="I232" s="232"/>
      <c r="J232" s="232"/>
      <c r="K232" s="232"/>
      <c r="L232" s="232"/>
      <c r="M232" s="232"/>
      <c r="N232" s="232"/>
      <c r="O232" s="232"/>
      <c r="P232" s="232"/>
      <c r="Q232" s="232"/>
      <c r="R232" s="232"/>
      <c r="S232" s="232"/>
      <c r="T232" s="232"/>
      <c r="U232" s="232"/>
      <c r="V232" s="232"/>
    </row>
    <row r="233" spans="2:22" ht="15.75" x14ac:dyDescent="0.25">
      <c r="B233" s="192"/>
      <c r="C233" s="253" t="s">
        <v>1307</v>
      </c>
      <c r="D233" s="232"/>
      <c r="E233" s="232"/>
      <c r="F233" s="232"/>
      <c r="G233" s="232"/>
      <c r="H233" s="232"/>
      <c r="I233" s="232"/>
      <c r="J233" s="232"/>
      <c r="K233" s="232"/>
      <c r="L233" s="232"/>
      <c r="M233" s="232"/>
      <c r="N233" s="232"/>
      <c r="O233" s="232"/>
      <c r="P233" s="232"/>
      <c r="Q233" s="232"/>
      <c r="R233" s="232"/>
      <c r="S233" s="232"/>
      <c r="T233" s="232"/>
      <c r="U233" s="232"/>
      <c r="V233" s="232"/>
    </row>
    <row r="234" spans="2:22" x14ac:dyDescent="0.25">
      <c r="B234" s="192"/>
      <c r="C234" s="232"/>
      <c r="D234" s="232"/>
      <c r="E234" s="232"/>
      <c r="F234" s="232"/>
      <c r="G234" s="232"/>
      <c r="H234" s="232"/>
      <c r="I234" s="232"/>
      <c r="J234" s="232"/>
      <c r="K234" s="232"/>
      <c r="L234" s="232"/>
      <c r="M234" s="232"/>
      <c r="N234" s="232"/>
      <c r="O234" s="232"/>
      <c r="P234" s="232"/>
      <c r="Q234" s="232"/>
      <c r="R234" s="232"/>
      <c r="S234" s="232"/>
      <c r="T234" s="232"/>
      <c r="U234" s="232"/>
      <c r="V234" s="232"/>
    </row>
    <row r="235" spans="2:22" x14ac:dyDescent="0.25">
      <c r="B235" s="192"/>
      <c r="C235" s="232"/>
      <c r="D235" s="232"/>
      <c r="E235" s="232"/>
      <c r="F235" s="232"/>
      <c r="G235" s="232"/>
      <c r="H235" s="232"/>
      <c r="I235" s="232"/>
      <c r="J235" s="232"/>
      <c r="K235" s="232"/>
      <c r="L235" s="232"/>
      <c r="M235" s="232"/>
      <c r="N235" s="232"/>
      <c r="O235" s="232"/>
      <c r="P235" s="232"/>
      <c r="Q235" s="232"/>
      <c r="R235" s="232"/>
      <c r="S235" s="232"/>
      <c r="T235" s="232"/>
      <c r="U235" s="232"/>
      <c r="V235" s="232"/>
    </row>
    <row r="236" spans="2:22" x14ac:dyDescent="0.25">
      <c r="B236" s="192"/>
      <c r="C236" s="232"/>
      <c r="D236" s="232"/>
      <c r="E236" s="1015" t="s">
        <v>1308</v>
      </c>
      <c r="F236" s="1016"/>
      <c r="G236" s="1016"/>
      <c r="H236" s="1016"/>
      <c r="I236" s="1016"/>
      <c r="J236" s="1016"/>
      <c r="K236" s="1016"/>
      <c r="L236" s="1016"/>
      <c r="M236" s="1016"/>
      <c r="N236" s="1016"/>
      <c r="O236" s="1016"/>
      <c r="P236" s="1016"/>
      <c r="Q236" s="1016"/>
      <c r="R236" s="1016"/>
      <c r="S236" s="1017"/>
      <c r="T236" s="232"/>
      <c r="U236" s="232"/>
      <c r="V236" s="232"/>
    </row>
    <row r="237" spans="2:22" x14ac:dyDescent="0.25">
      <c r="B237" s="192"/>
      <c r="C237" s="232"/>
      <c r="D237" s="232"/>
      <c r="E237" s="1018" t="s">
        <v>1309</v>
      </c>
      <c r="F237" s="1019"/>
      <c r="G237" s="1019"/>
      <c r="H237" s="1019"/>
      <c r="I237" s="1019"/>
      <c r="J237" s="1019"/>
      <c r="K237" s="1019"/>
      <c r="L237" s="1019"/>
      <c r="M237" s="1019"/>
      <c r="N237" s="1019"/>
      <c r="O237" s="1019"/>
      <c r="P237" s="1019"/>
      <c r="Q237" s="1019"/>
      <c r="R237" s="1019"/>
      <c r="S237" s="1020"/>
      <c r="T237" s="232"/>
      <c r="U237" s="232"/>
      <c r="V237" s="232"/>
    </row>
    <row r="238" spans="2:22" x14ac:dyDescent="0.25">
      <c r="B238" s="192"/>
      <c r="C238" s="232"/>
      <c r="D238" s="232"/>
      <c r="E238" s="932" t="s">
        <v>1310</v>
      </c>
      <c r="F238" s="933"/>
      <c r="G238" s="933"/>
      <c r="H238" s="933"/>
      <c r="I238" s="934"/>
      <c r="J238" s="932" t="s">
        <v>1311</v>
      </c>
      <c r="K238" s="933"/>
      <c r="L238" s="933"/>
      <c r="M238" s="933"/>
      <c r="N238" s="934"/>
      <c r="O238" s="932" t="s">
        <v>1312</v>
      </c>
      <c r="P238" s="933"/>
      <c r="Q238" s="933"/>
      <c r="R238" s="933"/>
      <c r="S238" s="934"/>
      <c r="T238" s="232"/>
      <c r="U238" s="232"/>
      <c r="V238" s="232"/>
    </row>
    <row r="239" spans="2:22" x14ac:dyDescent="0.25">
      <c r="B239" s="192"/>
      <c r="C239" s="232"/>
      <c r="D239" s="232"/>
      <c r="E239" s="990" t="s">
        <v>209</v>
      </c>
      <c r="F239" s="991"/>
      <c r="G239" s="991"/>
      <c r="H239" s="991"/>
      <c r="I239" s="991"/>
      <c r="J239" s="1003">
        <v>4.0000000000000003E-5</v>
      </c>
      <c r="K239" s="1004"/>
      <c r="L239" s="1004"/>
      <c r="M239" s="1004"/>
      <c r="N239" s="1005"/>
      <c r="O239" s="995">
        <v>1</v>
      </c>
      <c r="P239" s="996"/>
      <c r="Q239" s="996"/>
      <c r="R239" s="996"/>
      <c r="S239" s="997"/>
      <c r="T239" s="232"/>
      <c r="U239" s="232"/>
      <c r="V239" s="232"/>
    </row>
    <row r="240" spans="2:22" x14ac:dyDescent="0.25">
      <c r="B240" s="192"/>
      <c r="C240" s="232"/>
      <c r="D240" s="232"/>
      <c r="E240" s="992" t="s">
        <v>210</v>
      </c>
      <c r="F240" s="993"/>
      <c r="G240" s="993"/>
      <c r="H240" s="993"/>
      <c r="I240" s="993"/>
      <c r="J240" s="1006">
        <v>6.0000000000000002E-5</v>
      </c>
      <c r="K240" s="1007"/>
      <c r="L240" s="1007"/>
      <c r="M240" s="1007"/>
      <c r="N240" s="1008"/>
      <c r="O240" s="998">
        <v>2</v>
      </c>
      <c r="P240" s="999"/>
      <c r="Q240" s="999"/>
      <c r="R240" s="999"/>
      <c r="S240" s="1000"/>
      <c r="T240" s="232"/>
      <c r="U240" s="232"/>
      <c r="V240" s="232"/>
    </row>
    <row r="241" spans="2:22" x14ac:dyDescent="0.25">
      <c r="B241" s="192"/>
      <c r="C241" s="232"/>
      <c r="D241" s="232"/>
      <c r="E241" s="992" t="s">
        <v>211</v>
      </c>
      <c r="F241" s="993"/>
      <c r="G241" s="993"/>
      <c r="H241" s="993"/>
      <c r="I241" s="993"/>
      <c r="J241" s="1006">
        <v>8.0000000000000007E-5</v>
      </c>
      <c r="K241" s="1007"/>
      <c r="L241" s="1007"/>
      <c r="M241" s="1007"/>
      <c r="N241" s="1008"/>
      <c r="O241" s="998">
        <v>3</v>
      </c>
      <c r="P241" s="999"/>
      <c r="Q241" s="999"/>
      <c r="R241" s="999"/>
      <c r="S241" s="1000"/>
      <c r="T241" s="232"/>
      <c r="U241" s="232"/>
      <c r="V241" s="232"/>
    </row>
    <row r="242" spans="2:22" x14ac:dyDescent="0.25">
      <c r="B242" s="192"/>
      <c r="C242" s="232"/>
      <c r="D242" s="232"/>
      <c r="E242" s="992" t="s">
        <v>212</v>
      </c>
      <c r="F242" s="993"/>
      <c r="G242" s="993"/>
      <c r="H242" s="993"/>
      <c r="I242" s="993"/>
      <c r="J242" s="1006">
        <v>1E-4</v>
      </c>
      <c r="K242" s="1007"/>
      <c r="L242" s="1007"/>
      <c r="M242" s="1007"/>
      <c r="N242" s="1008"/>
      <c r="O242" s="998">
        <v>4</v>
      </c>
      <c r="P242" s="999"/>
      <c r="Q242" s="999"/>
      <c r="R242" s="999"/>
      <c r="S242" s="1000"/>
      <c r="T242" s="232"/>
      <c r="U242" s="232"/>
      <c r="V242" s="232"/>
    </row>
    <row r="243" spans="2:22" x14ac:dyDescent="0.25">
      <c r="B243" s="192"/>
      <c r="C243" s="232"/>
      <c r="D243" s="232"/>
      <c r="E243" s="992" t="s">
        <v>213</v>
      </c>
      <c r="F243" s="993"/>
      <c r="G243" s="993"/>
      <c r="H243" s="993"/>
      <c r="I243" s="993"/>
      <c r="J243" s="1006">
        <v>1.2E-4</v>
      </c>
      <c r="K243" s="1007"/>
      <c r="L243" s="1007"/>
      <c r="M243" s="1007"/>
      <c r="N243" s="1008"/>
      <c r="O243" s="998">
        <v>5</v>
      </c>
      <c r="P243" s="999"/>
      <c r="Q243" s="999"/>
      <c r="R243" s="999"/>
      <c r="S243" s="1000"/>
      <c r="T243" s="232"/>
      <c r="U243" s="232"/>
      <c r="V243" s="232"/>
    </row>
    <row r="244" spans="2:22" x14ac:dyDescent="0.25">
      <c r="B244" s="192"/>
      <c r="C244" s="232"/>
      <c r="D244" s="232"/>
      <c r="E244" s="992" t="s">
        <v>214</v>
      </c>
      <c r="F244" s="993"/>
      <c r="G244" s="993"/>
      <c r="H244" s="993"/>
      <c r="I244" s="993"/>
      <c r="J244" s="1006">
        <v>2.5999999999999998E-4</v>
      </c>
      <c r="K244" s="1007"/>
      <c r="L244" s="1007"/>
      <c r="M244" s="1007"/>
      <c r="N244" s="1008"/>
      <c r="O244" s="998">
        <v>6</v>
      </c>
      <c r="P244" s="999"/>
      <c r="Q244" s="999"/>
      <c r="R244" s="999"/>
      <c r="S244" s="1000"/>
      <c r="T244" s="232"/>
      <c r="U244" s="232"/>
      <c r="V244" s="232"/>
    </row>
    <row r="245" spans="2:22" x14ac:dyDescent="0.25">
      <c r="B245" s="192"/>
      <c r="C245" s="232"/>
      <c r="D245" s="232"/>
      <c r="E245" s="992" t="s">
        <v>215</v>
      </c>
      <c r="F245" s="993"/>
      <c r="G245" s="993"/>
      <c r="H245" s="993"/>
      <c r="I245" s="993"/>
      <c r="J245" s="1006">
        <v>5.9999999999999995E-4</v>
      </c>
      <c r="K245" s="1007"/>
      <c r="L245" s="1007"/>
      <c r="M245" s="1007"/>
      <c r="N245" s="1008"/>
      <c r="O245" s="998">
        <v>7</v>
      </c>
      <c r="P245" s="999"/>
      <c r="Q245" s="999"/>
      <c r="R245" s="999"/>
      <c r="S245" s="1000"/>
      <c r="T245" s="232"/>
      <c r="U245" s="232"/>
      <c r="V245" s="232"/>
    </row>
    <row r="246" spans="2:22" x14ac:dyDescent="0.25">
      <c r="B246" s="192"/>
      <c r="C246" s="232"/>
      <c r="D246" s="232"/>
      <c r="E246" s="992" t="s">
        <v>216</v>
      </c>
      <c r="F246" s="993"/>
      <c r="G246" s="993"/>
      <c r="H246" s="993"/>
      <c r="I246" s="993"/>
      <c r="J246" s="1006">
        <v>1.3500000000000001E-3</v>
      </c>
      <c r="K246" s="1007"/>
      <c r="L246" s="1007"/>
      <c r="M246" s="1007"/>
      <c r="N246" s="1008"/>
      <c r="O246" s="998">
        <v>8</v>
      </c>
      <c r="P246" s="999"/>
      <c r="Q246" s="999"/>
      <c r="R246" s="999"/>
      <c r="S246" s="1000"/>
      <c r="T246" s="232"/>
      <c r="U246" s="232"/>
      <c r="V246" s="232"/>
    </row>
    <row r="247" spans="2:22" x14ac:dyDescent="0.25">
      <c r="B247" s="192"/>
      <c r="C247" s="232"/>
      <c r="D247" s="232"/>
      <c r="E247" s="992" t="s">
        <v>217</v>
      </c>
      <c r="F247" s="993"/>
      <c r="G247" s="993"/>
      <c r="H247" s="993"/>
      <c r="I247" s="993"/>
      <c r="J247" s="1006">
        <v>2E-3</v>
      </c>
      <c r="K247" s="1007"/>
      <c r="L247" s="1007"/>
      <c r="M247" s="1007"/>
      <c r="N247" s="1008"/>
      <c r="O247" s="998">
        <v>9</v>
      </c>
      <c r="P247" s="999"/>
      <c r="Q247" s="999"/>
      <c r="R247" s="999"/>
      <c r="S247" s="1000"/>
      <c r="T247" s="232"/>
      <c r="U247" s="232"/>
      <c r="V247" s="232"/>
    </row>
    <row r="248" spans="2:22" x14ac:dyDescent="0.25">
      <c r="B248" s="192"/>
      <c r="C248" s="232"/>
      <c r="D248" s="232"/>
      <c r="E248" s="992" t="s">
        <v>218</v>
      </c>
      <c r="F248" s="993"/>
      <c r="G248" s="993"/>
      <c r="H248" s="993"/>
      <c r="I248" s="993"/>
      <c r="J248" s="1006">
        <v>2.9099999999999998E-3</v>
      </c>
      <c r="K248" s="1007"/>
      <c r="L248" s="1007"/>
      <c r="M248" s="1007"/>
      <c r="N248" s="1008"/>
      <c r="O248" s="998">
        <v>10</v>
      </c>
      <c r="P248" s="999"/>
      <c r="Q248" s="999"/>
      <c r="R248" s="999"/>
      <c r="S248" s="1000"/>
      <c r="T248" s="232"/>
      <c r="U248" s="232"/>
      <c r="V248" s="232"/>
    </row>
    <row r="249" spans="2:22" x14ac:dyDescent="0.25">
      <c r="B249" s="192"/>
      <c r="C249" s="232"/>
      <c r="D249" s="232"/>
      <c r="E249" s="992" t="s">
        <v>219</v>
      </c>
      <c r="F249" s="993"/>
      <c r="G249" s="993"/>
      <c r="H249" s="993"/>
      <c r="I249" s="993"/>
      <c r="J249" s="1006">
        <v>6.8200000000000005E-3</v>
      </c>
      <c r="K249" s="1007"/>
      <c r="L249" s="1007"/>
      <c r="M249" s="1007"/>
      <c r="N249" s="1008"/>
      <c r="O249" s="998">
        <v>11</v>
      </c>
      <c r="P249" s="999"/>
      <c r="Q249" s="999"/>
      <c r="R249" s="999"/>
      <c r="S249" s="1000"/>
      <c r="T249" s="232"/>
      <c r="U249" s="232"/>
      <c r="V249" s="232"/>
    </row>
    <row r="250" spans="2:22" x14ac:dyDescent="0.25">
      <c r="B250" s="192"/>
      <c r="C250" s="232"/>
      <c r="D250" s="232"/>
      <c r="E250" s="992" t="s">
        <v>220</v>
      </c>
      <c r="F250" s="993"/>
      <c r="G250" s="993"/>
      <c r="H250" s="993"/>
      <c r="I250" s="993"/>
      <c r="J250" s="1006">
        <v>7.28E-3</v>
      </c>
      <c r="K250" s="1007"/>
      <c r="L250" s="1007"/>
      <c r="M250" s="1007"/>
      <c r="N250" s="1008"/>
      <c r="O250" s="998">
        <v>12</v>
      </c>
      <c r="P250" s="999"/>
      <c r="Q250" s="999"/>
      <c r="R250" s="999"/>
      <c r="S250" s="1000"/>
      <c r="T250" s="232"/>
      <c r="U250" s="232"/>
      <c r="V250" s="232"/>
    </row>
    <row r="251" spans="2:22" x14ac:dyDescent="0.25">
      <c r="B251" s="192"/>
      <c r="C251" s="232"/>
      <c r="D251" s="232"/>
      <c r="E251" s="992" t="s">
        <v>221</v>
      </c>
      <c r="F251" s="993"/>
      <c r="G251" s="993"/>
      <c r="H251" s="993"/>
      <c r="I251" s="993"/>
      <c r="J251" s="1006">
        <v>1.7909999999999999E-2</v>
      </c>
      <c r="K251" s="1007"/>
      <c r="L251" s="1007"/>
      <c r="M251" s="1007"/>
      <c r="N251" s="1008"/>
      <c r="O251" s="998">
        <v>13</v>
      </c>
      <c r="P251" s="999"/>
      <c r="Q251" s="999"/>
      <c r="R251" s="999"/>
      <c r="S251" s="1000"/>
      <c r="T251" s="232"/>
      <c r="U251" s="232"/>
      <c r="V251" s="232"/>
    </row>
    <row r="252" spans="2:22" x14ac:dyDescent="0.25">
      <c r="B252" s="192"/>
      <c r="C252" s="232"/>
      <c r="D252" s="232"/>
      <c r="E252" s="992" t="s">
        <v>222</v>
      </c>
      <c r="F252" s="993"/>
      <c r="G252" s="993"/>
      <c r="H252" s="993"/>
      <c r="I252" s="993"/>
      <c r="J252" s="1006">
        <v>2.4500000000000001E-2</v>
      </c>
      <c r="K252" s="1007"/>
      <c r="L252" s="1007"/>
      <c r="M252" s="1007"/>
      <c r="N252" s="1008"/>
      <c r="O252" s="998">
        <v>14</v>
      </c>
      <c r="P252" s="999"/>
      <c r="Q252" s="999"/>
      <c r="R252" s="999"/>
      <c r="S252" s="1000"/>
      <c r="T252" s="232"/>
      <c r="U252" s="232"/>
      <c r="V252" s="232"/>
    </row>
    <row r="253" spans="2:22" x14ac:dyDescent="0.25">
      <c r="B253" s="192"/>
      <c r="C253" s="232"/>
      <c r="D253" s="232"/>
      <c r="E253" s="992" t="s">
        <v>223</v>
      </c>
      <c r="F253" s="993"/>
      <c r="G253" s="993"/>
      <c r="H253" s="993"/>
      <c r="I253" s="993"/>
      <c r="J253" s="1006">
        <v>3.8269999999999998E-2</v>
      </c>
      <c r="K253" s="1007"/>
      <c r="L253" s="1007"/>
      <c r="M253" s="1007"/>
      <c r="N253" s="1008"/>
      <c r="O253" s="998">
        <v>15</v>
      </c>
      <c r="P253" s="999"/>
      <c r="Q253" s="999"/>
      <c r="R253" s="999"/>
      <c r="S253" s="1000"/>
      <c r="T253" s="232"/>
      <c r="U253" s="232"/>
      <c r="V253" s="232"/>
    </row>
    <row r="254" spans="2:22" x14ac:dyDescent="0.25">
      <c r="B254" s="192"/>
      <c r="C254" s="232"/>
      <c r="D254" s="232"/>
      <c r="E254" s="992" t="s">
        <v>224</v>
      </c>
      <c r="F254" s="993"/>
      <c r="G254" s="993"/>
      <c r="H254" s="993"/>
      <c r="I254" s="993"/>
      <c r="J254" s="1006">
        <v>7.6660000000000006E-2</v>
      </c>
      <c r="K254" s="1007"/>
      <c r="L254" s="1007"/>
      <c r="M254" s="1007"/>
      <c r="N254" s="1008"/>
      <c r="O254" s="998">
        <v>16</v>
      </c>
      <c r="P254" s="999"/>
      <c r="Q254" s="999"/>
      <c r="R254" s="999"/>
      <c r="S254" s="1000"/>
      <c r="T254" s="232"/>
      <c r="U254" s="232"/>
      <c r="V254" s="232"/>
    </row>
    <row r="255" spans="2:22" x14ac:dyDescent="0.25">
      <c r="B255" s="192"/>
      <c r="C255" s="232"/>
      <c r="D255" s="232"/>
      <c r="E255" s="992" t="s">
        <v>225</v>
      </c>
      <c r="F255" s="993"/>
      <c r="G255" s="993"/>
      <c r="H255" s="993"/>
      <c r="I255" s="993"/>
      <c r="J255" s="1006">
        <v>9.1499999999999998E-2</v>
      </c>
      <c r="K255" s="1007"/>
      <c r="L255" s="1007"/>
      <c r="M255" s="1007"/>
      <c r="N255" s="1008"/>
      <c r="O255" s="998">
        <v>17</v>
      </c>
      <c r="P255" s="999"/>
      <c r="Q255" s="999"/>
      <c r="R255" s="999"/>
      <c r="S255" s="1000"/>
      <c r="T255" s="232"/>
      <c r="U255" s="232"/>
      <c r="V255" s="232"/>
    </row>
    <row r="256" spans="2:22" x14ac:dyDescent="0.25">
      <c r="B256" s="192"/>
      <c r="C256" s="232"/>
      <c r="D256" s="232"/>
      <c r="E256" s="992" t="s">
        <v>226</v>
      </c>
      <c r="F256" s="993"/>
      <c r="G256" s="993"/>
      <c r="H256" s="993"/>
      <c r="I256" s="993"/>
      <c r="J256" s="1006">
        <v>0.16388000000000003</v>
      </c>
      <c r="K256" s="1007"/>
      <c r="L256" s="1007"/>
      <c r="M256" s="1007"/>
      <c r="N256" s="1008"/>
      <c r="O256" s="998">
        <v>18</v>
      </c>
      <c r="P256" s="999"/>
      <c r="Q256" s="999"/>
      <c r="R256" s="999"/>
      <c r="S256" s="1000"/>
      <c r="T256" s="232"/>
      <c r="U256" s="232"/>
      <c r="V256" s="232"/>
    </row>
    <row r="257" spans="2:22" x14ac:dyDescent="0.25">
      <c r="B257" s="192"/>
      <c r="C257" s="232"/>
      <c r="D257" s="232"/>
      <c r="E257" s="992" t="s">
        <v>227</v>
      </c>
      <c r="F257" s="993"/>
      <c r="G257" s="993"/>
      <c r="H257" s="993"/>
      <c r="I257" s="993"/>
      <c r="J257" s="1006">
        <v>0.24806</v>
      </c>
      <c r="K257" s="1007"/>
      <c r="L257" s="1007"/>
      <c r="M257" s="1007"/>
      <c r="N257" s="1008"/>
      <c r="O257" s="998">
        <v>19</v>
      </c>
      <c r="P257" s="999"/>
      <c r="Q257" s="999"/>
      <c r="R257" s="999"/>
      <c r="S257" s="1000"/>
      <c r="T257" s="232"/>
      <c r="U257" s="232"/>
      <c r="V257" s="232"/>
    </row>
    <row r="258" spans="2:22" x14ac:dyDescent="0.25">
      <c r="B258" s="192"/>
      <c r="C258" s="232"/>
      <c r="D258" s="232"/>
      <c r="E258" s="1001" t="s">
        <v>228</v>
      </c>
      <c r="F258" s="1002"/>
      <c r="G258" s="1002"/>
      <c r="H258" s="1002"/>
      <c r="I258" s="1002"/>
      <c r="J258" s="1009">
        <v>0.32949000000000001</v>
      </c>
      <c r="K258" s="1010"/>
      <c r="L258" s="1010"/>
      <c r="M258" s="1010"/>
      <c r="N258" s="1011"/>
      <c r="O258" s="1012">
        <v>20</v>
      </c>
      <c r="P258" s="1013"/>
      <c r="Q258" s="1013"/>
      <c r="R258" s="1013"/>
      <c r="S258" s="1014"/>
      <c r="T258" s="232"/>
      <c r="U258" s="232"/>
      <c r="V258" s="232"/>
    </row>
    <row r="259" spans="2:22" x14ac:dyDescent="0.25">
      <c r="B259" s="192"/>
      <c r="C259" s="232"/>
      <c r="D259" s="232"/>
      <c r="E259" s="995" t="s">
        <v>1313</v>
      </c>
      <c r="F259" s="996"/>
      <c r="G259" s="996"/>
      <c r="H259" s="996"/>
      <c r="I259" s="997"/>
      <c r="J259" s="995">
        <v>1</v>
      </c>
      <c r="K259" s="996"/>
      <c r="L259" s="996"/>
      <c r="M259" s="996"/>
      <c r="N259" s="997"/>
      <c r="O259" s="995">
        <v>21</v>
      </c>
      <c r="P259" s="996"/>
      <c r="Q259" s="996"/>
      <c r="R259" s="996"/>
      <c r="S259" s="997"/>
      <c r="T259" s="232"/>
      <c r="U259" s="232"/>
      <c r="V259" s="232"/>
    </row>
    <row r="260" spans="2:22" x14ac:dyDescent="0.25">
      <c r="B260" s="192"/>
      <c r="C260" s="232"/>
      <c r="D260" s="232"/>
      <c r="E260" s="998" t="s">
        <v>1314</v>
      </c>
      <c r="F260" s="999"/>
      <c r="G260" s="999"/>
      <c r="H260" s="999"/>
      <c r="I260" s="1000"/>
      <c r="J260" s="998">
        <v>1</v>
      </c>
      <c r="K260" s="999"/>
      <c r="L260" s="999"/>
      <c r="M260" s="999"/>
      <c r="N260" s="1000"/>
      <c r="O260" s="998">
        <v>21</v>
      </c>
      <c r="P260" s="999"/>
      <c r="Q260" s="999"/>
      <c r="R260" s="999"/>
      <c r="S260" s="1000"/>
      <c r="T260" s="232"/>
      <c r="U260" s="232"/>
      <c r="V260" s="232"/>
    </row>
    <row r="261" spans="2:22" x14ac:dyDescent="0.25">
      <c r="B261" s="192"/>
      <c r="C261" s="232"/>
      <c r="D261" s="232"/>
      <c r="E261" s="998" t="s">
        <v>1315</v>
      </c>
      <c r="F261" s="999"/>
      <c r="G261" s="999"/>
      <c r="H261" s="999"/>
      <c r="I261" s="1000"/>
      <c r="J261" s="998">
        <v>1</v>
      </c>
      <c r="K261" s="999"/>
      <c r="L261" s="999"/>
      <c r="M261" s="999"/>
      <c r="N261" s="1000"/>
      <c r="O261" s="998">
        <v>21</v>
      </c>
      <c r="P261" s="999"/>
      <c r="Q261" s="999"/>
      <c r="R261" s="999"/>
      <c r="S261" s="1000"/>
      <c r="T261" s="232"/>
      <c r="U261" s="232"/>
      <c r="V261" s="232"/>
    </row>
    <row r="262" spans="2:22" x14ac:dyDescent="0.25">
      <c r="B262" s="192"/>
      <c r="C262" s="232"/>
      <c r="D262" s="232"/>
      <c r="E262" s="998" t="s">
        <v>1316</v>
      </c>
      <c r="F262" s="999"/>
      <c r="G262" s="999"/>
      <c r="H262" s="999"/>
      <c r="I262" s="1000"/>
      <c r="J262" s="998">
        <v>1</v>
      </c>
      <c r="K262" s="999"/>
      <c r="L262" s="999"/>
      <c r="M262" s="999"/>
      <c r="N262" s="1000"/>
      <c r="O262" s="998">
        <v>21</v>
      </c>
      <c r="P262" s="999"/>
      <c r="Q262" s="999"/>
      <c r="R262" s="999"/>
      <c r="S262" s="1000"/>
      <c r="T262" s="232"/>
      <c r="U262" s="232"/>
      <c r="V262" s="232"/>
    </row>
    <row r="263" spans="2:22" x14ac:dyDescent="0.25">
      <c r="B263" s="192"/>
      <c r="C263" s="232"/>
      <c r="D263" s="232"/>
      <c r="E263" s="998" t="s">
        <v>1317</v>
      </c>
      <c r="F263" s="999"/>
      <c r="G263" s="999"/>
      <c r="H263" s="999"/>
      <c r="I263" s="1000"/>
      <c r="J263" s="998">
        <v>1</v>
      </c>
      <c r="K263" s="999"/>
      <c r="L263" s="999"/>
      <c r="M263" s="999"/>
      <c r="N263" s="1000"/>
      <c r="O263" s="998">
        <v>21</v>
      </c>
      <c r="P263" s="999"/>
      <c r="Q263" s="999"/>
      <c r="R263" s="999"/>
      <c r="S263" s="1000"/>
      <c r="T263" s="232"/>
      <c r="U263" s="232"/>
      <c r="V263" s="232"/>
    </row>
    <row r="264" spans="2:22" x14ac:dyDescent="0.25">
      <c r="B264" s="192"/>
      <c r="C264" s="232"/>
      <c r="D264" s="232"/>
      <c r="E264" s="998" t="s">
        <v>1318</v>
      </c>
      <c r="F264" s="999"/>
      <c r="G264" s="999"/>
      <c r="H264" s="999"/>
      <c r="I264" s="1000"/>
      <c r="J264" s="998">
        <v>1</v>
      </c>
      <c r="K264" s="999"/>
      <c r="L264" s="999"/>
      <c r="M264" s="999"/>
      <c r="N264" s="1000"/>
      <c r="O264" s="998">
        <v>21</v>
      </c>
      <c r="P264" s="999"/>
      <c r="Q264" s="999"/>
      <c r="R264" s="999"/>
      <c r="S264" s="1000"/>
      <c r="T264" s="232"/>
      <c r="U264" s="232"/>
      <c r="V264" s="232"/>
    </row>
    <row r="265" spans="2:22" x14ac:dyDescent="0.25">
      <c r="B265" s="192"/>
      <c r="C265" s="232"/>
      <c r="D265" s="232"/>
      <c r="E265" s="998" t="s">
        <v>1319</v>
      </c>
      <c r="F265" s="999"/>
      <c r="G265" s="999"/>
      <c r="H265" s="999"/>
      <c r="I265" s="1000"/>
      <c r="J265" s="998">
        <v>1</v>
      </c>
      <c r="K265" s="999"/>
      <c r="L265" s="999"/>
      <c r="M265" s="999"/>
      <c r="N265" s="1000"/>
      <c r="O265" s="998">
        <v>21</v>
      </c>
      <c r="P265" s="999"/>
      <c r="Q265" s="999"/>
      <c r="R265" s="999"/>
      <c r="S265" s="1000"/>
      <c r="T265" s="232"/>
      <c r="U265" s="232"/>
      <c r="V265" s="232"/>
    </row>
    <row r="266" spans="2:22" x14ac:dyDescent="0.25">
      <c r="B266" s="192"/>
      <c r="C266" s="232"/>
      <c r="D266" s="232"/>
      <c r="E266" s="998" t="s">
        <v>1320</v>
      </c>
      <c r="F266" s="999"/>
      <c r="G266" s="999"/>
      <c r="H266" s="999"/>
      <c r="I266" s="1000"/>
      <c r="J266" s="998">
        <v>1</v>
      </c>
      <c r="K266" s="999"/>
      <c r="L266" s="999"/>
      <c r="M266" s="999"/>
      <c r="N266" s="1000"/>
      <c r="O266" s="998">
        <v>21</v>
      </c>
      <c r="P266" s="999"/>
      <c r="Q266" s="999"/>
      <c r="R266" s="999"/>
      <c r="S266" s="1000"/>
      <c r="T266" s="232"/>
      <c r="U266" s="232"/>
      <c r="V266" s="232"/>
    </row>
    <row r="267" spans="2:22" x14ac:dyDescent="0.25">
      <c r="B267" s="192"/>
      <c r="C267" s="232"/>
      <c r="D267" s="232"/>
      <c r="E267" s="1012" t="s">
        <v>1321</v>
      </c>
      <c r="F267" s="1013"/>
      <c r="G267" s="1013"/>
      <c r="H267" s="1013"/>
      <c r="I267" s="1014"/>
      <c r="J267" s="1012">
        <v>1</v>
      </c>
      <c r="K267" s="1013"/>
      <c r="L267" s="1013"/>
      <c r="M267" s="1013"/>
      <c r="N267" s="1014"/>
      <c r="O267" s="1012">
        <v>21</v>
      </c>
      <c r="P267" s="1013"/>
      <c r="Q267" s="1013"/>
      <c r="R267" s="1013"/>
      <c r="S267" s="1014"/>
      <c r="T267" s="232"/>
      <c r="U267" s="232"/>
      <c r="V267" s="232"/>
    </row>
    <row r="268" spans="2:22" x14ac:dyDescent="0.25">
      <c r="B268" s="192"/>
      <c r="C268" s="232"/>
      <c r="D268" s="232"/>
      <c r="E268" s="232"/>
      <c r="F268" s="232"/>
      <c r="G268" s="232"/>
      <c r="H268" s="232"/>
      <c r="I268" s="232"/>
      <c r="J268" s="232"/>
      <c r="K268" s="232"/>
      <c r="L268" s="232"/>
      <c r="M268" s="232"/>
      <c r="N268" s="232"/>
      <c r="O268" s="232"/>
      <c r="P268" s="232"/>
      <c r="Q268" s="232"/>
      <c r="R268" s="232"/>
      <c r="S268" s="232"/>
      <c r="T268" s="232"/>
      <c r="U268" s="232"/>
      <c r="V268" s="232"/>
    </row>
    <row r="269" spans="2:22" x14ac:dyDescent="0.25">
      <c r="B269" s="192"/>
      <c r="C269" s="232"/>
      <c r="D269" s="232"/>
      <c r="E269" s="1015" t="s">
        <v>1322</v>
      </c>
      <c r="F269" s="1016"/>
      <c r="G269" s="1016"/>
      <c r="H269" s="1016"/>
      <c r="I269" s="1016"/>
      <c r="J269" s="1016"/>
      <c r="K269" s="1016"/>
      <c r="L269" s="1016"/>
      <c r="M269" s="1016"/>
      <c r="N269" s="1016"/>
      <c r="O269" s="1016"/>
      <c r="P269" s="1016"/>
      <c r="Q269" s="1016"/>
      <c r="R269" s="1016"/>
      <c r="S269" s="1017"/>
      <c r="T269" s="232"/>
      <c r="U269" s="232"/>
      <c r="V269" s="232"/>
    </row>
    <row r="270" spans="2:22" x14ac:dyDescent="0.25">
      <c r="B270" s="192"/>
      <c r="C270" s="232"/>
      <c r="D270" s="232"/>
      <c r="E270" s="932" t="s">
        <v>1323</v>
      </c>
      <c r="F270" s="933"/>
      <c r="G270" s="933"/>
      <c r="H270" s="934"/>
      <c r="I270" s="932" t="s">
        <v>1324</v>
      </c>
      <c r="J270" s="933"/>
      <c r="K270" s="933"/>
      <c r="L270" s="934"/>
      <c r="M270" s="932" t="s">
        <v>1312</v>
      </c>
      <c r="N270" s="933"/>
      <c r="O270" s="933"/>
      <c r="P270" s="934"/>
      <c r="Q270" s="932" t="s">
        <v>1325</v>
      </c>
      <c r="R270" s="933"/>
      <c r="S270" s="934"/>
      <c r="T270" s="232"/>
      <c r="U270" s="232"/>
      <c r="V270" s="232"/>
    </row>
    <row r="271" spans="2:22" x14ac:dyDescent="0.25">
      <c r="B271" s="192"/>
      <c r="C271" s="232"/>
      <c r="D271" s="232"/>
      <c r="E271" s="1036" t="s">
        <v>233</v>
      </c>
      <c r="F271" s="1037"/>
      <c r="G271" s="1037"/>
      <c r="H271" s="1038"/>
      <c r="I271" s="1045">
        <v>2E-3</v>
      </c>
      <c r="J271" s="1046"/>
      <c r="K271" s="1046"/>
      <c r="L271" s="1047"/>
      <c r="M271" s="995">
        <v>1</v>
      </c>
      <c r="N271" s="996"/>
      <c r="O271" s="996"/>
      <c r="P271" s="997"/>
      <c r="Q271" s="1027">
        <v>0.08</v>
      </c>
      <c r="R271" s="1028"/>
      <c r="S271" s="1029"/>
      <c r="T271" s="232"/>
      <c r="U271" s="232"/>
      <c r="V271" s="232"/>
    </row>
    <row r="272" spans="2:22" x14ac:dyDescent="0.25">
      <c r="B272" s="192"/>
      <c r="C272" s="232"/>
      <c r="D272" s="232"/>
      <c r="E272" s="1039" t="s">
        <v>234</v>
      </c>
      <c r="F272" s="1040"/>
      <c r="G272" s="1040"/>
      <c r="H272" s="1041"/>
      <c r="I272" s="1030">
        <v>1.5700000000000002E-2</v>
      </c>
      <c r="J272" s="1031"/>
      <c r="K272" s="1031"/>
      <c r="L272" s="1032"/>
      <c r="M272" s="998">
        <v>2</v>
      </c>
      <c r="N272" s="999"/>
      <c r="O272" s="999"/>
      <c r="P272" s="1000"/>
      <c r="Q272" s="1021">
        <v>0.15</v>
      </c>
      <c r="R272" s="1022"/>
      <c r="S272" s="1023"/>
      <c r="T272" s="232"/>
      <c r="U272" s="232"/>
      <c r="V272" s="232"/>
    </row>
    <row r="273" spans="2:22" x14ac:dyDescent="0.25">
      <c r="B273" s="192"/>
      <c r="C273" s="232"/>
      <c r="D273" s="232"/>
      <c r="E273" s="1039" t="s">
        <v>235</v>
      </c>
      <c r="F273" s="1040"/>
      <c r="G273" s="1040"/>
      <c r="H273" s="1041"/>
      <c r="I273" s="1030">
        <v>2.5899999999999999E-2</v>
      </c>
      <c r="J273" s="1031"/>
      <c r="K273" s="1031"/>
      <c r="L273" s="1032"/>
      <c r="M273" s="998">
        <v>3</v>
      </c>
      <c r="N273" s="999"/>
      <c r="O273" s="999"/>
      <c r="P273" s="1000"/>
      <c r="Q273" s="1021">
        <v>0.27500000000000002</v>
      </c>
      <c r="R273" s="1022"/>
      <c r="S273" s="1023"/>
      <c r="T273" s="232"/>
      <c r="U273" s="232"/>
      <c r="V273" s="232"/>
    </row>
    <row r="274" spans="2:22" x14ac:dyDescent="0.25">
      <c r="B274" s="192"/>
      <c r="C274" s="232"/>
      <c r="D274" s="232"/>
      <c r="E274" s="1039" t="s">
        <v>236</v>
      </c>
      <c r="F274" s="1040"/>
      <c r="G274" s="1040"/>
      <c r="H274" s="1041"/>
      <c r="I274" s="1030">
        <v>5.7300000000000004E-2</v>
      </c>
      <c r="J274" s="1031"/>
      <c r="K274" s="1031"/>
      <c r="L274" s="1032"/>
      <c r="M274" s="998">
        <v>4</v>
      </c>
      <c r="N274" s="999"/>
      <c r="O274" s="999"/>
      <c r="P274" s="1000"/>
      <c r="Q274" s="1021">
        <v>0.55000000000000004</v>
      </c>
      <c r="R274" s="1022"/>
      <c r="S274" s="1023"/>
      <c r="T274" s="232"/>
      <c r="U274" s="232"/>
      <c r="V274" s="232"/>
    </row>
    <row r="275" spans="2:22" x14ac:dyDescent="0.25">
      <c r="B275" s="192"/>
      <c r="C275" s="232"/>
      <c r="D275" s="232"/>
      <c r="E275" s="1039" t="s">
        <v>237</v>
      </c>
      <c r="F275" s="1040"/>
      <c r="G275" s="1040"/>
      <c r="H275" s="1041"/>
      <c r="I275" s="1030">
        <v>9.2100000000000015E-2</v>
      </c>
      <c r="J275" s="1031"/>
      <c r="K275" s="1031"/>
      <c r="L275" s="1032"/>
      <c r="M275" s="998">
        <v>5</v>
      </c>
      <c r="N275" s="999"/>
      <c r="O275" s="999"/>
      <c r="P275" s="1000"/>
      <c r="Q275" s="1021">
        <v>0.875</v>
      </c>
      <c r="R275" s="1022"/>
      <c r="S275" s="1023"/>
      <c r="T275" s="232"/>
      <c r="U275" s="232"/>
      <c r="V275" s="232"/>
    </row>
    <row r="276" spans="2:22" x14ac:dyDescent="0.25">
      <c r="B276" s="192"/>
      <c r="C276" s="232"/>
      <c r="D276" s="232"/>
      <c r="E276" s="1039" t="s">
        <v>238</v>
      </c>
      <c r="F276" s="1040"/>
      <c r="G276" s="1040"/>
      <c r="H276" s="1041"/>
      <c r="I276" s="1030">
        <v>0.1007</v>
      </c>
      <c r="J276" s="1031"/>
      <c r="K276" s="1031"/>
      <c r="L276" s="1032"/>
      <c r="M276" s="998">
        <v>6</v>
      </c>
      <c r="N276" s="999"/>
      <c r="O276" s="999"/>
      <c r="P276" s="1000"/>
      <c r="Q276" s="1021">
        <v>1.75</v>
      </c>
      <c r="R276" s="1022"/>
      <c r="S276" s="1023"/>
      <c r="T276" s="232"/>
      <c r="U276" s="232"/>
      <c r="V276" s="232"/>
    </row>
    <row r="277" spans="2:22" x14ac:dyDescent="0.25">
      <c r="B277" s="192"/>
      <c r="C277" s="232"/>
      <c r="D277" s="232"/>
      <c r="E277" s="1039" t="s">
        <v>239</v>
      </c>
      <c r="F277" s="1040"/>
      <c r="G277" s="1040"/>
      <c r="H277" s="1041"/>
      <c r="I277" s="1030">
        <v>0.29239999999999999</v>
      </c>
      <c r="J277" s="1031"/>
      <c r="K277" s="1031"/>
      <c r="L277" s="1032"/>
      <c r="M277" s="998">
        <v>7</v>
      </c>
      <c r="N277" s="999"/>
      <c r="O277" s="999"/>
      <c r="P277" s="1000"/>
      <c r="Q277" s="1021">
        <v>7.5</v>
      </c>
      <c r="R277" s="1022"/>
      <c r="S277" s="1023"/>
      <c r="T277" s="232"/>
      <c r="U277" s="232"/>
      <c r="V277" s="232"/>
    </row>
    <row r="278" spans="2:22" x14ac:dyDescent="0.25">
      <c r="B278" s="192"/>
      <c r="C278" s="232"/>
      <c r="D278" s="232"/>
      <c r="E278" s="1042" t="s">
        <v>240</v>
      </c>
      <c r="F278" s="1043"/>
      <c r="G278" s="1043"/>
      <c r="H278" s="1044"/>
      <c r="I278" s="1033">
        <v>1</v>
      </c>
      <c r="J278" s="1034"/>
      <c r="K278" s="1034"/>
      <c r="L278" s="1035"/>
      <c r="M278" s="1012">
        <v>8</v>
      </c>
      <c r="N278" s="1013"/>
      <c r="O278" s="1013"/>
      <c r="P278" s="1014"/>
      <c r="Q278" s="1024">
        <v>12.5</v>
      </c>
      <c r="R278" s="1025"/>
      <c r="S278" s="1026"/>
      <c r="T278" s="232"/>
      <c r="U278" s="232"/>
      <c r="V278" s="232"/>
    </row>
    <row r="279" spans="2:22" x14ac:dyDescent="0.25">
      <c r="B279" s="192"/>
      <c r="C279" s="232"/>
      <c r="D279" s="232"/>
      <c r="E279" s="1057" t="s">
        <v>1326</v>
      </c>
      <c r="F279" s="1058"/>
      <c r="G279" s="1058"/>
      <c r="H279" s="1059"/>
      <c r="I279" s="1048">
        <v>1</v>
      </c>
      <c r="J279" s="1049"/>
      <c r="K279" s="1049"/>
      <c r="L279" s="1050"/>
      <c r="M279" s="995">
        <v>8</v>
      </c>
      <c r="N279" s="996"/>
      <c r="O279" s="996"/>
      <c r="P279" s="997"/>
      <c r="Q279" s="1027">
        <v>12.5</v>
      </c>
      <c r="R279" s="1028"/>
      <c r="S279" s="1029"/>
      <c r="T279" s="232"/>
      <c r="U279" s="232"/>
      <c r="V279" s="232"/>
    </row>
    <row r="280" spans="2:22" x14ac:dyDescent="0.25">
      <c r="B280" s="192"/>
      <c r="C280" s="232"/>
      <c r="D280" s="232"/>
      <c r="E280" s="1060" t="s">
        <v>1327</v>
      </c>
      <c r="F280" s="1061"/>
      <c r="G280" s="1061"/>
      <c r="H280" s="1062"/>
      <c r="I280" s="1051">
        <v>1</v>
      </c>
      <c r="J280" s="1052"/>
      <c r="K280" s="1052"/>
      <c r="L280" s="1053"/>
      <c r="M280" s="998">
        <v>8</v>
      </c>
      <c r="N280" s="999"/>
      <c r="O280" s="999"/>
      <c r="P280" s="1000"/>
      <c r="Q280" s="1021">
        <v>12.5</v>
      </c>
      <c r="R280" s="1022"/>
      <c r="S280" s="1023"/>
      <c r="T280" s="232"/>
      <c r="U280" s="232"/>
      <c r="V280" s="232"/>
    </row>
    <row r="281" spans="2:22" x14ac:dyDescent="0.25">
      <c r="B281" s="192"/>
      <c r="C281" s="232"/>
      <c r="D281" s="232"/>
      <c r="E281" s="1060" t="s">
        <v>1328</v>
      </c>
      <c r="F281" s="1061"/>
      <c r="G281" s="1061"/>
      <c r="H281" s="1062"/>
      <c r="I281" s="1051">
        <v>1</v>
      </c>
      <c r="J281" s="1052"/>
      <c r="K281" s="1052"/>
      <c r="L281" s="1053"/>
      <c r="M281" s="998">
        <v>8</v>
      </c>
      <c r="N281" s="999"/>
      <c r="O281" s="999"/>
      <c r="P281" s="1000"/>
      <c r="Q281" s="1021">
        <v>12.5</v>
      </c>
      <c r="R281" s="1022"/>
      <c r="S281" s="1023"/>
      <c r="T281" s="232"/>
      <c r="U281" s="232"/>
      <c r="V281" s="232"/>
    </row>
    <row r="282" spans="2:22" x14ac:dyDescent="0.25">
      <c r="B282" s="192"/>
      <c r="C282" s="232"/>
      <c r="D282" s="232"/>
      <c r="E282" s="1060" t="s">
        <v>1329</v>
      </c>
      <c r="F282" s="1061"/>
      <c r="G282" s="1061"/>
      <c r="H282" s="1062"/>
      <c r="I282" s="1051">
        <v>1</v>
      </c>
      <c r="J282" s="1052"/>
      <c r="K282" s="1052"/>
      <c r="L282" s="1053"/>
      <c r="M282" s="998">
        <v>8</v>
      </c>
      <c r="N282" s="999"/>
      <c r="O282" s="999"/>
      <c r="P282" s="1000"/>
      <c r="Q282" s="1021">
        <v>12.5</v>
      </c>
      <c r="R282" s="1022"/>
      <c r="S282" s="1023"/>
      <c r="T282" s="232"/>
      <c r="U282" s="232"/>
      <c r="V282" s="232"/>
    </row>
    <row r="283" spans="2:22" x14ac:dyDescent="0.25">
      <c r="B283" s="192"/>
      <c r="C283" s="232"/>
      <c r="D283" s="232"/>
      <c r="E283" s="1060" t="s">
        <v>1330</v>
      </c>
      <c r="F283" s="1061"/>
      <c r="G283" s="1061"/>
      <c r="H283" s="1062"/>
      <c r="I283" s="1051">
        <v>1</v>
      </c>
      <c r="J283" s="1052"/>
      <c r="K283" s="1052"/>
      <c r="L283" s="1053"/>
      <c r="M283" s="998">
        <v>8</v>
      </c>
      <c r="N283" s="999"/>
      <c r="O283" s="999"/>
      <c r="P283" s="1000"/>
      <c r="Q283" s="1021">
        <v>12.5</v>
      </c>
      <c r="R283" s="1022"/>
      <c r="S283" s="1023"/>
      <c r="T283" s="232"/>
      <c r="U283" s="232"/>
      <c r="V283" s="232"/>
    </row>
    <row r="284" spans="2:22" x14ac:dyDescent="0.25">
      <c r="B284" s="192"/>
      <c r="C284" s="232"/>
      <c r="D284" s="232"/>
      <c r="E284" s="1060" t="s">
        <v>1331</v>
      </c>
      <c r="F284" s="1061"/>
      <c r="G284" s="1061"/>
      <c r="H284" s="1062"/>
      <c r="I284" s="1051">
        <v>1</v>
      </c>
      <c r="J284" s="1052"/>
      <c r="K284" s="1052"/>
      <c r="L284" s="1053"/>
      <c r="M284" s="998">
        <v>8</v>
      </c>
      <c r="N284" s="999"/>
      <c r="O284" s="999"/>
      <c r="P284" s="1000"/>
      <c r="Q284" s="1021">
        <v>12.5</v>
      </c>
      <c r="R284" s="1022"/>
      <c r="S284" s="1023"/>
      <c r="T284" s="232"/>
      <c r="U284" s="232"/>
      <c r="V284" s="232"/>
    </row>
    <row r="285" spans="2:22" x14ac:dyDescent="0.25">
      <c r="B285" s="192"/>
      <c r="C285" s="232"/>
      <c r="D285" s="232"/>
      <c r="E285" s="1060" t="s">
        <v>1332</v>
      </c>
      <c r="F285" s="1061"/>
      <c r="G285" s="1061"/>
      <c r="H285" s="1062"/>
      <c r="I285" s="1051">
        <v>1</v>
      </c>
      <c r="J285" s="1052"/>
      <c r="K285" s="1052"/>
      <c r="L285" s="1053"/>
      <c r="M285" s="998">
        <v>8</v>
      </c>
      <c r="N285" s="999"/>
      <c r="O285" s="999"/>
      <c r="P285" s="1000"/>
      <c r="Q285" s="1021">
        <v>12.5</v>
      </c>
      <c r="R285" s="1022"/>
      <c r="S285" s="1023"/>
      <c r="T285" s="232"/>
      <c r="U285" s="232"/>
      <c r="V285" s="232"/>
    </row>
    <row r="286" spans="2:22" x14ac:dyDescent="0.25">
      <c r="B286" s="192"/>
      <c r="C286" s="232"/>
      <c r="D286" s="232"/>
      <c r="E286" s="1060" t="s">
        <v>1333</v>
      </c>
      <c r="F286" s="1061"/>
      <c r="G286" s="1061"/>
      <c r="H286" s="1062"/>
      <c r="I286" s="1051">
        <v>1</v>
      </c>
      <c r="J286" s="1052"/>
      <c r="K286" s="1052"/>
      <c r="L286" s="1053"/>
      <c r="M286" s="998">
        <v>8</v>
      </c>
      <c r="N286" s="999"/>
      <c r="O286" s="999"/>
      <c r="P286" s="1000"/>
      <c r="Q286" s="1021">
        <v>12.5</v>
      </c>
      <c r="R286" s="1022"/>
      <c r="S286" s="1023"/>
      <c r="T286" s="232"/>
      <c r="U286" s="232"/>
      <c r="V286" s="232"/>
    </row>
    <row r="287" spans="2:22" x14ac:dyDescent="0.25">
      <c r="B287" s="192"/>
      <c r="C287" s="232"/>
      <c r="D287" s="232"/>
      <c r="E287" s="1063" t="s">
        <v>1334</v>
      </c>
      <c r="F287" s="1064"/>
      <c r="G287" s="1064"/>
      <c r="H287" s="1065"/>
      <c r="I287" s="1054">
        <v>1</v>
      </c>
      <c r="J287" s="1055"/>
      <c r="K287" s="1055"/>
      <c r="L287" s="1056"/>
      <c r="M287" s="1012">
        <v>8</v>
      </c>
      <c r="N287" s="1013"/>
      <c r="O287" s="1013"/>
      <c r="P287" s="1014"/>
      <c r="Q287" s="1024">
        <v>12.5</v>
      </c>
      <c r="R287" s="1025"/>
      <c r="S287" s="1026"/>
      <c r="T287" s="232"/>
      <c r="U287" s="232"/>
      <c r="V287" s="232"/>
    </row>
    <row r="288" spans="2:22" x14ac:dyDescent="0.25">
      <c r="B288" s="192"/>
      <c r="C288" s="232"/>
      <c r="D288" s="232"/>
      <c r="E288" s="232"/>
      <c r="F288" s="232"/>
      <c r="G288" s="232"/>
      <c r="H288" s="232"/>
      <c r="I288" s="232"/>
      <c r="J288" s="232"/>
      <c r="K288" s="232"/>
      <c r="L288" s="232"/>
      <c r="M288" s="232"/>
      <c r="N288" s="232"/>
      <c r="O288" s="232"/>
      <c r="P288" s="232"/>
      <c r="Q288" s="232"/>
      <c r="R288" s="232"/>
      <c r="S288" s="232"/>
      <c r="T288" s="232"/>
      <c r="U288" s="232"/>
      <c r="V288" s="232"/>
    </row>
    <row r="289" spans="1:23" x14ac:dyDescent="0.25">
      <c r="B289" s="192"/>
      <c r="C289" s="232"/>
      <c r="D289" s="1076" t="s">
        <v>1335</v>
      </c>
      <c r="E289" s="1076"/>
      <c r="F289" s="1076"/>
      <c r="G289" s="1076"/>
      <c r="H289" s="1076"/>
      <c r="I289" s="1076"/>
      <c r="J289" s="1076"/>
      <c r="K289" s="1076"/>
      <c r="L289" s="1076"/>
      <c r="M289" s="1076"/>
      <c r="N289" s="1076"/>
      <c r="O289" s="1076"/>
      <c r="P289" s="1076"/>
      <c r="Q289" s="1076"/>
      <c r="R289" s="1076"/>
      <c r="S289" s="1076"/>
      <c r="T289" s="1076"/>
      <c r="U289" s="232"/>
      <c r="V289" s="232"/>
      <c r="W289"/>
    </row>
    <row r="290" spans="1:23" x14ac:dyDescent="0.25">
      <c r="B290" s="192"/>
      <c r="C290" s="232"/>
      <c r="D290" s="1072"/>
      <c r="E290" s="1073"/>
      <c r="F290" s="1073"/>
      <c r="G290" s="844" t="s">
        <v>209</v>
      </c>
      <c r="H290" s="846"/>
      <c r="I290" s="844" t="s">
        <v>211</v>
      </c>
      <c r="J290" s="846"/>
      <c r="K290" s="844" t="s">
        <v>214</v>
      </c>
      <c r="L290" s="846"/>
      <c r="M290" s="844" t="s">
        <v>217</v>
      </c>
      <c r="N290" s="846"/>
      <c r="O290" s="844" t="s">
        <v>220</v>
      </c>
      <c r="P290" s="846"/>
      <c r="Q290" s="844" t="s">
        <v>223</v>
      </c>
      <c r="R290" s="846"/>
      <c r="S290" s="844" t="s">
        <v>1336</v>
      </c>
      <c r="T290" s="846"/>
      <c r="U290" s="232"/>
      <c r="V290" s="232"/>
      <c r="W290"/>
    </row>
    <row r="291" spans="1:23" x14ac:dyDescent="0.25">
      <c r="B291" s="192"/>
      <c r="C291" s="232"/>
      <c r="D291" s="1066" t="s">
        <v>123</v>
      </c>
      <c r="E291" s="1067"/>
      <c r="F291" s="1067"/>
      <c r="G291" s="1074">
        <v>3</v>
      </c>
      <c r="H291" s="1075"/>
      <c r="I291" s="1074">
        <v>14.000000000000002</v>
      </c>
      <c r="J291" s="1075"/>
      <c r="K291" s="1074">
        <v>22</v>
      </c>
      <c r="L291" s="1075"/>
      <c r="M291" s="1074">
        <v>20.5</v>
      </c>
      <c r="N291" s="1075"/>
      <c r="O291" s="1074">
        <v>11</v>
      </c>
      <c r="P291" s="1075"/>
      <c r="Q291" s="1074">
        <v>21.5</v>
      </c>
      <c r="R291" s="1075"/>
      <c r="S291" s="1074">
        <v>8</v>
      </c>
      <c r="T291" s="1075"/>
      <c r="U291" s="232"/>
      <c r="V291" s="232"/>
      <c r="W291"/>
    </row>
    <row r="292" spans="1:23" x14ac:dyDescent="0.25">
      <c r="B292" s="192"/>
      <c r="C292" s="232"/>
      <c r="D292" s="1068" t="s">
        <v>120</v>
      </c>
      <c r="E292" s="1069"/>
      <c r="F292" s="1069"/>
      <c r="G292" s="1074">
        <v>18</v>
      </c>
      <c r="H292" s="1075"/>
      <c r="I292" s="1074">
        <v>11</v>
      </c>
      <c r="J292" s="1075"/>
      <c r="K292" s="1074">
        <v>19</v>
      </c>
      <c r="L292" s="1075"/>
      <c r="M292" s="1074">
        <v>13</v>
      </c>
      <c r="N292" s="1075"/>
      <c r="O292" s="1074">
        <v>16</v>
      </c>
      <c r="P292" s="1075"/>
      <c r="Q292" s="1074">
        <v>20</v>
      </c>
      <c r="R292" s="1075"/>
      <c r="S292" s="1074">
        <v>3</v>
      </c>
      <c r="T292" s="1075"/>
      <c r="U292" s="232"/>
      <c r="V292" s="232"/>
      <c r="W292"/>
    </row>
    <row r="293" spans="1:23" x14ac:dyDescent="0.25">
      <c r="B293" s="192"/>
      <c r="C293" s="232"/>
      <c r="D293" s="1068" t="s">
        <v>1337</v>
      </c>
      <c r="E293" s="1069"/>
      <c r="F293" s="1069"/>
      <c r="G293" s="1074">
        <v>11.322385479688849</v>
      </c>
      <c r="H293" s="1075"/>
      <c r="I293" s="1074">
        <v>38.461538461538453</v>
      </c>
      <c r="J293" s="1075"/>
      <c r="K293" s="1074">
        <v>19.331604724863148</v>
      </c>
      <c r="L293" s="1075"/>
      <c r="M293" s="1074">
        <v>8.2397003745318322</v>
      </c>
      <c r="N293" s="1075"/>
      <c r="O293" s="1074">
        <v>16.306539902045518</v>
      </c>
      <c r="P293" s="1075"/>
      <c r="Q293" s="1074">
        <v>5.4451166810717355</v>
      </c>
      <c r="R293" s="1075"/>
      <c r="S293" s="1074">
        <v>0.89311437626044354</v>
      </c>
      <c r="T293" s="1075"/>
      <c r="U293" s="232"/>
      <c r="V293" s="232"/>
      <c r="W293"/>
    </row>
    <row r="294" spans="1:23" x14ac:dyDescent="0.25">
      <c r="B294" s="192"/>
      <c r="C294" s="232"/>
      <c r="D294" s="1070" t="s">
        <v>1293</v>
      </c>
      <c r="E294" s="1071"/>
      <c r="F294" s="1071"/>
      <c r="G294" s="1074"/>
      <c r="H294" s="1075"/>
      <c r="I294" s="1074"/>
      <c r="J294" s="1075"/>
      <c r="K294" s="1074"/>
      <c r="L294" s="1075"/>
      <c r="M294" s="1074"/>
      <c r="N294" s="1075"/>
      <c r="O294" s="1074"/>
      <c r="P294" s="1075"/>
      <c r="Q294" s="1074"/>
      <c r="R294" s="1075"/>
      <c r="S294" s="1074"/>
      <c r="T294" s="1075"/>
      <c r="U294" s="232"/>
      <c r="V294" s="232"/>
      <c r="W294"/>
    </row>
    <row r="295" spans="1:23" x14ac:dyDescent="0.25">
      <c r="B295" s="192"/>
      <c r="C295" s="232"/>
      <c r="D295" s="232"/>
      <c r="E295" s="232"/>
      <c r="F295" s="232"/>
      <c r="G295" s="232"/>
      <c r="H295" s="232"/>
      <c r="I295" s="232"/>
      <c r="J295" s="232"/>
      <c r="K295" s="232"/>
      <c r="L295" s="232"/>
      <c r="M295" s="232"/>
      <c r="N295" s="232"/>
      <c r="O295" s="232"/>
      <c r="P295" s="232"/>
      <c r="Q295" s="232"/>
      <c r="R295" s="232"/>
      <c r="S295" s="232"/>
      <c r="T295" s="232"/>
      <c r="U295" s="232"/>
      <c r="V295" s="232"/>
    </row>
    <row r="296" spans="1:23" ht="15.75" x14ac:dyDescent="0.25">
      <c r="B296" s="192"/>
      <c r="C296" s="253" t="s">
        <v>1338</v>
      </c>
      <c r="D296" s="232"/>
      <c r="E296" s="232"/>
      <c r="F296" s="232"/>
      <c r="G296" s="232"/>
      <c r="H296" s="232"/>
      <c r="I296" s="232"/>
      <c r="J296" s="232"/>
      <c r="K296" s="450"/>
      <c r="L296" s="232"/>
      <c r="M296" s="232"/>
      <c r="N296" s="232"/>
      <c r="O296" s="232"/>
      <c r="P296" s="232"/>
      <c r="Q296" s="232"/>
      <c r="R296" s="232"/>
      <c r="S296" s="232"/>
      <c r="T296" s="232"/>
      <c r="U296" s="232"/>
      <c r="V296" s="232"/>
    </row>
    <row r="297" spans="1:23" x14ac:dyDescent="0.25">
      <c r="B297" s="192"/>
      <c r="C297" s="232"/>
      <c r="D297" s="232"/>
      <c r="E297" s="232"/>
      <c r="F297" s="232"/>
      <c r="G297" s="232"/>
      <c r="H297" s="232"/>
      <c r="I297" s="232"/>
      <c r="J297" s="232"/>
      <c r="K297" s="232"/>
      <c r="L297" s="232"/>
      <c r="M297" s="232"/>
      <c r="N297" s="232"/>
      <c r="O297" s="232"/>
      <c r="P297" s="232"/>
      <c r="Q297" s="232"/>
      <c r="R297" s="232"/>
      <c r="S297" s="232"/>
      <c r="T297" s="232"/>
      <c r="U297" s="232"/>
      <c r="V297" s="232"/>
    </row>
    <row r="298" spans="1:23" s="233" customFormat="1" x14ac:dyDescent="0.25">
      <c r="A298" s="21"/>
      <c r="B298" s="192"/>
      <c r="C298" s="844" t="s">
        <v>1350</v>
      </c>
      <c r="D298" s="845"/>
      <c r="E298" s="845"/>
      <c r="F298" s="845"/>
      <c r="G298" s="845"/>
      <c r="H298" s="845"/>
      <c r="I298" s="845"/>
      <c r="J298" s="845"/>
      <c r="K298" s="845"/>
      <c r="L298" s="845"/>
      <c r="M298" s="845"/>
      <c r="N298" s="845"/>
      <c r="O298" s="845"/>
      <c r="P298" s="845"/>
      <c r="Q298" s="845"/>
      <c r="R298" s="845"/>
      <c r="S298" s="845"/>
      <c r="T298" s="845"/>
      <c r="U298" s="846"/>
      <c r="V298" s="232"/>
      <c r="W298" s="21"/>
    </row>
    <row r="299" spans="1:23" s="233" customFormat="1" x14ac:dyDescent="0.25">
      <c r="A299" s="21"/>
      <c r="B299" s="192"/>
      <c r="C299" s="248"/>
      <c r="D299" s="249"/>
      <c r="E299" s="250"/>
      <c r="F299" s="1076" t="s">
        <v>1348</v>
      </c>
      <c r="G299" s="1076"/>
      <c r="H299" s="1076"/>
      <c r="I299" s="1076"/>
      <c r="J299" s="1076"/>
      <c r="K299" s="1076"/>
      <c r="L299" s="1076"/>
      <c r="M299" s="1076"/>
      <c r="N299" s="1076" t="s">
        <v>1349</v>
      </c>
      <c r="O299" s="1076"/>
      <c r="P299" s="1076"/>
      <c r="Q299" s="1076"/>
      <c r="R299" s="1076"/>
      <c r="S299" s="1076"/>
      <c r="T299" s="1076"/>
      <c r="U299" s="1076"/>
      <c r="V299" s="232"/>
      <c r="W299" s="21"/>
    </row>
    <row r="300" spans="1:23" x14ac:dyDescent="0.25">
      <c r="B300" s="192"/>
      <c r="C300" s="1079" t="s">
        <v>1339</v>
      </c>
      <c r="D300" s="1080"/>
      <c r="E300" s="1081"/>
      <c r="F300" s="844" t="s">
        <v>1343</v>
      </c>
      <c r="G300" s="846"/>
      <c r="H300" s="844" t="s">
        <v>1345</v>
      </c>
      <c r="I300" s="846"/>
      <c r="J300" s="844" t="s">
        <v>1346</v>
      </c>
      <c r="K300" s="846"/>
      <c r="L300" s="844" t="s">
        <v>1347</v>
      </c>
      <c r="M300" s="846"/>
      <c r="N300" s="844" t="s">
        <v>1343</v>
      </c>
      <c r="O300" s="846"/>
      <c r="P300" s="844" t="s">
        <v>1345</v>
      </c>
      <c r="Q300" s="846"/>
      <c r="R300" s="844" t="s">
        <v>1346</v>
      </c>
      <c r="S300" s="846"/>
      <c r="T300" s="844" t="s">
        <v>1347</v>
      </c>
      <c r="U300" s="846"/>
      <c r="V300" s="232"/>
    </row>
    <row r="301" spans="1:23" x14ac:dyDescent="0.25">
      <c r="B301" s="192"/>
      <c r="C301" s="1082" t="s">
        <v>1340</v>
      </c>
      <c r="D301" s="1082"/>
      <c r="E301" s="1082"/>
      <c r="F301" s="1077">
        <v>0.7</v>
      </c>
      <c r="G301" s="1077"/>
      <c r="H301" s="1077">
        <v>1.7</v>
      </c>
      <c r="I301" s="1077"/>
      <c r="J301" s="1077">
        <v>2.9</v>
      </c>
      <c r="K301" s="1077"/>
      <c r="L301" s="1077">
        <v>5</v>
      </c>
      <c r="M301" s="1077"/>
      <c r="N301" s="1077">
        <v>2.2000000000000002</v>
      </c>
      <c r="O301" s="1077"/>
      <c r="P301" s="1077">
        <v>5</v>
      </c>
      <c r="Q301" s="1077"/>
      <c r="R301" s="1077">
        <v>10</v>
      </c>
      <c r="S301" s="1077"/>
      <c r="T301" s="1077">
        <v>20</v>
      </c>
      <c r="U301" s="1077"/>
      <c r="V301" s="232"/>
    </row>
    <row r="302" spans="1:23" x14ac:dyDescent="0.25">
      <c r="B302" s="192"/>
      <c r="C302" s="1082" t="s">
        <v>247</v>
      </c>
      <c r="D302" s="1082"/>
      <c r="E302" s="1082"/>
      <c r="F302" s="1077">
        <v>35</v>
      </c>
      <c r="G302" s="1077"/>
      <c r="H302" s="1077">
        <v>39</v>
      </c>
      <c r="I302" s="1077"/>
      <c r="J302" s="1077">
        <v>43</v>
      </c>
      <c r="K302" s="1077"/>
      <c r="L302" s="1077">
        <v>50</v>
      </c>
      <c r="M302" s="1077"/>
      <c r="N302" s="1077">
        <v>50</v>
      </c>
      <c r="O302" s="1077"/>
      <c r="P302" s="1077">
        <v>55</v>
      </c>
      <c r="Q302" s="1077"/>
      <c r="R302" s="1077">
        <v>60</v>
      </c>
      <c r="S302" s="1077"/>
      <c r="T302" s="1077">
        <v>65</v>
      </c>
      <c r="U302" s="1077"/>
      <c r="V302" s="232"/>
    </row>
    <row r="303" spans="1:23" x14ac:dyDescent="0.25">
      <c r="B303" s="192"/>
      <c r="C303" s="1082" t="s">
        <v>1341</v>
      </c>
      <c r="D303" s="1082"/>
      <c r="E303" s="1082"/>
      <c r="F303" s="1077">
        <v>10</v>
      </c>
      <c r="G303" s="1077"/>
      <c r="H303" s="1077">
        <v>17</v>
      </c>
      <c r="I303" s="1077"/>
      <c r="J303" s="1077">
        <v>22</v>
      </c>
      <c r="K303" s="1077"/>
      <c r="L303" s="1077">
        <v>30</v>
      </c>
      <c r="M303" s="1077"/>
      <c r="N303" s="1077">
        <v>10</v>
      </c>
      <c r="O303" s="1077"/>
      <c r="P303" s="1077">
        <v>17</v>
      </c>
      <c r="Q303" s="1077"/>
      <c r="R303" s="1077">
        <v>22</v>
      </c>
      <c r="S303" s="1077"/>
      <c r="T303" s="1077">
        <v>30</v>
      </c>
      <c r="U303" s="1077"/>
      <c r="V303" s="232"/>
    </row>
    <row r="304" spans="1:23" ht="30" customHeight="1" x14ac:dyDescent="0.25">
      <c r="B304" s="192"/>
      <c r="C304" s="1078" t="s">
        <v>1342</v>
      </c>
      <c r="D304" s="1078"/>
      <c r="E304" s="1078"/>
      <c r="F304" s="1077">
        <v>0.80500000000000005</v>
      </c>
      <c r="G304" s="1077"/>
      <c r="H304" s="1077">
        <v>0.72450000000000003</v>
      </c>
      <c r="I304" s="1077"/>
      <c r="J304" s="1077">
        <v>0.60375000000000001</v>
      </c>
      <c r="K304" s="1077"/>
      <c r="L304" s="1077">
        <v>0.40250000000000002</v>
      </c>
      <c r="M304" s="1077"/>
      <c r="N304" s="1077">
        <v>1.3320000000000001</v>
      </c>
      <c r="O304" s="1077"/>
      <c r="P304" s="1077">
        <v>1.2654000000000001</v>
      </c>
      <c r="Q304" s="1077"/>
      <c r="R304" s="1077">
        <v>1.0656000000000001</v>
      </c>
      <c r="S304" s="1077"/>
      <c r="T304" s="1077">
        <v>0.86580000000000013</v>
      </c>
      <c r="U304" s="1077"/>
      <c r="V304" s="232"/>
    </row>
    <row r="305" spans="1:23" x14ac:dyDescent="0.25">
      <c r="B305" s="192"/>
      <c r="C305" s="232"/>
      <c r="D305" s="232"/>
      <c r="E305" s="232"/>
      <c r="F305" s="232"/>
      <c r="G305" s="232"/>
      <c r="H305" s="232"/>
      <c r="I305" s="232"/>
      <c r="J305" s="232"/>
      <c r="K305" s="232"/>
      <c r="L305" s="232"/>
      <c r="M305" s="232"/>
      <c r="N305" s="232"/>
      <c r="O305" s="232"/>
      <c r="P305" s="232"/>
      <c r="Q305" s="232"/>
      <c r="R305" s="232"/>
      <c r="S305" s="232"/>
      <c r="T305" s="232"/>
      <c r="U305" s="232"/>
      <c r="V305" s="232"/>
    </row>
    <row r="306" spans="1:23" x14ac:dyDescent="0.25">
      <c r="B306" s="192"/>
      <c r="C306" s="844" t="s">
        <v>1351</v>
      </c>
      <c r="D306" s="845"/>
      <c r="E306" s="845"/>
      <c r="F306" s="845"/>
      <c r="G306" s="845"/>
      <c r="H306" s="845"/>
      <c r="I306" s="845"/>
      <c r="J306" s="845"/>
      <c r="K306" s="845"/>
      <c r="L306" s="845"/>
      <c r="M306" s="845"/>
      <c r="N306" s="845"/>
      <c r="O306" s="845"/>
      <c r="P306" s="845"/>
      <c r="Q306" s="845"/>
      <c r="R306" s="845"/>
      <c r="S306" s="845"/>
      <c r="T306" s="845"/>
      <c r="U306" s="846"/>
      <c r="V306" s="232"/>
    </row>
    <row r="307" spans="1:23" x14ac:dyDescent="0.25">
      <c r="B307" s="192"/>
      <c r="C307" s="248"/>
      <c r="D307" s="249"/>
      <c r="E307" s="250"/>
      <c r="F307" s="1076" t="s">
        <v>1348</v>
      </c>
      <c r="G307" s="1076"/>
      <c r="H307" s="1076"/>
      <c r="I307" s="1076"/>
      <c r="J307" s="1076"/>
      <c r="K307" s="1076"/>
      <c r="L307" s="1076"/>
      <c r="M307" s="1076"/>
      <c r="N307" s="1076" t="s">
        <v>1349</v>
      </c>
      <c r="O307" s="1076"/>
      <c r="P307" s="1076"/>
      <c r="Q307" s="1076"/>
      <c r="R307" s="1076"/>
      <c r="S307" s="1076"/>
      <c r="T307" s="1076"/>
      <c r="U307" s="1076"/>
      <c r="V307" s="232"/>
    </row>
    <row r="308" spans="1:23" x14ac:dyDescent="0.25">
      <c r="B308" s="192"/>
      <c r="C308" s="1079" t="s">
        <v>1339</v>
      </c>
      <c r="D308" s="1080"/>
      <c r="E308" s="1081"/>
      <c r="F308" s="1084"/>
      <c r="G308" s="1085"/>
      <c r="H308" s="844" t="s">
        <v>1345</v>
      </c>
      <c r="I308" s="846"/>
      <c r="J308" s="844" t="s">
        <v>1346</v>
      </c>
      <c r="K308" s="846"/>
      <c r="L308" s="844" t="s">
        <v>1347</v>
      </c>
      <c r="M308" s="846"/>
      <c r="N308" s="1084"/>
      <c r="O308" s="1085"/>
      <c r="P308" s="844" t="s">
        <v>1345</v>
      </c>
      <c r="Q308" s="846"/>
      <c r="R308" s="844" t="s">
        <v>1346</v>
      </c>
      <c r="S308" s="846"/>
      <c r="T308" s="844" t="s">
        <v>1347</v>
      </c>
      <c r="U308" s="846"/>
      <c r="V308" s="232"/>
    </row>
    <row r="309" spans="1:23" x14ac:dyDescent="0.25">
      <c r="B309" s="192"/>
      <c r="C309" s="1082" t="s">
        <v>1340</v>
      </c>
      <c r="D309" s="1082"/>
      <c r="E309" s="1082"/>
      <c r="F309" s="1086"/>
      <c r="G309" s="1087"/>
      <c r="H309" s="1077">
        <v>-0.4</v>
      </c>
      <c r="I309" s="1077"/>
      <c r="J309" s="1077">
        <v>-0.6</v>
      </c>
      <c r="K309" s="1077"/>
      <c r="L309" s="1077">
        <v>-0.8</v>
      </c>
      <c r="M309" s="1077"/>
      <c r="N309" s="1086">
        <v>2.2000000000000002</v>
      </c>
      <c r="O309" s="1087"/>
      <c r="P309" s="1077">
        <v>-0.4</v>
      </c>
      <c r="Q309" s="1077"/>
      <c r="R309" s="1077">
        <v>-0.6</v>
      </c>
      <c r="S309" s="1077"/>
      <c r="T309" s="1077">
        <v>-1.2</v>
      </c>
      <c r="U309" s="1077"/>
      <c r="V309" s="232"/>
    </row>
    <row r="310" spans="1:23" x14ac:dyDescent="0.25">
      <c r="B310" s="192"/>
      <c r="C310" s="1082" t="s">
        <v>247</v>
      </c>
      <c r="D310" s="1082"/>
      <c r="E310" s="1082"/>
      <c r="F310" s="1086"/>
      <c r="G310" s="1087"/>
      <c r="H310" s="1077">
        <v>-1.5</v>
      </c>
      <c r="I310" s="1077"/>
      <c r="J310" s="1077">
        <v>-2.5</v>
      </c>
      <c r="K310" s="1077"/>
      <c r="L310" s="1077">
        <v>-4</v>
      </c>
      <c r="M310" s="1077"/>
      <c r="N310" s="1086">
        <v>50</v>
      </c>
      <c r="O310" s="1087"/>
      <c r="P310" s="1077">
        <v>-1.5</v>
      </c>
      <c r="Q310" s="1077"/>
      <c r="R310" s="1077">
        <v>-2.5</v>
      </c>
      <c r="S310" s="1077"/>
      <c r="T310" s="1077">
        <v>-4</v>
      </c>
      <c r="U310" s="1077"/>
      <c r="V310" s="232"/>
    </row>
    <row r="311" spans="1:23" x14ac:dyDescent="0.25">
      <c r="B311" s="192"/>
      <c r="C311" s="1082" t="s">
        <v>1341</v>
      </c>
      <c r="D311" s="1082"/>
      <c r="E311" s="1082"/>
      <c r="F311" s="1086"/>
      <c r="G311" s="1087"/>
      <c r="H311" s="1077">
        <v>-2.7</v>
      </c>
      <c r="I311" s="1077"/>
      <c r="J311" s="1077">
        <v>-2.7</v>
      </c>
      <c r="K311" s="1077"/>
      <c r="L311" s="1077">
        <v>-2.7</v>
      </c>
      <c r="M311" s="1077"/>
      <c r="N311" s="1086">
        <v>10</v>
      </c>
      <c r="O311" s="1087"/>
      <c r="P311" s="1077">
        <v>-2.7</v>
      </c>
      <c r="Q311" s="1077"/>
      <c r="R311" s="1077">
        <v>-2.7</v>
      </c>
      <c r="S311" s="1077"/>
      <c r="T311" s="1077">
        <v>-2.7</v>
      </c>
      <c r="U311" s="1077"/>
      <c r="V311" s="232"/>
    </row>
    <row r="312" spans="1:23" x14ac:dyDescent="0.25">
      <c r="B312" s="192"/>
      <c r="C312" s="1078" t="s">
        <v>1342</v>
      </c>
      <c r="D312" s="1078"/>
      <c r="E312" s="1078"/>
      <c r="F312" s="1088"/>
      <c r="G312" s="1089"/>
      <c r="H312" s="1083">
        <v>1.7999999999999999E-2</v>
      </c>
      <c r="I312" s="1083"/>
      <c r="J312" s="1083">
        <v>2.4E-2</v>
      </c>
      <c r="K312" s="1083"/>
      <c r="L312" s="1083">
        <v>4.8000000000000001E-2</v>
      </c>
      <c r="M312" s="1083"/>
      <c r="N312" s="1088">
        <v>1.3320000000000001</v>
      </c>
      <c r="O312" s="1089"/>
      <c r="P312" s="1083">
        <v>1.1000000000000001E-2</v>
      </c>
      <c r="Q312" s="1083"/>
      <c r="R312" s="1083">
        <v>3.3000000000000002E-2</v>
      </c>
      <c r="S312" s="1083"/>
      <c r="T312" s="1083">
        <v>6.6000000000000003E-2</v>
      </c>
      <c r="U312" s="1083"/>
      <c r="V312" s="232"/>
    </row>
    <row r="313" spans="1:23" x14ac:dyDescent="0.25">
      <c r="B313" s="192"/>
      <c r="C313" s="232"/>
      <c r="D313" s="232"/>
      <c r="E313" s="232"/>
      <c r="F313" s="232"/>
      <c r="G313" s="232"/>
      <c r="H313" s="232"/>
      <c r="I313" s="232"/>
      <c r="J313" s="232"/>
      <c r="K313" s="232"/>
      <c r="L313" s="232"/>
      <c r="M313" s="232"/>
      <c r="N313" s="232"/>
      <c r="O313" s="232"/>
      <c r="P313" s="232"/>
      <c r="Q313" s="232"/>
      <c r="R313" s="232"/>
      <c r="S313" s="232"/>
      <c r="T313" s="232"/>
      <c r="U313" s="232"/>
      <c r="V313" s="232"/>
    </row>
    <row r="314" spans="1:23" x14ac:dyDescent="0.25">
      <c r="B314" s="192"/>
      <c r="C314" s="232"/>
      <c r="D314" s="232"/>
      <c r="E314" s="232"/>
      <c r="F314" s="232"/>
      <c r="G314" s="232"/>
      <c r="H314" s="232"/>
      <c r="I314" s="192"/>
      <c r="J314" s="192"/>
      <c r="K314" s="192"/>
      <c r="L314" s="192"/>
      <c r="M314" s="192"/>
      <c r="N314" s="192"/>
      <c r="O314" s="192"/>
      <c r="P314" s="192"/>
      <c r="Q314" s="232"/>
      <c r="R314" s="232"/>
      <c r="S314" s="232"/>
      <c r="T314" s="232"/>
      <c r="U314" s="232"/>
      <c r="V314" s="232"/>
    </row>
    <row r="315" spans="1:23" ht="18.75" x14ac:dyDescent="0.3">
      <c r="B315" s="239" t="s">
        <v>1352</v>
      </c>
      <c r="C315" s="214"/>
      <c r="D315" s="214"/>
      <c r="E315" s="214"/>
      <c r="F315" s="214"/>
      <c r="G315" s="214"/>
      <c r="H315" s="214"/>
      <c r="I315" s="214"/>
      <c r="J315" s="214"/>
      <c r="K315" s="214"/>
      <c r="L315" s="214"/>
      <c r="M315" s="214"/>
      <c r="N315" s="214"/>
      <c r="O315" s="214"/>
      <c r="P315" s="214"/>
      <c r="Q315" s="214"/>
      <c r="R315" s="214"/>
      <c r="S315" s="214"/>
      <c r="T315" s="214"/>
      <c r="U315" s="214"/>
      <c r="V315" s="214"/>
    </row>
    <row r="316" spans="1:23" x14ac:dyDescent="0.25">
      <c r="B316" s="192"/>
      <c r="C316" s="232"/>
      <c r="D316" s="232"/>
      <c r="E316" s="232"/>
      <c r="F316" s="232"/>
      <c r="G316" s="232"/>
      <c r="H316" s="232"/>
      <c r="I316" s="232"/>
      <c r="J316" s="232"/>
      <c r="K316" s="232"/>
      <c r="L316" s="232"/>
      <c r="M316" s="232"/>
      <c r="N316" s="232"/>
      <c r="O316" s="232"/>
      <c r="P316" s="232"/>
      <c r="Q316" s="232"/>
      <c r="R316" s="232"/>
      <c r="S316" s="232"/>
      <c r="T316" s="232"/>
      <c r="U316" s="232"/>
      <c r="V316" s="232"/>
    </row>
    <row r="317" spans="1:23" s="233" customFormat="1" x14ac:dyDescent="0.25">
      <c r="A317" s="21"/>
      <c r="B317" s="192"/>
      <c r="C317" s="232"/>
      <c r="D317" s="232"/>
      <c r="E317" s="232"/>
      <c r="F317" s="232"/>
      <c r="G317" s="232"/>
      <c r="H317" s="232"/>
      <c r="I317" s="232"/>
      <c r="J317" s="232"/>
      <c r="K317" s="232"/>
      <c r="L317" s="232"/>
      <c r="M317" s="232"/>
      <c r="N317" s="232"/>
      <c r="O317" s="232"/>
      <c r="P317" s="232"/>
      <c r="Q317" s="232"/>
      <c r="R317" s="232"/>
      <c r="S317" s="232"/>
      <c r="T317" s="232"/>
      <c r="U317" s="232"/>
      <c r="V317" s="232"/>
      <c r="W317" s="21"/>
    </row>
    <row r="318" spans="1:23" x14ac:dyDescent="0.25">
      <c r="B318" s="192"/>
      <c r="C318" s="232"/>
      <c r="D318" s="182" t="s">
        <v>1353</v>
      </c>
      <c r="E318" s="183"/>
      <c r="F318" s="183"/>
      <c r="G318" s="183"/>
      <c r="H318" s="184"/>
      <c r="I318" s="256">
        <v>2011</v>
      </c>
      <c r="J318" s="256">
        <v>2012</v>
      </c>
      <c r="K318" s="256">
        <v>2013</v>
      </c>
      <c r="L318" s="256">
        <v>2014</v>
      </c>
      <c r="M318" s="256">
        <v>2015</v>
      </c>
      <c r="N318" s="256">
        <v>2016</v>
      </c>
      <c r="O318" s="256">
        <v>2017</v>
      </c>
      <c r="P318" s="256">
        <v>2018</v>
      </c>
      <c r="Q318" s="256">
        <v>2019</v>
      </c>
      <c r="R318" s="256">
        <v>2020</v>
      </c>
      <c r="S318" s="256">
        <v>2021</v>
      </c>
      <c r="T318" s="256">
        <v>2022</v>
      </c>
      <c r="U318" s="232"/>
      <c r="V318" s="232"/>
    </row>
    <row r="319" spans="1:23" ht="15" customHeight="1" x14ac:dyDescent="0.25">
      <c r="B319" s="192"/>
      <c r="C319" s="232"/>
      <c r="D319" s="240" t="s">
        <v>1049</v>
      </c>
      <c r="E319" s="241"/>
      <c r="F319" s="241"/>
      <c r="G319" s="241"/>
      <c r="H319" s="242"/>
      <c r="I319" s="477">
        <f>0.08+$I324</f>
        <v>0.08</v>
      </c>
      <c r="J319" s="477">
        <f>0.08+$I324</f>
        <v>0.08</v>
      </c>
      <c r="K319" s="477">
        <f>0.08+$I324</f>
        <v>0.08</v>
      </c>
      <c r="L319" s="477">
        <f>0.08+$I324</f>
        <v>0.08</v>
      </c>
      <c r="M319" s="477">
        <f>0.08+$I324</f>
        <v>0.08</v>
      </c>
      <c r="N319" s="477">
        <f>0.086+$I324</f>
        <v>8.5999999999999993E-2</v>
      </c>
      <c r="O319" s="477">
        <f>0.0925+$I324</f>
        <v>9.2499999999999999E-2</v>
      </c>
      <c r="P319" s="477">
        <f>0.09875+$I324</f>
        <v>9.8750000000000004E-2</v>
      </c>
      <c r="Q319" s="478">
        <f>0.105+$I324</f>
        <v>0.105</v>
      </c>
      <c r="R319" s="478">
        <f>0.105+$I324</f>
        <v>0.105</v>
      </c>
      <c r="S319" s="478">
        <f>0.105+$I324</f>
        <v>0.105</v>
      </c>
      <c r="T319" s="478">
        <f>0.105+$I324</f>
        <v>0.105</v>
      </c>
      <c r="U319" s="232"/>
      <c r="V319" s="232"/>
    </row>
    <row r="320" spans="1:23" x14ac:dyDescent="0.25">
      <c r="B320" s="192"/>
      <c r="C320" s="232"/>
      <c r="D320" s="243" t="s">
        <v>1050</v>
      </c>
      <c r="E320" s="193"/>
      <c r="F320" s="193"/>
      <c r="G320" s="193"/>
      <c r="H320" s="244"/>
      <c r="I320" s="479">
        <f>4%+I325</f>
        <v>0.04</v>
      </c>
      <c r="J320" s="479">
        <f>4%+I325</f>
        <v>0.04</v>
      </c>
      <c r="K320" s="479">
        <f>4.5%+I325</f>
        <v>4.4999999999999998E-2</v>
      </c>
      <c r="L320" s="479">
        <f>5.5%+I325</f>
        <v>5.5E-2</v>
      </c>
      <c r="M320" s="479">
        <f>6%+I325</f>
        <v>0.06</v>
      </c>
      <c r="N320" s="479">
        <f>6%+I325</f>
        <v>0.06</v>
      </c>
      <c r="O320" s="479">
        <f>6%+I325</f>
        <v>0.06</v>
      </c>
      <c r="P320" s="479">
        <f>6%+I325</f>
        <v>0.06</v>
      </c>
      <c r="Q320" s="479">
        <f>6%+I325</f>
        <v>0.06</v>
      </c>
      <c r="R320" s="479">
        <f>6%+J325</f>
        <v>0.06</v>
      </c>
      <c r="S320" s="479">
        <f>6%+K325</f>
        <v>0.06</v>
      </c>
      <c r="T320" s="479">
        <f>6%+L325</f>
        <v>0.06</v>
      </c>
      <c r="U320" s="232"/>
      <c r="V320" s="232"/>
    </row>
    <row r="321" spans="2:22" x14ac:dyDescent="0.25">
      <c r="B321" s="192"/>
      <c r="C321" s="232"/>
      <c r="D321" s="245" t="s">
        <v>1051</v>
      </c>
      <c r="E321" s="246"/>
      <c r="F321" s="246"/>
      <c r="G321" s="246"/>
      <c r="H321" s="247"/>
      <c r="I321" s="480">
        <f>2%+I326</f>
        <v>0.02</v>
      </c>
      <c r="J321" s="480">
        <f>2%+I326</f>
        <v>0.02</v>
      </c>
      <c r="K321" s="480">
        <f>3.5%+I326</f>
        <v>3.5000000000000003E-2</v>
      </c>
      <c r="L321" s="480">
        <f>4%+I326</f>
        <v>0.04</v>
      </c>
      <c r="M321" s="480">
        <f>4.5%+I326</f>
        <v>4.4999999999999998E-2</v>
      </c>
      <c r="N321" s="480">
        <f>5.125%+I326</f>
        <v>5.1249999999999997E-2</v>
      </c>
      <c r="O321" s="480">
        <f>5.75%+I326</f>
        <v>5.7500000000000002E-2</v>
      </c>
      <c r="P321" s="480">
        <f>6.375%+I326</f>
        <v>6.3750000000000001E-2</v>
      </c>
      <c r="Q321" s="480">
        <f>7%+I326</f>
        <v>7.0000000000000007E-2</v>
      </c>
      <c r="R321" s="480">
        <f>7%+J326</f>
        <v>7.0000000000000007E-2</v>
      </c>
      <c r="S321" s="480">
        <f>7%+K326</f>
        <v>7.0000000000000007E-2</v>
      </c>
      <c r="T321" s="480">
        <f>7%+L326</f>
        <v>7.0000000000000007E-2</v>
      </c>
      <c r="U321" s="232"/>
      <c r="V321" s="232"/>
    </row>
    <row r="322" spans="2:22" x14ac:dyDescent="0.25">
      <c r="B322" s="192"/>
      <c r="C322" s="232"/>
      <c r="D322" s="232"/>
      <c r="E322" s="232"/>
      <c r="F322" s="232"/>
      <c r="G322" s="232"/>
      <c r="H322" s="232"/>
      <c r="I322" s="232"/>
      <c r="J322" s="232"/>
      <c r="K322" s="232"/>
      <c r="L322" s="232"/>
      <c r="M322" s="232"/>
      <c r="N322" s="232"/>
      <c r="O322" s="232"/>
      <c r="P322" s="232"/>
      <c r="Q322" s="232"/>
      <c r="R322" s="232"/>
      <c r="S322" s="232"/>
      <c r="T322" s="232"/>
      <c r="U322" s="232"/>
      <c r="V322" s="232"/>
    </row>
    <row r="323" spans="2:22" x14ac:dyDescent="0.25">
      <c r="B323" s="192"/>
      <c r="C323" s="232"/>
      <c r="D323" s="182" t="s">
        <v>1355</v>
      </c>
      <c r="E323" s="183"/>
      <c r="F323" s="183"/>
      <c r="G323" s="183"/>
      <c r="H323" s="184"/>
      <c r="I323" s="932" t="s">
        <v>1356</v>
      </c>
      <c r="J323" s="933"/>
      <c r="K323" s="934"/>
      <c r="L323" s="232"/>
      <c r="M323" s="232"/>
      <c r="N323" s="232"/>
      <c r="O323" s="232"/>
      <c r="P323" s="232"/>
      <c r="Q323" s="232"/>
      <c r="R323" s="232"/>
      <c r="S323" s="232"/>
      <c r="T323" s="232"/>
      <c r="U323" s="232"/>
      <c r="V323" s="232"/>
    </row>
    <row r="324" spans="2:22" x14ac:dyDescent="0.25">
      <c r="B324" s="192"/>
      <c r="C324" s="232"/>
      <c r="D324" s="240" t="s">
        <v>840</v>
      </c>
      <c r="E324" s="241"/>
      <c r="F324" s="241"/>
      <c r="G324" s="241"/>
      <c r="H324" s="242"/>
      <c r="I324" s="1097">
        <f>Assumptions!H50:I50</f>
        <v>0</v>
      </c>
      <c r="J324" s="1097"/>
      <c r="K324" s="1097"/>
      <c r="L324" s="232"/>
      <c r="M324" s="232"/>
      <c r="N324" s="232"/>
      <c r="O324" s="232"/>
      <c r="P324" s="232"/>
      <c r="Q324" s="232"/>
      <c r="R324" s="232"/>
      <c r="S324" s="232"/>
      <c r="T324" s="232"/>
      <c r="U324" s="232"/>
      <c r="V324" s="232"/>
    </row>
    <row r="325" spans="2:22" x14ac:dyDescent="0.25">
      <c r="B325" s="192"/>
      <c r="C325" s="232"/>
      <c r="D325" s="243" t="s">
        <v>1354</v>
      </c>
      <c r="E325" s="193"/>
      <c r="F325" s="193"/>
      <c r="G325" s="193"/>
      <c r="H325" s="244"/>
      <c r="I325" s="1097">
        <f>Assumptions!H51:I51</f>
        <v>0</v>
      </c>
      <c r="J325" s="1097"/>
      <c r="K325" s="1097"/>
      <c r="L325" s="232"/>
      <c r="M325" s="232"/>
      <c r="N325" s="232"/>
      <c r="O325" s="232"/>
      <c r="P325" s="232"/>
      <c r="Q325" s="232"/>
      <c r="R325" s="232"/>
      <c r="S325" s="232"/>
      <c r="T325" s="232"/>
      <c r="U325" s="232"/>
      <c r="V325" s="232"/>
    </row>
    <row r="326" spans="2:22" x14ac:dyDescent="0.25">
      <c r="B326" s="192"/>
      <c r="C326" s="232"/>
      <c r="D326" s="245" t="s">
        <v>873</v>
      </c>
      <c r="E326" s="246"/>
      <c r="F326" s="246"/>
      <c r="G326" s="246"/>
      <c r="H326" s="247"/>
      <c r="I326" s="1097">
        <f>Assumptions!H52:I52</f>
        <v>0</v>
      </c>
      <c r="J326" s="1097"/>
      <c r="K326" s="1097"/>
      <c r="L326" s="232"/>
      <c r="M326" s="232"/>
      <c r="N326" s="232"/>
      <c r="O326" s="232"/>
      <c r="P326" s="232"/>
      <c r="Q326" s="232"/>
      <c r="R326" s="232"/>
      <c r="S326" s="232"/>
      <c r="T326" s="232"/>
      <c r="U326" s="232"/>
      <c r="V326" s="232"/>
    </row>
    <row r="327" spans="2:22" x14ac:dyDescent="0.25">
      <c r="B327" s="192"/>
      <c r="C327" s="232"/>
      <c r="D327" s="232"/>
      <c r="E327" s="232"/>
      <c r="F327" s="232"/>
      <c r="G327" s="232"/>
      <c r="H327" s="232"/>
      <c r="I327" s="232"/>
      <c r="J327" s="232"/>
      <c r="K327" s="232"/>
      <c r="L327" s="232"/>
      <c r="M327" s="232"/>
      <c r="N327" s="232"/>
      <c r="O327" s="232"/>
      <c r="P327" s="232"/>
      <c r="Q327" s="232"/>
      <c r="R327" s="232"/>
      <c r="S327" s="232"/>
      <c r="T327" s="232"/>
      <c r="U327" s="232"/>
      <c r="V327" s="232"/>
    </row>
    <row r="328" spans="2:22" x14ac:dyDescent="0.25">
      <c r="B328" s="192"/>
      <c r="C328" s="232"/>
      <c r="D328" s="182" t="s">
        <v>1357</v>
      </c>
      <c r="E328" s="183"/>
      <c r="F328" s="183"/>
      <c r="G328" s="183"/>
      <c r="H328" s="184"/>
      <c r="I328" s="975" t="s">
        <v>1361</v>
      </c>
      <c r="J328" s="975"/>
      <c r="K328" s="975"/>
      <c r="L328" s="975"/>
      <c r="M328" s="1098" t="s">
        <v>1362</v>
      </c>
      <c r="N328" s="1098"/>
      <c r="O328" s="1098"/>
      <c r="P328" s="1098"/>
      <c r="Q328" s="1098"/>
      <c r="R328" s="232"/>
      <c r="S328" s="232"/>
      <c r="T328" s="232"/>
      <c r="U328" s="232"/>
      <c r="V328" s="232"/>
    </row>
    <row r="329" spans="2:22" x14ac:dyDescent="0.25">
      <c r="B329" s="192"/>
      <c r="C329" s="232"/>
      <c r="D329" s="240" t="s">
        <v>1358</v>
      </c>
      <c r="E329" s="241"/>
      <c r="F329" s="241"/>
      <c r="G329" s="241"/>
      <c r="H329" s="242"/>
      <c r="I329" s="1090">
        <v>0.23</v>
      </c>
      <c r="J329" s="1090"/>
      <c r="K329" s="1090"/>
      <c r="L329" s="1090"/>
      <c r="M329" s="1097">
        <f>I329*(1-I$331)</f>
        <v>0.115</v>
      </c>
      <c r="N329" s="1097">
        <f t="shared" ref="N329:Q330" si="6">M329*(1-M331)</f>
        <v>0.115</v>
      </c>
      <c r="O329" s="1097">
        <f t="shared" si="6"/>
        <v>0.115</v>
      </c>
      <c r="P329" s="1097">
        <f t="shared" si="6"/>
        <v>0.115</v>
      </c>
      <c r="Q329" s="1097">
        <f t="shared" si="6"/>
        <v>0.115</v>
      </c>
      <c r="R329" s="232"/>
      <c r="S329" s="232"/>
      <c r="T329" s="232"/>
      <c r="U329" s="232"/>
      <c r="V329" s="232"/>
    </row>
    <row r="330" spans="2:22" x14ac:dyDescent="0.25">
      <c r="B330" s="192"/>
      <c r="C330" s="232"/>
      <c r="D330" s="245" t="s">
        <v>1359</v>
      </c>
      <c r="E330" s="246"/>
      <c r="F330" s="246"/>
      <c r="G330" s="246"/>
      <c r="H330" s="247"/>
      <c r="I330" s="1090">
        <v>0.04</v>
      </c>
      <c r="J330" s="1090"/>
      <c r="K330" s="1090"/>
      <c r="L330" s="1090"/>
      <c r="M330" s="1097">
        <f>I330*(1-I$331)</f>
        <v>0.02</v>
      </c>
      <c r="N330" s="1097">
        <f t="shared" si="6"/>
        <v>0.02</v>
      </c>
      <c r="O330" s="1097">
        <f t="shared" si="6"/>
        <v>0.02</v>
      </c>
      <c r="P330" s="1097">
        <f t="shared" si="6"/>
        <v>0.02</v>
      </c>
      <c r="Q330" s="1097">
        <f t="shared" si="6"/>
        <v>0.02</v>
      </c>
      <c r="R330" s="232"/>
      <c r="S330" s="232"/>
      <c r="T330" s="232"/>
      <c r="U330" s="232"/>
      <c r="V330" s="232"/>
    </row>
    <row r="331" spans="2:22" x14ac:dyDescent="0.25">
      <c r="B331" s="192"/>
      <c r="C331" s="232"/>
      <c r="D331" s="248" t="s">
        <v>1360</v>
      </c>
      <c r="E331" s="249"/>
      <c r="F331" s="249"/>
      <c r="G331" s="249"/>
      <c r="H331" s="249"/>
      <c r="I331" s="1094">
        <v>0.5</v>
      </c>
      <c r="J331" s="1095"/>
      <c r="K331" s="1095"/>
      <c r="L331" s="1096"/>
      <c r="M331" s="232"/>
      <c r="N331" s="232"/>
      <c r="O331" s="232"/>
      <c r="P331" s="232"/>
      <c r="Q331" s="232"/>
      <c r="R331" s="232"/>
      <c r="S331" s="232"/>
      <c r="T331" s="232"/>
      <c r="U331" s="232"/>
      <c r="V331" s="232"/>
    </row>
    <row r="332" spans="2:22" x14ac:dyDescent="0.25">
      <c r="B332" s="192"/>
      <c r="C332" s="232"/>
      <c r="D332" s="232"/>
      <c r="E332" s="232"/>
      <c r="F332" s="232"/>
      <c r="G332" s="232"/>
      <c r="H332" s="232"/>
      <c r="I332" s="232"/>
      <c r="J332" s="232"/>
      <c r="K332" s="232"/>
      <c r="L332" s="232"/>
      <c r="M332" s="232"/>
      <c r="N332" s="232"/>
      <c r="O332" s="232"/>
      <c r="P332" s="232"/>
      <c r="Q332" s="232"/>
      <c r="R332" s="232"/>
      <c r="S332" s="232"/>
      <c r="T332" s="232"/>
      <c r="U332" s="232"/>
      <c r="V332" s="232"/>
    </row>
    <row r="333" spans="2:22" ht="30" customHeight="1" x14ac:dyDescent="0.25">
      <c r="B333" s="192"/>
      <c r="C333" s="232"/>
      <c r="D333" s="609" t="s">
        <v>1363</v>
      </c>
      <c r="E333" s="610"/>
      <c r="F333" s="610"/>
      <c r="G333" s="610"/>
      <c r="H333" s="611"/>
      <c r="I333" s="1091" t="s">
        <v>1366</v>
      </c>
      <c r="J333" s="1092"/>
      <c r="K333" s="1092"/>
      <c r="L333" s="1093"/>
      <c r="M333" s="232"/>
      <c r="N333" s="232"/>
      <c r="O333" s="232"/>
      <c r="P333" s="232"/>
      <c r="Q333" s="232"/>
      <c r="R333" s="232"/>
      <c r="S333" s="232"/>
      <c r="T333" s="232"/>
      <c r="U333" s="232"/>
      <c r="V333" s="232"/>
    </row>
    <row r="334" spans="2:22" x14ac:dyDescent="0.25">
      <c r="B334" s="192"/>
      <c r="C334" s="232"/>
      <c r="D334" s="240" t="s">
        <v>1364</v>
      </c>
      <c r="E334" s="241"/>
      <c r="F334" s="241"/>
      <c r="G334" s="241"/>
      <c r="H334" s="242"/>
      <c r="I334" s="1090">
        <v>0.41299999999999998</v>
      </c>
      <c r="J334" s="1090"/>
      <c r="K334" s="1090"/>
      <c r="L334" s="1090"/>
      <c r="M334" s="232"/>
      <c r="N334" s="232"/>
      <c r="O334" s="232"/>
      <c r="P334" s="232"/>
      <c r="Q334" s="232"/>
      <c r="R334" s="232"/>
      <c r="S334" s="232"/>
      <c r="T334" s="232"/>
      <c r="U334" s="232"/>
      <c r="V334" s="232"/>
    </row>
    <row r="335" spans="2:22" x14ac:dyDescent="0.25">
      <c r="B335" s="192"/>
      <c r="C335" s="232"/>
      <c r="D335" s="245" t="s">
        <v>1365</v>
      </c>
      <c r="E335" s="246"/>
      <c r="F335" s="246"/>
      <c r="G335" s="246"/>
      <c r="H335" s="247"/>
      <c r="I335" s="1090">
        <v>0.247</v>
      </c>
      <c r="J335" s="1090"/>
      <c r="K335" s="1090"/>
      <c r="L335" s="1090"/>
      <c r="M335" s="232"/>
      <c r="N335" s="232"/>
      <c r="O335" s="232"/>
      <c r="P335" s="232"/>
      <c r="Q335" s="232"/>
      <c r="R335" s="232"/>
      <c r="S335" s="232"/>
      <c r="T335" s="232"/>
      <c r="U335" s="232"/>
      <c r="V335" s="232"/>
    </row>
    <row r="336" spans="2:22" x14ac:dyDescent="0.25">
      <c r="B336" s="192"/>
      <c r="C336" s="232"/>
      <c r="D336" s="232"/>
      <c r="E336" s="232"/>
      <c r="F336" s="232"/>
      <c r="G336" s="232"/>
      <c r="H336" s="232"/>
      <c r="I336" s="256">
        <v>2011</v>
      </c>
      <c r="J336" s="256">
        <v>2012</v>
      </c>
      <c r="K336" s="256">
        <v>2013</v>
      </c>
      <c r="L336" s="256">
        <v>2014</v>
      </c>
      <c r="M336" s="256">
        <v>2015</v>
      </c>
      <c r="N336" s="256">
        <v>2016</v>
      </c>
      <c r="O336" s="256">
        <v>2017</v>
      </c>
      <c r="P336" s="256">
        <v>2018</v>
      </c>
      <c r="Q336" s="256">
        <v>2019</v>
      </c>
      <c r="R336" s="256">
        <v>2020</v>
      </c>
      <c r="S336" s="256">
        <v>2021</v>
      </c>
      <c r="T336" s="256">
        <v>2022</v>
      </c>
      <c r="U336" s="232"/>
      <c r="V336" s="232"/>
    </row>
    <row r="337" spans="2:22" ht="15" customHeight="1" x14ac:dyDescent="0.25">
      <c r="B337" s="192"/>
      <c r="C337" s="232"/>
      <c r="D337" s="248" t="s">
        <v>1367</v>
      </c>
      <c r="E337" s="249"/>
      <c r="F337" s="249"/>
      <c r="G337" s="249"/>
      <c r="H337" s="250"/>
      <c r="I337" s="481">
        <v>0</v>
      </c>
      <c r="J337" s="481">
        <v>0</v>
      </c>
      <c r="K337" s="481">
        <v>0</v>
      </c>
      <c r="L337" s="481">
        <v>0.2</v>
      </c>
      <c r="M337" s="481">
        <v>0.2</v>
      </c>
      <c r="N337" s="481">
        <v>0.2</v>
      </c>
      <c r="O337" s="481">
        <v>0.2</v>
      </c>
      <c r="P337" s="481">
        <v>0.2</v>
      </c>
      <c r="Q337" s="481">
        <v>0</v>
      </c>
      <c r="R337" s="481">
        <v>0</v>
      </c>
      <c r="S337" s="481">
        <v>0</v>
      </c>
      <c r="T337" s="481">
        <v>0</v>
      </c>
      <c r="U337" s="232"/>
      <c r="V337" s="232"/>
    </row>
    <row r="338" spans="2:22" x14ac:dyDescent="0.25">
      <c r="B338" s="192"/>
      <c r="C338" s="232"/>
      <c r="D338" s="232"/>
      <c r="E338" s="232"/>
      <c r="F338" s="232"/>
      <c r="G338" s="232"/>
      <c r="H338" s="232"/>
      <c r="I338" s="232"/>
      <c r="J338" s="232"/>
      <c r="K338" s="232"/>
      <c r="L338" s="232"/>
      <c r="M338" s="232"/>
      <c r="N338" s="232"/>
      <c r="O338" s="232"/>
      <c r="P338" s="232"/>
      <c r="Q338" s="232"/>
      <c r="R338" s="232"/>
      <c r="S338" s="232"/>
      <c r="T338" s="232"/>
      <c r="U338" s="232"/>
      <c r="V338" s="232"/>
    </row>
    <row r="339" spans="2:22" x14ac:dyDescent="0.25">
      <c r="B339" s="192"/>
      <c r="C339" s="232"/>
      <c r="D339" s="609" t="s">
        <v>1368</v>
      </c>
      <c r="E339" s="610"/>
      <c r="F339" s="610"/>
      <c r="G339" s="610"/>
      <c r="H339" s="611"/>
      <c r="I339" s="1091" t="s">
        <v>1366</v>
      </c>
      <c r="J339" s="1092"/>
      <c r="K339" s="1092"/>
      <c r="L339" s="1093"/>
      <c r="M339" s="232"/>
      <c r="N339" s="232"/>
      <c r="O339" s="232"/>
      <c r="P339" s="232"/>
      <c r="Q339" s="232"/>
      <c r="R339" s="232"/>
      <c r="S339" s="232"/>
      <c r="T339" s="232"/>
      <c r="U339" s="232"/>
      <c r="V339" s="232"/>
    </row>
    <row r="340" spans="2:22" x14ac:dyDescent="0.25">
      <c r="B340" s="192"/>
      <c r="C340" s="232"/>
      <c r="D340" s="240" t="s">
        <v>1364</v>
      </c>
      <c r="E340" s="241"/>
      <c r="F340" s="241"/>
      <c r="G340" s="241"/>
      <c r="H340" s="242"/>
      <c r="I340" s="1090">
        <v>0.30199999999999999</v>
      </c>
      <c r="J340" s="1090"/>
      <c r="K340" s="1090"/>
      <c r="L340" s="1090"/>
      <c r="M340" s="232"/>
      <c r="N340" s="232"/>
      <c r="O340" s="232"/>
      <c r="P340" s="232"/>
      <c r="Q340" s="232"/>
      <c r="R340" s="232"/>
      <c r="S340" s="232"/>
      <c r="T340" s="232"/>
      <c r="U340" s="232"/>
      <c r="V340" s="232"/>
    </row>
    <row r="341" spans="2:22" x14ac:dyDescent="0.25">
      <c r="B341" s="192"/>
      <c r="C341" s="232"/>
      <c r="D341" s="245" t="s">
        <v>1365</v>
      </c>
      <c r="E341" s="246"/>
      <c r="F341" s="246"/>
      <c r="G341" s="246"/>
      <c r="H341" s="247"/>
      <c r="I341" s="1090">
        <v>0.14099999999999999</v>
      </c>
      <c r="J341" s="1090"/>
      <c r="K341" s="1090"/>
      <c r="L341" s="1090"/>
      <c r="M341" s="232"/>
      <c r="N341" s="232"/>
      <c r="O341" s="232"/>
      <c r="P341" s="232"/>
      <c r="Q341" s="232"/>
      <c r="R341" s="232"/>
      <c r="S341" s="232"/>
      <c r="T341" s="232"/>
      <c r="U341" s="232"/>
      <c r="V341" s="232"/>
    </row>
    <row r="342" spans="2:22" x14ac:dyDescent="0.25">
      <c r="B342" s="192"/>
      <c r="C342" s="232"/>
      <c r="D342" s="232"/>
      <c r="E342" s="232"/>
      <c r="F342" s="232"/>
      <c r="G342" s="232"/>
      <c r="H342" s="232"/>
      <c r="I342" s="256">
        <v>2011</v>
      </c>
      <c r="J342" s="256">
        <v>2012</v>
      </c>
      <c r="K342" s="256">
        <v>2013</v>
      </c>
      <c r="L342" s="256">
        <v>2014</v>
      </c>
      <c r="M342" s="256">
        <v>2015</v>
      </c>
      <c r="N342" s="256">
        <v>2016</v>
      </c>
      <c r="O342" s="256">
        <v>2017</v>
      </c>
      <c r="P342" s="256">
        <v>2018</v>
      </c>
      <c r="Q342" s="256">
        <v>2019</v>
      </c>
      <c r="R342" s="256">
        <v>2020</v>
      </c>
      <c r="S342" s="256">
        <v>2021</v>
      </c>
      <c r="T342" s="256">
        <v>2022</v>
      </c>
      <c r="U342" s="232"/>
      <c r="V342" s="232"/>
    </row>
    <row r="343" spans="2:22" ht="15" customHeight="1" x14ac:dyDescent="0.25">
      <c r="B343" s="192"/>
      <c r="C343" s="232"/>
      <c r="D343" s="248" t="s">
        <v>1367</v>
      </c>
      <c r="E343" s="249"/>
      <c r="F343" s="249"/>
      <c r="G343" s="249"/>
      <c r="H343" s="250"/>
      <c r="I343" s="481">
        <v>0</v>
      </c>
      <c r="J343" s="481">
        <v>0</v>
      </c>
      <c r="K343" s="481">
        <v>0.1</v>
      </c>
      <c r="L343" s="481">
        <v>0.1</v>
      </c>
      <c r="M343" s="481">
        <v>0.1</v>
      </c>
      <c r="N343" s="481">
        <v>0.1</v>
      </c>
      <c r="O343" s="481">
        <v>0.1</v>
      </c>
      <c r="P343" s="481">
        <v>0.1</v>
      </c>
      <c r="Q343" s="481">
        <v>0.1</v>
      </c>
      <c r="R343" s="481">
        <v>0.1</v>
      </c>
      <c r="S343" s="481">
        <v>0.1</v>
      </c>
      <c r="T343" s="481">
        <v>0.1</v>
      </c>
      <c r="U343" s="232"/>
      <c r="V343" s="232"/>
    </row>
    <row r="344" spans="2:22" x14ac:dyDescent="0.25">
      <c r="B344" s="192"/>
      <c r="C344" s="232"/>
      <c r="D344" s="232"/>
      <c r="E344" s="232"/>
      <c r="F344" s="232"/>
      <c r="G344" s="232"/>
      <c r="H344" s="232"/>
      <c r="I344" s="232"/>
      <c r="J344" s="232"/>
      <c r="K344" s="232"/>
      <c r="L344" s="232"/>
      <c r="M344" s="232"/>
      <c r="N344" s="232"/>
      <c r="O344" s="232"/>
      <c r="P344" s="232"/>
      <c r="Q344" s="232"/>
      <c r="R344" s="232"/>
      <c r="S344" s="232"/>
      <c r="T344" s="232"/>
      <c r="U344" s="232"/>
      <c r="V344" s="232"/>
    </row>
    <row r="345" spans="2:22" x14ac:dyDescent="0.25">
      <c r="B345" s="192"/>
      <c r="C345" s="232"/>
      <c r="D345" s="609" t="s">
        <v>1369</v>
      </c>
      <c r="E345" s="610"/>
      <c r="F345" s="610"/>
      <c r="G345" s="610"/>
      <c r="H345" s="611"/>
      <c r="I345" s="1091" t="s">
        <v>1366</v>
      </c>
      <c r="J345" s="1092"/>
      <c r="K345" s="1092"/>
      <c r="L345" s="1093"/>
      <c r="M345" s="232"/>
      <c r="N345" s="232"/>
      <c r="O345" s="232"/>
      <c r="P345" s="232"/>
      <c r="Q345" s="232"/>
      <c r="R345" s="232"/>
      <c r="S345" s="232"/>
      <c r="T345" s="232"/>
      <c r="U345" s="232"/>
      <c r="V345" s="232"/>
    </row>
    <row r="346" spans="2:22" x14ac:dyDescent="0.25">
      <c r="B346" s="192"/>
      <c r="C346" s="232"/>
      <c r="D346" s="240" t="s">
        <v>1364</v>
      </c>
      <c r="E346" s="241"/>
      <c r="F346" s="241"/>
      <c r="G346" s="241"/>
      <c r="H346" s="242"/>
      <c r="I346" s="1090">
        <v>0.26800000000000002</v>
      </c>
      <c r="J346" s="1090"/>
      <c r="K346" s="1090"/>
      <c r="L346" s="1090"/>
      <c r="M346" s="232"/>
      <c r="N346" s="232"/>
      <c r="O346" s="232"/>
      <c r="P346" s="232"/>
      <c r="Q346" s="232"/>
      <c r="R346" s="232"/>
      <c r="S346" s="232"/>
      <c r="T346" s="232"/>
      <c r="U346" s="232"/>
      <c r="V346" s="232"/>
    </row>
    <row r="347" spans="2:22" x14ac:dyDescent="0.25">
      <c r="B347" s="192"/>
      <c r="C347" s="232"/>
      <c r="D347" s="245" t="s">
        <v>1365</v>
      </c>
      <c r="E347" s="246"/>
      <c r="F347" s="246"/>
      <c r="G347" s="246"/>
      <c r="H347" s="247"/>
      <c r="I347" s="1090">
        <v>0.16600000000000001</v>
      </c>
      <c r="J347" s="1090"/>
      <c r="K347" s="1090"/>
      <c r="L347" s="1090"/>
      <c r="M347" s="232"/>
      <c r="N347" s="232"/>
      <c r="O347" s="232"/>
      <c r="P347" s="232"/>
      <c r="Q347" s="232"/>
      <c r="R347" s="232"/>
      <c r="S347" s="232"/>
      <c r="T347" s="232"/>
      <c r="U347" s="232"/>
      <c r="V347" s="232"/>
    </row>
    <row r="348" spans="2:22" x14ac:dyDescent="0.25">
      <c r="B348" s="192"/>
      <c r="C348" s="232"/>
      <c r="D348" s="232"/>
      <c r="E348" s="232"/>
      <c r="F348" s="232"/>
      <c r="G348" s="232"/>
      <c r="H348" s="232"/>
      <c r="I348" s="256">
        <v>2011</v>
      </c>
      <c r="J348" s="256">
        <v>2012</v>
      </c>
      <c r="K348" s="256">
        <v>2013</v>
      </c>
      <c r="L348" s="256">
        <v>2014</v>
      </c>
      <c r="M348" s="256">
        <v>2015</v>
      </c>
      <c r="N348" s="256">
        <v>2016</v>
      </c>
      <c r="O348" s="256">
        <v>2017</v>
      </c>
      <c r="P348" s="256">
        <v>2018</v>
      </c>
      <c r="Q348" s="256">
        <v>2019</v>
      </c>
      <c r="R348" s="256">
        <v>2020</v>
      </c>
      <c r="S348" s="256">
        <v>2021</v>
      </c>
      <c r="T348" s="256">
        <v>2022</v>
      </c>
      <c r="U348" s="232"/>
      <c r="V348" s="232"/>
    </row>
    <row r="349" spans="2:22" x14ac:dyDescent="0.25">
      <c r="B349" s="192"/>
      <c r="C349" s="232"/>
      <c r="D349" s="248" t="s">
        <v>1367</v>
      </c>
      <c r="E349" s="249"/>
      <c r="F349" s="249"/>
      <c r="G349" s="249"/>
      <c r="H349" s="250"/>
      <c r="I349" s="481">
        <v>0</v>
      </c>
      <c r="J349" s="481">
        <v>0</v>
      </c>
      <c r="K349" s="481">
        <v>0.1</v>
      </c>
      <c r="L349" s="481">
        <v>0.1</v>
      </c>
      <c r="M349" s="481">
        <v>0.1</v>
      </c>
      <c r="N349" s="481">
        <v>0.1</v>
      </c>
      <c r="O349" s="481">
        <v>0.1</v>
      </c>
      <c r="P349" s="481">
        <v>0.1</v>
      </c>
      <c r="Q349" s="481">
        <v>0.1</v>
      </c>
      <c r="R349" s="481">
        <v>0.1</v>
      </c>
      <c r="S349" s="481">
        <v>0.1</v>
      </c>
      <c r="T349" s="481">
        <v>0.1</v>
      </c>
      <c r="U349" s="232"/>
      <c r="V349" s="232"/>
    </row>
    <row r="350" spans="2:22" x14ac:dyDescent="0.25">
      <c r="B350" s="192"/>
      <c r="C350" s="232"/>
      <c r="D350" s="232"/>
      <c r="E350" s="232"/>
      <c r="F350" s="232"/>
      <c r="G350" s="232"/>
      <c r="H350" s="232"/>
      <c r="I350" s="232"/>
      <c r="J350" s="232"/>
      <c r="K350" s="232"/>
      <c r="L350" s="232"/>
      <c r="M350" s="232"/>
      <c r="N350" s="232"/>
      <c r="O350" s="232"/>
      <c r="P350" s="232"/>
      <c r="Q350" s="232"/>
      <c r="R350" s="232"/>
      <c r="S350" s="232"/>
      <c r="T350" s="232"/>
      <c r="U350" s="232"/>
      <c r="V350" s="232"/>
    </row>
    <row r="351" spans="2:22" hidden="1" x14ac:dyDescent="0.25">
      <c r="B351" s="192"/>
      <c r="C351" s="232"/>
      <c r="D351" s="232"/>
      <c r="E351" s="232"/>
      <c r="F351" s="232"/>
      <c r="G351" s="232"/>
      <c r="H351" s="232"/>
      <c r="I351" s="232"/>
      <c r="J351" s="232"/>
      <c r="K351" s="232"/>
      <c r="L351" s="232"/>
      <c r="M351" s="232"/>
      <c r="N351" s="232"/>
      <c r="O351" s="232"/>
      <c r="P351" s="232"/>
      <c r="Q351" s="232"/>
      <c r="R351" s="232"/>
      <c r="S351" s="232"/>
      <c r="T351" s="232"/>
      <c r="U351" s="232"/>
      <c r="V351" s="232"/>
    </row>
    <row r="352" spans="2:22" hidden="1" x14ac:dyDescent="0.25">
      <c r="B352" s="192"/>
      <c r="C352" s="232"/>
      <c r="D352" s="232"/>
      <c r="E352" s="232"/>
      <c r="F352" s="232"/>
      <c r="G352" s="232"/>
      <c r="H352" s="232"/>
      <c r="I352" s="232"/>
      <c r="J352" s="232"/>
      <c r="K352" s="232"/>
      <c r="L352" s="232"/>
      <c r="M352" s="232"/>
      <c r="N352" s="232"/>
      <c r="O352" s="232"/>
      <c r="P352" s="232"/>
      <c r="Q352" s="232"/>
      <c r="R352" s="232"/>
      <c r="S352" s="232"/>
      <c r="T352" s="232"/>
      <c r="U352" s="232"/>
      <c r="V352" s="232"/>
    </row>
    <row r="353" spans="2:22" hidden="1" x14ac:dyDescent="0.25">
      <c r="B353" s="192"/>
      <c r="C353" s="232"/>
      <c r="D353" s="232"/>
      <c r="E353" s="232"/>
      <c r="F353" s="232"/>
      <c r="G353" s="232"/>
      <c r="H353" s="232"/>
      <c r="I353" s="232"/>
      <c r="J353" s="232"/>
      <c r="K353" s="232"/>
      <c r="L353" s="232"/>
      <c r="M353" s="232"/>
      <c r="N353" s="232"/>
      <c r="O353" s="232"/>
      <c r="P353" s="232"/>
      <c r="Q353" s="232"/>
      <c r="R353" s="232"/>
      <c r="S353" s="232"/>
      <c r="T353" s="232"/>
      <c r="U353" s="232"/>
      <c r="V353" s="232"/>
    </row>
    <row r="354" spans="2:22" hidden="1" x14ac:dyDescent="0.25">
      <c r="B354" s="192"/>
      <c r="C354" s="232"/>
      <c r="D354" s="232"/>
      <c r="E354" s="232"/>
      <c r="F354" s="232"/>
      <c r="G354" s="232"/>
      <c r="H354" s="232"/>
      <c r="I354" s="232"/>
      <c r="J354" s="232"/>
      <c r="K354" s="232"/>
      <c r="L354" s="232"/>
      <c r="M354" s="232"/>
      <c r="N354" s="232"/>
      <c r="O354" s="232"/>
      <c r="P354" s="232"/>
      <c r="Q354" s="232"/>
      <c r="R354" s="232"/>
      <c r="S354" s="232"/>
      <c r="T354" s="232"/>
      <c r="U354" s="232"/>
      <c r="V354" s="232"/>
    </row>
    <row r="355" spans="2:22" hidden="1" x14ac:dyDescent="0.25">
      <c r="B355" s="192"/>
      <c r="C355" s="232"/>
      <c r="D355" s="232"/>
      <c r="E355" s="232"/>
      <c r="F355" s="232"/>
      <c r="G355" s="232"/>
      <c r="H355" s="232"/>
      <c r="I355" s="232"/>
      <c r="J355" s="232"/>
      <c r="K355" s="232"/>
      <c r="L355" s="232"/>
      <c r="M355" s="232"/>
      <c r="N355" s="232"/>
      <c r="O355" s="232"/>
      <c r="P355" s="232"/>
      <c r="Q355" s="232"/>
      <c r="R355" s="232"/>
      <c r="S355" s="232"/>
      <c r="T355" s="232"/>
      <c r="U355" s="232"/>
      <c r="V355" s="232"/>
    </row>
    <row r="356" spans="2:22" hidden="1" x14ac:dyDescent="0.25">
      <c r="B356" s="192"/>
      <c r="C356" s="232"/>
      <c r="D356" s="232"/>
      <c r="E356" s="232"/>
      <c r="F356" s="232"/>
      <c r="G356" s="232"/>
      <c r="H356" s="232"/>
      <c r="I356" s="232"/>
      <c r="J356" s="232"/>
      <c r="K356" s="232"/>
      <c r="L356" s="232"/>
      <c r="M356" s="232"/>
      <c r="N356" s="232"/>
      <c r="O356" s="232"/>
      <c r="P356" s="232"/>
      <c r="Q356" s="232"/>
      <c r="R356" s="232"/>
      <c r="S356" s="232"/>
      <c r="T356" s="232"/>
      <c r="U356" s="232"/>
      <c r="V356" s="232"/>
    </row>
    <row r="357" spans="2:22" hidden="1" x14ac:dyDescent="0.25">
      <c r="B357" s="192"/>
      <c r="C357" s="232"/>
      <c r="D357" s="232"/>
      <c r="E357" s="232"/>
      <c r="F357" s="232"/>
      <c r="G357" s="232"/>
      <c r="H357" s="232"/>
      <c r="I357" s="232"/>
      <c r="J357" s="232"/>
      <c r="K357" s="232"/>
      <c r="L357" s="232"/>
      <c r="M357" s="232"/>
      <c r="N357" s="232"/>
      <c r="O357" s="232"/>
      <c r="P357" s="232"/>
      <c r="Q357" s="232"/>
      <c r="R357" s="232"/>
      <c r="S357" s="232"/>
      <c r="T357" s="232"/>
      <c r="U357" s="232"/>
      <c r="V357" s="232"/>
    </row>
    <row r="358" spans="2:22" hidden="1" x14ac:dyDescent="0.25">
      <c r="B358" s="192"/>
      <c r="C358" s="232"/>
      <c r="D358" s="232"/>
      <c r="E358" s="232"/>
      <c r="F358" s="232"/>
      <c r="G358" s="232"/>
      <c r="H358" s="232"/>
      <c r="I358" s="232"/>
      <c r="J358" s="232"/>
      <c r="K358" s="232"/>
      <c r="L358" s="232"/>
      <c r="M358" s="232"/>
      <c r="N358" s="232"/>
      <c r="O358" s="232"/>
      <c r="P358" s="232"/>
      <c r="Q358" s="232"/>
      <c r="R358" s="232"/>
      <c r="S358" s="232"/>
      <c r="T358" s="232"/>
      <c r="U358" s="232"/>
      <c r="V358" s="232"/>
    </row>
    <row r="359" spans="2:22" hidden="1" x14ac:dyDescent="0.25">
      <c r="B359" s="192"/>
      <c r="C359" s="232"/>
      <c r="D359" s="232"/>
      <c r="E359" s="232"/>
      <c r="F359" s="232"/>
      <c r="G359" s="232"/>
      <c r="H359" s="232"/>
      <c r="I359" s="232"/>
      <c r="J359" s="232"/>
      <c r="K359" s="232"/>
      <c r="L359" s="232"/>
      <c r="M359" s="232"/>
      <c r="N359" s="232"/>
      <c r="O359" s="232"/>
      <c r="P359" s="232"/>
      <c r="Q359" s="232"/>
      <c r="R359" s="232"/>
      <c r="S359" s="232"/>
      <c r="T359" s="232"/>
      <c r="U359" s="232"/>
      <c r="V359" s="232"/>
    </row>
    <row r="360" spans="2:22" hidden="1" x14ac:dyDescent="0.25">
      <c r="B360" s="192"/>
      <c r="C360" s="232"/>
      <c r="D360" s="232"/>
      <c r="E360" s="232"/>
      <c r="F360" s="232"/>
      <c r="G360" s="232"/>
      <c r="H360" s="232"/>
      <c r="I360" s="232"/>
      <c r="J360" s="232"/>
      <c r="K360" s="232"/>
      <c r="L360" s="232"/>
      <c r="M360" s="232"/>
      <c r="N360" s="232"/>
      <c r="O360" s="232"/>
      <c r="P360" s="232"/>
      <c r="Q360" s="232"/>
      <c r="R360" s="232"/>
      <c r="S360" s="232"/>
      <c r="T360" s="232"/>
      <c r="U360" s="232"/>
      <c r="V360" s="232"/>
    </row>
    <row r="361" spans="2:22" hidden="1" x14ac:dyDescent="0.25">
      <c r="B361" s="192"/>
      <c r="C361" s="232"/>
      <c r="D361" s="232"/>
      <c r="E361" s="232"/>
      <c r="F361" s="232"/>
      <c r="G361" s="232"/>
      <c r="H361" s="232"/>
      <c r="I361" s="232"/>
      <c r="J361" s="232"/>
      <c r="K361" s="232"/>
      <c r="L361" s="232"/>
      <c r="M361" s="232"/>
      <c r="N361" s="232"/>
      <c r="O361" s="232"/>
      <c r="P361" s="232"/>
      <c r="Q361" s="232"/>
      <c r="R361" s="232"/>
      <c r="S361" s="232"/>
      <c r="T361" s="232"/>
      <c r="U361" s="232"/>
      <c r="V361" s="232"/>
    </row>
    <row r="362" spans="2:22" hidden="1" x14ac:dyDescent="0.25">
      <c r="B362" s="192"/>
      <c r="C362" s="232"/>
      <c r="D362" s="232"/>
      <c r="E362" s="232"/>
      <c r="F362" s="232"/>
      <c r="G362" s="232"/>
      <c r="H362" s="232"/>
      <c r="I362" s="232"/>
      <c r="J362" s="232"/>
      <c r="K362" s="232"/>
      <c r="L362" s="232"/>
      <c r="M362" s="232"/>
      <c r="N362" s="232"/>
      <c r="O362" s="232"/>
      <c r="P362" s="232"/>
      <c r="Q362" s="232"/>
      <c r="R362" s="232"/>
      <c r="S362" s="232"/>
      <c r="T362" s="232"/>
      <c r="U362" s="232"/>
      <c r="V362" s="232"/>
    </row>
    <row r="363" spans="2:22" hidden="1" x14ac:dyDescent="0.25">
      <c r="B363" s="192"/>
      <c r="C363" s="232"/>
      <c r="D363" s="232"/>
      <c r="E363" s="232"/>
      <c r="F363" s="232"/>
      <c r="G363" s="232"/>
      <c r="H363" s="232"/>
      <c r="I363" s="232"/>
      <c r="J363" s="232"/>
      <c r="K363" s="232"/>
      <c r="L363" s="232"/>
      <c r="M363" s="232"/>
      <c r="N363" s="232"/>
      <c r="O363" s="232"/>
      <c r="P363" s="232"/>
      <c r="Q363" s="232"/>
      <c r="R363" s="232"/>
      <c r="S363" s="232"/>
      <c r="T363" s="232"/>
      <c r="U363" s="232"/>
      <c r="V363" s="232"/>
    </row>
    <row r="364" spans="2:22" hidden="1" x14ac:dyDescent="0.25">
      <c r="B364" s="192"/>
      <c r="C364" s="232"/>
      <c r="D364" s="232"/>
      <c r="E364" s="232"/>
      <c r="F364" s="232"/>
      <c r="G364" s="232"/>
      <c r="H364" s="232"/>
      <c r="I364" s="232"/>
      <c r="J364" s="232"/>
      <c r="K364" s="232"/>
      <c r="L364" s="232"/>
      <c r="M364" s="232"/>
      <c r="N364" s="232"/>
      <c r="O364" s="232"/>
      <c r="P364" s="232"/>
      <c r="Q364" s="232"/>
      <c r="R364" s="232"/>
      <c r="S364" s="232"/>
      <c r="T364" s="232"/>
      <c r="U364" s="232"/>
      <c r="V364" s="232"/>
    </row>
    <row r="365" spans="2:22" hidden="1" x14ac:dyDescent="0.25">
      <c r="B365" s="192"/>
      <c r="C365" s="232"/>
      <c r="D365" s="232"/>
      <c r="E365" s="232"/>
      <c r="F365" s="232"/>
      <c r="G365" s="232"/>
      <c r="H365" s="232"/>
      <c r="I365" s="232"/>
      <c r="J365" s="232"/>
      <c r="K365" s="232"/>
      <c r="L365" s="232"/>
      <c r="M365" s="232"/>
      <c r="N365" s="232"/>
      <c r="O365" s="232"/>
      <c r="P365" s="232"/>
      <c r="Q365" s="232"/>
      <c r="R365" s="232"/>
      <c r="S365" s="232"/>
      <c r="T365" s="232"/>
      <c r="U365" s="232"/>
      <c r="V365" s="232"/>
    </row>
    <row r="366" spans="2:22" hidden="1" x14ac:dyDescent="0.25">
      <c r="B366" s="192"/>
      <c r="C366" s="232"/>
      <c r="D366" s="232"/>
      <c r="E366" s="232"/>
      <c r="F366" s="232"/>
      <c r="G366" s="232"/>
      <c r="H366" s="232"/>
      <c r="I366" s="232"/>
      <c r="J366" s="232"/>
      <c r="K366" s="232"/>
      <c r="L366" s="232"/>
      <c r="M366" s="232"/>
      <c r="N366" s="232"/>
      <c r="O366" s="232"/>
      <c r="P366" s="232"/>
      <c r="Q366" s="232"/>
      <c r="R366" s="232"/>
      <c r="S366" s="232"/>
      <c r="T366" s="232"/>
      <c r="U366" s="232"/>
      <c r="V366" s="232"/>
    </row>
    <row r="367" spans="2:22" hidden="1" x14ac:dyDescent="0.25">
      <c r="B367" s="192"/>
      <c r="C367" s="232"/>
      <c r="D367" s="232"/>
      <c r="E367" s="232"/>
      <c r="F367" s="232"/>
      <c r="G367" s="232"/>
      <c r="H367" s="232"/>
      <c r="I367" s="232"/>
      <c r="J367" s="232"/>
      <c r="K367" s="232"/>
      <c r="L367" s="232"/>
      <c r="M367" s="232"/>
      <c r="N367" s="232"/>
      <c r="O367" s="232"/>
      <c r="P367" s="232"/>
      <c r="Q367" s="232"/>
      <c r="R367" s="232"/>
      <c r="S367" s="232"/>
      <c r="T367" s="232"/>
      <c r="U367" s="232"/>
      <c r="V367" s="232"/>
    </row>
    <row r="368" spans="2:22" hidden="1" x14ac:dyDescent="0.25">
      <c r="B368" s="192"/>
      <c r="C368" s="232"/>
      <c r="D368" s="232"/>
      <c r="E368" s="232"/>
      <c r="F368" s="232"/>
      <c r="G368" s="232"/>
      <c r="H368" s="232"/>
      <c r="I368" s="232"/>
      <c r="J368" s="232"/>
      <c r="K368" s="232"/>
      <c r="L368" s="232"/>
      <c r="M368" s="232"/>
      <c r="N368" s="232"/>
      <c r="O368" s="232"/>
      <c r="P368" s="232"/>
      <c r="Q368" s="232"/>
      <c r="R368" s="232"/>
      <c r="S368" s="232"/>
      <c r="T368" s="232"/>
      <c r="U368" s="232"/>
      <c r="V368" s="232"/>
    </row>
    <row r="369" spans="2:22" hidden="1" x14ac:dyDescent="0.25">
      <c r="B369" s="192"/>
      <c r="C369" s="232"/>
      <c r="D369" s="232"/>
      <c r="E369" s="232"/>
      <c r="F369" s="232"/>
      <c r="G369" s="232"/>
      <c r="H369" s="232"/>
      <c r="I369" s="232"/>
      <c r="J369" s="232"/>
      <c r="K369" s="232"/>
      <c r="L369" s="232"/>
      <c r="M369" s="232"/>
      <c r="N369" s="232"/>
      <c r="O369" s="232"/>
      <c r="P369" s="232"/>
      <c r="Q369" s="232"/>
      <c r="R369" s="232"/>
      <c r="S369" s="232"/>
      <c r="T369" s="232"/>
      <c r="U369" s="232"/>
      <c r="V369" s="232"/>
    </row>
    <row r="370" spans="2:22" hidden="1" x14ac:dyDescent="0.25">
      <c r="B370" s="192"/>
      <c r="C370" s="232"/>
      <c r="D370" s="232"/>
      <c r="E370" s="232"/>
      <c r="F370" s="232"/>
      <c r="G370" s="232"/>
      <c r="H370" s="232"/>
      <c r="I370" s="232"/>
      <c r="J370" s="232"/>
      <c r="K370" s="232"/>
      <c r="L370" s="232"/>
      <c r="M370" s="232"/>
      <c r="N370" s="232"/>
      <c r="O370" s="232"/>
      <c r="P370" s="232"/>
      <c r="Q370" s="232"/>
      <c r="R370" s="232"/>
      <c r="S370" s="232"/>
      <c r="T370" s="232"/>
      <c r="U370" s="232"/>
      <c r="V370" s="232"/>
    </row>
    <row r="371" spans="2:22" hidden="1" x14ac:dyDescent="0.25">
      <c r="B371" s="192"/>
      <c r="C371" s="232"/>
      <c r="D371" s="232"/>
      <c r="E371" s="232"/>
      <c r="F371" s="232"/>
      <c r="G371" s="232"/>
      <c r="H371" s="232"/>
      <c r="I371" s="232"/>
      <c r="J371" s="232"/>
      <c r="K371" s="232"/>
      <c r="L371" s="232"/>
      <c r="M371" s="232"/>
      <c r="N371" s="232"/>
      <c r="O371" s="232"/>
      <c r="P371" s="232"/>
      <c r="Q371" s="232"/>
      <c r="R371" s="232"/>
      <c r="S371" s="232"/>
      <c r="T371" s="232"/>
      <c r="U371" s="232"/>
      <c r="V371" s="232"/>
    </row>
    <row r="372" spans="2:22" hidden="1" x14ac:dyDescent="0.25">
      <c r="B372" s="192"/>
      <c r="C372" s="232"/>
      <c r="D372" s="232"/>
      <c r="E372" s="232"/>
      <c r="F372" s="232"/>
      <c r="G372" s="232"/>
      <c r="H372" s="232"/>
      <c r="I372" s="232"/>
      <c r="J372" s="232"/>
      <c r="K372" s="232"/>
      <c r="L372" s="232"/>
      <c r="M372" s="232"/>
      <c r="N372" s="232"/>
      <c r="O372" s="232"/>
      <c r="P372" s="232"/>
      <c r="Q372" s="232"/>
      <c r="R372" s="232"/>
      <c r="S372" s="232"/>
      <c r="T372" s="232"/>
      <c r="U372" s="232"/>
      <c r="V372" s="232"/>
    </row>
    <row r="373" spans="2:22" hidden="1" x14ac:dyDescent="0.25">
      <c r="B373" s="192"/>
      <c r="C373" s="232"/>
      <c r="D373" s="232"/>
      <c r="E373" s="232"/>
      <c r="F373" s="232"/>
      <c r="G373" s="232"/>
      <c r="H373" s="232"/>
      <c r="I373" s="232"/>
      <c r="J373" s="232"/>
      <c r="K373" s="232"/>
      <c r="L373" s="232"/>
      <c r="M373" s="232"/>
      <c r="N373" s="232"/>
      <c r="O373" s="232"/>
      <c r="P373" s="232"/>
      <c r="Q373" s="232"/>
      <c r="R373" s="232"/>
      <c r="S373" s="232"/>
      <c r="T373" s="232"/>
      <c r="U373" s="232"/>
      <c r="V373" s="232"/>
    </row>
    <row r="374" spans="2:22" hidden="1" x14ac:dyDescent="0.25">
      <c r="B374" s="192"/>
      <c r="C374" s="232"/>
      <c r="D374" s="232"/>
      <c r="E374" s="232"/>
      <c r="F374" s="232"/>
      <c r="G374" s="232"/>
      <c r="H374" s="232"/>
      <c r="I374" s="232"/>
      <c r="J374" s="232"/>
      <c r="K374" s="232"/>
      <c r="L374" s="232"/>
      <c r="M374" s="232"/>
      <c r="N374" s="232"/>
      <c r="O374" s="232"/>
      <c r="P374" s="232"/>
      <c r="Q374" s="232"/>
      <c r="R374" s="232"/>
      <c r="S374" s="232"/>
      <c r="T374" s="232"/>
      <c r="U374" s="232"/>
      <c r="V374" s="232"/>
    </row>
    <row r="375" spans="2:22" hidden="1" x14ac:dyDescent="0.25">
      <c r="B375" s="192"/>
      <c r="C375" s="232"/>
      <c r="D375" s="232"/>
      <c r="E375" s="232"/>
      <c r="F375" s="232"/>
      <c r="G375" s="232"/>
      <c r="H375" s="232"/>
      <c r="I375" s="232"/>
      <c r="J375" s="232"/>
      <c r="K375" s="232"/>
      <c r="L375" s="232"/>
      <c r="M375" s="232"/>
      <c r="N375" s="232"/>
      <c r="O375" s="232"/>
      <c r="P375" s="232"/>
      <c r="Q375" s="232"/>
      <c r="R375" s="232"/>
      <c r="S375" s="232"/>
      <c r="T375" s="232"/>
      <c r="U375" s="232"/>
      <c r="V375" s="232"/>
    </row>
    <row r="376" spans="2:22" hidden="1" x14ac:dyDescent="0.25">
      <c r="B376" s="192"/>
      <c r="C376" s="232"/>
      <c r="D376" s="232"/>
      <c r="E376" s="232"/>
      <c r="F376" s="232"/>
      <c r="G376" s="232"/>
      <c r="H376" s="232"/>
      <c r="I376" s="232"/>
      <c r="J376" s="232"/>
      <c r="K376" s="232"/>
      <c r="L376" s="232"/>
      <c r="M376" s="232"/>
      <c r="N376" s="232"/>
      <c r="O376" s="232"/>
      <c r="P376" s="232"/>
      <c r="Q376" s="232"/>
      <c r="R376" s="232"/>
      <c r="S376" s="232"/>
      <c r="T376" s="232"/>
      <c r="U376" s="232"/>
      <c r="V376" s="232"/>
    </row>
    <row r="377" spans="2:22" hidden="1" x14ac:dyDescent="0.25">
      <c r="B377" s="192"/>
      <c r="C377" s="232"/>
      <c r="D377" s="232"/>
      <c r="E377" s="232"/>
      <c r="F377" s="232"/>
      <c r="G377" s="232"/>
      <c r="H377" s="232"/>
      <c r="I377" s="232"/>
      <c r="J377" s="232"/>
      <c r="K377" s="232"/>
      <c r="L377" s="232"/>
      <c r="M377" s="232"/>
      <c r="N377" s="232"/>
      <c r="O377" s="232"/>
      <c r="P377" s="232"/>
      <c r="Q377" s="232"/>
      <c r="R377" s="232"/>
      <c r="S377" s="232"/>
      <c r="T377" s="232"/>
      <c r="U377" s="232"/>
      <c r="V377" s="232"/>
    </row>
    <row r="378" spans="2:22" hidden="1" x14ac:dyDescent="0.25">
      <c r="B378" s="192"/>
      <c r="C378" s="232"/>
      <c r="D378" s="232"/>
      <c r="E378" s="232"/>
      <c r="F378" s="232"/>
      <c r="G378" s="232"/>
      <c r="H378" s="232"/>
      <c r="I378" s="232"/>
      <c r="J378" s="232"/>
      <c r="K378" s="232"/>
      <c r="L378" s="232"/>
      <c r="M378" s="232"/>
      <c r="N378" s="232"/>
      <c r="O378" s="232"/>
      <c r="P378" s="232"/>
      <c r="Q378" s="232"/>
      <c r="R378" s="232"/>
      <c r="S378" s="232"/>
      <c r="T378" s="232"/>
      <c r="U378" s="232"/>
      <c r="V378" s="232"/>
    </row>
    <row r="379" spans="2:22" hidden="1" x14ac:dyDescent="0.25">
      <c r="B379" s="192"/>
      <c r="C379" s="232"/>
      <c r="D379" s="232"/>
      <c r="E379" s="232"/>
      <c r="F379" s="232"/>
      <c r="G379" s="232"/>
      <c r="H379" s="232"/>
      <c r="I379" s="232"/>
      <c r="J379" s="232"/>
      <c r="K379" s="232"/>
      <c r="L379" s="232"/>
      <c r="M379" s="232"/>
      <c r="N379" s="232"/>
      <c r="O379" s="232"/>
      <c r="P379" s="232"/>
      <c r="Q379" s="232"/>
      <c r="R379" s="232"/>
      <c r="S379" s="232"/>
      <c r="T379" s="232"/>
      <c r="U379" s="232"/>
      <c r="V379" s="232"/>
    </row>
    <row r="380" spans="2:22" hidden="1" x14ac:dyDescent="0.25">
      <c r="B380" s="192"/>
      <c r="C380" s="232"/>
      <c r="D380" s="232"/>
      <c r="E380" s="232"/>
      <c r="F380" s="232"/>
      <c r="G380" s="232"/>
      <c r="H380" s="232"/>
      <c r="I380" s="232"/>
      <c r="J380" s="232"/>
      <c r="K380" s="232"/>
      <c r="L380" s="232"/>
      <c r="M380" s="232"/>
      <c r="N380" s="232"/>
      <c r="O380" s="232"/>
      <c r="P380" s="232"/>
      <c r="Q380" s="232"/>
      <c r="R380" s="232"/>
      <c r="S380" s="232"/>
      <c r="T380" s="232"/>
      <c r="U380" s="232"/>
      <c r="V380" s="232"/>
    </row>
    <row r="381" spans="2:22" hidden="1" x14ac:dyDescent="0.25">
      <c r="B381" s="192"/>
      <c r="C381" s="232"/>
      <c r="D381" s="232"/>
      <c r="E381" s="232"/>
      <c r="F381" s="232"/>
      <c r="G381" s="232"/>
      <c r="H381" s="232"/>
      <c r="I381" s="232"/>
      <c r="J381" s="232"/>
      <c r="K381" s="232"/>
      <c r="L381" s="232"/>
      <c r="M381" s="232"/>
      <c r="N381" s="232"/>
      <c r="O381" s="232"/>
      <c r="P381" s="232"/>
      <c r="Q381" s="232"/>
      <c r="R381" s="232"/>
      <c r="S381" s="232"/>
      <c r="T381" s="232"/>
      <c r="U381" s="232"/>
      <c r="V381" s="232"/>
    </row>
    <row r="382" spans="2:22" hidden="1" x14ac:dyDescent="0.25">
      <c r="B382" s="192"/>
      <c r="C382" s="232"/>
      <c r="D382" s="232"/>
      <c r="E382" s="232"/>
      <c r="F382" s="232"/>
      <c r="G382" s="232"/>
      <c r="H382" s="232"/>
      <c r="I382" s="232"/>
      <c r="J382" s="232"/>
      <c r="K382" s="232"/>
      <c r="L382" s="232"/>
      <c r="M382" s="232"/>
      <c r="N382" s="232"/>
      <c r="O382" s="232"/>
      <c r="P382" s="232"/>
      <c r="Q382" s="232"/>
      <c r="R382" s="232"/>
      <c r="S382" s="232"/>
      <c r="T382" s="232"/>
      <c r="U382" s="232"/>
      <c r="V382" s="232"/>
    </row>
    <row r="383" spans="2:22" hidden="1" x14ac:dyDescent="0.25">
      <c r="B383" s="192"/>
      <c r="C383" s="232"/>
      <c r="D383" s="232"/>
      <c r="E383" s="232"/>
      <c r="F383" s="232"/>
      <c r="G383" s="232"/>
      <c r="H383" s="232"/>
      <c r="I383" s="232"/>
      <c r="J383" s="232"/>
      <c r="K383" s="232"/>
      <c r="L383" s="232"/>
      <c r="M383" s="232"/>
      <c r="N383" s="232"/>
      <c r="O383" s="232"/>
      <c r="P383" s="232"/>
      <c r="Q383" s="232"/>
      <c r="R383" s="232"/>
      <c r="S383" s="232"/>
      <c r="T383" s="232"/>
      <c r="U383" s="232"/>
      <c r="V383" s="232"/>
    </row>
    <row r="384" spans="2:22" hidden="1" x14ac:dyDescent="0.25">
      <c r="B384" s="192"/>
      <c r="C384" s="232"/>
      <c r="D384" s="232"/>
      <c r="E384" s="232"/>
      <c r="F384" s="232"/>
      <c r="G384" s="232"/>
      <c r="H384" s="232"/>
      <c r="I384" s="232"/>
      <c r="J384" s="232"/>
      <c r="K384" s="232"/>
      <c r="L384" s="232"/>
      <c r="M384" s="232"/>
      <c r="N384" s="232"/>
      <c r="O384" s="232"/>
      <c r="P384" s="232"/>
      <c r="Q384" s="232"/>
      <c r="R384" s="232"/>
      <c r="S384" s="232"/>
      <c r="T384" s="232"/>
      <c r="U384" s="232"/>
      <c r="V384" s="232"/>
    </row>
    <row r="385" spans="2:22" hidden="1" x14ac:dyDescent="0.25">
      <c r="B385" s="192"/>
      <c r="C385" s="232"/>
      <c r="D385" s="232"/>
      <c r="E385" s="232"/>
      <c r="F385" s="232"/>
      <c r="G385" s="232"/>
      <c r="H385" s="232"/>
      <c r="I385" s="232"/>
      <c r="J385" s="232"/>
      <c r="K385" s="232"/>
      <c r="L385" s="232"/>
      <c r="M385" s="232"/>
      <c r="N385" s="232"/>
      <c r="O385" s="232"/>
      <c r="P385" s="232"/>
      <c r="Q385" s="232"/>
      <c r="R385" s="232"/>
      <c r="S385" s="232"/>
      <c r="T385" s="232"/>
      <c r="U385" s="232"/>
      <c r="V385" s="232"/>
    </row>
    <row r="386" spans="2:22" hidden="1" x14ac:dyDescent="0.25">
      <c r="B386" s="192"/>
      <c r="C386" s="232"/>
      <c r="D386" s="232"/>
      <c r="E386" s="232"/>
      <c r="F386" s="232"/>
      <c r="G386" s="232"/>
      <c r="H386" s="232"/>
      <c r="I386" s="232"/>
      <c r="J386" s="232"/>
      <c r="K386" s="232"/>
      <c r="L386" s="232"/>
      <c r="M386" s="232"/>
      <c r="N386" s="232"/>
      <c r="O386" s="232"/>
      <c r="P386" s="232"/>
      <c r="Q386" s="232"/>
      <c r="R386" s="232"/>
      <c r="S386" s="232"/>
      <c r="T386" s="232"/>
      <c r="U386" s="232"/>
      <c r="V386" s="232"/>
    </row>
    <row r="387" spans="2:22" hidden="1" x14ac:dyDescent="0.25">
      <c r="B387" s="192"/>
      <c r="C387" s="232"/>
      <c r="D387" s="232"/>
      <c r="E387" s="232"/>
      <c r="F387" s="232"/>
      <c r="G387" s="232"/>
      <c r="H387" s="232"/>
      <c r="I387" s="232"/>
      <c r="J387" s="232"/>
      <c r="K387" s="232"/>
      <c r="L387" s="232"/>
      <c r="M387" s="232"/>
      <c r="N387" s="232"/>
      <c r="O387" s="232"/>
      <c r="P387" s="232"/>
      <c r="Q387" s="232"/>
      <c r="R387" s="232"/>
      <c r="S387" s="232"/>
      <c r="T387" s="232"/>
      <c r="U387" s="232"/>
      <c r="V387" s="232"/>
    </row>
    <row r="388" spans="2:22" hidden="1" x14ac:dyDescent="0.25">
      <c r="B388" s="192"/>
      <c r="C388" s="232"/>
      <c r="D388" s="232"/>
      <c r="E388" s="232"/>
      <c r="F388" s="232"/>
      <c r="G388" s="232"/>
      <c r="H388" s="232"/>
      <c r="I388" s="232"/>
      <c r="J388" s="232"/>
      <c r="K388" s="232"/>
      <c r="L388" s="232"/>
      <c r="M388" s="232"/>
      <c r="N388" s="232"/>
      <c r="O388" s="232"/>
      <c r="P388" s="232"/>
      <c r="Q388" s="232"/>
      <c r="R388" s="232"/>
      <c r="S388" s="232"/>
      <c r="T388" s="232"/>
      <c r="U388" s="232"/>
      <c r="V388" s="232"/>
    </row>
    <row r="389" spans="2:22" hidden="1" x14ac:dyDescent="0.25">
      <c r="B389" s="192"/>
      <c r="C389" s="232"/>
      <c r="D389" s="232"/>
      <c r="E389" s="232"/>
      <c r="F389" s="232"/>
      <c r="G389" s="232"/>
      <c r="H389" s="232"/>
      <c r="I389" s="232"/>
      <c r="J389" s="232"/>
      <c r="K389" s="232"/>
      <c r="L389" s="232"/>
      <c r="M389" s="232"/>
      <c r="N389" s="232"/>
      <c r="O389" s="232"/>
      <c r="P389" s="232"/>
      <c r="Q389" s="232"/>
      <c r="R389" s="232"/>
      <c r="S389" s="232"/>
      <c r="T389" s="232"/>
      <c r="U389" s="232"/>
      <c r="V389" s="232"/>
    </row>
    <row r="390" spans="2:22" hidden="1" x14ac:dyDescent="0.25">
      <c r="B390" s="192"/>
      <c r="C390" s="232"/>
      <c r="D390" s="232"/>
      <c r="E390" s="232"/>
      <c r="F390" s="232"/>
      <c r="G390" s="232"/>
      <c r="H390" s="232"/>
      <c r="I390" s="232"/>
      <c r="J390" s="232"/>
      <c r="K390" s="232"/>
      <c r="L390" s="232"/>
      <c r="M390" s="232"/>
      <c r="N390" s="232"/>
      <c r="O390" s="232"/>
      <c r="P390" s="232"/>
      <c r="Q390" s="232"/>
      <c r="R390" s="232"/>
      <c r="S390" s="232"/>
      <c r="T390" s="232"/>
      <c r="U390" s="232"/>
      <c r="V390" s="232"/>
    </row>
    <row r="391" spans="2:22" hidden="1" x14ac:dyDescent="0.25">
      <c r="B391" s="192"/>
      <c r="C391" s="232"/>
      <c r="D391" s="232"/>
      <c r="E391" s="232"/>
      <c r="F391" s="232"/>
      <c r="G391" s="232"/>
      <c r="H391" s="232"/>
      <c r="I391" s="232"/>
      <c r="J391" s="232"/>
      <c r="K391" s="232"/>
      <c r="L391" s="232"/>
      <c r="M391" s="232"/>
      <c r="N391" s="232"/>
      <c r="O391" s="232"/>
      <c r="P391" s="232"/>
      <c r="Q391" s="232"/>
      <c r="R391" s="232"/>
      <c r="S391" s="232"/>
      <c r="T391" s="232"/>
      <c r="U391" s="232"/>
      <c r="V391" s="232"/>
    </row>
    <row r="392" spans="2:22" hidden="1" x14ac:dyDescent="0.25">
      <c r="B392" s="192"/>
      <c r="C392" s="232"/>
      <c r="D392" s="232"/>
      <c r="E392" s="232"/>
      <c r="F392" s="232"/>
      <c r="G392" s="232"/>
      <c r="H392" s="232"/>
      <c r="I392" s="232"/>
      <c r="J392" s="232"/>
      <c r="K392" s="232"/>
      <c r="L392" s="232"/>
      <c r="M392" s="232"/>
      <c r="N392" s="232"/>
      <c r="O392" s="232"/>
      <c r="P392" s="232"/>
      <c r="Q392" s="232"/>
      <c r="R392" s="232"/>
      <c r="S392" s="232"/>
      <c r="T392" s="232"/>
      <c r="U392" s="232"/>
      <c r="V392" s="232"/>
    </row>
    <row r="393" spans="2:22" hidden="1" x14ac:dyDescent="0.25">
      <c r="B393" s="192"/>
      <c r="C393" s="232"/>
      <c r="D393" s="232"/>
      <c r="E393" s="232"/>
      <c r="F393" s="232"/>
      <c r="G393" s="232"/>
      <c r="H393" s="232"/>
      <c r="I393" s="232"/>
      <c r="J393" s="232"/>
      <c r="K393" s="232"/>
      <c r="L393" s="232"/>
      <c r="M393" s="232"/>
      <c r="N393" s="232"/>
      <c r="O393" s="232"/>
      <c r="P393" s="232"/>
      <c r="Q393" s="232"/>
      <c r="R393" s="232"/>
      <c r="S393" s="232"/>
      <c r="T393" s="232"/>
      <c r="U393" s="232"/>
      <c r="V393" s="232"/>
    </row>
    <row r="394" spans="2:22" hidden="1" x14ac:dyDescent="0.25">
      <c r="B394" s="192"/>
      <c r="C394" s="232"/>
      <c r="D394" s="232"/>
      <c r="E394" s="232"/>
      <c r="F394" s="232"/>
      <c r="G394" s="232"/>
      <c r="H394" s="232"/>
      <c r="I394" s="232"/>
      <c r="J394" s="232"/>
      <c r="K394" s="232"/>
      <c r="L394" s="232"/>
      <c r="M394" s="232"/>
      <c r="N394" s="232"/>
      <c r="O394" s="232"/>
      <c r="P394" s="232"/>
      <c r="Q394" s="232"/>
      <c r="R394" s="232"/>
      <c r="S394" s="232"/>
      <c r="T394" s="232"/>
      <c r="U394" s="232"/>
      <c r="V394" s="232"/>
    </row>
    <row r="395" spans="2:22" hidden="1" x14ac:dyDescent="0.25">
      <c r="B395" s="192"/>
      <c r="C395" s="232"/>
      <c r="D395" s="232"/>
      <c r="E395" s="232"/>
      <c r="F395" s="232"/>
      <c r="G395" s="232"/>
      <c r="H395" s="232"/>
      <c r="I395" s="232"/>
      <c r="J395" s="232"/>
      <c r="K395" s="232"/>
      <c r="L395" s="232"/>
      <c r="M395" s="232"/>
      <c r="N395" s="232"/>
      <c r="O395" s="232"/>
      <c r="P395" s="232"/>
      <c r="Q395" s="232"/>
      <c r="R395" s="232"/>
      <c r="S395" s="232"/>
      <c r="T395" s="232"/>
      <c r="U395" s="232"/>
      <c r="V395" s="232"/>
    </row>
    <row r="396" spans="2:22" hidden="1" x14ac:dyDescent="0.25">
      <c r="B396" s="192"/>
      <c r="C396" s="232"/>
      <c r="D396" s="232"/>
      <c r="E396" s="232"/>
      <c r="F396" s="232"/>
      <c r="G396" s="232"/>
      <c r="H396" s="232"/>
      <c r="I396" s="232"/>
      <c r="J396" s="232"/>
      <c r="K396" s="232"/>
      <c r="L396" s="232"/>
      <c r="M396" s="232"/>
      <c r="N396" s="232"/>
      <c r="O396" s="232"/>
      <c r="P396" s="232"/>
      <c r="Q396" s="232"/>
      <c r="R396" s="232"/>
      <c r="S396" s="232"/>
      <c r="T396" s="232"/>
      <c r="U396" s="232"/>
      <c r="V396" s="232"/>
    </row>
    <row r="397" spans="2:22" hidden="1" x14ac:dyDescent="0.25">
      <c r="B397" s="192"/>
      <c r="C397" s="232"/>
      <c r="D397" s="232"/>
      <c r="E397" s="232"/>
      <c r="F397" s="232"/>
      <c r="G397" s="232"/>
      <c r="H397" s="232"/>
      <c r="I397" s="232"/>
      <c r="J397" s="232"/>
      <c r="K397" s="232"/>
      <c r="L397" s="232"/>
      <c r="M397" s="232"/>
      <c r="N397" s="232"/>
      <c r="O397" s="232"/>
      <c r="P397" s="232"/>
      <c r="Q397" s="232"/>
      <c r="R397" s="232"/>
      <c r="S397" s="232"/>
      <c r="T397" s="232"/>
      <c r="U397" s="232"/>
      <c r="V397" s="232"/>
    </row>
    <row r="398" spans="2:22" hidden="1" x14ac:dyDescent="0.25">
      <c r="B398" s="192"/>
      <c r="C398" s="232"/>
      <c r="D398" s="232"/>
      <c r="E398" s="232"/>
      <c r="F398" s="232"/>
      <c r="G398" s="232"/>
      <c r="H398" s="232"/>
      <c r="I398" s="232"/>
      <c r="J398" s="232"/>
      <c r="K398" s="232"/>
      <c r="L398" s="232"/>
      <c r="M398" s="232"/>
      <c r="N398" s="232"/>
      <c r="O398" s="232"/>
      <c r="P398" s="232"/>
      <c r="Q398" s="232"/>
      <c r="R398" s="232"/>
      <c r="S398" s="232"/>
      <c r="T398" s="232"/>
      <c r="U398" s="232"/>
      <c r="V398" s="232"/>
    </row>
    <row r="399" spans="2:22" hidden="1" x14ac:dyDescent="0.25">
      <c r="B399" s="192"/>
      <c r="C399" s="232"/>
      <c r="D399" s="232"/>
      <c r="E399" s="232"/>
      <c r="F399" s="232"/>
      <c r="G399" s="232"/>
      <c r="H399" s="232"/>
      <c r="I399" s="232"/>
      <c r="J399" s="232"/>
      <c r="K399" s="232"/>
      <c r="L399" s="232"/>
      <c r="M399" s="232"/>
      <c r="N399" s="232"/>
      <c r="O399" s="232"/>
      <c r="P399" s="232"/>
      <c r="Q399" s="232"/>
      <c r="R399" s="232"/>
      <c r="S399" s="232"/>
      <c r="T399" s="232"/>
      <c r="U399" s="232"/>
      <c r="V399" s="232"/>
    </row>
    <row r="400" spans="2:22" hidden="1" x14ac:dyDescent="0.25">
      <c r="B400" s="192"/>
      <c r="C400" s="232"/>
      <c r="D400" s="232"/>
      <c r="E400" s="232"/>
      <c r="F400" s="232"/>
      <c r="G400" s="232"/>
      <c r="H400" s="232"/>
      <c r="I400" s="232"/>
      <c r="J400" s="232"/>
      <c r="K400" s="232"/>
      <c r="L400" s="232"/>
      <c r="M400" s="232"/>
      <c r="N400" s="232"/>
      <c r="O400" s="232"/>
      <c r="P400" s="232"/>
      <c r="Q400" s="232"/>
      <c r="R400" s="232"/>
      <c r="S400" s="232"/>
      <c r="T400" s="232"/>
      <c r="U400" s="232"/>
      <c r="V400" s="232"/>
    </row>
    <row r="401" spans="2:22" hidden="1" x14ac:dyDescent="0.25">
      <c r="B401" s="192"/>
      <c r="C401" s="232"/>
      <c r="D401" s="232"/>
      <c r="E401" s="232"/>
      <c r="F401" s="232"/>
      <c r="G401" s="232"/>
      <c r="H401" s="232"/>
      <c r="I401" s="232"/>
      <c r="J401" s="232"/>
      <c r="K401" s="232"/>
      <c r="L401" s="232"/>
      <c r="M401" s="232"/>
      <c r="N401" s="232"/>
      <c r="O401" s="232"/>
      <c r="P401" s="232"/>
      <c r="Q401" s="232"/>
      <c r="R401" s="232"/>
      <c r="S401" s="232"/>
      <c r="T401" s="232"/>
      <c r="U401" s="232"/>
      <c r="V401" s="232"/>
    </row>
    <row r="402" spans="2:22" hidden="1" x14ac:dyDescent="0.25">
      <c r="B402" s="192"/>
      <c r="C402" s="232"/>
      <c r="D402" s="232"/>
      <c r="E402" s="232"/>
      <c r="F402" s="232"/>
      <c r="G402" s="232"/>
      <c r="H402" s="232"/>
      <c r="I402" s="232"/>
      <c r="J402" s="232"/>
      <c r="K402" s="232"/>
      <c r="L402" s="232"/>
      <c r="M402" s="232"/>
      <c r="N402" s="232"/>
      <c r="O402" s="232"/>
      <c r="P402" s="232"/>
      <c r="Q402" s="232"/>
      <c r="R402" s="232"/>
      <c r="S402" s="232"/>
      <c r="T402" s="232"/>
      <c r="U402" s="232"/>
      <c r="V402" s="232"/>
    </row>
    <row r="403" spans="2:22" hidden="1" x14ac:dyDescent="0.25">
      <c r="B403" s="192"/>
      <c r="C403" s="232"/>
      <c r="D403" s="232"/>
      <c r="E403" s="232"/>
      <c r="F403" s="232"/>
      <c r="G403" s="232"/>
      <c r="H403" s="232"/>
      <c r="I403" s="232"/>
      <c r="J403" s="232"/>
      <c r="K403" s="232"/>
      <c r="L403" s="232"/>
      <c r="M403" s="232"/>
      <c r="N403" s="232"/>
      <c r="O403" s="232"/>
      <c r="P403" s="232"/>
      <c r="Q403" s="232"/>
      <c r="R403" s="232"/>
      <c r="S403" s="232"/>
      <c r="T403" s="232"/>
      <c r="U403" s="232"/>
      <c r="V403" s="232"/>
    </row>
    <row r="404" spans="2:22" hidden="1" x14ac:dyDescent="0.25">
      <c r="B404" s="192"/>
      <c r="C404" s="232"/>
      <c r="D404" s="232"/>
      <c r="E404" s="232"/>
      <c r="F404" s="232"/>
      <c r="G404" s="232"/>
      <c r="H404" s="232"/>
      <c r="I404" s="232"/>
      <c r="J404" s="232"/>
      <c r="K404" s="232"/>
      <c r="L404" s="232"/>
      <c r="M404" s="232"/>
      <c r="N404" s="232"/>
      <c r="O404" s="232"/>
      <c r="P404" s="232"/>
      <c r="Q404" s="232"/>
      <c r="R404" s="232"/>
      <c r="S404" s="232"/>
      <c r="T404" s="232"/>
      <c r="U404" s="232"/>
      <c r="V404" s="232"/>
    </row>
    <row r="405" spans="2:22" hidden="1" x14ac:dyDescent="0.25">
      <c r="B405" s="192"/>
      <c r="C405" s="232"/>
      <c r="D405" s="232"/>
      <c r="E405" s="232"/>
      <c r="F405" s="232"/>
      <c r="G405" s="232"/>
      <c r="H405" s="232"/>
      <c r="I405" s="232"/>
      <c r="J405" s="232"/>
      <c r="K405" s="232"/>
      <c r="L405" s="232"/>
      <c r="M405" s="232"/>
      <c r="N405" s="232"/>
      <c r="O405" s="232"/>
      <c r="P405" s="232"/>
      <c r="Q405" s="232"/>
      <c r="R405" s="232"/>
      <c r="S405" s="232"/>
      <c r="T405" s="232"/>
      <c r="U405" s="232"/>
      <c r="V405" s="232"/>
    </row>
    <row r="406" spans="2:22" hidden="1" x14ac:dyDescent="0.25">
      <c r="B406" s="192"/>
      <c r="C406" s="232"/>
      <c r="D406" s="232"/>
      <c r="E406" s="232"/>
      <c r="F406" s="232"/>
      <c r="G406" s="232"/>
      <c r="H406" s="232"/>
      <c r="I406" s="232"/>
      <c r="J406" s="232"/>
      <c r="K406" s="232"/>
      <c r="L406" s="232"/>
      <c r="M406" s="232"/>
      <c r="N406" s="232"/>
      <c r="O406" s="232"/>
      <c r="P406" s="232"/>
      <c r="Q406" s="232"/>
      <c r="R406" s="232"/>
      <c r="S406" s="232"/>
      <c r="T406" s="232"/>
      <c r="U406" s="232"/>
      <c r="V406" s="232"/>
    </row>
    <row r="407" spans="2:22" hidden="1" x14ac:dyDescent="0.25">
      <c r="B407" s="192"/>
      <c r="C407" s="232"/>
      <c r="D407" s="232"/>
      <c r="E407" s="232"/>
      <c r="F407" s="232"/>
      <c r="G407" s="232"/>
      <c r="H407" s="232"/>
      <c r="I407" s="232"/>
      <c r="J407" s="232"/>
      <c r="K407" s="232"/>
      <c r="L407" s="232"/>
      <c r="M407" s="232"/>
      <c r="N407" s="232"/>
      <c r="O407" s="232"/>
      <c r="P407" s="232"/>
      <c r="Q407" s="232"/>
      <c r="R407" s="232"/>
      <c r="S407" s="232"/>
      <c r="T407" s="232"/>
      <c r="U407" s="232"/>
      <c r="V407" s="232"/>
    </row>
    <row r="408" spans="2:22" hidden="1" x14ac:dyDescent="0.25">
      <c r="B408" s="192"/>
      <c r="C408" s="232"/>
      <c r="D408" s="232"/>
      <c r="E408" s="232"/>
      <c r="F408" s="232"/>
      <c r="G408" s="232"/>
      <c r="H408" s="232"/>
      <c r="I408" s="232"/>
      <c r="J408" s="232"/>
      <c r="K408" s="232"/>
      <c r="L408" s="232"/>
      <c r="M408" s="232"/>
      <c r="N408" s="232"/>
      <c r="O408" s="232"/>
      <c r="P408" s="232"/>
      <c r="Q408" s="232"/>
      <c r="R408" s="232"/>
      <c r="S408" s="232"/>
      <c r="T408" s="232"/>
      <c r="U408" s="232"/>
      <c r="V408" s="232"/>
    </row>
    <row r="409" spans="2:22" hidden="1" x14ac:dyDescent="0.25">
      <c r="B409" s="192"/>
      <c r="C409" s="232"/>
      <c r="D409" s="232"/>
      <c r="E409" s="232"/>
      <c r="F409" s="232"/>
      <c r="G409" s="232"/>
      <c r="H409" s="232"/>
      <c r="I409" s="232"/>
      <c r="J409" s="232"/>
      <c r="K409" s="232"/>
      <c r="L409" s="232"/>
      <c r="M409" s="232"/>
      <c r="N409" s="232"/>
      <c r="O409" s="232"/>
      <c r="P409" s="232"/>
      <c r="Q409" s="232"/>
      <c r="R409" s="232"/>
      <c r="S409" s="232"/>
      <c r="T409" s="232"/>
      <c r="U409" s="232"/>
      <c r="V409" s="232"/>
    </row>
    <row r="410" spans="2:22" hidden="1" x14ac:dyDescent="0.25">
      <c r="B410" s="192"/>
      <c r="C410" s="232"/>
      <c r="D410" s="232"/>
      <c r="E410" s="232"/>
      <c r="F410" s="232"/>
      <c r="G410" s="232"/>
      <c r="H410" s="232"/>
      <c r="I410" s="232"/>
      <c r="J410" s="232"/>
      <c r="K410" s="232"/>
      <c r="L410" s="232"/>
      <c r="M410" s="232"/>
      <c r="N410" s="232"/>
      <c r="O410" s="232"/>
      <c r="P410" s="232"/>
      <c r="Q410" s="232"/>
      <c r="R410" s="232"/>
      <c r="S410" s="232"/>
      <c r="T410" s="232"/>
      <c r="U410" s="232"/>
      <c r="V410" s="232"/>
    </row>
    <row r="411" spans="2:22" hidden="1" x14ac:dyDescent="0.25">
      <c r="B411" s="192"/>
      <c r="C411" s="232"/>
      <c r="D411" s="232"/>
      <c r="E411" s="232"/>
      <c r="F411" s="232"/>
      <c r="G411" s="232"/>
      <c r="H411" s="232"/>
      <c r="I411" s="232"/>
      <c r="J411" s="232"/>
      <c r="K411" s="232"/>
      <c r="L411" s="232"/>
      <c r="M411" s="232"/>
      <c r="N411" s="232"/>
      <c r="O411" s="232"/>
      <c r="P411" s="232"/>
      <c r="Q411" s="232"/>
      <c r="R411" s="232"/>
      <c r="S411" s="232"/>
      <c r="T411" s="232"/>
      <c r="U411" s="232"/>
      <c r="V411" s="232"/>
    </row>
    <row r="412" spans="2:22" hidden="1" x14ac:dyDescent="0.25">
      <c r="B412" s="192"/>
      <c r="C412" s="232"/>
      <c r="D412" s="232"/>
      <c r="E412" s="232"/>
      <c r="F412" s="232"/>
      <c r="G412" s="232"/>
      <c r="H412" s="232"/>
      <c r="I412" s="232"/>
      <c r="J412" s="232"/>
      <c r="K412" s="232"/>
      <c r="L412" s="232"/>
      <c r="M412" s="232"/>
      <c r="N412" s="232"/>
      <c r="O412" s="232"/>
      <c r="P412" s="232"/>
      <c r="Q412" s="232"/>
      <c r="R412" s="232"/>
      <c r="S412" s="232"/>
      <c r="T412" s="232"/>
      <c r="U412" s="232"/>
      <c r="V412" s="232"/>
    </row>
    <row r="413" spans="2:22" hidden="1" x14ac:dyDescent="0.25">
      <c r="B413" s="192"/>
      <c r="C413" s="232"/>
      <c r="D413" s="232"/>
      <c r="E413" s="232"/>
      <c r="F413" s="232"/>
      <c r="G413" s="232"/>
      <c r="H413" s="232"/>
      <c r="I413" s="232"/>
      <c r="J413" s="232"/>
      <c r="K413" s="232"/>
      <c r="L413" s="232"/>
      <c r="M413" s="232"/>
      <c r="N413" s="232"/>
      <c r="O413" s="232"/>
      <c r="P413" s="232"/>
      <c r="Q413" s="232"/>
      <c r="R413" s="232"/>
      <c r="S413" s="232"/>
      <c r="T413" s="232"/>
      <c r="U413" s="232"/>
      <c r="V413" s="232"/>
    </row>
    <row r="414" spans="2:22" hidden="1" x14ac:dyDescent="0.25">
      <c r="B414" s="192"/>
      <c r="C414" s="232"/>
      <c r="D414" s="232"/>
      <c r="E414" s="232"/>
      <c r="F414" s="232"/>
      <c r="G414" s="232"/>
      <c r="H414" s="232"/>
      <c r="I414" s="232"/>
      <c r="J414" s="232"/>
      <c r="K414" s="232"/>
      <c r="L414" s="232"/>
      <c r="M414" s="232"/>
      <c r="N414" s="232"/>
      <c r="O414" s="232"/>
      <c r="P414" s="232"/>
      <c r="Q414" s="232"/>
      <c r="R414" s="232"/>
      <c r="S414" s="232"/>
      <c r="T414" s="232"/>
      <c r="U414" s="232"/>
      <c r="V414" s="232"/>
    </row>
    <row r="415" spans="2:22" hidden="1" x14ac:dyDescent="0.25">
      <c r="B415" s="192"/>
      <c r="C415" s="232"/>
      <c r="D415" s="232"/>
      <c r="E415" s="232"/>
      <c r="F415" s="232"/>
      <c r="G415" s="232"/>
      <c r="H415" s="232"/>
      <c r="I415" s="232"/>
      <c r="J415" s="232"/>
      <c r="K415" s="232"/>
      <c r="L415" s="232"/>
      <c r="M415" s="232"/>
      <c r="N415" s="232"/>
      <c r="O415" s="232"/>
      <c r="P415" s="232"/>
      <c r="Q415" s="232"/>
      <c r="R415" s="232"/>
      <c r="S415" s="232"/>
      <c r="T415" s="232"/>
      <c r="U415" s="232"/>
      <c r="V415" s="232"/>
    </row>
    <row r="416" spans="2:22" hidden="1" x14ac:dyDescent="0.25">
      <c r="B416" s="192"/>
      <c r="C416" s="232"/>
      <c r="D416" s="232"/>
      <c r="E416" s="232"/>
      <c r="F416" s="232"/>
      <c r="G416" s="232"/>
      <c r="H416" s="232"/>
      <c r="I416" s="232"/>
      <c r="J416" s="232"/>
      <c r="K416" s="232"/>
      <c r="L416" s="232"/>
      <c r="M416" s="232"/>
      <c r="N416" s="232"/>
      <c r="O416" s="232"/>
      <c r="P416" s="232"/>
      <c r="Q416" s="232"/>
      <c r="R416" s="232"/>
      <c r="S416" s="232"/>
      <c r="T416" s="232"/>
      <c r="U416" s="232"/>
      <c r="V416" s="232"/>
    </row>
    <row r="417" spans="2:22" hidden="1" x14ac:dyDescent="0.25">
      <c r="B417" s="192"/>
      <c r="C417" s="232"/>
      <c r="D417" s="232"/>
      <c r="E417" s="232"/>
      <c r="F417" s="232"/>
      <c r="G417" s="232"/>
      <c r="H417" s="232"/>
      <c r="I417" s="232"/>
      <c r="J417" s="232"/>
      <c r="K417" s="232"/>
      <c r="L417" s="232"/>
      <c r="M417" s="232"/>
      <c r="N417" s="232"/>
      <c r="O417" s="232"/>
      <c r="P417" s="232"/>
      <c r="Q417" s="232"/>
      <c r="R417" s="232"/>
      <c r="S417" s="232"/>
      <c r="T417" s="232"/>
      <c r="U417" s="232"/>
      <c r="V417" s="232"/>
    </row>
    <row r="418" spans="2:22" hidden="1" x14ac:dyDescent="0.25">
      <c r="B418" s="192"/>
      <c r="C418" s="232"/>
      <c r="D418" s="232"/>
      <c r="E418" s="232"/>
      <c r="F418" s="232"/>
      <c r="G418" s="232"/>
      <c r="H418" s="232"/>
      <c r="I418" s="232"/>
      <c r="J418" s="232"/>
      <c r="K418" s="232"/>
      <c r="L418" s="232"/>
      <c r="M418" s="232"/>
      <c r="N418" s="232"/>
      <c r="O418" s="232"/>
      <c r="P418" s="232"/>
      <c r="Q418" s="232"/>
      <c r="R418" s="232"/>
      <c r="S418" s="232"/>
      <c r="T418" s="232"/>
      <c r="U418" s="232"/>
      <c r="V418" s="232"/>
    </row>
    <row r="419" spans="2:22" hidden="1" x14ac:dyDescent="0.25">
      <c r="B419" s="192"/>
      <c r="C419" s="232"/>
      <c r="D419" s="232"/>
      <c r="E419" s="232"/>
      <c r="F419" s="232"/>
      <c r="G419" s="232"/>
      <c r="H419" s="232"/>
      <c r="I419" s="232"/>
      <c r="J419" s="232"/>
      <c r="K419" s="232"/>
      <c r="L419" s="232"/>
      <c r="M419" s="232"/>
      <c r="N419" s="232"/>
      <c r="O419" s="232"/>
      <c r="P419" s="232"/>
      <c r="Q419" s="232"/>
      <c r="R419" s="232"/>
      <c r="S419" s="232"/>
      <c r="T419" s="232"/>
      <c r="U419" s="232"/>
      <c r="V419" s="232"/>
    </row>
    <row r="420" spans="2:22" hidden="1" x14ac:dyDescent="0.25">
      <c r="B420" s="192"/>
      <c r="C420" s="232"/>
      <c r="D420" s="232"/>
      <c r="E420" s="232"/>
      <c r="F420" s="232"/>
      <c r="G420" s="232"/>
      <c r="H420" s="232"/>
      <c r="I420" s="232"/>
      <c r="J420" s="232"/>
      <c r="K420" s="232"/>
      <c r="L420" s="232"/>
      <c r="M420" s="232"/>
      <c r="N420" s="232"/>
      <c r="O420" s="232"/>
      <c r="P420" s="232"/>
      <c r="Q420" s="232"/>
      <c r="R420" s="232"/>
      <c r="S420" s="232"/>
      <c r="T420" s="232"/>
      <c r="U420" s="232"/>
      <c r="V420" s="232"/>
    </row>
    <row r="421" spans="2:22" hidden="1" x14ac:dyDescent="0.25">
      <c r="B421" s="192"/>
      <c r="C421" s="232"/>
      <c r="D421" s="232"/>
      <c r="E421" s="232"/>
      <c r="F421" s="232"/>
      <c r="G421" s="232"/>
      <c r="H421" s="232"/>
      <c r="I421" s="232"/>
      <c r="J421" s="232"/>
      <c r="K421" s="232"/>
      <c r="L421" s="232"/>
      <c r="M421" s="232"/>
      <c r="N421" s="232"/>
      <c r="O421" s="232"/>
      <c r="P421" s="232"/>
      <c r="Q421" s="232"/>
      <c r="R421" s="232"/>
      <c r="S421" s="232"/>
      <c r="T421" s="232"/>
      <c r="U421" s="232"/>
      <c r="V421" s="232"/>
    </row>
    <row r="422" spans="2:22" hidden="1" x14ac:dyDescent="0.25">
      <c r="B422" s="192"/>
      <c r="C422" s="232"/>
      <c r="D422" s="232"/>
      <c r="E422" s="232"/>
      <c r="F422" s="232"/>
      <c r="G422" s="232"/>
      <c r="H422" s="232"/>
      <c r="I422" s="232"/>
      <c r="J422" s="232"/>
      <c r="K422" s="232"/>
      <c r="L422" s="232"/>
      <c r="M422" s="232"/>
      <c r="N422" s="232"/>
      <c r="O422" s="232"/>
      <c r="P422" s="232"/>
      <c r="Q422" s="232"/>
      <c r="R422" s="232"/>
      <c r="S422" s="232"/>
      <c r="T422" s="232"/>
      <c r="U422" s="232"/>
      <c r="V422" s="232"/>
    </row>
    <row r="423" spans="2:22" hidden="1" x14ac:dyDescent="0.25">
      <c r="B423" s="192"/>
      <c r="C423" s="232"/>
      <c r="D423" s="232"/>
      <c r="E423" s="232"/>
      <c r="F423" s="232"/>
      <c r="G423" s="232"/>
      <c r="H423" s="232"/>
      <c r="I423" s="232"/>
      <c r="J423" s="232"/>
      <c r="K423" s="232"/>
      <c r="L423" s="232"/>
      <c r="M423" s="232"/>
      <c r="N423" s="232"/>
      <c r="O423" s="232"/>
      <c r="P423" s="232"/>
      <c r="Q423" s="232"/>
      <c r="R423" s="232"/>
      <c r="S423" s="232"/>
      <c r="T423" s="232"/>
      <c r="U423" s="232"/>
      <c r="V423" s="232"/>
    </row>
    <row r="424" spans="2:22" hidden="1" x14ac:dyDescent="0.25">
      <c r="B424" s="192"/>
      <c r="C424" s="232"/>
      <c r="D424" s="232"/>
      <c r="E424" s="232"/>
      <c r="F424" s="232"/>
      <c r="G424" s="232"/>
      <c r="H424" s="232"/>
      <c r="I424" s="232"/>
      <c r="J424" s="232"/>
      <c r="K424" s="232"/>
      <c r="L424" s="232"/>
      <c r="M424" s="232"/>
      <c r="N424" s="232"/>
      <c r="O424" s="232"/>
      <c r="P424" s="232"/>
      <c r="Q424" s="232"/>
      <c r="R424" s="232"/>
      <c r="S424" s="232"/>
      <c r="T424" s="232"/>
      <c r="U424" s="232"/>
      <c r="V424" s="232"/>
    </row>
    <row r="425" spans="2:22" hidden="1" x14ac:dyDescent="0.25">
      <c r="B425" s="192"/>
      <c r="C425" s="232"/>
      <c r="D425" s="232"/>
      <c r="E425" s="232"/>
      <c r="F425" s="232"/>
      <c r="G425" s="232"/>
      <c r="H425" s="232"/>
      <c r="I425" s="232"/>
      <c r="J425" s="232"/>
      <c r="K425" s="232"/>
      <c r="L425" s="232"/>
      <c r="M425" s="232"/>
      <c r="N425" s="232"/>
      <c r="O425" s="232"/>
      <c r="P425" s="232"/>
      <c r="Q425" s="232"/>
      <c r="R425" s="232"/>
      <c r="S425" s="232"/>
      <c r="T425" s="232"/>
      <c r="U425" s="232"/>
      <c r="V425" s="232"/>
    </row>
    <row r="426" spans="2:22" hidden="1" x14ac:dyDescent="0.25">
      <c r="B426" s="192"/>
      <c r="C426" s="232"/>
      <c r="D426" s="232"/>
      <c r="E426" s="232"/>
      <c r="F426" s="232"/>
      <c r="G426" s="232"/>
      <c r="H426" s="232"/>
      <c r="I426" s="232"/>
      <c r="J426" s="232"/>
      <c r="K426" s="232"/>
      <c r="L426" s="232"/>
      <c r="M426" s="232"/>
      <c r="N426" s="232"/>
      <c r="O426" s="232"/>
      <c r="P426" s="232"/>
      <c r="Q426" s="232"/>
      <c r="R426" s="232"/>
      <c r="S426" s="232"/>
      <c r="T426" s="232"/>
      <c r="U426" s="232"/>
      <c r="V426" s="232"/>
    </row>
    <row r="427" spans="2:22" hidden="1" x14ac:dyDescent="0.25">
      <c r="B427" s="192"/>
      <c r="C427" s="232"/>
      <c r="D427" s="232"/>
      <c r="E427" s="232"/>
      <c r="F427" s="232"/>
      <c r="G427" s="232"/>
      <c r="H427" s="232"/>
      <c r="I427" s="232"/>
      <c r="J427" s="232"/>
      <c r="K427" s="232"/>
      <c r="L427" s="232"/>
      <c r="M427" s="232"/>
      <c r="N427" s="232"/>
      <c r="O427" s="232"/>
      <c r="P427" s="232"/>
      <c r="Q427" s="232"/>
      <c r="R427" s="232"/>
      <c r="S427" s="232"/>
      <c r="T427" s="232"/>
      <c r="U427" s="232"/>
      <c r="V427" s="232"/>
    </row>
    <row r="428" spans="2:22" hidden="1" x14ac:dyDescent="0.25">
      <c r="B428" s="192"/>
      <c r="C428" s="232"/>
      <c r="D428" s="232"/>
      <c r="E428" s="232"/>
      <c r="F428" s="232"/>
      <c r="G428" s="232"/>
      <c r="H428" s="232"/>
      <c r="I428" s="232"/>
      <c r="J428" s="232"/>
      <c r="K428" s="232"/>
      <c r="L428" s="232"/>
      <c r="M428" s="232"/>
      <c r="N428" s="232"/>
      <c r="O428" s="232"/>
      <c r="P428" s="232"/>
      <c r="Q428" s="232"/>
      <c r="R428" s="232"/>
      <c r="S428" s="232"/>
      <c r="T428" s="232"/>
      <c r="U428" s="232"/>
      <c r="V428" s="232"/>
    </row>
    <row r="429" spans="2:22" hidden="1" x14ac:dyDescent="0.25">
      <c r="B429" s="192"/>
      <c r="C429" s="232"/>
      <c r="D429" s="232"/>
      <c r="E429" s="232"/>
      <c r="F429" s="232"/>
      <c r="G429" s="232"/>
      <c r="H429" s="232"/>
      <c r="I429" s="232"/>
      <c r="J429" s="232"/>
      <c r="K429" s="232"/>
      <c r="L429" s="232"/>
      <c r="M429" s="232"/>
      <c r="N429" s="232"/>
      <c r="O429" s="232"/>
      <c r="P429" s="232"/>
      <c r="Q429" s="232"/>
      <c r="R429" s="232"/>
      <c r="S429" s="232"/>
      <c r="T429" s="232"/>
      <c r="U429" s="232"/>
      <c r="V429" s="232"/>
    </row>
    <row r="430" spans="2:22" hidden="1" x14ac:dyDescent="0.25">
      <c r="B430" s="192"/>
      <c r="C430" s="232"/>
      <c r="D430" s="232"/>
      <c r="E430" s="232"/>
      <c r="F430" s="232"/>
      <c r="G430" s="232"/>
      <c r="H430" s="232"/>
      <c r="I430" s="232"/>
      <c r="J430" s="232"/>
      <c r="K430" s="232"/>
      <c r="L430" s="232"/>
      <c r="M430" s="232"/>
      <c r="N430" s="232"/>
      <c r="O430" s="232"/>
      <c r="P430" s="232"/>
      <c r="Q430" s="232"/>
      <c r="R430" s="232"/>
      <c r="S430" s="232"/>
      <c r="T430" s="232"/>
      <c r="U430" s="232"/>
      <c r="V430" s="232"/>
    </row>
    <row r="431" spans="2:22" hidden="1" x14ac:dyDescent="0.25">
      <c r="B431" s="192"/>
      <c r="C431" s="232"/>
      <c r="D431" s="232"/>
      <c r="E431" s="232"/>
      <c r="F431" s="232"/>
      <c r="G431" s="232"/>
      <c r="H431" s="232"/>
      <c r="I431" s="232"/>
      <c r="J431" s="232"/>
      <c r="K431" s="232"/>
      <c r="L431" s="232"/>
      <c r="M431" s="232"/>
      <c r="N431" s="232"/>
      <c r="O431" s="232"/>
      <c r="P431" s="232"/>
      <c r="Q431" s="232"/>
      <c r="R431" s="232"/>
      <c r="S431" s="232"/>
      <c r="T431" s="232"/>
      <c r="U431" s="232"/>
      <c r="V431" s="232"/>
    </row>
    <row r="432" spans="2:22" hidden="1" x14ac:dyDescent="0.25">
      <c r="B432" s="192"/>
      <c r="C432" s="232"/>
      <c r="D432" s="232"/>
      <c r="E432" s="232"/>
      <c r="F432" s="232"/>
      <c r="G432" s="232"/>
      <c r="H432" s="232"/>
      <c r="I432" s="232"/>
      <c r="J432" s="232"/>
      <c r="K432" s="232"/>
      <c r="L432" s="232"/>
      <c r="M432" s="232"/>
      <c r="N432" s="232"/>
      <c r="O432" s="232"/>
      <c r="P432" s="232"/>
      <c r="Q432" s="232"/>
      <c r="R432" s="232"/>
      <c r="S432" s="232"/>
      <c r="T432" s="232"/>
      <c r="U432" s="232"/>
      <c r="V432" s="232"/>
    </row>
    <row r="433" spans="2:22" hidden="1" x14ac:dyDescent="0.25">
      <c r="B433" s="192"/>
      <c r="C433" s="232"/>
      <c r="D433" s="232"/>
      <c r="E433" s="232"/>
      <c r="F433" s="232"/>
      <c r="G433" s="232"/>
      <c r="H433" s="232"/>
      <c r="I433" s="232"/>
      <c r="J433" s="232"/>
      <c r="K433" s="232"/>
      <c r="L433" s="232"/>
      <c r="M433" s="232"/>
      <c r="N433" s="232"/>
      <c r="O433" s="232"/>
      <c r="P433" s="232"/>
      <c r="Q433" s="232"/>
      <c r="R433" s="232"/>
      <c r="S433" s="232"/>
      <c r="T433" s="232"/>
      <c r="U433" s="232"/>
      <c r="V433" s="232"/>
    </row>
    <row r="434" spans="2:22" hidden="1" x14ac:dyDescent="0.25">
      <c r="B434" s="192"/>
      <c r="C434" s="232"/>
      <c r="D434" s="232"/>
      <c r="E434" s="232"/>
      <c r="F434" s="232"/>
      <c r="G434" s="232"/>
      <c r="H434" s="232"/>
      <c r="I434" s="232"/>
      <c r="J434" s="232"/>
      <c r="K434" s="232"/>
      <c r="L434" s="232"/>
      <c r="M434" s="232"/>
      <c r="N434" s="232"/>
      <c r="O434" s="232"/>
      <c r="P434" s="232"/>
      <c r="Q434" s="232"/>
      <c r="R434" s="232"/>
      <c r="S434" s="232"/>
      <c r="T434" s="232"/>
      <c r="U434" s="232"/>
      <c r="V434" s="232"/>
    </row>
    <row r="435" spans="2:22" hidden="1" x14ac:dyDescent="0.25">
      <c r="B435" s="192"/>
      <c r="C435" s="232"/>
      <c r="D435" s="232"/>
      <c r="E435" s="232"/>
      <c r="F435" s="232"/>
      <c r="G435" s="232"/>
      <c r="H435" s="232"/>
      <c r="I435" s="232"/>
      <c r="J435" s="232"/>
      <c r="K435" s="232"/>
      <c r="L435" s="232"/>
      <c r="M435" s="232"/>
      <c r="N435" s="232"/>
      <c r="O435" s="232"/>
      <c r="P435" s="232"/>
      <c r="Q435" s="232"/>
      <c r="R435" s="232"/>
      <c r="S435" s="232"/>
      <c r="T435" s="232"/>
      <c r="U435" s="232"/>
      <c r="V435" s="232"/>
    </row>
    <row r="436" spans="2:22" hidden="1" x14ac:dyDescent="0.25">
      <c r="B436" s="192"/>
      <c r="C436" s="232"/>
      <c r="D436" s="232"/>
      <c r="E436" s="232"/>
      <c r="F436" s="232"/>
      <c r="G436" s="232"/>
      <c r="H436" s="232"/>
      <c r="I436" s="232"/>
      <c r="J436" s="232"/>
      <c r="K436" s="232"/>
      <c r="L436" s="232"/>
      <c r="M436" s="232"/>
      <c r="N436" s="232"/>
      <c r="O436" s="232"/>
      <c r="P436" s="232"/>
      <c r="Q436" s="232"/>
      <c r="R436" s="232"/>
      <c r="S436" s="232"/>
      <c r="T436" s="232"/>
      <c r="U436" s="232"/>
      <c r="V436" s="232"/>
    </row>
    <row r="437" spans="2:22" hidden="1" x14ac:dyDescent="0.25">
      <c r="B437" s="192"/>
      <c r="C437" s="232"/>
      <c r="D437" s="232"/>
      <c r="E437" s="232"/>
      <c r="F437" s="232"/>
      <c r="G437" s="232"/>
      <c r="H437" s="232"/>
      <c r="I437" s="232"/>
      <c r="J437" s="232"/>
      <c r="K437" s="232"/>
      <c r="L437" s="232"/>
      <c r="M437" s="232"/>
      <c r="N437" s="232"/>
      <c r="O437" s="232"/>
      <c r="P437" s="232"/>
      <c r="Q437" s="232"/>
      <c r="R437" s="232"/>
      <c r="S437" s="232"/>
      <c r="T437" s="232"/>
      <c r="U437" s="232"/>
      <c r="V437" s="232"/>
    </row>
    <row r="438" spans="2:22" hidden="1" x14ac:dyDescent="0.25">
      <c r="B438" s="192"/>
      <c r="C438" s="232"/>
      <c r="D438" s="232"/>
      <c r="E438" s="232"/>
      <c r="F438" s="232"/>
      <c r="G438" s="232"/>
      <c r="H438" s="232"/>
      <c r="I438" s="232"/>
      <c r="J438" s="232"/>
      <c r="K438" s="232"/>
      <c r="L438" s="232"/>
      <c r="M438" s="232"/>
      <c r="N438" s="232"/>
      <c r="O438" s="232"/>
      <c r="P438" s="232"/>
      <c r="Q438" s="232"/>
      <c r="R438" s="232"/>
      <c r="S438" s="232"/>
      <c r="T438" s="232"/>
      <c r="U438" s="232"/>
      <c r="V438" s="232"/>
    </row>
    <row r="439" spans="2:22" hidden="1" x14ac:dyDescent="0.25">
      <c r="B439" s="192"/>
      <c r="C439" s="232"/>
      <c r="D439" s="232"/>
      <c r="E439" s="232"/>
      <c r="F439" s="232"/>
      <c r="G439" s="232"/>
      <c r="H439" s="232"/>
      <c r="I439" s="232"/>
      <c r="J439" s="232"/>
      <c r="K439" s="232"/>
      <c r="L439" s="232"/>
      <c r="M439" s="232"/>
      <c r="N439" s="232"/>
      <c r="O439" s="232"/>
      <c r="P439" s="232"/>
      <c r="Q439" s="232"/>
      <c r="R439" s="232"/>
      <c r="S439" s="232"/>
      <c r="T439" s="232"/>
      <c r="U439" s="232"/>
      <c r="V439" s="232"/>
    </row>
    <row r="440" spans="2:22" hidden="1" x14ac:dyDescent="0.25">
      <c r="B440" s="192"/>
      <c r="C440" s="232"/>
      <c r="D440" s="232"/>
      <c r="E440" s="232"/>
      <c r="F440" s="232"/>
      <c r="G440" s="232"/>
      <c r="H440" s="232"/>
      <c r="I440" s="232"/>
      <c r="J440" s="232"/>
      <c r="K440" s="232"/>
      <c r="L440" s="232"/>
      <c r="M440" s="232"/>
      <c r="N440" s="232"/>
      <c r="O440" s="232"/>
      <c r="P440" s="232"/>
      <c r="Q440" s="232"/>
      <c r="R440" s="232"/>
      <c r="S440" s="232"/>
      <c r="T440" s="232"/>
      <c r="U440" s="232"/>
      <c r="V440" s="232"/>
    </row>
    <row r="441" spans="2:22" hidden="1" x14ac:dyDescent="0.25">
      <c r="B441" s="192"/>
      <c r="C441" s="232"/>
      <c r="D441" s="232"/>
      <c r="E441" s="232"/>
      <c r="F441" s="232"/>
      <c r="G441" s="232"/>
      <c r="H441" s="232"/>
      <c r="I441" s="232"/>
      <c r="J441" s="232"/>
      <c r="K441" s="232"/>
      <c r="L441" s="232"/>
      <c r="M441" s="232"/>
      <c r="N441" s="232"/>
      <c r="O441" s="232"/>
      <c r="P441" s="232"/>
      <c r="Q441" s="232"/>
      <c r="R441" s="232"/>
      <c r="S441" s="232"/>
      <c r="T441" s="232"/>
      <c r="U441" s="232"/>
      <c r="V441" s="232"/>
    </row>
    <row r="442" spans="2:22" hidden="1" x14ac:dyDescent="0.25">
      <c r="B442" s="192"/>
      <c r="C442" s="232"/>
      <c r="D442" s="232"/>
      <c r="E442" s="232"/>
      <c r="F442" s="232"/>
      <c r="G442" s="232"/>
      <c r="H442" s="232"/>
      <c r="I442" s="232"/>
      <c r="J442" s="232"/>
      <c r="K442" s="232"/>
      <c r="L442" s="232"/>
      <c r="M442" s="232"/>
      <c r="N442" s="232"/>
      <c r="O442" s="232"/>
      <c r="P442" s="232"/>
      <c r="Q442" s="232"/>
      <c r="R442" s="232"/>
      <c r="S442" s="232"/>
      <c r="T442" s="232"/>
      <c r="U442" s="232"/>
      <c r="V442" s="232"/>
    </row>
    <row r="443" spans="2:22" hidden="1" x14ac:dyDescent="0.25">
      <c r="B443" s="192"/>
      <c r="C443" s="232"/>
      <c r="D443" s="232"/>
      <c r="E443" s="232"/>
      <c r="F443" s="232"/>
      <c r="G443" s="232"/>
      <c r="H443" s="232"/>
      <c r="I443" s="232"/>
      <c r="J443" s="232"/>
      <c r="K443" s="232"/>
      <c r="L443" s="232"/>
      <c r="M443" s="232"/>
      <c r="N443" s="232"/>
      <c r="O443" s="232"/>
      <c r="P443" s="232"/>
      <c r="Q443" s="232"/>
      <c r="R443" s="232"/>
      <c r="S443" s="232"/>
      <c r="T443" s="232"/>
      <c r="U443" s="232"/>
      <c r="V443" s="232"/>
    </row>
    <row r="444" spans="2:22" hidden="1" x14ac:dyDescent="0.25">
      <c r="B444" s="192"/>
      <c r="C444" s="232"/>
      <c r="D444" s="232"/>
      <c r="E444" s="232"/>
      <c r="F444" s="232"/>
      <c r="G444" s="232"/>
      <c r="H444" s="232"/>
      <c r="I444" s="232"/>
      <c r="J444" s="232"/>
      <c r="K444" s="232"/>
      <c r="L444" s="232"/>
      <c r="M444" s="232"/>
      <c r="N444" s="232"/>
      <c r="O444" s="232"/>
      <c r="P444" s="232"/>
      <c r="Q444" s="232"/>
      <c r="R444" s="232"/>
      <c r="S444" s="232"/>
      <c r="T444" s="232"/>
      <c r="U444" s="232"/>
      <c r="V444" s="232"/>
    </row>
    <row r="445" spans="2:22" hidden="1" x14ac:dyDescent="0.25">
      <c r="B445" s="192"/>
      <c r="C445" s="232"/>
      <c r="D445" s="232"/>
      <c r="E445" s="232"/>
      <c r="F445" s="232"/>
      <c r="G445" s="232"/>
      <c r="H445" s="232"/>
      <c r="I445" s="232"/>
      <c r="J445" s="232"/>
      <c r="K445" s="232"/>
      <c r="L445" s="232"/>
      <c r="M445" s="232"/>
      <c r="N445" s="232"/>
      <c r="O445" s="232"/>
      <c r="P445" s="232"/>
      <c r="Q445" s="232"/>
      <c r="R445" s="232"/>
      <c r="S445" s="232"/>
      <c r="T445" s="232"/>
      <c r="U445" s="232"/>
      <c r="V445" s="232"/>
    </row>
    <row r="446" spans="2:22" hidden="1" x14ac:dyDescent="0.25">
      <c r="B446" s="192"/>
      <c r="C446" s="232"/>
      <c r="D446" s="232"/>
      <c r="E446" s="232"/>
      <c r="F446" s="232"/>
      <c r="G446" s="232"/>
      <c r="H446" s="232"/>
      <c r="I446" s="232"/>
      <c r="J446" s="232"/>
      <c r="K446" s="232"/>
      <c r="L446" s="232"/>
      <c r="M446" s="232"/>
      <c r="N446" s="232"/>
      <c r="O446" s="232"/>
      <c r="P446" s="232"/>
      <c r="Q446" s="232"/>
      <c r="R446" s="232"/>
      <c r="S446" s="232"/>
      <c r="T446" s="232"/>
      <c r="U446" s="232"/>
      <c r="V446" s="232"/>
    </row>
    <row r="447" spans="2:22" hidden="1" x14ac:dyDescent="0.25">
      <c r="B447" s="192"/>
      <c r="C447" s="232"/>
      <c r="D447" s="232"/>
      <c r="E447" s="232"/>
      <c r="F447" s="232"/>
      <c r="G447" s="232"/>
      <c r="H447" s="232"/>
      <c r="I447" s="232"/>
      <c r="J447" s="232"/>
      <c r="K447" s="232"/>
      <c r="L447" s="232"/>
      <c r="M447" s="232"/>
      <c r="N447" s="232"/>
      <c r="O447" s="232"/>
      <c r="P447" s="232"/>
      <c r="Q447" s="232"/>
      <c r="R447" s="232"/>
      <c r="S447" s="232"/>
      <c r="T447" s="232"/>
      <c r="U447" s="232"/>
      <c r="V447" s="232"/>
    </row>
    <row r="448" spans="2:22" hidden="1" x14ac:dyDescent="0.25">
      <c r="B448" s="192"/>
      <c r="C448" s="232"/>
      <c r="D448" s="232"/>
      <c r="E448" s="232"/>
      <c r="F448" s="232"/>
      <c r="G448" s="232"/>
      <c r="H448" s="232"/>
      <c r="I448" s="232"/>
      <c r="J448" s="232"/>
      <c r="K448" s="232"/>
      <c r="L448" s="232"/>
      <c r="M448" s="232"/>
      <c r="N448" s="232"/>
      <c r="O448" s="232"/>
      <c r="P448" s="232"/>
      <c r="Q448" s="232"/>
      <c r="R448" s="232"/>
      <c r="S448" s="232"/>
      <c r="T448" s="232"/>
      <c r="U448" s="232"/>
      <c r="V448" s="232"/>
    </row>
    <row r="449" spans="2:22" hidden="1" x14ac:dyDescent="0.25">
      <c r="B449" s="192"/>
      <c r="C449" s="232"/>
      <c r="D449" s="232"/>
      <c r="E449" s="232"/>
      <c r="F449" s="232"/>
      <c r="G449" s="232"/>
      <c r="H449" s="232"/>
      <c r="I449" s="232"/>
      <c r="J449" s="232"/>
      <c r="K449" s="232"/>
      <c r="L449" s="232"/>
      <c r="M449" s="232"/>
      <c r="N449" s="232"/>
      <c r="O449" s="232"/>
      <c r="P449" s="232"/>
      <c r="Q449" s="232"/>
      <c r="R449" s="232"/>
      <c r="S449" s="232"/>
      <c r="T449" s="232"/>
      <c r="U449" s="232"/>
      <c r="V449" s="232"/>
    </row>
    <row r="450" spans="2:22" hidden="1" x14ac:dyDescent="0.25">
      <c r="B450" s="192"/>
      <c r="C450" s="232"/>
      <c r="D450" s="232"/>
      <c r="E450" s="232"/>
      <c r="F450" s="232"/>
      <c r="G450" s="232"/>
      <c r="H450" s="232"/>
      <c r="I450" s="232"/>
      <c r="J450" s="232"/>
      <c r="K450" s="232"/>
      <c r="L450" s="232"/>
      <c r="M450" s="232"/>
      <c r="N450" s="232"/>
      <c r="O450" s="232"/>
      <c r="P450" s="232"/>
      <c r="Q450" s="232"/>
      <c r="R450" s="232"/>
      <c r="S450" s="232"/>
      <c r="T450" s="232"/>
      <c r="U450" s="232"/>
      <c r="V450" s="232"/>
    </row>
    <row r="451" spans="2:22" hidden="1" x14ac:dyDescent="0.25">
      <c r="B451" s="192"/>
      <c r="C451" s="232"/>
      <c r="D451" s="232"/>
      <c r="E451" s="232"/>
      <c r="F451" s="232"/>
      <c r="G451" s="232"/>
      <c r="H451" s="232"/>
      <c r="I451" s="232"/>
      <c r="J451" s="232"/>
      <c r="K451" s="232"/>
      <c r="L451" s="232"/>
      <c r="M451" s="232"/>
      <c r="N451" s="232"/>
      <c r="O451" s="232"/>
      <c r="P451" s="232"/>
      <c r="Q451" s="232"/>
      <c r="R451" s="232"/>
      <c r="S451" s="232"/>
      <c r="T451" s="232"/>
      <c r="U451" s="232"/>
      <c r="V451" s="232"/>
    </row>
    <row r="452" spans="2:22" hidden="1" x14ac:dyDescent="0.25">
      <c r="B452" s="192"/>
      <c r="C452" s="232"/>
      <c r="D452" s="232"/>
      <c r="E452" s="232"/>
      <c r="F452" s="232"/>
      <c r="G452" s="232"/>
      <c r="H452" s="232"/>
      <c r="I452" s="232"/>
      <c r="J452" s="232"/>
      <c r="K452" s="232"/>
      <c r="L452" s="232"/>
      <c r="M452" s="232"/>
      <c r="N452" s="232"/>
      <c r="O452" s="232"/>
      <c r="P452" s="232"/>
      <c r="Q452" s="232"/>
      <c r="R452" s="232"/>
      <c r="S452" s="232"/>
      <c r="T452" s="232"/>
      <c r="U452" s="232"/>
      <c r="V452" s="232"/>
    </row>
    <row r="453" spans="2:22" hidden="1" x14ac:dyDescent="0.25">
      <c r="B453" s="192"/>
      <c r="C453" s="232"/>
      <c r="D453" s="232"/>
      <c r="E453" s="232"/>
      <c r="F453" s="232"/>
      <c r="G453" s="232"/>
      <c r="H453" s="232"/>
      <c r="I453" s="232"/>
      <c r="J453" s="232"/>
      <c r="K453" s="232"/>
      <c r="L453" s="232"/>
      <c r="M453" s="232"/>
      <c r="N453" s="232"/>
      <c r="O453" s="232"/>
      <c r="P453" s="232"/>
      <c r="Q453" s="232"/>
      <c r="R453" s="232"/>
      <c r="S453" s="232"/>
      <c r="T453" s="232"/>
      <c r="U453" s="232"/>
      <c r="V453" s="232"/>
    </row>
    <row r="454" spans="2:22" hidden="1" x14ac:dyDescent="0.25">
      <c r="B454" s="192"/>
      <c r="C454" s="232"/>
      <c r="D454" s="232"/>
      <c r="E454" s="232"/>
      <c r="F454" s="232"/>
      <c r="G454" s="232"/>
      <c r="H454" s="232"/>
      <c r="I454" s="232"/>
      <c r="J454" s="232"/>
      <c r="K454" s="232"/>
      <c r="L454" s="232"/>
      <c r="M454" s="232"/>
      <c r="N454" s="232"/>
      <c r="O454" s="232"/>
      <c r="P454" s="232"/>
      <c r="Q454" s="232"/>
      <c r="R454" s="232"/>
      <c r="S454" s="232"/>
      <c r="T454" s="232"/>
      <c r="U454" s="232"/>
      <c r="V454" s="232"/>
    </row>
    <row r="455" spans="2:22" hidden="1" x14ac:dyDescent="0.25">
      <c r="B455" s="192"/>
      <c r="C455" s="232"/>
      <c r="D455" s="232"/>
      <c r="E455" s="232"/>
      <c r="F455" s="232"/>
      <c r="G455" s="232"/>
      <c r="H455" s="232"/>
      <c r="I455" s="232"/>
      <c r="J455" s="232"/>
      <c r="K455" s="232"/>
      <c r="L455" s="232"/>
      <c r="M455" s="232"/>
      <c r="N455" s="232"/>
      <c r="O455" s="232"/>
      <c r="P455" s="232"/>
      <c r="Q455" s="232"/>
      <c r="R455" s="232"/>
      <c r="S455" s="232"/>
      <c r="T455" s="232"/>
      <c r="U455" s="232"/>
      <c r="V455" s="232"/>
    </row>
    <row r="456" spans="2:22" hidden="1" x14ac:dyDescent="0.25">
      <c r="B456" s="192"/>
      <c r="C456" s="232"/>
      <c r="D456" s="232"/>
      <c r="E456" s="232"/>
      <c r="F456" s="232"/>
      <c r="G456" s="232"/>
      <c r="H456" s="232"/>
      <c r="I456" s="232"/>
      <c r="J456" s="232"/>
      <c r="K456" s="232"/>
      <c r="L456" s="232"/>
      <c r="M456" s="232"/>
      <c r="N456" s="232"/>
      <c r="O456" s="232"/>
      <c r="P456" s="232"/>
      <c r="Q456" s="232"/>
      <c r="R456" s="232"/>
      <c r="S456" s="232"/>
      <c r="T456" s="232"/>
      <c r="U456" s="232"/>
      <c r="V456" s="232"/>
    </row>
    <row r="457" spans="2:22" hidden="1" x14ac:dyDescent="0.25">
      <c r="B457" s="192"/>
      <c r="C457" s="232"/>
      <c r="D457" s="232"/>
      <c r="E457" s="232"/>
      <c r="F457" s="232"/>
      <c r="G457" s="232"/>
      <c r="H457" s="232"/>
      <c r="I457" s="232"/>
      <c r="J457" s="232"/>
      <c r="K457" s="232"/>
      <c r="L457" s="232"/>
      <c r="M457" s="232"/>
      <c r="N457" s="232"/>
      <c r="O457" s="232"/>
      <c r="P457" s="232"/>
      <c r="Q457" s="232"/>
      <c r="R457" s="232"/>
      <c r="S457" s="232"/>
      <c r="T457" s="232"/>
      <c r="U457" s="232"/>
      <c r="V457" s="232"/>
    </row>
    <row r="458" spans="2:22" hidden="1" x14ac:dyDescent="0.25">
      <c r="B458" s="192"/>
      <c r="C458" s="232"/>
      <c r="D458" s="232"/>
      <c r="E458" s="232"/>
      <c r="F458" s="232"/>
      <c r="G458" s="232"/>
      <c r="H458" s="232"/>
      <c r="I458" s="232"/>
      <c r="J458" s="232"/>
      <c r="K458" s="232"/>
      <c r="L458" s="232"/>
      <c r="M458" s="232"/>
      <c r="N458" s="232"/>
      <c r="O458" s="232"/>
      <c r="P458" s="232"/>
      <c r="Q458" s="232"/>
      <c r="R458" s="232"/>
      <c r="S458" s="232"/>
      <c r="T458" s="232"/>
      <c r="U458" s="232"/>
      <c r="V458" s="232"/>
    </row>
    <row r="459" spans="2:22" hidden="1" x14ac:dyDescent="0.25">
      <c r="B459" s="192"/>
      <c r="C459" s="232"/>
      <c r="D459" s="232"/>
      <c r="E459" s="232"/>
      <c r="F459" s="232"/>
      <c r="G459" s="232"/>
      <c r="H459" s="232"/>
      <c r="I459" s="232"/>
      <c r="J459" s="232"/>
      <c r="K459" s="232"/>
      <c r="L459" s="232"/>
      <c r="M459" s="232"/>
      <c r="N459" s="232"/>
      <c r="O459" s="232"/>
      <c r="P459" s="232"/>
      <c r="Q459" s="232"/>
      <c r="R459" s="232"/>
      <c r="S459" s="232"/>
      <c r="T459" s="232"/>
      <c r="U459" s="232"/>
      <c r="V459" s="232"/>
    </row>
    <row r="460" spans="2:22" hidden="1" x14ac:dyDescent="0.25">
      <c r="B460" s="192"/>
      <c r="C460" s="232"/>
      <c r="D460" s="232"/>
      <c r="E460" s="232"/>
      <c r="F460" s="232"/>
      <c r="G460" s="232"/>
      <c r="H460" s="232"/>
      <c r="I460" s="232"/>
      <c r="J460" s="232"/>
      <c r="K460" s="232"/>
      <c r="L460" s="232"/>
      <c r="M460" s="232"/>
      <c r="N460" s="232"/>
      <c r="O460" s="232"/>
      <c r="P460" s="232"/>
      <c r="Q460" s="232"/>
      <c r="R460" s="232"/>
      <c r="S460" s="232"/>
      <c r="T460" s="232"/>
      <c r="U460" s="232"/>
      <c r="V460" s="232"/>
    </row>
    <row r="461" spans="2:22" hidden="1" x14ac:dyDescent="0.25">
      <c r="B461" s="192"/>
      <c r="C461" s="232"/>
      <c r="D461" s="232"/>
      <c r="E461" s="232"/>
      <c r="F461" s="232"/>
      <c r="G461" s="232"/>
      <c r="H461" s="232"/>
      <c r="I461" s="232"/>
      <c r="J461" s="232"/>
      <c r="K461" s="232"/>
      <c r="L461" s="232"/>
      <c r="M461" s="232"/>
      <c r="N461" s="232"/>
      <c r="O461" s="232"/>
      <c r="P461" s="232"/>
      <c r="Q461" s="232"/>
      <c r="R461" s="232"/>
      <c r="S461" s="232"/>
      <c r="T461" s="232"/>
      <c r="U461" s="232"/>
      <c r="V461" s="232"/>
    </row>
    <row r="462" spans="2:22" hidden="1" x14ac:dyDescent="0.25">
      <c r="B462" s="192"/>
      <c r="C462" s="232"/>
      <c r="D462" s="232"/>
      <c r="E462" s="232"/>
      <c r="F462" s="232"/>
      <c r="G462" s="232"/>
      <c r="H462" s="232"/>
      <c r="I462" s="232"/>
      <c r="J462" s="232"/>
      <c r="K462" s="232"/>
      <c r="L462" s="232"/>
      <c r="M462" s="232"/>
      <c r="N462" s="232"/>
      <c r="O462" s="232"/>
      <c r="P462" s="232"/>
      <c r="Q462" s="232"/>
      <c r="R462" s="232"/>
      <c r="S462" s="232"/>
      <c r="T462" s="232"/>
      <c r="U462" s="232"/>
      <c r="V462" s="232"/>
    </row>
    <row r="463" spans="2:22" hidden="1" x14ac:dyDescent="0.25">
      <c r="B463" s="192"/>
      <c r="C463" s="232"/>
      <c r="D463" s="232"/>
      <c r="E463" s="232"/>
      <c r="F463" s="232"/>
      <c r="G463" s="232"/>
      <c r="H463" s="232"/>
      <c r="I463" s="232"/>
      <c r="J463" s="232"/>
      <c r="K463" s="232"/>
      <c r="L463" s="232"/>
      <c r="M463" s="232"/>
      <c r="N463" s="232"/>
      <c r="O463" s="232"/>
      <c r="P463" s="232"/>
      <c r="Q463" s="232"/>
      <c r="R463" s="232"/>
      <c r="S463" s="232"/>
      <c r="T463" s="232"/>
      <c r="U463" s="232"/>
      <c r="V463" s="232"/>
    </row>
    <row r="464" spans="2:22" hidden="1" x14ac:dyDescent="0.25">
      <c r="B464" s="192"/>
      <c r="C464" s="232"/>
      <c r="D464" s="232"/>
      <c r="E464" s="232"/>
      <c r="F464" s="232"/>
      <c r="G464" s="232"/>
      <c r="H464" s="232"/>
      <c r="I464" s="232"/>
      <c r="J464" s="232"/>
      <c r="K464" s="232"/>
      <c r="L464" s="232"/>
      <c r="M464" s="232"/>
      <c r="N464" s="232"/>
      <c r="O464" s="232"/>
      <c r="P464" s="232"/>
      <c r="Q464" s="232"/>
      <c r="R464" s="232"/>
      <c r="S464" s="232"/>
      <c r="T464" s="232"/>
      <c r="U464" s="232"/>
      <c r="V464" s="232"/>
    </row>
    <row r="465" spans="2:22" hidden="1" x14ac:dyDescent="0.25">
      <c r="B465" s="192"/>
      <c r="C465" s="232"/>
      <c r="D465" s="232"/>
      <c r="E465" s="232"/>
      <c r="F465" s="232"/>
      <c r="G465" s="232"/>
      <c r="H465" s="232"/>
      <c r="I465" s="232"/>
      <c r="J465" s="232"/>
      <c r="K465" s="232"/>
      <c r="L465" s="232"/>
      <c r="M465" s="232"/>
      <c r="N465" s="232"/>
      <c r="O465" s="232"/>
      <c r="P465" s="232"/>
      <c r="Q465" s="232"/>
      <c r="R465" s="232"/>
      <c r="S465" s="232"/>
      <c r="T465" s="232"/>
      <c r="U465" s="232"/>
      <c r="V465" s="232"/>
    </row>
    <row r="466" spans="2:22" hidden="1" x14ac:dyDescent="0.25">
      <c r="B466" s="192"/>
      <c r="C466" s="232"/>
      <c r="D466" s="232"/>
      <c r="E466" s="232"/>
      <c r="F466" s="232"/>
      <c r="G466" s="232"/>
      <c r="H466" s="232"/>
      <c r="I466" s="232"/>
      <c r="J466" s="232"/>
      <c r="K466" s="232"/>
      <c r="L466" s="232"/>
      <c r="M466" s="232"/>
      <c r="N466" s="232"/>
      <c r="O466" s="232"/>
      <c r="P466" s="232"/>
      <c r="Q466" s="232"/>
      <c r="R466" s="232"/>
      <c r="S466" s="232"/>
      <c r="T466" s="232"/>
      <c r="U466" s="232"/>
      <c r="V466" s="232"/>
    </row>
    <row r="467" spans="2:22" hidden="1" x14ac:dyDescent="0.25">
      <c r="B467" s="192"/>
      <c r="C467" s="232"/>
      <c r="D467" s="232"/>
      <c r="E467" s="232"/>
      <c r="F467" s="232"/>
      <c r="G467" s="232"/>
      <c r="H467" s="232"/>
      <c r="I467" s="232"/>
      <c r="J467" s="232"/>
      <c r="K467" s="232"/>
      <c r="L467" s="232"/>
      <c r="M467" s="232"/>
      <c r="N467" s="232"/>
      <c r="O467" s="232"/>
      <c r="P467" s="232"/>
      <c r="Q467" s="232"/>
      <c r="R467" s="232"/>
      <c r="S467" s="232"/>
      <c r="T467" s="232"/>
      <c r="U467" s="232"/>
      <c r="V467" s="232"/>
    </row>
    <row r="468" spans="2:22" hidden="1" x14ac:dyDescent="0.25">
      <c r="B468" s="192"/>
      <c r="C468" s="232"/>
      <c r="D468" s="232"/>
      <c r="E468" s="232"/>
      <c r="F468" s="232"/>
      <c r="G468" s="232"/>
      <c r="H468" s="232"/>
      <c r="I468" s="232"/>
      <c r="J468" s="232"/>
      <c r="K468" s="232"/>
      <c r="L468" s="232"/>
      <c r="M468" s="232"/>
      <c r="N468" s="232"/>
      <c r="O468" s="232"/>
      <c r="P468" s="232"/>
      <c r="Q468" s="232"/>
      <c r="R468" s="232"/>
      <c r="S468" s="232"/>
      <c r="T468" s="232"/>
      <c r="U468" s="232"/>
      <c r="V468" s="232"/>
    </row>
    <row r="469" spans="2:22" hidden="1" x14ac:dyDescent="0.25">
      <c r="B469" s="192"/>
      <c r="C469" s="232"/>
      <c r="D469" s="232"/>
      <c r="E469" s="232"/>
      <c r="F469" s="232"/>
      <c r="G469" s="232"/>
      <c r="H469" s="232"/>
      <c r="I469" s="232"/>
      <c r="J469" s="232"/>
      <c r="K469" s="232"/>
      <c r="L469" s="232"/>
      <c r="M469" s="232"/>
      <c r="N469" s="232"/>
      <c r="O469" s="232"/>
      <c r="P469" s="232"/>
      <c r="Q469" s="232"/>
      <c r="R469" s="232"/>
      <c r="S469" s="232"/>
      <c r="T469" s="232"/>
      <c r="U469" s="232"/>
      <c r="V469" s="232"/>
    </row>
    <row r="470" spans="2:22" hidden="1" x14ac:dyDescent="0.25">
      <c r="B470" s="192"/>
      <c r="C470" s="232"/>
      <c r="D470" s="232"/>
      <c r="E470" s="232"/>
      <c r="F470" s="232"/>
      <c r="G470" s="232"/>
      <c r="H470" s="232"/>
      <c r="I470" s="232"/>
      <c r="J470" s="232"/>
      <c r="K470" s="232"/>
      <c r="L470" s="232"/>
      <c r="M470" s="232"/>
      <c r="N470" s="232"/>
      <c r="O470" s="232"/>
      <c r="P470" s="232"/>
      <c r="Q470" s="232"/>
      <c r="R470" s="232"/>
      <c r="S470" s="232"/>
      <c r="T470" s="232"/>
      <c r="U470" s="232"/>
      <c r="V470" s="232"/>
    </row>
    <row r="471" spans="2:22" hidden="1" x14ac:dyDescent="0.25">
      <c r="B471" s="192"/>
      <c r="C471" s="232"/>
      <c r="D471" s="232"/>
      <c r="E471" s="232"/>
      <c r="F471" s="232"/>
      <c r="G471" s="232"/>
      <c r="H471" s="232"/>
      <c r="I471" s="232"/>
      <c r="J471" s="232"/>
      <c r="K471" s="232"/>
      <c r="L471" s="232"/>
      <c r="M471" s="232"/>
      <c r="N471" s="232"/>
      <c r="O471" s="232"/>
      <c r="P471" s="232"/>
      <c r="Q471" s="232"/>
      <c r="R471" s="232"/>
      <c r="S471" s="232"/>
      <c r="T471" s="232"/>
      <c r="U471" s="232"/>
      <c r="V471" s="232"/>
    </row>
    <row r="472" spans="2:22" hidden="1" x14ac:dyDescent="0.25">
      <c r="B472" s="192"/>
      <c r="C472" s="232"/>
      <c r="D472" s="232"/>
      <c r="E472" s="232"/>
      <c r="F472" s="232"/>
      <c r="G472" s="232"/>
      <c r="H472" s="232"/>
      <c r="I472" s="232"/>
      <c r="J472" s="232"/>
      <c r="K472" s="232"/>
      <c r="L472" s="232"/>
      <c r="M472" s="232"/>
      <c r="N472" s="232"/>
      <c r="O472" s="232"/>
      <c r="P472" s="232"/>
      <c r="Q472" s="232"/>
      <c r="R472" s="232"/>
      <c r="S472" s="232"/>
      <c r="T472" s="232"/>
      <c r="U472" s="232"/>
      <c r="V472" s="232"/>
    </row>
    <row r="473" spans="2:22" hidden="1" x14ac:dyDescent="0.25">
      <c r="B473" s="192"/>
      <c r="C473" s="232"/>
      <c r="D473" s="232"/>
      <c r="E473" s="232"/>
      <c r="F473" s="232"/>
      <c r="G473" s="232"/>
      <c r="H473" s="232"/>
      <c r="I473" s="232"/>
      <c r="J473" s="232"/>
      <c r="K473" s="232"/>
      <c r="L473" s="232"/>
      <c r="M473" s="232"/>
      <c r="N473" s="232"/>
      <c r="O473" s="232"/>
      <c r="P473" s="232"/>
      <c r="Q473" s="232"/>
      <c r="R473" s="232"/>
      <c r="S473" s="232"/>
      <c r="T473" s="232"/>
      <c r="U473" s="232"/>
      <c r="V473" s="232"/>
    </row>
    <row r="474" spans="2:22" hidden="1" x14ac:dyDescent="0.25">
      <c r="B474" s="192"/>
      <c r="C474" s="232"/>
      <c r="D474" s="232"/>
      <c r="E474" s="232"/>
      <c r="F474" s="232"/>
      <c r="G474" s="232"/>
      <c r="H474" s="232"/>
      <c r="I474" s="232"/>
      <c r="J474" s="232"/>
      <c r="K474" s="232"/>
      <c r="L474" s="232"/>
      <c r="M474" s="232"/>
      <c r="N474" s="232"/>
      <c r="O474" s="232"/>
      <c r="P474" s="232"/>
      <c r="Q474" s="232"/>
      <c r="R474" s="232"/>
      <c r="S474" s="232"/>
      <c r="T474" s="232"/>
      <c r="U474" s="232"/>
      <c r="V474" s="232"/>
    </row>
    <row r="475" spans="2:22" hidden="1" x14ac:dyDescent="0.25">
      <c r="B475" s="192"/>
      <c r="C475" s="232"/>
      <c r="D475" s="232"/>
      <c r="E475" s="232"/>
      <c r="F475" s="232"/>
      <c r="G475" s="232"/>
      <c r="H475" s="232"/>
      <c r="I475" s="232"/>
      <c r="J475" s="232"/>
      <c r="K475" s="232"/>
      <c r="L475" s="232"/>
      <c r="M475" s="232"/>
      <c r="N475" s="232"/>
      <c r="O475" s="232"/>
      <c r="P475" s="232"/>
      <c r="Q475" s="232"/>
      <c r="R475" s="232"/>
      <c r="S475" s="232"/>
      <c r="T475" s="232"/>
      <c r="U475" s="232"/>
      <c r="V475" s="232"/>
    </row>
    <row r="476" spans="2:22" hidden="1" x14ac:dyDescent="0.25">
      <c r="B476" s="192"/>
      <c r="C476" s="232"/>
      <c r="D476" s="232"/>
      <c r="E476" s="232"/>
      <c r="F476" s="232"/>
      <c r="G476" s="232"/>
      <c r="H476" s="232"/>
      <c r="I476" s="232"/>
      <c r="J476" s="232"/>
      <c r="K476" s="232"/>
      <c r="L476" s="232"/>
      <c r="M476" s="232"/>
      <c r="N476" s="232"/>
      <c r="O476" s="232"/>
      <c r="P476" s="232"/>
      <c r="Q476" s="232"/>
      <c r="R476" s="232"/>
      <c r="S476" s="232"/>
      <c r="T476" s="232"/>
      <c r="U476" s="232"/>
      <c r="V476" s="232"/>
    </row>
    <row r="477" spans="2:22" hidden="1" x14ac:dyDescent="0.25">
      <c r="B477" s="192"/>
      <c r="C477" s="232"/>
      <c r="D477" s="232"/>
      <c r="E477" s="232"/>
      <c r="F477" s="232"/>
      <c r="G477" s="232"/>
      <c r="H477" s="232"/>
      <c r="I477" s="232"/>
      <c r="J477" s="232"/>
      <c r="K477" s="232"/>
      <c r="L477" s="232"/>
      <c r="M477" s="232"/>
      <c r="N477" s="232"/>
      <c r="O477" s="232"/>
      <c r="P477" s="232"/>
      <c r="Q477" s="232"/>
      <c r="R477" s="232"/>
      <c r="S477" s="232"/>
      <c r="T477" s="232"/>
      <c r="U477" s="232"/>
      <c r="V477" s="232"/>
    </row>
    <row r="478" spans="2:22" hidden="1" x14ac:dyDescent="0.25">
      <c r="B478" s="192"/>
      <c r="C478" s="232"/>
      <c r="D478" s="232"/>
      <c r="E478" s="232"/>
      <c r="F478" s="232"/>
      <c r="G478" s="232"/>
      <c r="H478" s="232"/>
      <c r="I478" s="232"/>
      <c r="J478" s="232"/>
      <c r="K478" s="232"/>
      <c r="L478" s="232"/>
      <c r="M478" s="232"/>
      <c r="N478" s="232"/>
      <c r="O478" s="232"/>
      <c r="P478" s="232"/>
      <c r="Q478" s="232"/>
      <c r="R478" s="232"/>
      <c r="S478" s="232"/>
      <c r="T478" s="232"/>
      <c r="U478" s="232"/>
      <c r="V478" s="232"/>
    </row>
    <row r="479" spans="2:22" hidden="1" x14ac:dyDescent="0.25">
      <c r="B479" s="192"/>
      <c r="C479" s="232"/>
      <c r="D479" s="232"/>
      <c r="E479" s="232"/>
      <c r="F479" s="232"/>
      <c r="G479" s="232"/>
      <c r="H479" s="232"/>
      <c r="I479" s="232"/>
      <c r="J479" s="232"/>
      <c r="K479" s="232"/>
      <c r="L479" s="232"/>
      <c r="M479" s="232"/>
      <c r="N479" s="232"/>
      <c r="O479" s="232"/>
      <c r="P479" s="232"/>
      <c r="Q479" s="232"/>
      <c r="R479" s="232"/>
      <c r="S479" s="232"/>
      <c r="T479" s="232"/>
      <c r="U479" s="232"/>
      <c r="V479" s="232"/>
    </row>
    <row r="480" spans="2:22" hidden="1" x14ac:dyDescent="0.25">
      <c r="B480" s="192"/>
      <c r="C480" s="232"/>
      <c r="D480" s="232"/>
      <c r="E480" s="232"/>
      <c r="F480" s="232"/>
      <c r="G480" s="232"/>
      <c r="H480" s="232"/>
      <c r="I480" s="232"/>
      <c r="J480" s="232"/>
      <c r="K480" s="232"/>
      <c r="L480" s="232"/>
      <c r="M480" s="232"/>
      <c r="N480" s="232"/>
      <c r="O480" s="232"/>
      <c r="P480" s="232"/>
      <c r="Q480" s="232"/>
      <c r="S480" s="232"/>
      <c r="T480" s="232"/>
      <c r="U480" s="232"/>
      <c r="V480" s="232"/>
    </row>
    <row r="481" spans="2:22" hidden="1" x14ac:dyDescent="0.25">
      <c r="B481" s="192"/>
      <c r="C481" s="232"/>
      <c r="D481" s="232"/>
      <c r="E481" s="232"/>
      <c r="F481" s="232"/>
      <c r="G481" s="232"/>
      <c r="H481" s="232"/>
      <c r="I481" s="232"/>
      <c r="J481" s="232"/>
      <c r="K481" s="232"/>
      <c r="L481" s="232"/>
      <c r="M481" s="232"/>
      <c r="N481" s="232"/>
      <c r="O481" s="232"/>
      <c r="P481" s="232"/>
      <c r="Q481" s="232"/>
      <c r="S481" s="232"/>
      <c r="T481" s="232"/>
      <c r="U481" s="232"/>
      <c r="V481" s="232"/>
    </row>
    <row r="482" spans="2:22" hidden="1" x14ac:dyDescent="0.25">
      <c r="B482" s="192"/>
      <c r="C482" s="232"/>
      <c r="D482" s="232"/>
      <c r="E482" s="232"/>
      <c r="F482" s="232"/>
      <c r="G482" s="232"/>
      <c r="H482" s="232"/>
      <c r="T482" s="232"/>
      <c r="U482" s="232"/>
      <c r="V482" s="232"/>
    </row>
    <row r="483" spans="2:22" hidden="1" x14ac:dyDescent="0.25">
      <c r="B483" s="192"/>
      <c r="C483" s="232"/>
      <c r="D483" s="232"/>
      <c r="E483" s="232"/>
      <c r="U483" s="232"/>
      <c r="V483" s="232"/>
    </row>
    <row r="484" spans="2:22" hidden="1" x14ac:dyDescent="0.25">
      <c r="B484" s="192"/>
      <c r="C484" s="232"/>
      <c r="D484" s="232"/>
      <c r="U484" s="232"/>
      <c r="V484" s="232"/>
    </row>
    <row r="485" spans="2:22" x14ac:dyDescent="0.25"/>
    <row r="486" spans="2:22" x14ac:dyDescent="0.25"/>
    <row r="487" spans="2:22" x14ac:dyDescent="0.25"/>
    <row r="488" spans="2:22" x14ac:dyDescent="0.25"/>
    <row r="489" spans="2:22" x14ac:dyDescent="0.25"/>
    <row r="490" spans="2:22" x14ac:dyDescent="0.25"/>
    <row r="491" spans="2:22" x14ac:dyDescent="0.25"/>
    <row r="492" spans="2:22" x14ac:dyDescent="0.25"/>
    <row r="493" spans="2:22" x14ac:dyDescent="0.25"/>
    <row r="494" spans="2:22" x14ac:dyDescent="0.25"/>
    <row r="495" spans="2:22" x14ac:dyDescent="0.25"/>
    <row r="496" spans="2:22" x14ac:dyDescent="0.25"/>
    <row r="497" x14ac:dyDescent="0.25"/>
    <row r="498" x14ac:dyDescent="0.25"/>
    <row r="499" x14ac:dyDescent="0.25"/>
    <row r="500" x14ac:dyDescent="0.25"/>
  </sheetData>
  <sheetProtection formatCells="0" selectLockedCells="1"/>
  <mergeCells count="439">
    <mergeCell ref="I330:L330"/>
    <mergeCell ref="I331:L331"/>
    <mergeCell ref="M329:Q329"/>
    <mergeCell ref="M330:Q330"/>
    <mergeCell ref="D333:H333"/>
    <mergeCell ref="I328:L328"/>
    <mergeCell ref="M328:Q328"/>
    <mergeCell ref="I329:L329"/>
    <mergeCell ref="I323:K323"/>
    <mergeCell ref="I324:K324"/>
    <mergeCell ref="I325:K325"/>
    <mergeCell ref="I326:K326"/>
    <mergeCell ref="I347:L347"/>
    <mergeCell ref="I340:L340"/>
    <mergeCell ref="I341:L341"/>
    <mergeCell ref="D345:H345"/>
    <mergeCell ref="I345:L345"/>
    <mergeCell ref="I346:L346"/>
    <mergeCell ref="I334:L334"/>
    <mergeCell ref="I335:L335"/>
    <mergeCell ref="I333:L333"/>
    <mergeCell ref="D339:H339"/>
    <mergeCell ref="I339:L339"/>
    <mergeCell ref="P312:Q312"/>
    <mergeCell ref="R312:S312"/>
    <mergeCell ref="T312:U312"/>
    <mergeCell ref="F308:G312"/>
    <mergeCell ref="N308:O312"/>
    <mergeCell ref="C312:E312"/>
    <mergeCell ref="H312:I312"/>
    <mergeCell ref="J312:K312"/>
    <mergeCell ref="L312:M312"/>
    <mergeCell ref="T310:U310"/>
    <mergeCell ref="C311:E311"/>
    <mergeCell ref="H311:I311"/>
    <mergeCell ref="J311:K311"/>
    <mergeCell ref="L311:M311"/>
    <mergeCell ref="P311:Q311"/>
    <mergeCell ref="R311:S311"/>
    <mergeCell ref="T311:U311"/>
    <mergeCell ref="R309:S309"/>
    <mergeCell ref="T309:U309"/>
    <mergeCell ref="C310:E310"/>
    <mergeCell ref="H310:I310"/>
    <mergeCell ref="J310:K310"/>
    <mergeCell ref="L310:M310"/>
    <mergeCell ref="P310:Q310"/>
    <mergeCell ref="R310:S310"/>
    <mergeCell ref="P308:Q308"/>
    <mergeCell ref="R308:S308"/>
    <mergeCell ref="T308:U308"/>
    <mergeCell ref="C309:E309"/>
    <mergeCell ref="H309:I309"/>
    <mergeCell ref="J309:K309"/>
    <mergeCell ref="L309:M309"/>
    <mergeCell ref="P309:Q309"/>
    <mergeCell ref="C308:E308"/>
    <mergeCell ref="H308:I308"/>
    <mergeCell ref="J308:K308"/>
    <mergeCell ref="L308:M308"/>
    <mergeCell ref="F301:G301"/>
    <mergeCell ref="F302:G302"/>
    <mergeCell ref="F303:G303"/>
    <mergeCell ref="F304:G304"/>
    <mergeCell ref="C306:U306"/>
    <mergeCell ref="F307:M307"/>
    <mergeCell ref="N307:U307"/>
    <mergeCell ref="L304:M304"/>
    <mergeCell ref="J301:K301"/>
    <mergeCell ref="J302:K302"/>
    <mergeCell ref="J303:K303"/>
    <mergeCell ref="J304:K304"/>
    <mergeCell ref="H301:I301"/>
    <mergeCell ref="H302:I302"/>
    <mergeCell ref="H303:I303"/>
    <mergeCell ref="H304:I304"/>
    <mergeCell ref="R304:S304"/>
    <mergeCell ref="P301:Q301"/>
    <mergeCell ref="P302:Q302"/>
    <mergeCell ref="P303:Q303"/>
    <mergeCell ref="P304:Q304"/>
    <mergeCell ref="N301:O301"/>
    <mergeCell ref="N302:O302"/>
    <mergeCell ref="N303:O303"/>
    <mergeCell ref="N304:O304"/>
    <mergeCell ref="C304:E304"/>
    <mergeCell ref="F299:M299"/>
    <mergeCell ref="N299:U299"/>
    <mergeCell ref="C298:U298"/>
    <mergeCell ref="T301:U301"/>
    <mergeCell ref="T302:U302"/>
    <mergeCell ref="T303:U303"/>
    <mergeCell ref="T304:U304"/>
    <mergeCell ref="R301:S301"/>
    <mergeCell ref="R302:S302"/>
    <mergeCell ref="R300:S300"/>
    <mergeCell ref="T300:U300"/>
    <mergeCell ref="C300:E300"/>
    <mergeCell ref="C301:E301"/>
    <mergeCell ref="C302:E302"/>
    <mergeCell ref="C303:E303"/>
    <mergeCell ref="R303:S303"/>
    <mergeCell ref="L301:M301"/>
    <mergeCell ref="L302:M302"/>
    <mergeCell ref="L303:M303"/>
    <mergeCell ref="F300:G300"/>
    <mergeCell ref="H300:I300"/>
    <mergeCell ref="J300:K300"/>
    <mergeCell ref="L300:M300"/>
    <mergeCell ref="N300:O300"/>
    <mergeCell ref="P300:Q300"/>
    <mergeCell ref="G291:H291"/>
    <mergeCell ref="G292:H292"/>
    <mergeCell ref="G293:H293"/>
    <mergeCell ref="G294:H294"/>
    <mergeCell ref="D289:T289"/>
    <mergeCell ref="K293:L293"/>
    <mergeCell ref="K294:L294"/>
    <mergeCell ref="I291:J291"/>
    <mergeCell ref="I292:J292"/>
    <mergeCell ref="I293:J293"/>
    <mergeCell ref="I294:J294"/>
    <mergeCell ref="O291:P291"/>
    <mergeCell ref="O292:P292"/>
    <mergeCell ref="O293:P293"/>
    <mergeCell ref="O294:P294"/>
    <mergeCell ref="M291:N291"/>
    <mergeCell ref="M292:N292"/>
    <mergeCell ref="M293:N293"/>
    <mergeCell ref="M294:N294"/>
    <mergeCell ref="Q290:R290"/>
    <mergeCell ref="S291:T291"/>
    <mergeCell ref="D291:F291"/>
    <mergeCell ref="D292:F292"/>
    <mergeCell ref="D293:F293"/>
    <mergeCell ref="D294:F294"/>
    <mergeCell ref="S290:T290"/>
    <mergeCell ref="O290:P290"/>
    <mergeCell ref="M290:N290"/>
    <mergeCell ref="D290:F290"/>
    <mergeCell ref="K290:L290"/>
    <mergeCell ref="I290:J290"/>
    <mergeCell ref="G290:H290"/>
    <mergeCell ref="S292:T292"/>
    <mergeCell ref="S293:T293"/>
    <mergeCell ref="S294:T294"/>
    <mergeCell ref="Q291:R291"/>
    <mergeCell ref="K291:L291"/>
    <mergeCell ref="K292:L292"/>
    <mergeCell ref="Q292:R292"/>
    <mergeCell ref="Q293:R293"/>
    <mergeCell ref="Q294:R294"/>
    <mergeCell ref="E279:H279"/>
    <mergeCell ref="E280:H280"/>
    <mergeCell ref="E281:H281"/>
    <mergeCell ref="E282:H282"/>
    <mergeCell ref="E283:H283"/>
    <mergeCell ref="E284:H284"/>
    <mergeCell ref="E285:H285"/>
    <mergeCell ref="E286:H286"/>
    <mergeCell ref="E287:H287"/>
    <mergeCell ref="I279:L279"/>
    <mergeCell ref="I280:L280"/>
    <mergeCell ref="I281:L281"/>
    <mergeCell ref="I282:L282"/>
    <mergeCell ref="I283:L283"/>
    <mergeCell ref="I284:L284"/>
    <mergeCell ref="I285:L285"/>
    <mergeCell ref="I286:L286"/>
    <mergeCell ref="I287:L287"/>
    <mergeCell ref="Q285:S285"/>
    <mergeCell ref="Q286:S286"/>
    <mergeCell ref="Q287:S287"/>
    <mergeCell ref="M279:P279"/>
    <mergeCell ref="M280:P280"/>
    <mergeCell ref="M281:P281"/>
    <mergeCell ref="M282:P282"/>
    <mergeCell ref="M283:P283"/>
    <mergeCell ref="M284:P284"/>
    <mergeCell ref="M285:P285"/>
    <mergeCell ref="Q279:S279"/>
    <mergeCell ref="Q280:S280"/>
    <mergeCell ref="Q281:S281"/>
    <mergeCell ref="Q282:S282"/>
    <mergeCell ref="Q283:S283"/>
    <mergeCell ref="Q284:S284"/>
    <mergeCell ref="M286:P286"/>
    <mergeCell ref="M287:P287"/>
    <mergeCell ref="I277:L277"/>
    <mergeCell ref="I278:L278"/>
    <mergeCell ref="E271:H271"/>
    <mergeCell ref="E272:H272"/>
    <mergeCell ref="E273:H273"/>
    <mergeCell ref="E274:H274"/>
    <mergeCell ref="E275:H275"/>
    <mergeCell ref="E276:H276"/>
    <mergeCell ref="E277:H277"/>
    <mergeCell ref="E278:H278"/>
    <mergeCell ref="I271:L271"/>
    <mergeCell ref="I272:L272"/>
    <mergeCell ref="I273:L273"/>
    <mergeCell ref="I274:L274"/>
    <mergeCell ref="I275:L275"/>
    <mergeCell ref="I276:L276"/>
    <mergeCell ref="Q277:S277"/>
    <mergeCell ref="Q278:S278"/>
    <mergeCell ref="M271:P271"/>
    <mergeCell ref="M272:P272"/>
    <mergeCell ref="M273:P273"/>
    <mergeCell ref="M274:P274"/>
    <mergeCell ref="M275:P275"/>
    <mergeCell ref="M276:P276"/>
    <mergeCell ref="M277:P277"/>
    <mergeCell ref="M278:P278"/>
    <mergeCell ref="Q271:S271"/>
    <mergeCell ref="Q272:S272"/>
    <mergeCell ref="Q273:S273"/>
    <mergeCell ref="Q274:S274"/>
    <mergeCell ref="Q275:S275"/>
    <mergeCell ref="Q276:S276"/>
    <mergeCell ref="Q270:S270"/>
    <mergeCell ref="M270:P270"/>
    <mergeCell ref="I270:L270"/>
    <mergeCell ref="E270:H270"/>
    <mergeCell ref="E266:I266"/>
    <mergeCell ref="E267:I267"/>
    <mergeCell ref="E236:S236"/>
    <mergeCell ref="E237:S237"/>
    <mergeCell ref="E269:S269"/>
    <mergeCell ref="J265:N265"/>
    <mergeCell ref="J266:N266"/>
    <mergeCell ref="J267:N267"/>
    <mergeCell ref="E259:I259"/>
    <mergeCell ref="E260:I260"/>
    <mergeCell ref="E261:I261"/>
    <mergeCell ref="E262:I262"/>
    <mergeCell ref="E263:I263"/>
    <mergeCell ref="E264:I264"/>
    <mergeCell ref="E265:I265"/>
    <mergeCell ref="O264:S264"/>
    <mergeCell ref="O265:S265"/>
    <mergeCell ref="O266:S266"/>
    <mergeCell ref="O267:S267"/>
    <mergeCell ref="J259:N259"/>
    <mergeCell ref="J261:N261"/>
    <mergeCell ref="J262:N262"/>
    <mergeCell ref="J263:N263"/>
    <mergeCell ref="J264:N264"/>
    <mergeCell ref="O258:S258"/>
    <mergeCell ref="O259:S259"/>
    <mergeCell ref="O260:S260"/>
    <mergeCell ref="O261:S261"/>
    <mergeCell ref="O262:S262"/>
    <mergeCell ref="O263:S263"/>
    <mergeCell ref="O256:S256"/>
    <mergeCell ref="O257:S257"/>
    <mergeCell ref="O246:S246"/>
    <mergeCell ref="O247:S247"/>
    <mergeCell ref="O248:S248"/>
    <mergeCell ref="O249:S249"/>
    <mergeCell ref="O250:S250"/>
    <mergeCell ref="O251:S251"/>
    <mergeCell ref="J260:N260"/>
    <mergeCell ref="J258:N258"/>
    <mergeCell ref="J252:N252"/>
    <mergeCell ref="J253:N253"/>
    <mergeCell ref="J254:N254"/>
    <mergeCell ref="J255:N255"/>
    <mergeCell ref="O252:S252"/>
    <mergeCell ref="O253:S253"/>
    <mergeCell ref="O254:S254"/>
    <mergeCell ref="O255:S255"/>
    <mergeCell ref="O242:S242"/>
    <mergeCell ref="O243:S243"/>
    <mergeCell ref="O244:S244"/>
    <mergeCell ref="O245:S245"/>
    <mergeCell ref="J250:N250"/>
    <mergeCell ref="J251:N251"/>
    <mergeCell ref="J244:N244"/>
    <mergeCell ref="J245:N245"/>
    <mergeCell ref="J246:N246"/>
    <mergeCell ref="J247:N247"/>
    <mergeCell ref="J248:N248"/>
    <mergeCell ref="J249:N249"/>
    <mergeCell ref="E254:I254"/>
    <mergeCell ref="E255:I255"/>
    <mergeCell ref="E256:I256"/>
    <mergeCell ref="E257:I257"/>
    <mergeCell ref="E258:I258"/>
    <mergeCell ref="J239:N239"/>
    <mergeCell ref="J240:N240"/>
    <mergeCell ref="J241:N241"/>
    <mergeCell ref="J242:N242"/>
    <mergeCell ref="J243:N243"/>
    <mergeCell ref="E248:I248"/>
    <mergeCell ref="E249:I249"/>
    <mergeCell ref="E250:I250"/>
    <mergeCell ref="E251:I251"/>
    <mergeCell ref="E252:I252"/>
    <mergeCell ref="E253:I253"/>
    <mergeCell ref="E242:I242"/>
    <mergeCell ref="E243:I243"/>
    <mergeCell ref="E244:I244"/>
    <mergeCell ref="E245:I245"/>
    <mergeCell ref="E246:I246"/>
    <mergeCell ref="E247:I247"/>
    <mergeCell ref="J256:N256"/>
    <mergeCell ref="J257:N257"/>
    <mergeCell ref="E238:I238"/>
    <mergeCell ref="J238:N238"/>
    <mergeCell ref="O238:S238"/>
    <mergeCell ref="E239:I239"/>
    <mergeCell ref="E240:I240"/>
    <mergeCell ref="E241:I241"/>
    <mergeCell ref="I211:R217"/>
    <mergeCell ref="I218:R219"/>
    <mergeCell ref="I221:K221"/>
    <mergeCell ref="L221:N221"/>
    <mergeCell ref="L222:N222"/>
    <mergeCell ref="F203:H231"/>
    <mergeCell ref="O239:S239"/>
    <mergeCell ref="O240:S240"/>
    <mergeCell ref="O241:S241"/>
    <mergeCell ref="F178:H196"/>
    <mergeCell ref="I200:R202"/>
    <mergeCell ref="F200:H202"/>
    <mergeCell ref="I203:R210"/>
    <mergeCell ref="Q190:R190"/>
    <mergeCell ref="Q191:R191"/>
    <mergeCell ref="Q192:R192"/>
    <mergeCell ref="Q194:R194"/>
    <mergeCell ref="Q196:R196"/>
    <mergeCell ref="I196:K196"/>
    <mergeCell ref="I178:R181"/>
    <mergeCell ref="I190:K192"/>
    <mergeCell ref="Q183:R183"/>
    <mergeCell ref="Q184:R184"/>
    <mergeCell ref="Q185:R185"/>
    <mergeCell ref="Q186:R186"/>
    <mergeCell ref="Q187:R187"/>
    <mergeCell ref="Q188:R188"/>
    <mergeCell ref="Q189:R189"/>
    <mergeCell ref="L163:N163"/>
    <mergeCell ref="O163:Q163"/>
    <mergeCell ref="L164:N164"/>
    <mergeCell ref="O164:Q164"/>
    <mergeCell ref="F129:H164"/>
    <mergeCell ref="I168:R177"/>
    <mergeCell ref="F168:H177"/>
    <mergeCell ref="I163:K163"/>
    <mergeCell ref="I164:K164"/>
    <mergeCell ref="L159:N159"/>
    <mergeCell ref="O159:Q159"/>
    <mergeCell ref="L160:N160"/>
    <mergeCell ref="O160:Q160"/>
    <mergeCell ref="L161:N161"/>
    <mergeCell ref="O161:Q161"/>
    <mergeCell ref="L162:N162"/>
    <mergeCell ref="O162:Q162"/>
    <mergeCell ref="N155:Q155"/>
    <mergeCell ref="N156:Q156"/>
    <mergeCell ref="I159:K159"/>
    <mergeCell ref="I160:K160"/>
    <mergeCell ref="I161:K161"/>
    <mergeCell ref="I162:K162"/>
    <mergeCell ref="I153:M153"/>
    <mergeCell ref="N153:Q153"/>
    <mergeCell ref="N154:Q154"/>
    <mergeCell ref="I135:R142"/>
    <mergeCell ref="F123:H128"/>
    <mergeCell ref="I145:L145"/>
    <mergeCell ref="I151:S152"/>
    <mergeCell ref="F103:H119"/>
    <mergeCell ref="I123:R128"/>
    <mergeCell ref="I129:R134"/>
    <mergeCell ref="I103:R108"/>
    <mergeCell ref="I109:R111"/>
    <mergeCell ref="I116:K116"/>
    <mergeCell ref="L116:N116"/>
    <mergeCell ref="L117:N117"/>
    <mergeCell ref="L118:N118"/>
    <mergeCell ref="L119:N119"/>
    <mergeCell ref="M89:N89"/>
    <mergeCell ref="M90:N90"/>
    <mergeCell ref="M91:N91"/>
    <mergeCell ref="I88:J91"/>
    <mergeCell ref="F45:H91"/>
    <mergeCell ref="I96:R102"/>
    <mergeCell ref="F96:H102"/>
    <mergeCell ref="I84:J86"/>
    <mergeCell ref="K84:N84"/>
    <mergeCell ref="M85:N85"/>
    <mergeCell ref="P84:T86"/>
    <mergeCell ref="I74:J82"/>
    <mergeCell ref="M74:R74"/>
    <mergeCell ref="M75:R75"/>
    <mergeCell ref="M76:R76"/>
    <mergeCell ref="M77:R77"/>
    <mergeCell ref="M78:R78"/>
    <mergeCell ref="M79:R79"/>
    <mergeCell ref="M80:R80"/>
    <mergeCell ref="M81:R81"/>
    <mergeCell ref="M82:R82"/>
    <mergeCell ref="I66:R68"/>
    <mergeCell ref="I70:K70"/>
    <mergeCell ref="I71:K71"/>
    <mergeCell ref="H28:O28"/>
    <mergeCell ref="L70:N70"/>
    <mergeCell ref="L71:N71"/>
    <mergeCell ref="I50:R52"/>
    <mergeCell ref="I53:R56"/>
    <mergeCell ref="I57:R58"/>
    <mergeCell ref="I59:R64"/>
    <mergeCell ref="P28:R28"/>
    <mergeCell ref="P21:R21"/>
    <mergeCell ref="B6:F13"/>
    <mergeCell ref="M86:N86"/>
    <mergeCell ref="M88:N88"/>
    <mergeCell ref="I45:R49"/>
    <mergeCell ref="I37:R43"/>
    <mergeCell ref="F37:H43"/>
    <mergeCell ref="H29:O29"/>
    <mergeCell ref="H30:O30"/>
    <mergeCell ref="P29:R29"/>
    <mergeCell ref="P30:R30"/>
    <mergeCell ref="P22:R22"/>
    <mergeCell ref="P23:R23"/>
    <mergeCell ref="P24:R24"/>
    <mergeCell ref="P25:R25"/>
    <mergeCell ref="P26:R26"/>
    <mergeCell ref="P27:R27"/>
    <mergeCell ref="H21:O21"/>
    <mergeCell ref="H22:O22"/>
    <mergeCell ref="H23:O23"/>
    <mergeCell ref="H24:O24"/>
    <mergeCell ref="H25:O25"/>
    <mergeCell ref="H26:O26"/>
    <mergeCell ref="H27:O27"/>
    <mergeCell ref="E19:I19"/>
  </mergeCells>
  <conditionalFormatting sqref="E22:R30">
    <cfRule type="expression" dxfId="12" priority="1">
      <formula>IF($J$19&lt;(ROW($E22)-20),TRUE,FALSE)</formula>
    </cfRule>
  </conditionalFormatting>
  <pageMargins left="0.7" right="0.7" top="0.75" bottom="0.75" header="0.3" footer="0.3"/>
  <drawing r:id="rId1"/>
  <legacyDrawing r:id="rId2"/>
  <oleObjects>
    <mc:AlternateContent xmlns:mc="http://schemas.openxmlformats.org/markup-compatibility/2006">
      <mc:Choice Requires="x14">
        <oleObject progId="Equation.3" shapeId="16387" r:id="rId3">
          <objectPr defaultSize="0" autoPict="0" r:id="rId4">
            <anchor moveWithCells="1">
              <from>
                <xdr:col>8</xdr:col>
                <xdr:colOff>0</xdr:colOff>
                <xdr:row>111</xdr:row>
                <xdr:rowOff>0</xdr:rowOff>
              </from>
              <to>
                <xdr:col>18</xdr:col>
                <xdr:colOff>0</xdr:colOff>
                <xdr:row>115</xdr:row>
                <xdr:rowOff>0</xdr:rowOff>
              </to>
            </anchor>
          </objectPr>
        </oleObject>
      </mc:Choice>
      <mc:Fallback>
        <oleObject progId="Equation.3" shapeId="16387" r:id="rId3"/>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14:formula1>
            <xm:f>Variables!$AS$2:$AS$11</xm:f>
          </x14:formula1>
          <xm:sqref>J19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41"/>
  <sheetViews>
    <sheetView showGridLines="0" zoomScaleNormal="100" workbookViewId="0">
      <selection activeCell="K36" sqref="K36:L36"/>
    </sheetView>
  </sheetViews>
  <sheetFormatPr defaultColWidth="0" defaultRowHeight="15" zeroHeight="1" x14ac:dyDescent="0.25"/>
  <cols>
    <col min="1" max="1" width="2.85546875" style="21" customWidth="1"/>
    <col min="2" max="21" width="8.85546875" customWidth="1"/>
    <col min="22" max="22" width="8.85546875" style="176" customWidth="1"/>
    <col min="23" max="23" width="2.85546875" style="21" customWidth="1"/>
    <col min="24" max="29" width="0" style="1" hidden="1" customWidth="1"/>
    <col min="30"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x14ac:dyDescent="0.25">
      <c r="A6" s="21"/>
      <c r="B6" s="1126" t="s">
        <v>1223</v>
      </c>
      <c r="C6" s="879"/>
      <c r="D6" s="879"/>
      <c r="E6" s="879"/>
      <c r="F6" s="880"/>
      <c r="G6" s="276"/>
      <c r="H6" s="277"/>
      <c r="I6" s="277"/>
      <c r="J6" s="277"/>
      <c r="K6" s="277"/>
      <c r="L6" s="277"/>
      <c r="M6" s="277"/>
      <c r="N6" s="277"/>
      <c r="O6" s="277"/>
      <c r="P6" s="277"/>
      <c r="Q6" s="278"/>
      <c r="R6" s="278"/>
      <c r="S6" s="278"/>
      <c r="T6" s="278"/>
      <c r="U6" s="278"/>
      <c r="V6" s="279"/>
      <c r="W6" s="21"/>
      <c r="X6" s="21"/>
      <c r="Y6" s="21"/>
      <c r="Z6" s="21"/>
      <c r="AA6" s="21"/>
      <c r="AB6" s="21"/>
    </row>
    <row r="7" spans="1:28" s="24" customFormat="1" x14ac:dyDescent="0.25">
      <c r="A7" s="21"/>
      <c r="B7" s="881"/>
      <c r="C7" s="882"/>
      <c r="D7" s="882"/>
      <c r="E7" s="882"/>
      <c r="F7" s="883"/>
      <c r="G7" s="280"/>
      <c r="H7" s="231"/>
      <c r="I7" s="231"/>
      <c r="J7" s="231"/>
      <c r="K7" s="231"/>
      <c r="L7" s="231"/>
      <c r="M7" s="231"/>
      <c r="N7" s="231"/>
      <c r="O7" s="231"/>
      <c r="P7" s="231"/>
      <c r="Q7" s="229"/>
      <c r="R7" s="229"/>
      <c r="S7" s="229"/>
      <c r="T7" s="229"/>
      <c r="U7" s="229"/>
      <c r="V7" s="281"/>
      <c r="W7" s="21"/>
      <c r="X7" s="21"/>
      <c r="Y7" s="21"/>
      <c r="Z7" s="21"/>
      <c r="AA7" s="21"/>
      <c r="AB7" s="21"/>
    </row>
    <row r="8" spans="1:28" s="24" customFormat="1" x14ac:dyDescent="0.25">
      <c r="A8" s="21"/>
      <c r="B8" s="881"/>
      <c r="C8" s="882"/>
      <c r="D8" s="882"/>
      <c r="E8" s="882"/>
      <c r="F8" s="883"/>
      <c r="G8" s="280"/>
      <c r="H8" s="231"/>
      <c r="I8" s="231"/>
      <c r="J8" s="231"/>
      <c r="K8" s="231"/>
      <c r="L8" s="231"/>
      <c r="M8" s="231"/>
      <c r="N8" s="231"/>
      <c r="O8" s="231"/>
      <c r="P8" s="231"/>
      <c r="Q8" s="229"/>
      <c r="R8" s="229"/>
      <c r="S8" s="229"/>
      <c r="T8" s="229"/>
      <c r="U8" s="229"/>
      <c r="V8" s="281"/>
      <c r="W8" s="21"/>
      <c r="X8" s="21"/>
      <c r="Y8" s="21"/>
      <c r="Z8" s="21"/>
      <c r="AA8" s="21"/>
      <c r="AB8" s="21"/>
    </row>
    <row r="9" spans="1:28" s="24" customFormat="1" x14ac:dyDescent="0.25">
      <c r="A9" s="21"/>
      <c r="B9" s="881"/>
      <c r="C9" s="882"/>
      <c r="D9" s="882"/>
      <c r="E9" s="882"/>
      <c r="F9" s="883"/>
      <c r="G9" s="280"/>
      <c r="H9" s="231"/>
      <c r="I9" s="231"/>
      <c r="J9" s="231"/>
      <c r="K9" s="231"/>
      <c r="L9" s="231"/>
      <c r="M9" s="231"/>
      <c r="N9" s="231"/>
      <c r="O9" s="231"/>
      <c r="P9" s="231"/>
      <c r="Q9" s="229"/>
      <c r="R9" s="229"/>
      <c r="S9" s="229"/>
      <c r="T9" s="229"/>
      <c r="U9" s="229"/>
      <c r="V9" s="281"/>
      <c r="W9" s="21"/>
      <c r="X9" s="21"/>
      <c r="Y9" s="21"/>
      <c r="Z9" s="21"/>
      <c r="AA9" s="21"/>
      <c r="AB9" s="21"/>
    </row>
    <row r="10" spans="1:28" s="24" customFormat="1" x14ac:dyDescent="0.25">
      <c r="A10" s="21"/>
      <c r="B10" s="881"/>
      <c r="C10" s="882"/>
      <c r="D10" s="882"/>
      <c r="E10" s="882"/>
      <c r="F10" s="883"/>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x14ac:dyDescent="0.25">
      <c r="A11" s="21"/>
      <c r="B11" s="881"/>
      <c r="C11" s="882"/>
      <c r="D11" s="882"/>
      <c r="E11" s="882"/>
      <c r="F11" s="883"/>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x14ac:dyDescent="0.25">
      <c r="A12" s="21"/>
      <c r="B12" s="881"/>
      <c r="C12" s="882"/>
      <c r="D12" s="882"/>
      <c r="E12" s="882"/>
      <c r="F12" s="883"/>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75" thickBot="1" x14ac:dyDescent="0.3">
      <c r="A13" s="21"/>
      <c r="B13" s="884"/>
      <c r="C13" s="885"/>
      <c r="D13" s="885"/>
      <c r="E13" s="885"/>
      <c r="F13" s="886"/>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ht="18.75" x14ac:dyDescent="0.3">
      <c r="B16" s="221"/>
      <c r="C16" s="224"/>
      <c r="D16" s="224"/>
      <c r="E16" s="224"/>
      <c r="F16" s="224"/>
      <c r="G16" s="224"/>
      <c r="H16" s="224"/>
      <c r="I16" s="224"/>
      <c r="J16" s="224"/>
      <c r="K16" s="224"/>
      <c r="L16" s="224"/>
      <c r="M16" s="224"/>
      <c r="N16" s="224"/>
      <c r="O16" s="224"/>
      <c r="P16" s="224"/>
      <c r="Q16" s="224"/>
      <c r="R16" s="224"/>
      <c r="S16" s="224"/>
      <c r="T16" s="224"/>
      <c r="U16" s="224"/>
      <c r="V16" s="224"/>
    </row>
    <row r="17" spans="1:28" ht="18.75" x14ac:dyDescent="0.3">
      <c r="B17" s="213" t="s">
        <v>1226</v>
      </c>
      <c r="C17" s="224"/>
      <c r="D17" s="224"/>
      <c r="E17" s="224"/>
      <c r="F17" s="224"/>
      <c r="G17" s="224"/>
      <c r="H17" s="224"/>
      <c r="I17" s="224"/>
      <c r="J17" s="224"/>
      <c r="K17" s="224"/>
      <c r="L17" s="224"/>
      <c r="M17" s="224"/>
      <c r="N17" s="224"/>
      <c r="O17" s="224"/>
      <c r="P17" s="224"/>
      <c r="Q17" s="224"/>
      <c r="R17" s="224"/>
      <c r="S17" s="224"/>
      <c r="T17" s="224"/>
      <c r="U17" s="224"/>
      <c r="V17" s="224"/>
    </row>
    <row r="18" spans="1:28" x14ac:dyDescent="0.25">
      <c r="B18" s="224"/>
      <c r="C18" s="224"/>
      <c r="D18" s="224"/>
      <c r="E18" s="224"/>
      <c r="F18" s="224"/>
      <c r="G18" s="224"/>
      <c r="H18" s="224"/>
      <c r="I18" s="932" t="s">
        <v>1392</v>
      </c>
      <c r="J18" s="933"/>
      <c r="K18" s="933"/>
      <c r="L18" s="933"/>
      <c r="M18" s="933"/>
      <c r="N18" s="933"/>
      <c r="O18" s="933"/>
      <c r="P18" s="933"/>
      <c r="Q18" s="933"/>
      <c r="R18" s="934"/>
      <c r="S18" s="224"/>
      <c r="T18" s="224"/>
      <c r="U18" s="224"/>
      <c r="V18" s="224"/>
    </row>
    <row r="19" spans="1:28" x14ac:dyDescent="0.25">
      <c r="B19" s="224"/>
      <c r="C19" s="224"/>
      <c r="D19" s="224"/>
      <c r="E19" s="224"/>
      <c r="F19" s="224"/>
      <c r="G19" s="1124" t="s">
        <v>1227</v>
      </c>
      <c r="H19" s="1125"/>
      <c r="I19" s="1124" t="s">
        <v>763</v>
      </c>
      <c r="J19" s="1125"/>
      <c r="K19" s="1124" t="s">
        <v>764</v>
      </c>
      <c r="L19" s="1125"/>
      <c r="M19" s="1124" t="s">
        <v>765</v>
      </c>
      <c r="N19" s="1125"/>
      <c r="O19" s="1124" t="s">
        <v>766</v>
      </c>
      <c r="P19" s="1125"/>
      <c r="Q19" s="1124" t="s">
        <v>767</v>
      </c>
      <c r="R19" s="1125"/>
      <c r="S19" s="224"/>
      <c r="T19" s="234"/>
      <c r="U19" s="234"/>
      <c r="V19" s="234"/>
    </row>
    <row r="20" spans="1:28" x14ac:dyDescent="0.25">
      <c r="B20" s="224"/>
      <c r="C20" s="224"/>
      <c r="D20" s="14" t="s">
        <v>327</v>
      </c>
      <c r="E20" s="15"/>
      <c r="F20" s="16"/>
      <c r="G20" s="1120">
        <f>IF(ISNUMBER(HLOOKUP(Input!M17,Country!$D$210:$AI$218,2,FALSE)),HLOOKUP(Input!M17,Country!$D$210:$AI$218,2,FALSE),"Please Enter Data")</f>
        <v>3.0000000000000027E-2</v>
      </c>
      <c r="H20" s="1120"/>
      <c r="I20" s="1121">
        <v>0.03</v>
      </c>
      <c r="J20" s="1121"/>
      <c r="K20" s="1121">
        <v>0.03</v>
      </c>
      <c r="L20" s="1121"/>
      <c r="M20" s="1121">
        <v>0.03</v>
      </c>
      <c r="N20" s="1121"/>
      <c r="O20" s="1121">
        <v>0.03</v>
      </c>
      <c r="P20" s="1121"/>
      <c r="Q20" s="1121">
        <v>0.03</v>
      </c>
      <c r="R20" s="1121"/>
      <c r="S20" s="224"/>
      <c r="T20" s="234"/>
      <c r="U20" s="234"/>
      <c r="V20" s="234"/>
    </row>
    <row r="21" spans="1:28" x14ac:dyDescent="0.25">
      <c r="B21" s="224"/>
      <c r="C21" s="224"/>
      <c r="D21" s="1099" t="s">
        <v>328</v>
      </c>
      <c r="E21" s="1100"/>
      <c r="F21" s="1101"/>
      <c r="G21" s="1120">
        <f>G$20</f>
        <v>3.0000000000000027E-2</v>
      </c>
      <c r="H21" s="1120"/>
      <c r="I21" s="1121">
        <f>I43/100</f>
        <v>1.4999999999999999E-2</v>
      </c>
      <c r="J21" s="1121"/>
      <c r="K21" s="1121">
        <f>I48/100</f>
        <v>0.01</v>
      </c>
      <c r="L21" s="1121"/>
      <c r="M21" s="1122">
        <f>I53/100</f>
        <v>0.02</v>
      </c>
      <c r="N21" s="1123"/>
      <c r="O21" s="1121">
        <f>I58/100</f>
        <v>0.03</v>
      </c>
      <c r="P21" s="1121"/>
      <c r="Q21" s="1121">
        <f>I63/100</f>
        <v>0.03</v>
      </c>
      <c r="R21" s="1121"/>
      <c r="S21" s="224"/>
      <c r="T21" s="234"/>
      <c r="U21" s="234"/>
      <c r="V21" s="234"/>
    </row>
    <row r="22" spans="1:28" x14ac:dyDescent="0.25">
      <c r="B22" s="224"/>
      <c r="C22" s="224"/>
      <c r="D22" s="1099" t="s">
        <v>329</v>
      </c>
      <c r="E22" s="1100"/>
      <c r="F22" s="1101"/>
      <c r="G22" s="1120">
        <f>G$20</f>
        <v>3.0000000000000027E-2</v>
      </c>
      <c r="H22" s="1120"/>
      <c r="I22" s="1121">
        <f>I44/100</f>
        <v>5.0000000000000001E-3</v>
      </c>
      <c r="J22" s="1121"/>
      <c r="K22" s="1121">
        <f>I49/100</f>
        <v>0</v>
      </c>
      <c r="L22" s="1121"/>
      <c r="M22" s="1122">
        <f>I54/100</f>
        <v>0.02</v>
      </c>
      <c r="N22" s="1123"/>
      <c r="O22" s="1121">
        <f>I59/100</f>
        <v>0.03</v>
      </c>
      <c r="P22" s="1121"/>
      <c r="Q22" s="1121">
        <f>I64/100</f>
        <v>0.03</v>
      </c>
      <c r="R22" s="1121"/>
      <c r="S22" s="224"/>
      <c r="T22" s="234"/>
      <c r="U22" s="234"/>
      <c r="V22" s="234"/>
    </row>
    <row r="23" spans="1:28" x14ac:dyDescent="0.25">
      <c r="B23" s="224"/>
      <c r="C23" s="224"/>
      <c r="D23" s="1099" t="s">
        <v>330</v>
      </c>
      <c r="E23" s="1100"/>
      <c r="F23" s="1101"/>
      <c r="G23" s="1120">
        <f>G$20</f>
        <v>3.0000000000000027E-2</v>
      </c>
      <c r="H23" s="1120"/>
      <c r="I23" s="1121">
        <f>I45/100</f>
        <v>-0.01</v>
      </c>
      <c r="J23" s="1121"/>
      <c r="K23" s="1121">
        <f>I50/100</f>
        <v>-0.02</v>
      </c>
      <c r="L23" s="1121"/>
      <c r="M23" s="1122">
        <f>I55/100</f>
        <v>0</v>
      </c>
      <c r="N23" s="1123"/>
      <c r="O23" s="1121">
        <f>I60/100</f>
        <v>1.4999999999999999E-2</v>
      </c>
      <c r="P23" s="1121"/>
      <c r="Q23" s="1121">
        <f>I65/100</f>
        <v>0.03</v>
      </c>
      <c r="R23" s="1121"/>
      <c r="S23" s="224"/>
      <c r="T23" s="234"/>
      <c r="U23" s="234"/>
      <c r="V23" s="234"/>
    </row>
    <row r="24" spans="1:28" x14ac:dyDescent="0.25">
      <c r="B24" s="224"/>
      <c r="C24" s="224"/>
      <c r="D24" s="224"/>
      <c r="E24" s="224"/>
      <c r="F24" s="224"/>
      <c r="G24" s="224"/>
      <c r="H24" s="224"/>
      <c r="I24" s="224"/>
      <c r="J24" s="224"/>
      <c r="K24" s="224"/>
      <c r="L24" s="224"/>
      <c r="M24" s="224"/>
      <c r="N24" s="224"/>
      <c r="O24" s="224"/>
      <c r="P24" s="224"/>
      <c r="Q24" s="224"/>
      <c r="R24" s="224"/>
      <c r="S24" s="224"/>
      <c r="T24" s="224"/>
      <c r="U24" s="224"/>
      <c r="V24" s="224"/>
    </row>
    <row r="25" spans="1:28" s="24" customFormat="1" ht="6" customHeight="1" x14ac:dyDescent="0.25">
      <c r="A25" s="21"/>
      <c r="B25" s="199"/>
      <c r="C25" s="199"/>
      <c r="D25" s="199"/>
      <c r="E25" s="199"/>
      <c r="F25" s="199"/>
      <c r="G25" s="199"/>
      <c r="H25" s="199"/>
      <c r="I25" s="200"/>
      <c r="J25" s="200"/>
      <c r="K25" s="199"/>
      <c r="L25" s="199"/>
      <c r="M25" s="199"/>
      <c r="N25" s="199"/>
      <c r="O25" s="199"/>
      <c r="P25" s="199"/>
      <c r="Q25" s="199"/>
      <c r="R25" s="199"/>
      <c r="S25" s="199"/>
      <c r="T25" s="199"/>
      <c r="U25" s="199"/>
      <c r="V25" s="199"/>
      <c r="W25" s="21"/>
      <c r="X25" s="199"/>
      <c r="Y25" s="199"/>
      <c r="Z25" s="199"/>
      <c r="AA25" s="199"/>
      <c r="AB25" s="21"/>
    </row>
    <row r="26" spans="1:28" ht="18.75" x14ac:dyDescent="0.3">
      <c r="B26" s="213" t="s">
        <v>768</v>
      </c>
      <c r="C26" s="191"/>
      <c r="D26" s="191"/>
      <c r="E26" s="191"/>
      <c r="F26" s="191"/>
      <c r="G26" s="191"/>
      <c r="H26" s="191"/>
      <c r="I26" s="191"/>
      <c r="J26" s="191"/>
      <c r="K26" s="191"/>
      <c r="L26" s="191"/>
      <c r="M26" s="191"/>
      <c r="N26" s="191"/>
      <c r="O26" s="191"/>
      <c r="P26" s="191"/>
      <c r="Q26" s="191"/>
      <c r="R26" s="191"/>
      <c r="S26" s="191"/>
      <c r="T26" s="191"/>
      <c r="U26" s="191"/>
      <c r="V26" s="191"/>
    </row>
    <row r="27" spans="1:28" x14ac:dyDescent="0.25">
      <c r="B27" s="234"/>
      <c r="C27" s="191"/>
      <c r="D27" s="191"/>
      <c r="E27" s="191"/>
      <c r="F27" s="191"/>
      <c r="G27" s="191"/>
      <c r="H27" s="191"/>
      <c r="I27" s="191"/>
      <c r="J27" s="191"/>
      <c r="K27" s="1111" t="s">
        <v>1395</v>
      </c>
      <c r="L27" s="1112"/>
      <c r="M27" s="1112"/>
      <c r="N27" s="1112"/>
      <c r="O27" s="1113"/>
      <c r="P27" s="671" t="s">
        <v>1396</v>
      </c>
      <c r="Q27" s="672"/>
      <c r="R27" s="672"/>
      <c r="S27" s="672"/>
      <c r="T27" s="673"/>
      <c r="U27" s="191"/>
      <c r="V27" s="191"/>
    </row>
    <row r="28" spans="1:28" ht="15.75" customHeight="1" x14ac:dyDescent="0.25">
      <c r="B28" s="1105" t="s">
        <v>1393</v>
      </c>
      <c r="C28" s="1106"/>
      <c r="D28" s="1106"/>
      <c r="E28" s="1106"/>
      <c r="F28" s="1106"/>
      <c r="G28" s="1106"/>
      <c r="H28" s="1106"/>
      <c r="I28" s="1107"/>
      <c r="J28" s="191"/>
      <c r="K28" s="1114"/>
      <c r="L28" s="1115"/>
      <c r="M28" s="1115"/>
      <c r="N28" s="1115"/>
      <c r="O28" s="1116"/>
      <c r="P28" s="674"/>
      <c r="Q28" s="675"/>
      <c r="R28" s="675"/>
      <c r="S28" s="675"/>
      <c r="T28" s="676"/>
      <c r="U28" s="191"/>
      <c r="V28" s="191"/>
    </row>
    <row r="29" spans="1:28" ht="15.75" customHeight="1" x14ac:dyDescent="0.25">
      <c r="B29" s="1108"/>
      <c r="C29" s="1109"/>
      <c r="D29" s="1109"/>
      <c r="E29" s="1109"/>
      <c r="F29" s="1109"/>
      <c r="G29" s="1109"/>
      <c r="H29" s="1109"/>
      <c r="I29" s="1110"/>
      <c r="J29" s="234"/>
      <c r="K29" s="1117"/>
      <c r="L29" s="1118"/>
      <c r="M29" s="1118"/>
      <c r="N29" s="1118"/>
      <c r="O29" s="1119"/>
      <c r="P29" s="677"/>
      <c r="Q29" s="678"/>
      <c r="R29" s="678"/>
      <c r="S29" s="678"/>
      <c r="T29" s="679"/>
      <c r="U29" s="234"/>
      <c r="V29" s="234"/>
    </row>
    <row r="30" spans="1:28" ht="15.75" customHeight="1" x14ac:dyDescent="0.25">
      <c r="B30" s="234"/>
      <c r="C30" s="234"/>
      <c r="D30" s="234"/>
      <c r="E30" s="234"/>
      <c r="F30" s="234"/>
      <c r="G30" s="234"/>
      <c r="H30" s="234"/>
      <c r="I30" s="234"/>
      <c r="J30" s="234"/>
      <c r="K30" s="234"/>
      <c r="L30" s="234"/>
      <c r="M30" s="234"/>
      <c r="N30" s="234"/>
      <c r="O30" s="234"/>
      <c r="P30" s="234"/>
      <c r="Q30" s="234"/>
      <c r="R30" s="234"/>
      <c r="S30" s="234"/>
      <c r="T30" s="234"/>
      <c r="U30" s="234"/>
      <c r="V30" s="234"/>
    </row>
    <row r="31" spans="1:28" ht="18.75" x14ac:dyDescent="0.3">
      <c r="B31" s="215"/>
      <c r="C31" s="457" t="s">
        <v>1404</v>
      </c>
      <c r="D31" s="1102" t="s">
        <v>772</v>
      </c>
      <c r="E31" s="1103"/>
      <c r="F31" s="1103"/>
      <c r="G31" s="1104"/>
      <c r="H31" s="214"/>
      <c r="I31" s="214"/>
      <c r="J31" s="214"/>
      <c r="K31" s="214"/>
      <c r="L31" s="214"/>
      <c r="M31" s="214"/>
      <c r="N31" s="214"/>
      <c r="O31" s="214"/>
      <c r="P31" s="214"/>
      <c r="Q31" s="214"/>
      <c r="R31" s="214"/>
      <c r="S31" s="214"/>
      <c r="T31" s="214"/>
      <c r="U31" s="214"/>
      <c r="V31" s="214"/>
    </row>
    <row r="32" spans="1:28" x14ac:dyDescent="0.25">
      <c r="B32" s="456"/>
      <c r="C32" s="451"/>
      <c r="D32" s="451"/>
      <c r="E32" s="451"/>
      <c r="F32" s="451"/>
      <c r="G32" s="451"/>
      <c r="H32" s="451"/>
      <c r="I32" s="451"/>
      <c r="J32" s="451"/>
      <c r="K32" s="451"/>
      <c r="L32" s="451"/>
      <c r="M32" s="451"/>
      <c r="N32" s="451"/>
      <c r="O32" s="451"/>
      <c r="P32" s="451"/>
      <c r="Q32" s="451"/>
      <c r="R32" s="451"/>
      <c r="S32" s="451"/>
      <c r="T32" s="451"/>
      <c r="U32" s="451"/>
      <c r="V32" s="451"/>
    </row>
    <row r="33" spans="2:22" x14ac:dyDescent="0.25">
      <c r="B33" s="191"/>
      <c r="C33" s="191"/>
      <c r="D33" s="191"/>
      <c r="E33" s="191"/>
      <c r="F33" s="191"/>
      <c r="G33" s="191"/>
      <c r="H33" s="191"/>
      <c r="I33" s="191"/>
      <c r="J33" s="191"/>
      <c r="K33" s="191"/>
      <c r="L33" s="191"/>
      <c r="M33" s="191"/>
      <c r="N33" s="191"/>
      <c r="O33" s="191"/>
      <c r="P33" s="191"/>
      <c r="Q33" s="191"/>
      <c r="R33" s="191"/>
      <c r="S33" s="191"/>
      <c r="T33" s="191"/>
      <c r="U33" s="191"/>
      <c r="V33" s="191"/>
    </row>
    <row r="34" spans="2:22" x14ac:dyDescent="0.25">
      <c r="B34" s="191"/>
      <c r="C34" s="191"/>
      <c r="D34" s="844" t="s">
        <v>769</v>
      </c>
      <c r="E34" s="845"/>
      <c r="F34" s="845"/>
      <c r="G34" s="845"/>
      <c r="H34" s="845"/>
      <c r="I34" s="845"/>
      <c r="J34" s="845"/>
      <c r="K34" s="845"/>
      <c r="L34" s="845"/>
      <c r="M34" s="845"/>
      <c r="N34" s="845"/>
      <c r="O34" s="845"/>
      <c r="P34" s="846"/>
      <c r="Q34" s="191"/>
      <c r="R34" s="191"/>
      <c r="S34" s="191"/>
      <c r="T34" s="191"/>
      <c r="U34" s="191"/>
      <c r="V34" s="191"/>
    </row>
    <row r="35" spans="2:22" ht="30" customHeight="1" x14ac:dyDescent="0.25">
      <c r="B35" s="191"/>
      <c r="C35" s="191"/>
      <c r="D35" s="1137" t="s">
        <v>770</v>
      </c>
      <c r="E35" s="1138"/>
      <c r="F35" s="1139"/>
      <c r="G35" s="1142" t="str">
        <f>IF(G39="N/A","N/A","Coefficient"&amp;" "&amp;G39)</f>
        <v>Coefficient NPLs (t-1)</v>
      </c>
      <c r="H35" s="1143" t="str">
        <f>"Coefficient"&amp;" "&amp;H39</f>
        <v xml:space="preserve">Coefficient </v>
      </c>
      <c r="I35" s="1142" t="str">
        <f>IF(I39="N/A","N/A","Coefficient"&amp;" "&amp;I39)</f>
        <v>Coefficient Real GDP (%)</v>
      </c>
      <c r="J35" s="1143" t="str">
        <f>"Coefficient"&amp;" "&amp;J39</f>
        <v xml:space="preserve">Coefficient </v>
      </c>
      <c r="K35" s="1142" t="str">
        <f>IF(K39="N/A","N/A","Coefficient"&amp;" "&amp;K39)</f>
        <v>N/A</v>
      </c>
      <c r="L35" s="1143" t="str">
        <f>"Coefficient"&amp;" "&amp;L39</f>
        <v xml:space="preserve">Coefficient </v>
      </c>
      <c r="M35" s="1142" t="str">
        <f>IF(M39="N/A","N/A","Coefficient"&amp;" "&amp;M39)</f>
        <v>N/A</v>
      </c>
      <c r="N35" s="1143" t="str">
        <f>"Coefficient"&amp;" "&amp;N39</f>
        <v xml:space="preserve">Coefficient </v>
      </c>
      <c r="O35" s="1142" t="str">
        <f>IF(O39="N/A","N/A","Coefficient"&amp;" "&amp;O39)</f>
        <v>N/A</v>
      </c>
      <c r="P35" s="1143" t="str">
        <f>"Coefficient"&amp;" "&amp;P39</f>
        <v xml:space="preserve">Coefficient </v>
      </c>
      <c r="Q35" s="191"/>
      <c r="R35" s="191"/>
      <c r="S35" s="191"/>
      <c r="T35" s="191"/>
      <c r="U35" s="191"/>
      <c r="V35" s="191"/>
    </row>
    <row r="36" spans="2:22" x14ac:dyDescent="0.25">
      <c r="B36" s="191"/>
      <c r="C36" s="191"/>
      <c r="D36" s="1099">
        <v>2.3422000000000001</v>
      </c>
      <c r="E36" s="1100"/>
      <c r="F36" s="1101"/>
      <c r="G36" s="1127">
        <v>0.78190000000000004</v>
      </c>
      <c r="H36" s="1128"/>
      <c r="I36" s="1127">
        <v>-0.3805</v>
      </c>
      <c r="J36" s="1128"/>
      <c r="K36" s="1100"/>
      <c r="L36" s="1101"/>
      <c r="M36" s="1099"/>
      <c r="N36" s="1101"/>
      <c r="O36" s="1099"/>
      <c r="P36" s="1101"/>
      <c r="Q36" s="191"/>
      <c r="R36" s="191"/>
      <c r="S36" s="191"/>
      <c r="T36" s="191"/>
      <c r="U36" s="191"/>
      <c r="V36" s="191"/>
    </row>
    <row r="37" spans="2:22" ht="18.75" customHeight="1" x14ac:dyDescent="0.25">
      <c r="B37" s="191"/>
      <c r="C37" s="191"/>
      <c r="D37" s="191"/>
      <c r="E37" s="191"/>
      <c r="F37" s="191"/>
      <c r="G37" s="191"/>
      <c r="H37" s="191"/>
      <c r="I37" s="191"/>
      <c r="J37" s="191"/>
      <c r="K37" s="191"/>
      <c r="L37" s="191"/>
      <c r="M37" s="191"/>
      <c r="N37" s="191"/>
      <c r="O37" s="191"/>
      <c r="P37" s="191"/>
      <c r="Q37" s="191"/>
      <c r="R37" s="191"/>
      <c r="S37" s="191"/>
      <c r="T37" s="191"/>
      <c r="U37" s="191"/>
      <c r="V37" s="191"/>
    </row>
    <row r="38" spans="2:22" x14ac:dyDescent="0.25">
      <c r="B38" s="191"/>
      <c r="C38" s="191"/>
      <c r="D38" s="234"/>
      <c r="E38" s="234"/>
      <c r="F38" s="234"/>
      <c r="G38" s="844" t="s">
        <v>771</v>
      </c>
      <c r="H38" s="845"/>
      <c r="I38" s="845"/>
      <c r="J38" s="845"/>
      <c r="K38" s="845"/>
      <c r="L38" s="845"/>
      <c r="M38" s="845"/>
      <c r="N38" s="845"/>
      <c r="O38" s="845"/>
      <c r="P38" s="846"/>
      <c r="Q38" s="191"/>
      <c r="R38" s="887" t="str">
        <f>D31</f>
        <v>Country Level NPLs/PDs</v>
      </c>
      <c r="S38" s="964"/>
      <c r="T38" s="964"/>
      <c r="U38" s="888"/>
      <c r="V38" s="191"/>
    </row>
    <row r="39" spans="2:22" ht="30" customHeight="1" x14ac:dyDescent="0.25">
      <c r="B39" s="191"/>
      <c r="C39" s="191"/>
      <c r="D39" s="234"/>
      <c r="E39" s="234"/>
      <c r="F39" s="234"/>
      <c r="G39" s="1140" t="s">
        <v>773</v>
      </c>
      <c r="H39" s="1141"/>
      <c r="I39" s="1140" t="s">
        <v>774</v>
      </c>
      <c r="J39" s="1141"/>
      <c r="K39" s="1140" t="s">
        <v>786</v>
      </c>
      <c r="L39" s="1141"/>
      <c r="M39" s="1140" t="s">
        <v>786</v>
      </c>
      <c r="N39" s="1141"/>
      <c r="O39" s="1140" t="s">
        <v>786</v>
      </c>
      <c r="P39" s="1141"/>
      <c r="Q39" s="191"/>
      <c r="R39" s="1137" t="s">
        <v>775</v>
      </c>
      <c r="S39" s="1139"/>
      <c r="T39" s="1137" t="s">
        <v>776</v>
      </c>
      <c r="U39" s="1139"/>
      <c r="V39" s="191"/>
    </row>
    <row r="40" spans="2:22" x14ac:dyDescent="0.25">
      <c r="B40" s="191"/>
      <c r="C40" s="191"/>
      <c r="D40" s="234"/>
      <c r="E40" s="234"/>
      <c r="F40" s="234"/>
      <c r="G40" s="1127">
        <v>3</v>
      </c>
      <c r="H40" s="1128"/>
      <c r="I40" s="1127">
        <v>3</v>
      </c>
      <c r="J40" s="1128"/>
      <c r="K40" s="1099"/>
      <c r="L40" s="1101"/>
      <c r="M40" s="1099"/>
      <c r="N40" s="1101"/>
      <c r="O40" s="1099"/>
      <c r="P40" s="1101"/>
      <c r="Q40" s="191"/>
      <c r="R40" s="986">
        <f>D36+SUMPRODUCT(G36:P36,G40:P40)</f>
        <v>3.5464000000000002</v>
      </c>
      <c r="S40" s="987"/>
      <c r="T40" s="1127">
        <f>'Summary of Input Data'!I25</f>
        <v>3.4239805149277824E-2</v>
      </c>
      <c r="U40" s="1128"/>
      <c r="V40" s="191"/>
    </row>
    <row r="41" spans="2:22" x14ac:dyDescent="0.25">
      <c r="B41" s="191"/>
      <c r="C41" s="191"/>
      <c r="D41" s="191"/>
      <c r="E41" s="191"/>
      <c r="F41" s="191"/>
      <c r="G41" s="191"/>
      <c r="H41" s="191"/>
      <c r="I41" s="191"/>
      <c r="J41" s="191"/>
      <c r="K41" s="191"/>
      <c r="L41" s="191"/>
      <c r="M41" s="191"/>
      <c r="N41" s="191"/>
      <c r="O41" s="191"/>
      <c r="P41" s="191"/>
      <c r="Q41" s="191"/>
      <c r="R41" s="232"/>
      <c r="S41" s="232"/>
      <c r="T41" s="232"/>
      <c r="U41" s="232"/>
      <c r="V41" s="191"/>
    </row>
    <row r="42" spans="2:22" x14ac:dyDescent="0.25">
      <c r="B42" s="1129" t="s">
        <v>777</v>
      </c>
      <c r="C42" s="1130"/>
      <c r="D42" s="11" t="s">
        <v>327</v>
      </c>
      <c r="E42" s="2"/>
      <c r="F42" s="3"/>
      <c r="G42" s="1127">
        <f>G$40</f>
        <v>3</v>
      </c>
      <c r="H42" s="1128"/>
      <c r="I42" s="1127">
        <v>3</v>
      </c>
      <c r="J42" s="1128"/>
      <c r="K42" s="1127"/>
      <c r="L42" s="1128"/>
      <c r="M42" s="1127"/>
      <c r="N42" s="1128"/>
      <c r="O42" s="1127"/>
      <c r="P42" s="1128"/>
      <c r="Q42" s="191"/>
      <c r="R42" s="986">
        <f>$D$36+SUMPRODUCT($G$36:$J$36,G42:J42)</f>
        <v>3.5464000000000002</v>
      </c>
      <c r="S42" s="987"/>
      <c r="T42" s="1135">
        <f>R42/R$40-1</f>
        <v>0</v>
      </c>
      <c r="U42" s="987"/>
      <c r="V42" s="191"/>
    </row>
    <row r="43" spans="2:22" x14ac:dyDescent="0.25">
      <c r="B43" s="1131"/>
      <c r="C43" s="1132"/>
      <c r="D43" s="12" t="str">
        <f>D21</f>
        <v>Moderate Macro Stress</v>
      </c>
      <c r="E43" s="4"/>
      <c r="F43" s="5"/>
      <c r="G43" s="1127">
        <f>G$40</f>
        <v>3</v>
      </c>
      <c r="H43" s="1128"/>
      <c r="I43" s="1127">
        <v>1.5</v>
      </c>
      <c r="J43" s="1128"/>
      <c r="K43" s="1127"/>
      <c r="L43" s="1128"/>
      <c r="M43" s="1127"/>
      <c r="N43" s="1128"/>
      <c r="O43" s="1127"/>
      <c r="P43" s="1128"/>
      <c r="Q43" s="191"/>
      <c r="R43" s="986">
        <f>$D$36+SUMPRODUCT($G$36:$J$36,G43:J43)</f>
        <v>4.1171500000000005</v>
      </c>
      <c r="S43" s="987"/>
      <c r="T43" s="1135">
        <f>R43/R$40-1</f>
        <v>0.16093785247011061</v>
      </c>
      <c r="U43" s="987"/>
      <c r="V43" s="191"/>
    </row>
    <row r="44" spans="2:22" x14ac:dyDescent="0.25">
      <c r="B44" s="1131"/>
      <c r="C44" s="1132"/>
      <c r="D44" s="12" t="str">
        <f>D22</f>
        <v>Medium Macro Stress</v>
      </c>
      <c r="E44" s="4"/>
      <c r="F44" s="5"/>
      <c r="G44" s="1127">
        <f>G$40</f>
        <v>3</v>
      </c>
      <c r="H44" s="1128"/>
      <c r="I44" s="1127">
        <v>0.5</v>
      </c>
      <c r="J44" s="1128"/>
      <c r="K44" s="1127"/>
      <c r="L44" s="1128"/>
      <c r="M44" s="1127"/>
      <c r="N44" s="1128"/>
      <c r="O44" s="1127"/>
      <c r="P44" s="1128"/>
      <c r="Q44" s="191"/>
      <c r="R44" s="986">
        <f>$D$36+SUMPRODUCT($G$36:$J$36,G44:J44)</f>
        <v>4.4976500000000001</v>
      </c>
      <c r="S44" s="987"/>
      <c r="T44" s="1135">
        <f>R44/R$40-1</f>
        <v>0.26822975411685079</v>
      </c>
      <c r="U44" s="987"/>
      <c r="V44" s="191"/>
    </row>
    <row r="45" spans="2:22" x14ac:dyDescent="0.25">
      <c r="B45" s="1133"/>
      <c r="C45" s="1134"/>
      <c r="D45" s="13" t="str">
        <f>D23</f>
        <v>Severe Macro Stress</v>
      </c>
      <c r="E45" s="6"/>
      <c r="F45" s="7"/>
      <c r="G45" s="1127">
        <f>G$40</f>
        <v>3</v>
      </c>
      <c r="H45" s="1128"/>
      <c r="I45" s="1127">
        <v>-1</v>
      </c>
      <c r="J45" s="1128"/>
      <c r="K45" s="1127"/>
      <c r="L45" s="1128"/>
      <c r="M45" s="1127"/>
      <c r="N45" s="1128"/>
      <c r="O45" s="1127"/>
      <c r="P45" s="1128"/>
      <c r="Q45" s="191"/>
      <c r="R45" s="986">
        <f>$D$36+SUMPRODUCT($G$36:$J$36,G45:J45)</f>
        <v>5.0684000000000005</v>
      </c>
      <c r="S45" s="987"/>
      <c r="T45" s="1135">
        <f>R45/R$40-1</f>
        <v>0.4291676065869614</v>
      </c>
      <c r="U45" s="987"/>
      <c r="V45" s="191"/>
    </row>
    <row r="46" spans="2:22" x14ac:dyDescent="0.25">
      <c r="B46" s="191"/>
      <c r="C46" s="191"/>
      <c r="D46" s="191"/>
      <c r="E46" s="191"/>
      <c r="F46" s="191"/>
      <c r="G46" s="232"/>
      <c r="H46" s="232"/>
      <c r="I46" s="191"/>
      <c r="J46" s="191"/>
      <c r="K46" s="191"/>
      <c r="L46" s="191"/>
      <c r="M46" s="191"/>
      <c r="N46" s="191"/>
      <c r="O46" s="191"/>
      <c r="P46" s="191"/>
      <c r="Q46" s="191"/>
      <c r="R46" s="191"/>
      <c r="S46" s="191"/>
      <c r="T46" s="191"/>
      <c r="U46" s="191"/>
      <c r="V46" s="191"/>
    </row>
    <row r="47" spans="2:22" x14ac:dyDescent="0.25">
      <c r="B47" s="1129" t="s">
        <v>778</v>
      </c>
      <c r="C47" s="1130"/>
      <c r="D47" s="11" t="s">
        <v>327</v>
      </c>
      <c r="E47" s="2"/>
      <c r="F47" s="3"/>
      <c r="G47" s="1127">
        <f>R42</f>
        <v>3.5464000000000002</v>
      </c>
      <c r="H47" s="1128"/>
      <c r="I47" s="1127">
        <v>3</v>
      </c>
      <c r="J47" s="1128"/>
      <c r="K47" s="1127"/>
      <c r="L47" s="1128"/>
      <c r="M47" s="1127"/>
      <c r="N47" s="1128"/>
      <c r="O47" s="1127"/>
      <c r="P47" s="1128"/>
      <c r="Q47" s="191"/>
      <c r="R47" s="986">
        <f>$D$36+SUMPRODUCT($G$36:$J$36,G47:J47)</f>
        <v>3.9736301600000008</v>
      </c>
      <c r="S47" s="987"/>
      <c r="T47" s="1135">
        <f>R47/R42-1</f>
        <v>0.12046868937514121</v>
      </c>
      <c r="U47" s="1136"/>
      <c r="V47" s="191"/>
    </row>
    <row r="48" spans="2:22" x14ac:dyDescent="0.25">
      <c r="B48" s="1131"/>
      <c r="C48" s="1132"/>
      <c r="D48" s="12" t="str">
        <f>D$43</f>
        <v>Moderate Macro Stress</v>
      </c>
      <c r="E48" s="4"/>
      <c r="F48" s="5"/>
      <c r="G48" s="1127">
        <f>R43</f>
        <v>4.1171500000000005</v>
      </c>
      <c r="H48" s="1128"/>
      <c r="I48" s="1127">
        <v>1</v>
      </c>
      <c r="J48" s="1128"/>
      <c r="K48" s="1127"/>
      <c r="L48" s="1128"/>
      <c r="M48" s="1127"/>
      <c r="N48" s="1128"/>
      <c r="O48" s="1127"/>
      <c r="P48" s="1128"/>
      <c r="Q48" s="191"/>
      <c r="R48" s="986">
        <f>$D$36+SUMPRODUCT($G$36:$J$36,G48:J48)</f>
        <v>5.1808995850000006</v>
      </c>
      <c r="S48" s="987"/>
      <c r="T48" s="1135">
        <f>R48/R43-1</f>
        <v>0.25837037392370932</v>
      </c>
      <c r="U48" s="1136"/>
      <c r="V48" s="191"/>
    </row>
    <row r="49" spans="2:22" x14ac:dyDescent="0.25">
      <c r="B49" s="1131"/>
      <c r="C49" s="1132"/>
      <c r="D49" s="12" t="str">
        <f>D$44</f>
        <v>Medium Macro Stress</v>
      </c>
      <c r="E49" s="4"/>
      <c r="F49" s="5"/>
      <c r="G49" s="1127">
        <f>R44</f>
        <v>4.4976500000000001</v>
      </c>
      <c r="H49" s="1128"/>
      <c r="I49" s="1127">
        <v>0</v>
      </c>
      <c r="J49" s="1128"/>
      <c r="K49" s="1127"/>
      <c r="L49" s="1128"/>
      <c r="M49" s="1127"/>
      <c r="N49" s="1128"/>
      <c r="O49" s="1127"/>
      <c r="P49" s="1128"/>
      <c r="Q49" s="191"/>
      <c r="R49" s="986">
        <f>$D$36+SUMPRODUCT($G$36:$J$36,G49:J49)</f>
        <v>5.858912535</v>
      </c>
      <c r="S49" s="987"/>
      <c r="T49" s="1135">
        <f>R49/R44-1</f>
        <v>0.30266084177292574</v>
      </c>
      <c r="U49" s="1136"/>
      <c r="V49" s="191"/>
    </row>
    <row r="50" spans="2:22" x14ac:dyDescent="0.25">
      <c r="B50" s="1133"/>
      <c r="C50" s="1134"/>
      <c r="D50" s="13" t="str">
        <f>D$45</f>
        <v>Severe Macro Stress</v>
      </c>
      <c r="E50" s="6"/>
      <c r="F50" s="7"/>
      <c r="G50" s="1127">
        <f>R45</f>
        <v>5.0684000000000005</v>
      </c>
      <c r="H50" s="1128"/>
      <c r="I50" s="1127">
        <v>-2</v>
      </c>
      <c r="J50" s="1128"/>
      <c r="K50" s="1127"/>
      <c r="L50" s="1128"/>
      <c r="M50" s="1127"/>
      <c r="N50" s="1128"/>
      <c r="O50" s="1127"/>
      <c r="P50" s="1128"/>
      <c r="Q50" s="191"/>
      <c r="R50" s="986">
        <f>$D$36+SUMPRODUCT($G$36:$J$36,G50:J50)</f>
        <v>7.0661819600000007</v>
      </c>
      <c r="S50" s="987"/>
      <c r="T50" s="1135">
        <f>R50/R45-1</f>
        <v>0.39416422539657492</v>
      </c>
      <c r="U50" s="1136"/>
      <c r="V50" s="191"/>
    </row>
    <row r="51" spans="2:22" x14ac:dyDescent="0.25">
      <c r="B51" s="191"/>
      <c r="C51" s="191"/>
      <c r="D51" s="191"/>
      <c r="E51" s="191"/>
      <c r="F51" s="191"/>
      <c r="G51" s="232"/>
      <c r="H51" s="232"/>
      <c r="I51" s="191"/>
      <c r="J51" s="191"/>
      <c r="K51" s="191"/>
      <c r="L51" s="191"/>
      <c r="M51" s="191"/>
      <c r="N51" s="191"/>
      <c r="O51" s="191"/>
      <c r="P51" s="191"/>
      <c r="Q51" s="191"/>
      <c r="R51" s="191"/>
      <c r="S51" s="191"/>
      <c r="T51" s="191"/>
      <c r="U51" s="191"/>
      <c r="V51" s="191"/>
    </row>
    <row r="52" spans="2:22" x14ac:dyDescent="0.25">
      <c r="B52" s="1129" t="s">
        <v>779</v>
      </c>
      <c r="C52" s="1130"/>
      <c r="D52" s="11" t="s">
        <v>327</v>
      </c>
      <c r="E52" s="2"/>
      <c r="F52" s="3"/>
      <c r="G52" s="1127">
        <f>R47</f>
        <v>3.9736301600000008</v>
      </c>
      <c r="H52" s="1128"/>
      <c r="I52" s="1127">
        <v>3</v>
      </c>
      <c r="J52" s="1128"/>
      <c r="K52" s="1127"/>
      <c r="L52" s="1128"/>
      <c r="M52" s="1127"/>
      <c r="N52" s="1128"/>
      <c r="O52" s="1127"/>
      <c r="P52" s="1128"/>
      <c r="Q52" s="191"/>
      <c r="R52" s="986">
        <f>$D$36+SUMPRODUCT($G$36:$J$36,G52:J52)</f>
        <v>4.3076814221040012</v>
      </c>
      <c r="S52" s="987"/>
      <c r="T52" s="1135">
        <f>R52/R47-1</f>
        <v>8.4067024019165437E-2</v>
      </c>
      <c r="U52" s="1136"/>
      <c r="V52" s="191"/>
    </row>
    <row r="53" spans="2:22" x14ac:dyDescent="0.25">
      <c r="B53" s="1131"/>
      <c r="C53" s="1132"/>
      <c r="D53" s="12" t="str">
        <f>D$43</f>
        <v>Moderate Macro Stress</v>
      </c>
      <c r="E53" s="4"/>
      <c r="F53" s="5"/>
      <c r="G53" s="1127">
        <f>R48</f>
        <v>5.1808995850000006</v>
      </c>
      <c r="H53" s="1128"/>
      <c r="I53" s="1127">
        <v>2</v>
      </c>
      <c r="J53" s="1128"/>
      <c r="K53" s="1127"/>
      <c r="L53" s="1128"/>
      <c r="M53" s="1127"/>
      <c r="N53" s="1128"/>
      <c r="O53" s="1127"/>
      <c r="P53" s="1128"/>
      <c r="Q53" s="191"/>
      <c r="R53" s="986">
        <f>$D$36+SUMPRODUCT($G$36:$J$36,G53:J53)</f>
        <v>5.6321453855115005</v>
      </c>
      <c r="S53" s="987"/>
      <c r="T53" s="1135">
        <f>R53/R48-1</f>
        <v>8.7097963029040271E-2</v>
      </c>
      <c r="U53" s="1136"/>
      <c r="V53" s="191"/>
    </row>
    <row r="54" spans="2:22" x14ac:dyDescent="0.25">
      <c r="B54" s="1131"/>
      <c r="C54" s="1132"/>
      <c r="D54" s="12" t="str">
        <f>D$44</f>
        <v>Medium Macro Stress</v>
      </c>
      <c r="E54" s="4"/>
      <c r="F54" s="5"/>
      <c r="G54" s="1127">
        <f>R49</f>
        <v>5.858912535</v>
      </c>
      <c r="H54" s="1128"/>
      <c r="I54" s="1127">
        <v>2</v>
      </c>
      <c r="J54" s="1128"/>
      <c r="K54" s="1127"/>
      <c r="L54" s="1128"/>
      <c r="M54" s="1127"/>
      <c r="N54" s="1128"/>
      <c r="O54" s="1127"/>
      <c r="P54" s="1128"/>
      <c r="Q54" s="191"/>
      <c r="R54" s="986">
        <f>$D$36+SUMPRODUCT($G$36:$J$36,G54:J54)</f>
        <v>6.1622837111165003</v>
      </c>
      <c r="S54" s="987"/>
      <c r="T54" s="1135">
        <f>R54/R49-1</f>
        <v>5.1779434204593411E-2</v>
      </c>
      <c r="U54" s="1136"/>
      <c r="V54" s="191"/>
    </row>
    <row r="55" spans="2:22" x14ac:dyDescent="0.25">
      <c r="B55" s="1133"/>
      <c r="C55" s="1134"/>
      <c r="D55" s="13" t="str">
        <f>D$45</f>
        <v>Severe Macro Stress</v>
      </c>
      <c r="E55" s="6"/>
      <c r="F55" s="7"/>
      <c r="G55" s="1127">
        <f>R50</f>
        <v>7.0661819600000007</v>
      </c>
      <c r="H55" s="1128"/>
      <c r="I55" s="1127">
        <v>0</v>
      </c>
      <c r="J55" s="1128"/>
      <c r="K55" s="1127"/>
      <c r="L55" s="1128"/>
      <c r="M55" s="1127"/>
      <c r="N55" s="1128"/>
      <c r="O55" s="1127"/>
      <c r="P55" s="1128"/>
      <c r="Q55" s="191"/>
      <c r="R55" s="986">
        <f>$D$36+SUMPRODUCT($G$36:$J$36,G55:J55)</f>
        <v>7.867247674524001</v>
      </c>
      <c r="S55" s="987"/>
      <c r="T55" s="1135">
        <f>R55/R50-1</f>
        <v>0.11336613167600906</v>
      </c>
      <c r="U55" s="1136"/>
      <c r="V55" s="191"/>
    </row>
    <row r="56" spans="2:22" x14ac:dyDescent="0.25">
      <c r="B56" s="191"/>
      <c r="C56" s="191"/>
      <c r="D56" s="191"/>
      <c r="E56" s="191"/>
      <c r="F56" s="191"/>
      <c r="G56" s="232"/>
      <c r="H56" s="232"/>
      <c r="I56" s="191"/>
      <c r="J56" s="191"/>
      <c r="K56" s="191"/>
      <c r="L56" s="191"/>
      <c r="M56" s="191"/>
      <c r="N56" s="191"/>
      <c r="O56" s="191"/>
      <c r="P56" s="191"/>
      <c r="Q56" s="191"/>
      <c r="R56" s="191"/>
      <c r="S56" s="191"/>
      <c r="T56" s="191"/>
      <c r="U56" s="191"/>
      <c r="V56" s="191"/>
    </row>
    <row r="57" spans="2:22" x14ac:dyDescent="0.25">
      <c r="B57" s="1129" t="s">
        <v>780</v>
      </c>
      <c r="C57" s="1130"/>
      <c r="D57" s="11" t="s">
        <v>327</v>
      </c>
      <c r="E57" s="2"/>
      <c r="F57" s="3"/>
      <c r="G57" s="1127">
        <f>R52</f>
        <v>4.3076814221040012</v>
      </c>
      <c r="H57" s="1128"/>
      <c r="I57" s="1127">
        <v>3</v>
      </c>
      <c r="J57" s="1128"/>
      <c r="K57" s="1127"/>
      <c r="L57" s="1128"/>
      <c r="M57" s="1127"/>
      <c r="N57" s="1128"/>
      <c r="O57" s="1127"/>
      <c r="P57" s="1128"/>
      <c r="Q57" s="191"/>
      <c r="R57" s="986">
        <f>$D$36+SUMPRODUCT($G$36:$J$36,G57:J57)</f>
        <v>4.5688761039431185</v>
      </c>
      <c r="S57" s="987"/>
      <c r="T57" s="1135">
        <f>R57/R52-1</f>
        <v>6.0634632937071276E-2</v>
      </c>
      <c r="U57" s="1136"/>
      <c r="V57" s="191"/>
    </row>
    <row r="58" spans="2:22" x14ac:dyDescent="0.25">
      <c r="B58" s="1131"/>
      <c r="C58" s="1132"/>
      <c r="D58" s="12" t="str">
        <f>D$43</f>
        <v>Moderate Macro Stress</v>
      </c>
      <c r="E58" s="4"/>
      <c r="F58" s="5"/>
      <c r="G58" s="1127">
        <f>R53</f>
        <v>5.6321453855115005</v>
      </c>
      <c r="H58" s="1128"/>
      <c r="I58" s="1127">
        <v>3</v>
      </c>
      <c r="J58" s="1128"/>
      <c r="K58" s="1127"/>
      <c r="L58" s="1128"/>
      <c r="M58" s="1127"/>
      <c r="N58" s="1128"/>
      <c r="O58" s="1127"/>
      <c r="P58" s="1128"/>
      <c r="Q58" s="191"/>
      <c r="R58" s="986">
        <f>$D$36+SUMPRODUCT($G$36:$J$36,G58:J58)</f>
        <v>5.6044744769314425</v>
      </c>
      <c r="S58" s="987"/>
      <c r="T58" s="1135">
        <f>R58/R53-1</f>
        <v>-4.9130316577481459E-3</v>
      </c>
      <c r="U58" s="1136"/>
      <c r="V58" s="191"/>
    </row>
    <row r="59" spans="2:22" x14ac:dyDescent="0.25">
      <c r="B59" s="1131"/>
      <c r="C59" s="1132"/>
      <c r="D59" s="12" t="str">
        <f>D$44</f>
        <v>Medium Macro Stress</v>
      </c>
      <c r="E59" s="4"/>
      <c r="F59" s="5"/>
      <c r="G59" s="1127">
        <f>R54</f>
        <v>6.1622837111165003</v>
      </c>
      <c r="H59" s="1128"/>
      <c r="I59" s="1127">
        <v>3</v>
      </c>
      <c r="J59" s="1128"/>
      <c r="K59" s="1127"/>
      <c r="L59" s="1128"/>
      <c r="M59" s="1127"/>
      <c r="N59" s="1128"/>
      <c r="O59" s="1127"/>
      <c r="P59" s="1128"/>
      <c r="Q59" s="191"/>
      <c r="R59" s="986">
        <f>$D$36+SUMPRODUCT($G$36:$J$36,G59:J59)</f>
        <v>6.0189896337219926</v>
      </c>
      <c r="S59" s="987"/>
      <c r="T59" s="1135">
        <f>R59/R54-1</f>
        <v>-2.3253404762265562E-2</v>
      </c>
      <c r="U59" s="1136"/>
      <c r="V59" s="191"/>
    </row>
    <row r="60" spans="2:22" x14ac:dyDescent="0.25">
      <c r="B60" s="1133"/>
      <c r="C60" s="1134"/>
      <c r="D60" s="13" t="str">
        <f>D$45</f>
        <v>Severe Macro Stress</v>
      </c>
      <c r="E60" s="6"/>
      <c r="F60" s="7"/>
      <c r="G60" s="1127">
        <f>R55</f>
        <v>7.867247674524001</v>
      </c>
      <c r="H60" s="1128"/>
      <c r="I60" s="1127">
        <v>1.5</v>
      </c>
      <c r="J60" s="1128"/>
      <c r="K60" s="1127"/>
      <c r="L60" s="1128"/>
      <c r="M60" s="1127"/>
      <c r="N60" s="1128"/>
      <c r="O60" s="1127"/>
      <c r="P60" s="1128"/>
      <c r="Q60" s="191"/>
      <c r="R60" s="986">
        <f>$D$36+SUMPRODUCT($G$36:$J$36,G60:J60)</f>
        <v>7.9228509567103167</v>
      </c>
      <c r="S60" s="987"/>
      <c r="T60" s="1135">
        <f>R60/R55-1</f>
        <v>7.0676918392149624E-3</v>
      </c>
      <c r="U60" s="1136"/>
      <c r="V60" s="191"/>
    </row>
    <row r="61" spans="2:22" x14ac:dyDescent="0.25">
      <c r="B61" s="191"/>
      <c r="C61" s="191"/>
      <c r="D61" s="191"/>
      <c r="E61" s="191"/>
      <c r="F61" s="191"/>
      <c r="G61" s="232"/>
      <c r="H61" s="232"/>
      <c r="I61" s="191"/>
      <c r="J61" s="191"/>
      <c r="K61" s="191"/>
      <c r="L61" s="191"/>
      <c r="M61" s="191"/>
      <c r="N61" s="191"/>
      <c r="O61" s="191"/>
      <c r="P61" s="191"/>
      <c r="Q61" s="191"/>
      <c r="R61" s="232"/>
      <c r="S61" s="232"/>
      <c r="T61" s="191"/>
      <c r="U61" s="191"/>
      <c r="V61" s="191"/>
    </row>
    <row r="62" spans="2:22" x14ac:dyDescent="0.25">
      <c r="B62" s="1129" t="s">
        <v>781</v>
      </c>
      <c r="C62" s="1130"/>
      <c r="D62" s="11" t="s">
        <v>327</v>
      </c>
      <c r="E62" s="2"/>
      <c r="F62" s="3"/>
      <c r="G62" s="1127">
        <f>R57</f>
        <v>4.5688761039431185</v>
      </c>
      <c r="H62" s="1128"/>
      <c r="I62" s="1127">
        <v>3</v>
      </c>
      <c r="J62" s="1128"/>
      <c r="K62" s="1127"/>
      <c r="L62" s="1128"/>
      <c r="M62" s="1127"/>
      <c r="N62" s="1128"/>
      <c r="O62" s="1127"/>
      <c r="P62" s="1128"/>
      <c r="Q62" s="191"/>
      <c r="R62" s="986">
        <f>$D$36+SUMPRODUCT($G$36:$J$36,G62:J62)</f>
        <v>4.7731042256731246</v>
      </c>
      <c r="S62" s="987"/>
      <c r="T62" s="1135">
        <f>R62/R57-1</f>
        <v>4.4699859896342842E-2</v>
      </c>
      <c r="U62" s="1136"/>
      <c r="V62" s="191"/>
    </row>
    <row r="63" spans="2:22" x14ac:dyDescent="0.25">
      <c r="B63" s="1131"/>
      <c r="C63" s="1132"/>
      <c r="D63" s="12" t="str">
        <f>D$43</f>
        <v>Moderate Macro Stress</v>
      </c>
      <c r="E63" s="4"/>
      <c r="F63" s="5"/>
      <c r="G63" s="1127">
        <f>R58</f>
        <v>5.6044744769314425</v>
      </c>
      <c r="H63" s="1128"/>
      <c r="I63" s="1127">
        <v>3</v>
      </c>
      <c r="J63" s="1128"/>
      <c r="K63" s="1127"/>
      <c r="L63" s="1128"/>
      <c r="M63" s="1127"/>
      <c r="N63" s="1128"/>
      <c r="O63" s="1127"/>
      <c r="P63" s="1128"/>
      <c r="Q63" s="191"/>
      <c r="R63" s="986">
        <f>$D$36+SUMPRODUCT($G$36:$J$36,G63:J63)</f>
        <v>5.5828385935126956</v>
      </c>
      <c r="S63" s="987"/>
      <c r="T63" s="1135">
        <f>R63/R58-1</f>
        <v>-3.8604660450863859E-3</v>
      </c>
      <c r="U63" s="1136"/>
      <c r="V63" s="191"/>
    </row>
    <row r="64" spans="2:22" x14ac:dyDescent="0.25">
      <c r="B64" s="1131"/>
      <c r="C64" s="1132"/>
      <c r="D64" s="12" t="str">
        <f>D$44</f>
        <v>Medium Macro Stress</v>
      </c>
      <c r="E64" s="4"/>
      <c r="F64" s="5"/>
      <c r="G64" s="1127">
        <f>R59</f>
        <v>6.0189896337219926</v>
      </c>
      <c r="H64" s="1128"/>
      <c r="I64" s="1127">
        <v>3</v>
      </c>
      <c r="J64" s="1128"/>
      <c r="K64" s="1127"/>
      <c r="L64" s="1128"/>
      <c r="M64" s="1127"/>
      <c r="N64" s="1128"/>
      <c r="O64" s="1127"/>
      <c r="P64" s="1128"/>
      <c r="Q64" s="191"/>
      <c r="R64" s="986">
        <f>$D$36+SUMPRODUCT($G$36:$J$36,G64:J64)</f>
        <v>5.9069479946072265</v>
      </c>
      <c r="S64" s="987"/>
      <c r="T64" s="1135">
        <f>R64/R59-1</f>
        <v>-1.861469215481637E-2</v>
      </c>
      <c r="U64" s="1136"/>
      <c r="V64" s="191"/>
    </row>
    <row r="65" spans="2:42" x14ac:dyDescent="0.25">
      <c r="B65" s="1133"/>
      <c r="C65" s="1134"/>
      <c r="D65" s="13" t="str">
        <f>D$45</f>
        <v>Severe Macro Stress</v>
      </c>
      <c r="E65" s="6"/>
      <c r="F65" s="7"/>
      <c r="G65" s="1127">
        <f>R60</f>
        <v>7.9228509567103167</v>
      </c>
      <c r="H65" s="1128"/>
      <c r="I65" s="1127">
        <v>3</v>
      </c>
      <c r="J65" s="1128"/>
      <c r="K65" s="1127"/>
      <c r="L65" s="1128"/>
      <c r="M65" s="1127"/>
      <c r="N65" s="1128"/>
      <c r="O65" s="1127"/>
      <c r="P65" s="1128"/>
      <c r="Q65" s="191"/>
      <c r="R65" s="986">
        <f>$D$36+SUMPRODUCT($G$36:$J$36,G65:J65)</f>
        <v>7.3955771630517972</v>
      </c>
      <c r="S65" s="987"/>
      <c r="T65" s="1135">
        <f>R65/R60-1</f>
        <v>-6.6551017624778219E-2</v>
      </c>
      <c r="U65" s="1136"/>
      <c r="V65" s="191"/>
    </row>
    <row r="66" spans="2:42" x14ac:dyDescent="0.25">
      <c r="B66" s="191"/>
      <c r="C66" s="191"/>
      <c r="D66" s="191"/>
      <c r="E66" s="191"/>
      <c r="F66" s="191"/>
      <c r="G66" s="191"/>
      <c r="H66" s="191"/>
      <c r="I66" s="191"/>
      <c r="J66" s="191"/>
      <c r="K66" s="191"/>
      <c r="L66" s="191"/>
      <c r="M66" s="191"/>
      <c r="N66" s="191"/>
      <c r="O66" s="191"/>
      <c r="P66" s="191"/>
      <c r="Q66" s="191"/>
      <c r="R66" s="191"/>
      <c r="S66" s="191"/>
      <c r="T66" s="191"/>
      <c r="U66" s="191"/>
      <c r="V66" s="191"/>
      <c r="W66" s="8"/>
      <c r="X66" s="191"/>
      <c r="Y66" s="191"/>
      <c r="Z66" s="191"/>
      <c r="AA66" s="191"/>
      <c r="AB66" s="191"/>
      <c r="AC66" s="191"/>
      <c r="AD66" s="191"/>
      <c r="AE66" s="191"/>
      <c r="AF66" s="191"/>
      <c r="AG66" s="191"/>
      <c r="AH66" s="191"/>
      <c r="AI66" s="191"/>
      <c r="AJ66" s="191"/>
      <c r="AK66" s="191"/>
      <c r="AL66" s="191"/>
      <c r="AM66" s="191"/>
      <c r="AN66" s="191"/>
      <c r="AO66" s="191"/>
      <c r="AP66" s="191"/>
    </row>
    <row r="67" spans="2:42" ht="18.75" x14ac:dyDescent="0.3">
      <c r="B67" s="215"/>
      <c r="C67" s="457" t="s">
        <v>1406</v>
      </c>
      <c r="D67" s="1102" t="s">
        <v>782</v>
      </c>
      <c r="E67" s="1103"/>
      <c r="F67" s="1103"/>
      <c r="G67" s="1104"/>
      <c r="H67" s="214"/>
      <c r="I67" s="214"/>
      <c r="J67" s="214"/>
      <c r="K67" s="214"/>
      <c r="L67" s="214"/>
      <c r="M67" s="214"/>
      <c r="N67" s="214"/>
      <c r="O67" s="214"/>
      <c r="P67" s="214"/>
      <c r="Q67" s="214"/>
      <c r="R67" s="214"/>
      <c r="S67" s="214"/>
      <c r="T67" s="214"/>
      <c r="U67" s="214"/>
      <c r="V67" s="214"/>
    </row>
    <row r="68" spans="2:42" x14ac:dyDescent="0.25">
      <c r="B68" s="191"/>
      <c r="C68" s="191"/>
      <c r="D68" s="191"/>
      <c r="E68" s="191"/>
      <c r="F68" s="191"/>
      <c r="G68" s="191"/>
      <c r="H68" s="191"/>
      <c r="I68" s="191"/>
      <c r="J68" s="191"/>
      <c r="K68" s="191"/>
      <c r="L68" s="191"/>
      <c r="M68" s="191"/>
      <c r="N68" s="191"/>
      <c r="O68" s="191"/>
      <c r="P68" s="191"/>
      <c r="Q68" s="191"/>
      <c r="R68" s="191"/>
      <c r="S68" s="191"/>
      <c r="T68" s="191"/>
      <c r="U68" s="191"/>
      <c r="V68" s="191"/>
    </row>
    <row r="69" spans="2:42" x14ac:dyDescent="0.25">
      <c r="B69" s="191"/>
      <c r="C69" s="191"/>
      <c r="D69" s="844" t="s">
        <v>769</v>
      </c>
      <c r="E69" s="845"/>
      <c r="F69" s="845"/>
      <c r="G69" s="845"/>
      <c r="H69" s="845"/>
      <c r="I69" s="845"/>
      <c r="J69" s="845"/>
      <c r="K69" s="845"/>
      <c r="L69" s="845"/>
      <c r="M69" s="845"/>
      <c r="N69" s="845"/>
      <c r="O69" s="845"/>
      <c r="P69" s="846"/>
      <c r="Q69" s="191"/>
      <c r="R69" s="191"/>
      <c r="S69" s="191"/>
      <c r="T69" s="191"/>
      <c r="U69" s="191"/>
      <c r="V69" s="191"/>
    </row>
    <row r="70" spans="2:42" ht="30" customHeight="1" x14ac:dyDescent="0.25">
      <c r="B70" s="191"/>
      <c r="C70" s="191"/>
      <c r="D70" s="1137" t="s">
        <v>770</v>
      </c>
      <c r="E70" s="1138"/>
      <c r="F70" s="1139"/>
      <c r="G70" s="1142" t="str">
        <f>IF(G74="N/A","N/A","Coefficient"&amp;" "&amp;G74)</f>
        <v>Coefficient NPLs</v>
      </c>
      <c r="H70" s="1143" t="str">
        <f>"Coefficient"&amp;" "&amp;H74</f>
        <v xml:space="preserve">Coefficient </v>
      </c>
      <c r="I70" s="1142" t="str">
        <f>IF(I74="N/A","N/A","Coefficient"&amp;" "&amp;I74)</f>
        <v>Coefficient GDP Growth</v>
      </c>
      <c r="J70" s="1143" t="str">
        <f>"Coefficient"&amp;" "&amp;J74</f>
        <v xml:space="preserve">Coefficient </v>
      </c>
      <c r="K70" s="1142" t="str">
        <f>IF(K74="N/A","N/A","Coefficient"&amp;" "&amp;K74)</f>
        <v>N/A</v>
      </c>
      <c r="L70" s="1143" t="str">
        <f>"Coefficient"&amp;" "&amp;L74</f>
        <v xml:space="preserve">Coefficient </v>
      </c>
      <c r="M70" s="1142" t="str">
        <f>IF(M74="N/A","N/A","Coefficient"&amp;" "&amp;M74)</f>
        <v>N/A</v>
      </c>
      <c r="N70" s="1143" t="str">
        <f>"Coefficient"&amp;" "&amp;N74</f>
        <v xml:space="preserve">Coefficient </v>
      </c>
      <c r="O70" s="1142" t="str">
        <f>IF(O74="N/A","N/A","Coefficient"&amp;" "&amp;O74)</f>
        <v>N/A</v>
      </c>
      <c r="P70" s="1143" t="str">
        <f>"Coefficient"&amp;" "&amp;P74</f>
        <v xml:space="preserve">Coefficient </v>
      </c>
      <c r="Q70" s="191"/>
      <c r="R70" s="191"/>
      <c r="S70" s="191"/>
      <c r="T70" s="191"/>
      <c r="U70" s="191"/>
      <c r="V70" s="191"/>
    </row>
    <row r="71" spans="2:42" x14ac:dyDescent="0.25">
      <c r="B71" s="191"/>
      <c r="C71" s="191"/>
      <c r="D71" s="1099">
        <v>15</v>
      </c>
      <c r="E71" s="1100"/>
      <c r="F71" s="1101"/>
      <c r="G71" s="1127">
        <v>-1</v>
      </c>
      <c r="H71" s="1128"/>
      <c r="I71" s="1127">
        <v>1.5</v>
      </c>
      <c r="J71" s="1128"/>
      <c r="K71" s="1100"/>
      <c r="L71" s="1101"/>
      <c r="M71" s="1099"/>
      <c r="N71" s="1101"/>
      <c r="O71" s="1099"/>
      <c r="P71" s="1101"/>
      <c r="Q71" s="191"/>
      <c r="R71" s="191"/>
      <c r="S71" s="191"/>
      <c r="T71" s="191"/>
      <c r="U71" s="191"/>
      <c r="V71" s="191"/>
    </row>
    <row r="72" spans="2:42" ht="18.75" customHeight="1" x14ac:dyDescent="0.25">
      <c r="B72" s="191"/>
      <c r="C72" s="191"/>
      <c r="D72" s="191"/>
      <c r="E72" s="191"/>
      <c r="F72" s="191"/>
      <c r="G72" s="191"/>
      <c r="H72" s="191"/>
      <c r="I72" s="191"/>
      <c r="J72" s="191"/>
      <c r="K72" s="191"/>
      <c r="L72" s="191"/>
      <c r="M72" s="191"/>
      <c r="N72" s="191"/>
      <c r="O72" s="191"/>
      <c r="P72" s="191"/>
      <c r="Q72" s="191"/>
      <c r="R72" s="191"/>
      <c r="S72" s="191"/>
      <c r="T72" s="191"/>
      <c r="U72" s="191"/>
      <c r="V72" s="191"/>
    </row>
    <row r="73" spans="2:42" x14ac:dyDescent="0.25">
      <c r="B73" s="191"/>
      <c r="C73" s="191"/>
      <c r="D73" s="844" t="s">
        <v>771</v>
      </c>
      <c r="E73" s="845"/>
      <c r="F73" s="845"/>
      <c r="G73" s="845"/>
      <c r="H73" s="845"/>
      <c r="I73" s="845"/>
      <c r="J73" s="845"/>
      <c r="K73" s="845"/>
      <c r="L73" s="845"/>
      <c r="M73" s="845"/>
      <c r="N73" s="845"/>
      <c r="O73" s="845"/>
      <c r="P73" s="846"/>
      <c r="Q73" s="191"/>
      <c r="R73" s="887" t="str">
        <f>D67</f>
        <v>Credit Growth</v>
      </c>
      <c r="S73" s="964"/>
      <c r="T73" s="964"/>
      <c r="U73" s="888"/>
      <c r="V73" s="191"/>
    </row>
    <row r="74" spans="2:42" ht="30" customHeight="1" x14ac:dyDescent="0.25">
      <c r="B74" s="191"/>
      <c r="C74" s="191"/>
      <c r="D74" s="470"/>
      <c r="E74" s="470"/>
      <c r="F74" s="470"/>
      <c r="G74" s="1137" t="s">
        <v>784</v>
      </c>
      <c r="H74" s="1139"/>
      <c r="I74" s="1137" t="s">
        <v>785</v>
      </c>
      <c r="J74" s="1139"/>
      <c r="K74" s="1137" t="s">
        <v>786</v>
      </c>
      <c r="L74" s="1139"/>
      <c r="M74" s="1137" t="s">
        <v>786</v>
      </c>
      <c r="N74" s="1139"/>
      <c r="O74" s="1137" t="s">
        <v>786</v>
      </c>
      <c r="P74" s="1139"/>
      <c r="Q74" s="191"/>
      <c r="R74" s="1137" t="s">
        <v>775</v>
      </c>
      <c r="S74" s="1139"/>
      <c r="T74" s="1137" t="s">
        <v>776</v>
      </c>
      <c r="U74" s="1139"/>
      <c r="V74" s="191"/>
    </row>
    <row r="75" spans="2:42" x14ac:dyDescent="0.25">
      <c r="B75" s="191"/>
      <c r="C75" s="191"/>
      <c r="D75" s="470"/>
      <c r="E75" s="470"/>
      <c r="F75" s="470"/>
      <c r="G75" s="1127">
        <v>3</v>
      </c>
      <c r="H75" s="1128"/>
      <c r="I75" s="1127">
        <v>3</v>
      </c>
      <c r="J75" s="1128"/>
      <c r="K75" s="1099"/>
      <c r="L75" s="1101"/>
      <c r="M75" s="1099"/>
      <c r="N75" s="1101"/>
      <c r="O75" s="1099"/>
      <c r="P75" s="1101"/>
      <c r="Q75" s="191"/>
      <c r="R75" s="986">
        <f>D$71+SUMPRODUCT(G$71:P$71,G75:P75)</f>
        <v>16.5</v>
      </c>
      <c r="S75" s="987"/>
      <c r="T75" s="1127">
        <f>Input!F98</f>
        <v>0</v>
      </c>
      <c r="U75" s="1128"/>
      <c r="V75" s="191"/>
    </row>
    <row r="76" spans="2:42" x14ac:dyDescent="0.25">
      <c r="B76" s="191"/>
      <c r="C76" s="191"/>
      <c r="D76" s="191"/>
      <c r="E76" s="191"/>
      <c r="F76" s="191"/>
      <c r="G76" s="191"/>
      <c r="H76" s="191"/>
      <c r="I76" s="191"/>
      <c r="J76" s="191"/>
      <c r="K76" s="191"/>
      <c r="L76" s="191"/>
      <c r="M76" s="191"/>
      <c r="N76" s="191"/>
      <c r="O76" s="191"/>
      <c r="P76" s="191"/>
      <c r="Q76" s="191"/>
      <c r="R76" s="191"/>
      <c r="S76" s="191"/>
      <c r="T76" s="191"/>
      <c r="U76" s="191"/>
      <c r="V76" s="191"/>
    </row>
    <row r="77" spans="2:42" x14ac:dyDescent="0.25">
      <c r="B77" s="1129" t="s">
        <v>777</v>
      </c>
      <c r="C77" s="1130"/>
      <c r="D77" s="11" t="s">
        <v>327</v>
      </c>
      <c r="E77" s="2"/>
      <c r="F77" s="3"/>
      <c r="G77" s="1127">
        <f>R42</f>
        <v>3.5464000000000002</v>
      </c>
      <c r="H77" s="1128"/>
      <c r="I77" s="1127">
        <f>I42</f>
        <v>3</v>
      </c>
      <c r="J77" s="1128"/>
      <c r="K77" s="1127"/>
      <c r="L77" s="1128"/>
      <c r="M77" s="1127"/>
      <c r="N77" s="1128"/>
      <c r="O77" s="1127"/>
      <c r="P77" s="1128"/>
      <c r="Q77" s="191"/>
      <c r="R77" s="986">
        <f>D$71+SUMPRODUCT(G$71:P$71,G77:P77)</f>
        <v>15.9536</v>
      </c>
      <c r="S77" s="987"/>
      <c r="T77" s="1135">
        <f>R77/R$75-1</f>
        <v>-3.3115151515151542E-2</v>
      </c>
      <c r="U77" s="987"/>
      <c r="V77" s="191"/>
    </row>
    <row r="78" spans="2:42" x14ac:dyDescent="0.25">
      <c r="B78" s="1131"/>
      <c r="C78" s="1132"/>
      <c r="D78" s="12" t="str">
        <f>D$43</f>
        <v>Moderate Macro Stress</v>
      </c>
      <c r="E78" s="4"/>
      <c r="F78" s="5"/>
      <c r="G78" s="1127">
        <f>R43</f>
        <v>4.1171500000000005</v>
      </c>
      <c r="H78" s="1128"/>
      <c r="I78" s="1127">
        <f>I43</f>
        <v>1.5</v>
      </c>
      <c r="J78" s="1128"/>
      <c r="K78" s="1127"/>
      <c r="L78" s="1128"/>
      <c r="M78" s="1127"/>
      <c r="N78" s="1128"/>
      <c r="O78" s="1127"/>
      <c r="P78" s="1128"/>
      <c r="Q78" s="191"/>
      <c r="R78" s="986">
        <f>D$71+SUMPRODUCT(G$71:P$71,G78:P78)</f>
        <v>13.132849999999999</v>
      </c>
      <c r="S78" s="987"/>
      <c r="T78" s="1135">
        <f>R78/R$75-1</f>
        <v>-0.20406969696969701</v>
      </c>
      <c r="U78" s="987"/>
      <c r="V78" s="191"/>
    </row>
    <row r="79" spans="2:42" x14ac:dyDescent="0.25">
      <c r="B79" s="1131"/>
      <c r="C79" s="1132"/>
      <c r="D79" s="12" t="str">
        <f>D$44</f>
        <v>Medium Macro Stress</v>
      </c>
      <c r="E79" s="4"/>
      <c r="F79" s="5"/>
      <c r="G79" s="1127">
        <f>R44</f>
        <v>4.4976500000000001</v>
      </c>
      <c r="H79" s="1128"/>
      <c r="I79" s="1127">
        <f>I44</f>
        <v>0.5</v>
      </c>
      <c r="J79" s="1128"/>
      <c r="K79" s="1127"/>
      <c r="L79" s="1128"/>
      <c r="M79" s="1127"/>
      <c r="N79" s="1128"/>
      <c r="O79" s="1127"/>
      <c r="P79" s="1128"/>
      <c r="Q79" s="191"/>
      <c r="R79" s="986">
        <f>D$71+SUMPRODUCT(G$71:P$71,G79:P79)</f>
        <v>11.25235</v>
      </c>
      <c r="S79" s="987"/>
      <c r="T79" s="1135">
        <f>R79/R$75-1</f>
        <v>-0.31803939393939396</v>
      </c>
      <c r="U79" s="987"/>
      <c r="V79" s="191"/>
    </row>
    <row r="80" spans="2:42" x14ac:dyDescent="0.25">
      <c r="B80" s="1133"/>
      <c r="C80" s="1134"/>
      <c r="D80" s="13" t="str">
        <f>D$45</f>
        <v>Severe Macro Stress</v>
      </c>
      <c r="E80" s="6"/>
      <c r="F80" s="7"/>
      <c r="G80" s="1127">
        <f>R45</f>
        <v>5.0684000000000005</v>
      </c>
      <c r="H80" s="1128"/>
      <c r="I80" s="1127">
        <f>I45</f>
        <v>-1</v>
      </c>
      <c r="J80" s="1128"/>
      <c r="K80" s="1127"/>
      <c r="L80" s="1128"/>
      <c r="M80" s="1127"/>
      <c r="N80" s="1128"/>
      <c r="O80" s="1127"/>
      <c r="P80" s="1128"/>
      <c r="Q80" s="191"/>
      <c r="R80" s="986">
        <f>D$71+SUMPRODUCT(G$71:P$71,G80:P80)</f>
        <v>8.4315999999999995</v>
      </c>
      <c r="S80" s="987"/>
      <c r="T80" s="1135">
        <f>R80/R$75-1</f>
        <v>-0.48899393939393943</v>
      </c>
      <c r="U80" s="987"/>
      <c r="V80" s="191"/>
    </row>
    <row r="81" spans="2:22" x14ac:dyDescent="0.25">
      <c r="B81" s="191"/>
      <c r="C81" s="191"/>
      <c r="D81" s="191"/>
      <c r="E81" s="191"/>
      <c r="F81" s="191"/>
      <c r="G81" s="232"/>
      <c r="H81" s="232"/>
      <c r="I81" s="232"/>
      <c r="J81" s="232"/>
      <c r="K81" s="191"/>
      <c r="L81" s="191"/>
      <c r="M81" s="191"/>
      <c r="N81" s="191"/>
      <c r="O81" s="191"/>
      <c r="P81" s="191"/>
      <c r="Q81" s="191"/>
      <c r="R81" s="191"/>
      <c r="S81" s="191"/>
      <c r="T81" s="191"/>
      <c r="U81" s="191"/>
      <c r="V81" s="191"/>
    </row>
    <row r="82" spans="2:22" x14ac:dyDescent="0.25">
      <c r="B82" s="1129" t="s">
        <v>778</v>
      </c>
      <c r="C82" s="1130"/>
      <c r="D82" s="11" t="s">
        <v>327</v>
      </c>
      <c r="E82" s="2"/>
      <c r="F82" s="3"/>
      <c r="G82" s="1127">
        <f>R47</f>
        <v>3.9736301600000008</v>
      </c>
      <c r="H82" s="1128"/>
      <c r="I82" s="1127">
        <f>I47</f>
        <v>3</v>
      </c>
      <c r="J82" s="1128"/>
      <c r="K82" s="1127"/>
      <c r="L82" s="1128"/>
      <c r="M82" s="1127"/>
      <c r="N82" s="1128"/>
      <c r="O82" s="1127"/>
      <c r="P82" s="1128"/>
      <c r="Q82" s="191"/>
      <c r="R82" s="986">
        <f>D$71+SUMPRODUCT(G$71:P$71,G82:P82)</f>
        <v>15.526369839999999</v>
      </c>
      <c r="S82" s="987"/>
      <c r="T82" s="1135">
        <f>R82/R77-1</f>
        <v>-2.67795456824792E-2</v>
      </c>
      <c r="U82" s="1136"/>
      <c r="V82" s="191"/>
    </row>
    <row r="83" spans="2:22" x14ac:dyDescent="0.25">
      <c r="B83" s="1131"/>
      <c r="C83" s="1132"/>
      <c r="D83" s="12" t="str">
        <f>D$43</f>
        <v>Moderate Macro Stress</v>
      </c>
      <c r="E83" s="4"/>
      <c r="F83" s="5"/>
      <c r="G83" s="1127">
        <f>R48</f>
        <v>5.1808995850000006</v>
      </c>
      <c r="H83" s="1128"/>
      <c r="I83" s="1127">
        <f>I48</f>
        <v>1</v>
      </c>
      <c r="J83" s="1128"/>
      <c r="K83" s="1127"/>
      <c r="L83" s="1128"/>
      <c r="M83" s="1127"/>
      <c r="N83" s="1128"/>
      <c r="O83" s="1127"/>
      <c r="P83" s="1128"/>
      <c r="Q83" s="191"/>
      <c r="R83" s="986">
        <f>D$71+SUMPRODUCT(G$71:P$71,G83:P83)</f>
        <v>11.319100414999999</v>
      </c>
      <c r="S83" s="987"/>
      <c r="T83" s="1135">
        <f>R83/R78-1</f>
        <v>-0.13810784292822964</v>
      </c>
      <c r="U83" s="1136"/>
      <c r="V83" s="191"/>
    </row>
    <row r="84" spans="2:22" x14ac:dyDescent="0.25">
      <c r="B84" s="1131"/>
      <c r="C84" s="1132"/>
      <c r="D84" s="12" t="str">
        <f>D$44</f>
        <v>Medium Macro Stress</v>
      </c>
      <c r="E84" s="4"/>
      <c r="F84" s="5"/>
      <c r="G84" s="1127">
        <f>R49</f>
        <v>5.858912535</v>
      </c>
      <c r="H84" s="1128"/>
      <c r="I84" s="1127">
        <f>I49</f>
        <v>0</v>
      </c>
      <c r="J84" s="1128"/>
      <c r="K84" s="1127"/>
      <c r="L84" s="1128"/>
      <c r="M84" s="1127"/>
      <c r="N84" s="1128"/>
      <c r="O84" s="1127"/>
      <c r="P84" s="1128"/>
      <c r="Q84" s="191"/>
      <c r="R84" s="986">
        <f>D$71+SUMPRODUCT(G$71:P$71,G84:P84)</f>
        <v>9.141087465</v>
      </c>
      <c r="S84" s="987"/>
      <c r="T84" s="1135">
        <f>R84/R79-1</f>
        <v>-0.18762858736175114</v>
      </c>
      <c r="U84" s="1136"/>
      <c r="V84" s="191"/>
    </row>
    <row r="85" spans="2:22" x14ac:dyDescent="0.25">
      <c r="B85" s="1133"/>
      <c r="C85" s="1134"/>
      <c r="D85" s="13" t="str">
        <f>D$45</f>
        <v>Severe Macro Stress</v>
      </c>
      <c r="E85" s="6"/>
      <c r="F85" s="7"/>
      <c r="G85" s="1127">
        <f>R50</f>
        <v>7.0661819600000007</v>
      </c>
      <c r="H85" s="1128"/>
      <c r="I85" s="1127">
        <f>I50</f>
        <v>-2</v>
      </c>
      <c r="J85" s="1128"/>
      <c r="K85" s="1127"/>
      <c r="L85" s="1128"/>
      <c r="M85" s="1127"/>
      <c r="N85" s="1128"/>
      <c r="O85" s="1127"/>
      <c r="P85" s="1128"/>
      <c r="Q85" s="191"/>
      <c r="R85" s="986">
        <f>D$71+SUMPRODUCT(G$71:P$71,G85:P85)</f>
        <v>4.9338180399999985</v>
      </c>
      <c r="S85" s="987"/>
      <c r="T85" s="1135">
        <f>R85/R80-1</f>
        <v>-0.41484201812230193</v>
      </c>
      <c r="U85" s="1136"/>
      <c r="V85" s="191"/>
    </row>
    <row r="86" spans="2:22" x14ac:dyDescent="0.25">
      <c r="B86" s="191"/>
      <c r="C86" s="191"/>
      <c r="D86" s="191"/>
      <c r="E86" s="191"/>
      <c r="F86" s="191"/>
      <c r="G86" s="232"/>
      <c r="H86" s="232"/>
      <c r="I86" s="232"/>
      <c r="J86" s="232"/>
      <c r="K86" s="191"/>
      <c r="L86" s="191"/>
      <c r="M86" s="191"/>
      <c r="N86" s="191"/>
      <c r="O86" s="191"/>
      <c r="P86" s="191"/>
      <c r="Q86" s="191"/>
      <c r="R86" s="191"/>
      <c r="S86" s="191"/>
      <c r="T86" s="191"/>
      <c r="U86" s="191"/>
      <c r="V86" s="191"/>
    </row>
    <row r="87" spans="2:22" x14ac:dyDescent="0.25">
      <c r="B87" s="1129" t="s">
        <v>779</v>
      </c>
      <c r="C87" s="1130"/>
      <c r="D87" s="11" t="s">
        <v>327</v>
      </c>
      <c r="E87" s="2"/>
      <c r="F87" s="3"/>
      <c r="G87" s="1127">
        <f>R52</f>
        <v>4.3076814221040012</v>
      </c>
      <c r="H87" s="1128"/>
      <c r="I87" s="1127">
        <f>I52</f>
        <v>3</v>
      </c>
      <c r="J87" s="1128"/>
      <c r="K87" s="1127"/>
      <c r="L87" s="1128"/>
      <c r="M87" s="1127"/>
      <c r="N87" s="1128"/>
      <c r="O87" s="1127"/>
      <c r="P87" s="1128"/>
      <c r="Q87" s="191"/>
      <c r="R87" s="986">
        <f>D$71+SUMPRODUCT(G$71:P$71,G87:P87)</f>
        <v>15.192318577896</v>
      </c>
      <c r="S87" s="987"/>
      <c r="T87" s="1135">
        <f>R87/R82-1</f>
        <v>-2.1515091135044018E-2</v>
      </c>
      <c r="U87" s="1136"/>
      <c r="V87" s="191"/>
    </row>
    <row r="88" spans="2:22" x14ac:dyDescent="0.25">
      <c r="B88" s="1131"/>
      <c r="C88" s="1132"/>
      <c r="D88" s="12" t="str">
        <f>D$43</f>
        <v>Moderate Macro Stress</v>
      </c>
      <c r="E88" s="4"/>
      <c r="F88" s="5"/>
      <c r="G88" s="1127">
        <f>R53</f>
        <v>5.6321453855115005</v>
      </c>
      <c r="H88" s="1128"/>
      <c r="I88" s="1127">
        <f>I53</f>
        <v>2</v>
      </c>
      <c r="J88" s="1128"/>
      <c r="K88" s="1127"/>
      <c r="L88" s="1128"/>
      <c r="M88" s="1127"/>
      <c r="N88" s="1128"/>
      <c r="O88" s="1127"/>
      <c r="P88" s="1128"/>
      <c r="Q88" s="191"/>
      <c r="R88" s="986">
        <f>D$71+SUMPRODUCT(G$71:P$71,G88:P88)</f>
        <v>12.3678546144885</v>
      </c>
      <c r="S88" s="987"/>
      <c r="T88" s="1135">
        <f>R88/R83-1</f>
        <v>9.2653493743963811E-2</v>
      </c>
      <c r="U88" s="1136"/>
      <c r="V88" s="191"/>
    </row>
    <row r="89" spans="2:22" x14ac:dyDescent="0.25">
      <c r="B89" s="1131"/>
      <c r="C89" s="1132"/>
      <c r="D89" s="12" t="str">
        <f>D$44</f>
        <v>Medium Macro Stress</v>
      </c>
      <c r="E89" s="4"/>
      <c r="F89" s="5"/>
      <c r="G89" s="1127">
        <f>R54</f>
        <v>6.1622837111165003</v>
      </c>
      <c r="H89" s="1128"/>
      <c r="I89" s="1127">
        <f>I54</f>
        <v>2</v>
      </c>
      <c r="J89" s="1128"/>
      <c r="K89" s="1127"/>
      <c r="L89" s="1128"/>
      <c r="M89" s="1127"/>
      <c r="N89" s="1128"/>
      <c r="O89" s="1127"/>
      <c r="P89" s="1128"/>
      <c r="Q89" s="191"/>
      <c r="R89" s="986">
        <f>D$71+SUMPRODUCT(G$71:P$71,G89:P89)</f>
        <v>11.837716288883499</v>
      </c>
      <c r="S89" s="987"/>
      <c r="T89" s="1135">
        <f>R89/R84-1</f>
        <v>0.29500087754422322</v>
      </c>
      <c r="U89" s="1136"/>
      <c r="V89" s="191"/>
    </row>
    <row r="90" spans="2:22" x14ac:dyDescent="0.25">
      <c r="B90" s="1133"/>
      <c r="C90" s="1134"/>
      <c r="D90" s="13" t="str">
        <f>D$45</f>
        <v>Severe Macro Stress</v>
      </c>
      <c r="E90" s="6"/>
      <c r="F90" s="7"/>
      <c r="G90" s="1127">
        <f>R55</f>
        <v>7.867247674524001</v>
      </c>
      <c r="H90" s="1128"/>
      <c r="I90" s="1127">
        <f>I55</f>
        <v>0</v>
      </c>
      <c r="J90" s="1128"/>
      <c r="K90" s="1127"/>
      <c r="L90" s="1128"/>
      <c r="M90" s="1127"/>
      <c r="N90" s="1128"/>
      <c r="O90" s="1127"/>
      <c r="P90" s="1128"/>
      <c r="Q90" s="191"/>
      <c r="R90" s="986">
        <f>D$71+SUMPRODUCT(G$71:P$71,G90:P90)</f>
        <v>7.132752325475999</v>
      </c>
      <c r="S90" s="987"/>
      <c r="T90" s="1135">
        <f>R90/R85-1</f>
        <v>0.44568613346673014</v>
      </c>
      <c r="U90" s="1136"/>
      <c r="V90" s="191"/>
    </row>
    <row r="91" spans="2:22" x14ac:dyDescent="0.25">
      <c r="B91" s="191"/>
      <c r="C91" s="191"/>
      <c r="D91" s="191"/>
      <c r="E91" s="191"/>
      <c r="F91" s="191"/>
      <c r="G91" s="232"/>
      <c r="H91" s="232"/>
      <c r="I91" s="232"/>
      <c r="J91" s="232"/>
      <c r="K91" s="191"/>
      <c r="L91" s="191"/>
      <c r="M91" s="191"/>
      <c r="N91" s="191"/>
      <c r="O91" s="191"/>
      <c r="P91" s="191"/>
      <c r="Q91" s="191"/>
      <c r="R91" s="191"/>
      <c r="S91" s="191"/>
      <c r="T91" s="191"/>
      <c r="U91" s="191"/>
      <c r="V91" s="191"/>
    </row>
    <row r="92" spans="2:22" x14ac:dyDescent="0.25">
      <c r="B92" s="1129" t="s">
        <v>780</v>
      </c>
      <c r="C92" s="1130"/>
      <c r="D92" s="11" t="s">
        <v>327</v>
      </c>
      <c r="E92" s="2"/>
      <c r="F92" s="3"/>
      <c r="G92" s="1127">
        <f>R57</f>
        <v>4.5688761039431185</v>
      </c>
      <c r="H92" s="1128"/>
      <c r="I92" s="1127">
        <f>I57</f>
        <v>3</v>
      </c>
      <c r="J92" s="1128"/>
      <c r="K92" s="1127"/>
      <c r="L92" s="1128"/>
      <c r="M92" s="1127"/>
      <c r="N92" s="1128"/>
      <c r="O92" s="1127"/>
      <c r="P92" s="1128"/>
      <c r="Q92" s="191"/>
      <c r="R92" s="986">
        <f>D$71+SUMPRODUCT(G$71:P$71,G92:P92)</f>
        <v>14.931123896056882</v>
      </c>
      <c r="S92" s="987"/>
      <c r="T92" s="1135">
        <f>R92/R87-1</f>
        <v>-1.7192549017445047E-2</v>
      </c>
      <c r="U92" s="1136"/>
      <c r="V92" s="191"/>
    </row>
    <row r="93" spans="2:22" x14ac:dyDescent="0.25">
      <c r="B93" s="1131"/>
      <c r="C93" s="1132"/>
      <c r="D93" s="12" t="str">
        <f>D$43</f>
        <v>Moderate Macro Stress</v>
      </c>
      <c r="E93" s="4"/>
      <c r="F93" s="5"/>
      <c r="G93" s="1127">
        <f>R58</f>
        <v>5.6044744769314425</v>
      </c>
      <c r="H93" s="1128"/>
      <c r="I93" s="1127">
        <f>I58</f>
        <v>3</v>
      </c>
      <c r="J93" s="1128"/>
      <c r="K93" s="1127"/>
      <c r="L93" s="1128"/>
      <c r="M93" s="1127"/>
      <c r="N93" s="1128"/>
      <c r="O93" s="1127"/>
      <c r="P93" s="1128"/>
      <c r="Q93" s="191"/>
      <c r="R93" s="986">
        <f>D$71+SUMPRODUCT(G$71:P$71,G93:P93)</f>
        <v>13.895525523068557</v>
      </c>
      <c r="S93" s="987"/>
      <c r="T93" s="1135">
        <f>R93/R88-1</f>
        <v>0.12351947497753124</v>
      </c>
      <c r="U93" s="1136"/>
      <c r="V93" s="191"/>
    </row>
    <row r="94" spans="2:22" x14ac:dyDescent="0.25">
      <c r="B94" s="1131"/>
      <c r="C94" s="1132"/>
      <c r="D94" s="12" t="str">
        <f>D$44</f>
        <v>Medium Macro Stress</v>
      </c>
      <c r="E94" s="4"/>
      <c r="F94" s="5"/>
      <c r="G94" s="1127">
        <f>R59</f>
        <v>6.0189896337219926</v>
      </c>
      <c r="H94" s="1128"/>
      <c r="I94" s="1127">
        <f>I59</f>
        <v>3</v>
      </c>
      <c r="J94" s="1128"/>
      <c r="K94" s="1127"/>
      <c r="L94" s="1128"/>
      <c r="M94" s="1127"/>
      <c r="N94" s="1128"/>
      <c r="O94" s="1127"/>
      <c r="P94" s="1128"/>
      <c r="Q94" s="191"/>
      <c r="R94" s="986">
        <f>D$71+SUMPRODUCT(G$71:P$71,G94:P94)</f>
        <v>13.481010366278007</v>
      </c>
      <c r="S94" s="987"/>
      <c r="T94" s="1135">
        <f>R94/R89-1</f>
        <v>0.13881850496262382</v>
      </c>
      <c r="U94" s="1136"/>
      <c r="V94" s="191"/>
    </row>
    <row r="95" spans="2:22" x14ac:dyDescent="0.25">
      <c r="B95" s="1133"/>
      <c r="C95" s="1134"/>
      <c r="D95" s="13" t="str">
        <f>D$45</f>
        <v>Severe Macro Stress</v>
      </c>
      <c r="E95" s="6"/>
      <c r="F95" s="7"/>
      <c r="G95" s="1127">
        <f>R60</f>
        <v>7.9228509567103167</v>
      </c>
      <c r="H95" s="1128"/>
      <c r="I95" s="1127">
        <f>I60</f>
        <v>1.5</v>
      </c>
      <c r="J95" s="1128"/>
      <c r="K95" s="1127"/>
      <c r="L95" s="1128"/>
      <c r="M95" s="1127"/>
      <c r="N95" s="1128"/>
      <c r="O95" s="1127"/>
      <c r="P95" s="1128"/>
      <c r="Q95" s="191"/>
      <c r="R95" s="986">
        <f>D$71+SUMPRODUCT(G$71:P$71,G95:P95)</f>
        <v>9.3271490432896833</v>
      </c>
      <c r="S95" s="987"/>
      <c r="T95" s="1135">
        <f>R95/R90-1</f>
        <v>0.30765076616721632</v>
      </c>
      <c r="U95" s="1136"/>
      <c r="V95" s="191"/>
    </row>
    <row r="96" spans="2:22" x14ac:dyDescent="0.25">
      <c r="B96" s="191"/>
      <c r="C96" s="191"/>
      <c r="D96" s="191"/>
      <c r="E96" s="191"/>
      <c r="F96" s="191"/>
      <c r="G96" s="232"/>
      <c r="H96" s="232"/>
      <c r="I96" s="232"/>
      <c r="J96" s="232"/>
      <c r="K96" s="191"/>
      <c r="L96" s="191"/>
      <c r="M96" s="191"/>
      <c r="N96" s="191"/>
      <c r="O96" s="191"/>
      <c r="P96" s="191"/>
      <c r="Q96" s="191"/>
      <c r="R96" s="191"/>
      <c r="S96" s="191"/>
      <c r="T96" s="191"/>
      <c r="U96" s="191"/>
      <c r="V96" s="191"/>
    </row>
    <row r="97" spans="2:22" x14ac:dyDescent="0.25">
      <c r="B97" s="1129" t="s">
        <v>781</v>
      </c>
      <c r="C97" s="1130"/>
      <c r="D97" s="11" t="s">
        <v>327</v>
      </c>
      <c r="E97" s="2"/>
      <c r="F97" s="3"/>
      <c r="G97" s="1127">
        <f>R62</f>
        <v>4.7731042256731246</v>
      </c>
      <c r="H97" s="1128"/>
      <c r="I97" s="1127">
        <f>I62</f>
        <v>3</v>
      </c>
      <c r="J97" s="1128"/>
      <c r="K97" s="1127"/>
      <c r="L97" s="1128"/>
      <c r="M97" s="1127"/>
      <c r="N97" s="1128"/>
      <c r="O97" s="1127"/>
      <c r="P97" s="1128"/>
      <c r="Q97" s="191"/>
      <c r="R97" s="986">
        <f>D$71+SUMPRODUCT(G$71:P$71,G97:P97)</f>
        <v>14.726895774326875</v>
      </c>
      <c r="S97" s="987"/>
      <c r="T97" s="1135">
        <f>R97/R92-1</f>
        <v>-1.3678014002947214E-2</v>
      </c>
      <c r="U97" s="1136"/>
      <c r="V97" s="191"/>
    </row>
    <row r="98" spans="2:22" x14ac:dyDescent="0.25">
      <c r="B98" s="1131"/>
      <c r="C98" s="1132"/>
      <c r="D98" s="12" t="str">
        <f>D$43</f>
        <v>Moderate Macro Stress</v>
      </c>
      <c r="E98" s="4"/>
      <c r="F98" s="5"/>
      <c r="G98" s="1127">
        <f>R63</f>
        <v>5.5828385935126956</v>
      </c>
      <c r="H98" s="1128"/>
      <c r="I98" s="1127">
        <f>I63</f>
        <v>3</v>
      </c>
      <c r="J98" s="1128"/>
      <c r="K98" s="1127"/>
      <c r="L98" s="1128"/>
      <c r="M98" s="1127"/>
      <c r="N98" s="1128"/>
      <c r="O98" s="1127"/>
      <c r="P98" s="1128"/>
      <c r="Q98" s="191"/>
      <c r="R98" s="986">
        <f>D$71+SUMPRODUCT(G$71:P$71,G98:P98)</f>
        <v>13.917161406487304</v>
      </c>
      <c r="S98" s="987"/>
      <c r="T98" s="1135">
        <f>R98/R93-1</f>
        <v>1.5570395939923376E-3</v>
      </c>
      <c r="U98" s="1136"/>
      <c r="V98" s="191"/>
    </row>
    <row r="99" spans="2:22" x14ac:dyDescent="0.25">
      <c r="B99" s="1131"/>
      <c r="C99" s="1132"/>
      <c r="D99" s="12" t="str">
        <f>D$44</f>
        <v>Medium Macro Stress</v>
      </c>
      <c r="E99" s="4"/>
      <c r="F99" s="5"/>
      <c r="G99" s="1127">
        <f>R64</f>
        <v>5.9069479946072265</v>
      </c>
      <c r="H99" s="1128"/>
      <c r="I99" s="1127">
        <f>I64</f>
        <v>3</v>
      </c>
      <c r="J99" s="1128"/>
      <c r="K99" s="1127"/>
      <c r="L99" s="1128"/>
      <c r="M99" s="1127"/>
      <c r="N99" s="1128"/>
      <c r="O99" s="1127"/>
      <c r="P99" s="1128"/>
      <c r="Q99" s="191"/>
      <c r="R99" s="986">
        <f>D$71+SUMPRODUCT(G$71:P$71,G99:P99)</f>
        <v>13.593052005392774</v>
      </c>
      <c r="S99" s="987"/>
      <c r="T99" s="1135">
        <f>R99/R94-1</f>
        <v>8.3110713567162708E-3</v>
      </c>
      <c r="U99" s="1136"/>
      <c r="V99" s="191"/>
    </row>
    <row r="100" spans="2:22" x14ac:dyDescent="0.25">
      <c r="B100" s="1133"/>
      <c r="C100" s="1134"/>
      <c r="D100" s="13" t="str">
        <f>D$45</f>
        <v>Severe Macro Stress</v>
      </c>
      <c r="E100" s="6"/>
      <c r="F100" s="7"/>
      <c r="G100" s="1127">
        <f>R65</f>
        <v>7.3955771630517972</v>
      </c>
      <c r="H100" s="1128"/>
      <c r="I100" s="1127">
        <f>I65</f>
        <v>3</v>
      </c>
      <c r="J100" s="1128"/>
      <c r="K100" s="1127"/>
      <c r="L100" s="1128"/>
      <c r="M100" s="1127"/>
      <c r="N100" s="1128"/>
      <c r="O100" s="1127"/>
      <c r="P100" s="1128"/>
      <c r="Q100" s="191"/>
      <c r="R100" s="986">
        <f>D$71+SUMPRODUCT(G$71:P$71,G100:P100)</f>
        <v>12.104422836948203</v>
      </c>
      <c r="S100" s="987"/>
      <c r="T100" s="1135">
        <f>R100/R95-1</f>
        <v>0.29776234739773977</v>
      </c>
      <c r="U100" s="1136"/>
      <c r="V100" s="191"/>
    </row>
    <row r="101" spans="2:22" x14ac:dyDescent="0.25">
      <c r="B101" s="191"/>
      <c r="C101" s="191"/>
      <c r="D101" s="191"/>
      <c r="E101" s="191"/>
      <c r="F101" s="191"/>
      <c r="G101" s="191"/>
      <c r="H101" s="191"/>
      <c r="I101" s="191"/>
      <c r="J101" s="191"/>
      <c r="K101" s="191"/>
      <c r="L101" s="191"/>
      <c r="M101" s="191"/>
      <c r="N101" s="191"/>
      <c r="O101" s="191"/>
      <c r="P101" s="191"/>
      <c r="Q101" s="191"/>
      <c r="R101" s="191"/>
      <c r="S101" s="191"/>
      <c r="T101" s="191"/>
      <c r="U101" s="191"/>
      <c r="V101" s="191"/>
    </row>
    <row r="102" spans="2:22" ht="18.75" x14ac:dyDescent="0.3">
      <c r="B102" s="215"/>
      <c r="C102" s="457" t="s">
        <v>1405</v>
      </c>
      <c r="D102" s="1102" t="s">
        <v>783</v>
      </c>
      <c r="E102" s="1103"/>
      <c r="F102" s="1103"/>
      <c r="G102" s="1104"/>
      <c r="H102" s="214"/>
      <c r="I102" s="214"/>
      <c r="J102" s="214"/>
      <c r="K102" s="214"/>
      <c r="L102" s="214"/>
      <c r="M102" s="214"/>
      <c r="N102" s="214"/>
      <c r="O102" s="214"/>
      <c r="P102" s="214"/>
      <c r="Q102" s="214"/>
      <c r="R102" s="214"/>
      <c r="S102" s="214"/>
      <c r="T102" s="214"/>
      <c r="U102" s="214"/>
      <c r="V102" s="214"/>
    </row>
    <row r="103" spans="2:22" x14ac:dyDescent="0.25">
      <c r="B103" s="191"/>
      <c r="C103" s="191"/>
      <c r="D103" s="191"/>
      <c r="E103" s="191"/>
      <c r="F103" s="191"/>
      <c r="G103" s="191"/>
      <c r="H103" s="191"/>
      <c r="I103" s="191"/>
      <c r="J103" s="191"/>
      <c r="K103" s="191"/>
      <c r="L103" s="191"/>
      <c r="M103" s="191"/>
      <c r="N103" s="191"/>
      <c r="O103" s="191"/>
      <c r="P103" s="191"/>
      <c r="Q103" s="191"/>
      <c r="R103" s="191"/>
      <c r="S103" s="191"/>
      <c r="T103" s="191"/>
      <c r="U103" s="191"/>
      <c r="V103" s="191"/>
    </row>
    <row r="104" spans="2:22" x14ac:dyDescent="0.25">
      <c r="B104" s="191"/>
      <c r="C104" s="191"/>
      <c r="D104" s="844" t="s">
        <v>769</v>
      </c>
      <c r="E104" s="845"/>
      <c r="F104" s="845"/>
      <c r="G104" s="845"/>
      <c r="H104" s="845"/>
      <c r="I104" s="845"/>
      <c r="J104" s="845"/>
      <c r="K104" s="845"/>
      <c r="L104" s="845"/>
      <c r="M104" s="845"/>
      <c r="N104" s="845"/>
      <c r="O104" s="845"/>
      <c r="P104" s="846"/>
      <c r="Q104" s="191"/>
      <c r="R104" s="191"/>
      <c r="S104" s="191"/>
      <c r="T104" s="191"/>
      <c r="U104" s="191"/>
      <c r="V104" s="191"/>
    </row>
    <row r="105" spans="2:22" ht="30" customHeight="1" x14ac:dyDescent="0.25">
      <c r="B105" s="191"/>
      <c r="C105" s="191"/>
      <c r="D105" s="1137" t="s">
        <v>770</v>
      </c>
      <c r="E105" s="1138"/>
      <c r="F105" s="1139"/>
      <c r="G105" s="1142" t="str">
        <f>IF(G109="N/A","N/A","Coefficient"&amp;" "&amp;G109)</f>
        <v>Coefficient Profit (t-1)</v>
      </c>
      <c r="H105" s="1143" t="str">
        <f>"Coefficient"&amp;" "&amp;H109</f>
        <v xml:space="preserve">Coefficient </v>
      </c>
      <c r="I105" s="1142" t="str">
        <f>IF(I109="N/A","N/A","Coefficient"&amp;" "&amp;I109)</f>
        <v>Coefficient GDP Growth</v>
      </c>
      <c r="J105" s="1143" t="str">
        <f>"Coefficient"&amp;" "&amp;J109</f>
        <v xml:space="preserve">Coefficient </v>
      </c>
      <c r="K105" s="1142" t="str">
        <f>IF(K109="N/A","N/A","Coefficient"&amp;" "&amp;K109)</f>
        <v>Coefficient NPL (t-1)</v>
      </c>
      <c r="L105" s="1143" t="str">
        <f>"Coefficient"&amp;" "&amp;L109</f>
        <v xml:space="preserve">Coefficient </v>
      </c>
      <c r="M105" s="1142" t="str">
        <f>IF(M109="N/A","N/A","Coefficient"&amp;" "&amp;M109)</f>
        <v>N/A</v>
      </c>
      <c r="N105" s="1143" t="str">
        <f>"Coefficient"&amp;" "&amp;N109</f>
        <v xml:space="preserve">Coefficient </v>
      </c>
      <c r="O105" s="1142" t="str">
        <f>IF(O109="N/A","N/A","Coefficient"&amp;" "&amp;O109)</f>
        <v>N/A</v>
      </c>
      <c r="P105" s="1143" t="str">
        <f>"Coefficient"&amp;" "&amp;P109</f>
        <v xml:space="preserve">Coefficient </v>
      </c>
      <c r="Q105" s="191"/>
      <c r="R105" s="191"/>
      <c r="S105" s="191"/>
      <c r="T105" s="191"/>
      <c r="U105" s="191"/>
      <c r="V105" s="191"/>
    </row>
    <row r="106" spans="2:22" x14ac:dyDescent="0.25">
      <c r="B106" s="191"/>
      <c r="C106" s="191"/>
      <c r="D106" s="1127">
        <v>1.57</v>
      </c>
      <c r="E106" s="1146"/>
      <c r="F106" s="1128"/>
      <c r="G106" s="1127">
        <v>0.13</v>
      </c>
      <c r="H106" s="1128"/>
      <c r="I106" s="1127">
        <v>7.4999999999999997E-2</v>
      </c>
      <c r="J106" s="1128"/>
      <c r="K106" s="1099">
        <v>-9.7000000000000003E-2</v>
      </c>
      <c r="L106" s="1101"/>
      <c r="M106" s="1099"/>
      <c r="N106" s="1101"/>
      <c r="O106" s="1099"/>
      <c r="P106" s="1101"/>
      <c r="Q106" s="191"/>
      <c r="R106" s="191"/>
      <c r="S106" s="191"/>
      <c r="T106" s="191"/>
      <c r="U106" s="191"/>
      <c r="V106" s="191"/>
    </row>
    <row r="107" spans="2:22" ht="18.75" customHeight="1" x14ac:dyDescent="0.25">
      <c r="B107" s="191"/>
      <c r="C107" s="191"/>
      <c r="D107" s="191"/>
      <c r="E107" s="191"/>
      <c r="F107" s="191"/>
      <c r="G107" s="191"/>
      <c r="H107" s="191"/>
      <c r="I107" s="191"/>
      <c r="J107" s="191"/>
      <c r="K107" s="191"/>
      <c r="L107" s="191"/>
      <c r="M107" s="191"/>
      <c r="N107" s="191"/>
      <c r="O107" s="191"/>
      <c r="P107" s="191"/>
      <c r="Q107" s="191"/>
      <c r="R107" s="191"/>
      <c r="S107" s="191"/>
      <c r="T107" s="191"/>
      <c r="U107" s="191"/>
      <c r="V107" s="191"/>
    </row>
    <row r="108" spans="2:22" x14ac:dyDescent="0.25">
      <c r="B108" s="191"/>
      <c r="C108" s="191"/>
      <c r="D108" s="844" t="s">
        <v>771</v>
      </c>
      <c r="E108" s="845"/>
      <c r="F108" s="845"/>
      <c r="G108" s="845"/>
      <c r="H108" s="845"/>
      <c r="I108" s="845"/>
      <c r="J108" s="845"/>
      <c r="K108" s="845"/>
      <c r="L108" s="845"/>
      <c r="M108" s="845"/>
      <c r="N108" s="845"/>
      <c r="O108" s="845"/>
      <c r="P108" s="846"/>
      <c r="Q108" s="191"/>
      <c r="R108" s="887" t="str">
        <f>D102</f>
        <v>Bank Profit (ROA)</v>
      </c>
      <c r="S108" s="964"/>
      <c r="T108" s="964"/>
      <c r="U108" s="888"/>
      <c r="V108" s="191"/>
    </row>
    <row r="109" spans="2:22" ht="30" customHeight="1" x14ac:dyDescent="0.25">
      <c r="B109" s="191"/>
      <c r="C109" s="191"/>
      <c r="D109" s="470"/>
      <c r="E109" s="470"/>
      <c r="F109" s="470"/>
      <c r="G109" s="1144" t="s">
        <v>787</v>
      </c>
      <c r="H109" s="1145"/>
      <c r="I109" s="1144" t="s">
        <v>785</v>
      </c>
      <c r="J109" s="1145"/>
      <c r="K109" s="1144" t="s">
        <v>788</v>
      </c>
      <c r="L109" s="1145"/>
      <c r="M109" s="1144" t="s">
        <v>786</v>
      </c>
      <c r="N109" s="1145"/>
      <c r="O109" s="1144" t="s">
        <v>786</v>
      </c>
      <c r="P109" s="1145"/>
      <c r="Q109" s="191"/>
      <c r="R109" s="1137" t="s">
        <v>775</v>
      </c>
      <c r="S109" s="1139"/>
      <c r="T109" s="1137" t="s">
        <v>776</v>
      </c>
      <c r="U109" s="1139"/>
      <c r="V109" s="191"/>
    </row>
    <row r="110" spans="2:22" x14ac:dyDescent="0.25">
      <c r="B110" s="191"/>
      <c r="C110" s="191"/>
      <c r="D110" s="470"/>
      <c r="E110" s="470"/>
      <c r="F110" s="470"/>
      <c r="G110" s="1127">
        <v>1.77</v>
      </c>
      <c r="H110" s="1128"/>
      <c r="I110" s="1127">
        <v>3</v>
      </c>
      <c r="J110" s="1128"/>
      <c r="K110" s="1127">
        <v>3</v>
      </c>
      <c r="L110" s="1128"/>
      <c r="M110" s="1099"/>
      <c r="N110" s="1101"/>
      <c r="O110" s="1099"/>
      <c r="P110" s="1101"/>
      <c r="Q110" s="191"/>
      <c r="R110" s="986">
        <f>D$106+SUMPRODUCT(G$106:P$106,G110:P110)</f>
        <v>1.7341</v>
      </c>
      <c r="S110" s="987"/>
      <c r="T110" s="1127">
        <f>Input!W54</f>
        <v>5.6535553851210698E-3</v>
      </c>
      <c r="U110" s="1128"/>
      <c r="V110" s="191"/>
    </row>
    <row r="111" spans="2:22" x14ac:dyDescent="0.25">
      <c r="B111" s="191"/>
      <c r="C111" s="191"/>
      <c r="D111" s="191"/>
      <c r="E111" s="191"/>
      <c r="F111" s="191"/>
      <c r="G111" s="191"/>
      <c r="H111" s="191"/>
      <c r="I111" s="191"/>
      <c r="J111" s="191"/>
      <c r="K111" s="191"/>
      <c r="L111" s="191"/>
      <c r="M111" s="191"/>
      <c r="N111" s="191"/>
      <c r="O111" s="191"/>
      <c r="P111" s="191"/>
      <c r="Q111" s="191"/>
      <c r="R111" s="191"/>
      <c r="S111" s="191"/>
      <c r="T111" s="191"/>
      <c r="U111" s="191"/>
      <c r="V111" s="191"/>
    </row>
    <row r="112" spans="2:22" x14ac:dyDescent="0.25">
      <c r="B112" s="1129" t="s">
        <v>777</v>
      </c>
      <c r="C112" s="1130"/>
      <c r="D112" s="11" t="s">
        <v>327</v>
      </c>
      <c r="E112" s="2"/>
      <c r="F112" s="3"/>
      <c r="G112" s="1127">
        <f>G$110</f>
        <v>1.77</v>
      </c>
      <c r="H112" s="1128"/>
      <c r="I112" s="1127">
        <f>I77</f>
        <v>3</v>
      </c>
      <c r="J112" s="1128"/>
      <c r="K112" s="1127">
        <f>K$110</f>
        <v>3</v>
      </c>
      <c r="L112" s="1128"/>
      <c r="M112" s="1127"/>
      <c r="N112" s="1128"/>
      <c r="O112" s="1127"/>
      <c r="P112" s="1128"/>
      <c r="Q112" s="191"/>
      <c r="R112" s="986">
        <f>D$106+SUMPRODUCT(G$106:P$106,G112:P112)</f>
        <v>1.7341</v>
      </c>
      <c r="S112" s="987"/>
      <c r="T112" s="1135">
        <f>R112/R$110-1</f>
        <v>0</v>
      </c>
      <c r="U112" s="987"/>
      <c r="V112" s="191"/>
    </row>
    <row r="113" spans="2:22" x14ac:dyDescent="0.25">
      <c r="B113" s="1131"/>
      <c r="C113" s="1132"/>
      <c r="D113" s="12" t="str">
        <f>D$43</f>
        <v>Moderate Macro Stress</v>
      </c>
      <c r="E113" s="4"/>
      <c r="F113" s="5"/>
      <c r="G113" s="1127">
        <f>G$110</f>
        <v>1.77</v>
      </c>
      <c r="H113" s="1128"/>
      <c r="I113" s="1127">
        <f>I78</f>
        <v>1.5</v>
      </c>
      <c r="J113" s="1128"/>
      <c r="K113" s="1127">
        <f>K$110</f>
        <v>3</v>
      </c>
      <c r="L113" s="1128"/>
      <c r="M113" s="1127"/>
      <c r="N113" s="1128"/>
      <c r="O113" s="1127"/>
      <c r="P113" s="1128"/>
      <c r="Q113" s="191"/>
      <c r="R113" s="986">
        <f>D$106+SUMPRODUCT(G$106:P$106,G113:P113)</f>
        <v>1.6215999999999999</v>
      </c>
      <c r="S113" s="987"/>
      <c r="T113" s="1135">
        <f>R113/R$110-1</f>
        <v>-6.4875151375353268E-2</v>
      </c>
      <c r="U113" s="987"/>
      <c r="V113" s="191"/>
    </row>
    <row r="114" spans="2:22" x14ac:dyDescent="0.25">
      <c r="B114" s="1131"/>
      <c r="C114" s="1132"/>
      <c r="D114" s="12" t="str">
        <f>D$44</f>
        <v>Medium Macro Stress</v>
      </c>
      <c r="E114" s="4"/>
      <c r="F114" s="5"/>
      <c r="G114" s="1127">
        <f>G$110</f>
        <v>1.77</v>
      </c>
      <c r="H114" s="1128"/>
      <c r="I114" s="1127">
        <f>I79</f>
        <v>0.5</v>
      </c>
      <c r="J114" s="1128"/>
      <c r="K114" s="1127">
        <f>K$110</f>
        <v>3</v>
      </c>
      <c r="L114" s="1128"/>
      <c r="M114" s="1127"/>
      <c r="N114" s="1128"/>
      <c r="O114" s="1127"/>
      <c r="P114" s="1128"/>
      <c r="Q114" s="191"/>
      <c r="R114" s="986">
        <f>D$106+SUMPRODUCT(G$106:P$106,G114:P114)</f>
        <v>1.5466</v>
      </c>
      <c r="S114" s="987"/>
      <c r="T114" s="1135">
        <f>R114/R$110-1</f>
        <v>-0.10812525229225534</v>
      </c>
      <c r="U114" s="987"/>
      <c r="V114" s="191"/>
    </row>
    <row r="115" spans="2:22" x14ac:dyDescent="0.25">
      <c r="B115" s="1133"/>
      <c r="C115" s="1134"/>
      <c r="D115" s="13" t="str">
        <f>D$45</f>
        <v>Severe Macro Stress</v>
      </c>
      <c r="E115" s="6"/>
      <c r="F115" s="7"/>
      <c r="G115" s="1127">
        <f>G$110</f>
        <v>1.77</v>
      </c>
      <c r="H115" s="1128"/>
      <c r="I115" s="1127">
        <f>I80</f>
        <v>-1</v>
      </c>
      <c r="J115" s="1128"/>
      <c r="K115" s="1127">
        <f>K$110</f>
        <v>3</v>
      </c>
      <c r="L115" s="1128"/>
      <c r="M115" s="1127"/>
      <c r="N115" s="1128"/>
      <c r="O115" s="1127"/>
      <c r="P115" s="1128"/>
      <c r="Q115" s="191"/>
      <c r="R115" s="986">
        <f>D$106+SUMPRODUCT(G$106:P$106,G115:P115)</f>
        <v>1.4340999999999999</v>
      </c>
      <c r="S115" s="987"/>
      <c r="T115" s="1135">
        <f>R115/R$110-1</f>
        <v>-0.1730004036676086</v>
      </c>
      <c r="U115" s="987"/>
      <c r="V115" s="191"/>
    </row>
    <row r="116" spans="2:22" x14ac:dyDescent="0.25">
      <c r="B116" s="191"/>
      <c r="C116" s="191"/>
      <c r="D116" s="191"/>
      <c r="E116" s="191"/>
      <c r="F116" s="191"/>
      <c r="G116" s="191"/>
      <c r="H116" s="191"/>
      <c r="I116" s="191"/>
      <c r="J116" s="191"/>
      <c r="K116" s="191"/>
      <c r="L116" s="191"/>
      <c r="M116" s="191"/>
      <c r="N116" s="191"/>
      <c r="O116" s="191"/>
      <c r="P116" s="191"/>
      <c r="Q116" s="191"/>
      <c r="R116" s="191"/>
      <c r="S116" s="191"/>
      <c r="T116" s="191"/>
      <c r="U116" s="191"/>
      <c r="V116" s="191"/>
    </row>
    <row r="117" spans="2:22" x14ac:dyDescent="0.25">
      <c r="B117" s="1129" t="s">
        <v>778</v>
      </c>
      <c r="C117" s="1130"/>
      <c r="D117" s="11" t="s">
        <v>327</v>
      </c>
      <c r="E117" s="2"/>
      <c r="F117" s="3"/>
      <c r="G117" s="1127">
        <f>R112</f>
        <v>1.7341</v>
      </c>
      <c r="H117" s="1128"/>
      <c r="I117" s="1127">
        <f>I82</f>
        <v>3</v>
      </c>
      <c r="J117" s="1128"/>
      <c r="K117" s="1127">
        <f>R42</f>
        <v>3.5464000000000002</v>
      </c>
      <c r="L117" s="1128"/>
      <c r="M117" s="1127"/>
      <c r="N117" s="1128"/>
      <c r="O117" s="1127"/>
      <c r="P117" s="1128"/>
      <c r="Q117" s="191"/>
      <c r="R117" s="986">
        <f>D$106+SUMPRODUCT(G$106:P$106,G117:P117)</f>
        <v>1.6764322</v>
      </c>
      <c r="S117" s="987"/>
      <c r="T117" s="1135">
        <f>R117/R112-1</f>
        <v>-3.3255175595409692E-2</v>
      </c>
      <c r="U117" s="1136"/>
      <c r="V117" s="191"/>
    </row>
    <row r="118" spans="2:22" x14ac:dyDescent="0.25">
      <c r="B118" s="1131"/>
      <c r="C118" s="1132"/>
      <c r="D118" s="12" t="str">
        <f>D$43</f>
        <v>Moderate Macro Stress</v>
      </c>
      <c r="E118" s="4"/>
      <c r="F118" s="5"/>
      <c r="G118" s="1127">
        <f>R113</f>
        <v>1.6215999999999999</v>
      </c>
      <c r="H118" s="1128"/>
      <c r="I118" s="1127">
        <f>I83</f>
        <v>1</v>
      </c>
      <c r="J118" s="1128"/>
      <c r="K118" s="1127">
        <f>R43</f>
        <v>4.1171500000000005</v>
      </c>
      <c r="L118" s="1128"/>
      <c r="M118" s="1127"/>
      <c r="N118" s="1128"/>
      <c r="O118" s="1127"/>
      <c r="P118" s="1128"/>
      <c r="Q118" s="191"/>
      <c r="R118" s="986">
        <f>D$106+SUMPRODUCT(G$106:P$106,G118:P118)</f>
        <v>1.45644445</v>
      </c>
      <c r="S118" s="987"/>
      <c r="T118" s="1135">
        <f>R118/R113-1</f>
        <v>-0.10184728046373948</v>
      </c>
      <c r="U118" s="1136"/>
      <c r="V118" s="191"/>
    </row>
    <row r="119" spans="2:22" x14ac:dyDescent="0.25">
      <c r="B119" s="1131"/>
      <c r="C119" s="1132"/>
      <c r="D119" s="12" t="str">
        <f>D$44</f>
        <v>Medium Macro Stress</v>
      </c>
      <c r="E119" s="4"/>
      <c r="F119" s="5"/>
      <c r="G119" s="1127">
        <f>R114</f>
        <v>1.5466</v>
      </c>
      <c r="H119" s="1128"/>
      <c r="I119" s="1127">
        <f>I84</f>
        <v>0</v>
      </c>
      <c r="J119" s="1128"/>
      <c r="K119" s="1127">
        <f>R44</f>
        <v>4.4976500000000001</v>
      </c>
      <c r="L119" s="1128"/>
      <c r="M119" s="1127"/>
      <c r="N119" s="1128"/>
      <c r="O119" s="1127"/>
      <c r="P119" s="1128"/>
      <c r="Q119" s="191"/>
      <c r="R119" s="986">
        <f>D$106+SUMPRODUCT(G$106:P$106,G119:P119)</f>
        <v>1.3347859500000001</v>
      </c>
      <c r="S119" s="987"/>
      <c r="T119" s="1135">
        <f>R119/R114-1</f>
        <v>-0.13695464244148448</v>
      </c>
      <c r="U119" s="1136"/>
      <c r="V119" s="191"/>
    </row>
    <row r="120" spans="2:22" x14ac:dyDescent="0.25">
      <c r="B120" s="1133"/>
      <c r="C120" s="1134"/>
      <c r="D120" s="13" t="str">
        <f>D$45</f>
        <v>Severe Macro Stress</v>
      </c>
      <c r="E120" s="6"/>
      <c r="F120" s="7"/>
      <c r="G120" s="1127">
        <f>R115</f>
        <v>1.4340999999999999</v>
      </c>
      <c r="H120" s="1128"/>
      <c r="I120" s="1127">
        <f>I85</f>
        <v>-2</v>
      </c>
      <c r="J120" s="1128"/>
      <c r="K120" s="1127">
        <f>R45</f>
        <v>5.0684000000000005</v>
      </c>
      <c r="L120" s="1128"/>
      <c r="M120" s="1127"/>
      <c r="N120" s="1128"/>
      <c r="O120" s="1127"/>
      <c r="P120" s="1128"/>
      <c r="Q120" s="191"/>
      <c r="R120" s="986">
        <f>D$106+SUMPRODUCT(G$106:P$106,G120:P120)</f>
        <v>1.1147982000000001</v>
      </c>
      <c r="S120" s="987"/>
      <c r="T120" s="1135">
        <f>R120/R115-1</f>
        <v>-0.22264960602468442</v>
      </c>
      <c r="U120" s="1136"/>
      <c r="V120" s="191"/>
    </row>
    <row r="121" spans="2:22" x14ac:dyDescent="0.25">
      <c r="B121" s="191"/>
      <c r="C121" s="191"/>
      <c r="D121" s="191"/>
      <c r="E121" s="191"/>
      <c r="F121" s="191"/>
      <c r="G121" s="191"/>
      <c r="H121" s="191"/>
      <c r="I121" s="191"/>
      <c r="J121" s="191"/>
      <c r="K121" s="191"/>
      <c r="L121" s="191"/>
      <c r="M121" s="191"/>
      <c r="N121" s="191"/>
      <c r="O121" s="191"/>
      <c r="P121" s="191"/>
      <c r="Q121" s="191"/>
      <c r="R121" s="191"/>
      <c r="S121" s="191"/>
      <c r="T121" s="191"/>
      <c r="U121" s="191"/>
      <c r="V121" s="191"/>
    </row>
    <row r="122" spans="2:22" x14ac:dyDescent="0.25">
      <c r="B122" s="1129" t="s">
        <v>779</v>
      </c>
      <c r="C122" s="1130"/>
      <c r="D122" s="11" t="s">
        <v>327</v>
      </c>
      <c r="E122" s="2"/>
      <c r="F122" s="3"/>
      <c r="G122" s="1127">
        <f>R117</f>
        <v>1.6764322</v>
      </c>
      <c r="H122" s="1128"/>
      <c r="I122" s="1127">
        <f>I87</f>
        <v>3</v>
      </c>
      <c r="J122" s="1128"/>
      <c r="K122" s="1127">
        <f>R47</f>
        <v>3.9736301600000008</v>
      </c>
      <c r="L122" s="1128"/>
      <c r="M122" s="1127"/>
      <c r="N122" s="1128"/>
      <c r="O122" s="1127"/>
      <c r="P122" s="1128"/>
      <c r="Q122" s="191"/>
      <c r="R122" s="986">
        <f>D$106+SUMPRODUCT(G$106:P$106,G122:P122)</f>
        <v>1.6274940604799999</v>
      </c>
      <c r="S122" s="987"/>
      <c r="T122" s="1135">
        <f>R122/R117-1</f>
        <v>-2.9191839383662654E-2</v>
      </c>
      <c r="U122" s="1136"/>
      <c r="V122" s="191"/>
    </row>
    <row r="123" spans="2:22" x14ac:dyDescent="0.25">
      <c r="B123" s="1131"/>
      <c r="C123" s="1132"/>
      <c r="D123" s="12" t="str">
        <f>D$43</f>
        <v>Moderate Macro Stress</v>
      </c>
      <c r="E123" s="4"/>
      <c r="F123" s="5"/>
      <c r="G123" s="1127">
        <f>R118</f>
        <v>1.45644445</v>
      </c>
      <c r="H123" s="1128"/>
      <c r="I123" s="1127">
        <f>I88</f>
        <v>2</v>
      </c>
      <c r="J123" s="1128"/>
      <c r="K123" s="1127">
        <f>R48</f>
        <v>5.1808995850000006</v>
      </c>
      <c r="L123" s="1128"/>
      <c r="M123" s="1127"/>
      <c r="N123" s="1128"/>
      <c r="O123" s="1127"/>
      <c r="P123" s="1128"/>
      <c r="Q123" s="191"/>
      <c r="R123" s="986">
        <f>D$106+SUMPRODUCT(G$106:P$106,G123:P123)</f>
        <v>1.4067905187550001</v>
      </c>
      <c r="S123" s="987"/>
      <c r="T123" s="1135">
        <f>R123/R118-1</f>
        <v>-3.4092567859350886E-2</v>
      </c>
      <c r="U123" s="1136"/>
      <c r="V123" s="191"/>
    </row>
    <row r="124" spans="2:22" x14ac:dyDescent="0.25">
      <c r="B124" s="1131"/>
      <c r="C124" s="1132"/>
      <c r="D124" s="12" t="str">
        <f>D$44</f>
        <v>Medium Macro Stress</v>
      </c>
      <c r="E124" s="4"/>
      <c r="F124" s="5"/>
      <c r="G124" s="1127">
        <f>R119</f>
        <v>1.3347859500000001</v>
      </c>
      <c r="H124" s="1128"/>
      <c r="I124" s="1127">
        <f>I89</f>
        <v>2</v>
      </c>
      <c r="J124" s="1128"/>
      <c r="K124" s="1127">
        <f>R49</f>
        <v>5.858912535</v>
      </c>
      <c r="L124" s="1128"/>
      <c r="M124" s="1127"/>
      <c r="N124" s="1128"/>
      <c r="O124" s="1127"/>
      <c r="P124" s="1128"/>
      <c r="Q124" s="191"/>
      <c r="R124" s="986">
        <f>D$106+SUMPRODUCT(G$106:P$106,G124:P124)</f>
        <v>1.325207657605</v>
      </c>
      <c r="S124" s="987"/>
      <c r="T124" s="1135">
        <f>R124/R119-1</f>
        <v>-7.1759014207484206E-3</v>
      </c>
      <c r="U124" s="1136"/>
      <c r="V124" s="191"/>
    </row>
    <row r="125" spans="2:22" x14ac:dyDescent="0.25">
      <c r="B125" s="1133"/>
      <c r="C125" s="1134"/>
      <c r="D125" s="13" t="str">
        <f>D$45</f>
        <v>Severe Macro Stress</v>
      </c>
      <c r="E125" s="6"/>
      <c r="F125" s="7"/>
      <c r="G125" s="1127">
        <f>R120</f>
        <v>1.1147982000000001</v>
      </c>
      <c r="H125" s="1128"/>
      <c r="I125" s="1127">
        <f>I90</f>
        <v>0</v>
      </c>
      <c r="J125" s="1128"/>
      <c r="K125" s="1127">
        <f>R50</f>
        <v>7.0661819600000007</v>
      </c>
      <c r="L125" s="1128"/>
      <c r="M125" s="1127"/>
      <c r="N125" s="1128"/>
      <c r="O125" s="1127"/>
      <c r="P125" s="1128"/>
      <c r="Q125" s="191"/>
      <c r="R125" s="986">
        <f>D$106+SUMPRODUCT(G$106:P$106,G125:P125)</f>
        <v>1.02950411588</v>
      </c>
      <c r="S125" s="987"/>
      <c r="T125" s="1135">
        <f>R125/R120-1</f>
        <v>-7.6510783853077635E-2</v>
      </c>
      <c r="U125" s="1136"/>
      <c r="V125" s="191"/>
    </row>
    <row r="126" spans="2:22" x14ac:dyDescent="0.25">
      <c r="B126" s="191"/>
      <c r="C126" s="191"/>
      <c r="D126" s="191"/>
      <c r="E126" s="191"/>
      <c r="F126" s="191"/>
      <c r="G126" s="191"/>
      <c r="H126" s="191"/>
      <c r="I126" s="191"/>
      <c r="J126" s="191"/>
      <c r="K126" s="191"/>
      <c r="L126" s="191"/>
      <c r="M126" s="191"/>
      <c r="N126" s="191"/>
      <c r="O126" s="191"/>
      <c r="P126" s="191"/>
      <c r="Q126" s="191"/>
      <c r="R126" s="191"/>
      <c r="S126" s="191"/>
      <c r="T126" s="191"/>
      <c r="U126" s="191"/>
      <c r="V126" s="191"/>
    </row>
    <row r="127" spans="2:22" x14ac:dyDescent="0.25">
      <c r="B127" s="1129" t="s">
        <v>780</v>
      </c>
      <c r="C127" s="1130"/>
      <c r="D127" s="11" t="s">
        <v>327</v>
      </c>
      <c r="E127" s="2"/>
      <c r="F127" s="3"/>
      <c r="G127" s="1127">
        <f>R122</f>
        <v>1.6274940604799999</v>
      </c>
      <c r="H127" s="1128"/>
      <c r="I127" s="1127">
        <f>I92</f>
        <v>3</v>
      </c>
      <c r="J127" s="1128"/>
      <c r="K127" s="1127">
        <f>R52</f>
        <v>4.3076814221040012</v>
      </c>
      <c r="L127" s="1128"/>
      <c r="M127" s="1127"/>
      <c r="N127" s="1128"/>
      <c r="O127" s="1127"/>
      <c r="P127" s="1128"/>
      <c r="Q127" s="191"/>
      <c r="R127" s="986">
        <f>D$106+SUMPRODUCT(G$106:P$106,G127:P127)</f>
        <v>1.5887291299183119</v>
      </c>
      <c r="S127" s="987"/>
      <c r="T127" s="1135">
        <f>R127/R122-1</f>
        <v>-2.3818784659806913E-2</v>
      </c>
      <c r="U127" s="1136"/>
      <c r="V127" s="191"/>
    </row>
    <row r="128" spans="2:22" x14ac:dyDescent="0.25">
      <c r="B128" s="1131"/>
      <c r="C128" s="1132"/>
      <c r="D128" s="12" t="str">
        <f>D$43</f>
        <v>Moderate Macro Stress</v>
      </c>
      <c r="E128" s="4"/>
      <c r="F128" s="5"/>
      <c r="G128" s="1127">
        <f>R123</f>
        <v>1.4067905187550001</v>
      </c>
      <c r="H128" s="1128"/>
      <c r="I128" s="1127">
        <f>I93</f>
        <v>3</v>
      </c>
      <c r="J128" s="1128"/>
      <c r="K128" s="1127">
        <f>R53</f>
        <v>5.6321453855115005</v>
      </c>
      <c r="L128" s="1128"/>
      <c r="M128" s="1127"/>
      <c r="N128" s="1128"/>
      <c r="O128" s="1127"/>
      <c r="P128" s="1128"/>
      <c r="Q128" s="191"/>
      <c r="R128" s="986">
        <f>D$106+SUMPRODUCT(G$106:P$106,G128:P128)</f>
        <v>1.4315646650435345</v>
      </c>
      <c r="S128" s="987"/>
      <c r="T128" s="1135">
        <f>R128/R123-1</f>
        <v>1.7610401803432207E-2</v>
      </c>
      <c r="U128" s="1136"/>
      <c r="V128" s="191"/>
    </row>
    <row r="129" spans="2:27" x14ac:dyDescent="0.25">
      <c r="B129" s="1131"/>
      <c r="C129" s="1132"/>
      <c r="D129" s="12" t="str">
        <f>D$44</f>
        <v>Medium Macro Stress</v>
      </c>
      <c r="E129" s="4"/>
      <c r="F129" s="5"/>
      <c r="G129" s="1127">
        <f>R124</f>
        <v>1.325207657605</v>
      </c>
      <c r="H129" s="1128"/>
      <c r="I129" s="1127">
        <f>I94</f>
        <v>3</v>
      </c>
      <c r="J129" s="1128"/>
      <c r="K129" s="1127">
        <f>R54</f>
        <v>6.1622837111165003</v>
      </c>
      <c r="L129" s="1128"/>
      <c r="M129" s="1127"/>
      <c r="N129" s="1128"/>
      <c r="O129" s="1127"/>
      <c r="P129" s="1128"/>
      <c r="Q129" s="191"/>
      <c r="R129" s="986">
        <f>D$106+SUMPRODUCT(G$106:P$106,G129:P129)</f>
        <v>1.3695354755103495</v>
      </c>
      <c r="S129" s="987"/>
      <c r="T129" s="1135">
        <f>R129/R124-1</f>
        <v>3.3449714579420364E-2</v>
      </c>
      <c r="U129" s="1136"/>
      <c r="V129" s="191"/>
    </row>
    <row r="130" spans="2:27" x14ac:dyDescent="0.25">
      <c r="B130" s="1133"/>
      <c r="C130" s="1134"/>
      <c r="D130" s="13" t="str">
        <f>D$45</f>
        <v>Severe Macro Stress</v>
      </c>
      <c r="E130" s="6"/>
      <c r="F130" s="7"/>
      <c r="G130" s="1127">
        <f>R125</f>
        <v>1.02950411588</v>
      </c>
      <c r="H130" s="1128"/>
      <c r="I130" s="1127">
        <f>I95</f>
        <v>1.5</v>
      </c>
      <c r="J130" s="1128"/>
      <c r="K130" s="1127">
        <f>R55</f>
        <v>7.867247674524001</v>
      </c>
      <c r="L130" s="1128"/>
      <c r="M130" s="1127"/>
      <c r="N130" s="1128"/>
      <c r="O130" s="1127"/>
      <c r="P130" s="1128"/>
      <c r="Q130" s="191"/>
      <c r="R130" s="986">
        <f>D$106+SUMPRODUCT(G$106:P$106,G130:P130)</f>
        <v>1.0532125106355719</v>
      </c>
      <c r="S130" s="987"/>
      <c r="T130" s="1135">
        <f>R130/R125-1</f>
        <v>2.3028946062353839E-2</v>
      </c>
      <c r="U130" s="1136"/>
      <c r="V130" s="191"/>
    </row>
    <row r="131" spans="2:27" x14ac:dyDescent="0.25">
      <c r="B131" s="191"/>
      <c r="C131" s="191"/>
      <c r="D131" s="191"/>
      <c r="E131" s="191"/>
      <c r="F131" s="191"/>
      <c r="G131" s="191"/>
      <c r="H131" s="191"/>
      <c r="I131" s="191"/>
      <c r="J131" s="191"/>
      <c r="K131" s="191"/>
      <c r="L131" s="191"/>
      <c r="M131" s="191"/>
      <c r="N131" s="191"/>
      <c r="O131" s="191"/>
      <c r="P131" s="191"/>
      <c r="Q131" s="191"/>
      <c r="R131" s="191"/>
      <c r="S131" s="191"/>
      <c r="T131" s="191"/>
      <c r="U131" s="191"/>
      <c r="V131" s="191"/>
    </row>
    <row r="132" spans="2:27" x14ac:dyDescent="0.25">
      <c r="B132" s="1129" t="s">
        <v>781</v>
      </c>
      <c r="C132" s="1130"/>
      <c r="D132" s="11" t="s">
        <v>327</v>
      </c>
      <c r="E132" s="2"/>
      <c r="F132" s="3"/>
      <c r="G132" s="1127">
        <f>R127</f>
        <v>1.5887291299183119</v>
      </c>
      <c r="H132" s="1128"/>
      <c r="I132" s="1127">
        <f>I97</f>
        <v>3</v>
      </c>
      <c r="J132" s="1128"/>
      <c r="K132" s="1127">
        <f>R57</f>
        <v>4.5688761039431185</v>
      </c>
      <c r="L132" s="1128"/>
      <c r="M132" s="1127"/>
      <c r="N132" s="1128"/>
      <c r="O132" s="1127"/>
      <c r="P132" s="1128"/>
      <c r="Q132" s="191"/>
      <c r="R132" s="986">
        <f>D$106+SUMPRODUCT(G$106:P$106,G132:P132)</f>
        <v>1.5583538048068981</v>
      </c>
      <c r="S132" s="987"/>
      <c r="T132" s="1135">
        <f>R132/R127-1</f>
        <v>-1.9119259878476402E-2</v>
      </c>
      <c r="U132" s="1136"/>
      <c r="V132" s="191"/>
    </row>
    <row r="133" spans="2:27" x14ac:dyDescent="0.25">
      <c r="B133" s="1131"/>
      <c r="C133" s="1132"/>
      <c r="D133" s="12" t="str">
        <f>D$43</f>
        <v>Moderate Macro Stress</v>
      </c>
      <c r="E133" s="4"/>
      <c r="F133" s="5"/>
      <c r="G133" s="1127">
        <f>R128</f>
        <v>1.4315646650435345</v>
      </c>
      <c r="H133" s="1128"/>
      <c r="I133" s="1127">
        <f>I98</f>
        <v>3</v>
      </c>
      <c r="J133" s="1128"/>
      <c r="K133" s="1127">
        <f>R58</f>
        <v>5.6044744769314425</v>
      </c>
      <c r="L133" s="1128"/>
      <c r="M133" s="1127"/>
      <c r="N133" s="1128"/>
      <c r="O133" s="1127"/>
      <c r="P133" s="1128"/>
      <c r="Q133" s="191"/>
      <c r="R133" s="986">
        <f>D$106+SUMPRODUCT(G$106:P$106,G133:P133)</f>
        <v>1.4374693821933096</v>
      </c>
      <c r="S133" s="987"/>
      <c r="T133" s="1135">
        <f>R133/R128-1</f>
        <v>4.124659747448689E-3</v>
      </c>
      <c r="U133" s="1136"/>
      <c r="V133" s="191"/>
    </row>
    <row r="134" spans="2:27" x14ac:dyDescent="0.25">
      <c r="B134" s="1131"/>
      <c r="C134" s="1132"/>
      <c r="D134" s="12" t="str">
        <f>D$44</f>
        <v>Medium Macro Stress</v>
      </c>
      <c r="E134" s="4"/>
      <c r="F134" s="5"/>
      <c r="G134" s="1127">
        <f>R129</f>
        <v>1.3695354755103495</v>
      </c>
      <c r="H134" s="1128"/>
      <c r="I134" s="1127">
        <f>I99</f>
        <v>3</v>
      </c>
      <c r="J134" s="1128"/>
      <c r="K134" s="1127">
        <f>R59</f>
        <v>6.0189896337219926</v>
      </c>
      <c r="L134" s="1128"/>
      <c r="M134" s="1127"/>
      <c r="N134" s="1128"/>
      <c r="O134" s="1127"/>
      <c r="P134" s="1128"/>
      <c r="Q134" s="191"/>
      <c r="R134" s="986">
        <f>D$106+SUMPRODUCT(G$106:P$106,G134:P134)</f>
        <v>1.3891976173453122</v>
      </c>
      <c r="S134" s="987"/>
      <c r="T134" s="1135">
        <f>R134/R129-1</f>
        <v>1.4356796290826868E-2</v>
      </c>
      <c r="U134" s="1136"/>
      <c r="V134" s="191"/>
    </row>
    <row r="135" spans="2:27" x14ac:dyDescent="0.25">
      <c r="B135" s="1133"/>
      <c r="C135" s="1134"/>
      <c r="D135" s="13" t="str">
        <f>D$45</f>
        <v>Severe Macro Stress</v>
      </c>
      <c r="E135" s="6"/>
      <c r="F135" s="7"/>
      <c r="G135" s="1127">
        <f>R130</f>
        <v>1.0532125106355719</v>
      </c>
      <c r="H135" s="1128"/>
      <c r="I135" s="1127">
        <f>I100</f>
        <v>3</v>
      </c>
      <c r="J135" s="1128"/>
      <c r="K135" s="1127">
        <f>R60</f>
        <v>7.9228509567103167</v>
      </c>
      <c r="L135" s="1128"/>
      <c r="M135" s="1127"/>
      <c r="N135" s="1128"/>
      <c r="O135" s="1127"/>
      <c r="P135" s="1128"/>
      <c r="Q135" s="191"/>
      <c r="R135" s="986">
        <f>D$106+SUMPRODUCT(G$106:P$106,G135:P135)</f>
        <v>1.1634010835817237</v>
      </c>
      <c r="S135" s="987"/>
      <c r="T135" s="1135">
        <f>R135/R130-1</f>
        <v>0.10462140530371911</v>
      </c>
      <c r="U135" s="1136"/>
      <c r="V135" s="191"/>
    </row>
    <row r="136" spans="2:27" x14ac:dyDescent="0.25">
      <c r="B136" s="191"/>
      <c r="C136" s="191"/>
      <c r="D136" s="191"/>
      <c r="E136" s="191"/>
      <c r="F136" s="191"/>
      <c r="G136" s="191"/>
      <c r="H136" s="191"/>
      <c r="I136" s="191"/>
      <c r="J136" s="191"/>
      <c r="K136" s="191"/>
      <c r="L136" s="191"/>
      <c r="M136" s="191"/>
      <c r="N136" s="191"/>
      <c r="O136" s="191"/>
      <c r="P136" s="191"/>
      <c r="Q136" s="191"/>
      <c r="R136" s="191"/>
      <c r="S136" s="191"/>
      <c r="T136" s="191"/>
      <c r="U136" s="191"/>
      <c r="V136" s="191"/>
    </row>
    <row r="137" spans="2:27" s="21" customFormat="1" x14ac:dyDescent="0.25">
      <c r="B137" s="202"/>
      <c r="C137" s="202"/>
      <c r="D137" s="202"/>
      <c r="E137" s="202"/>
      <c r="F137" s="202"/>
      <c r="G137" s="202"/>
      <c r="H137" s="202"/>
      <c r="I137" s="202"/>
      <c r="J137" s="202"/>
      <c r="K137" s="202"/>
      <c r="L137" s="202"/>
      <c r="M137" s="202"/>
      <c r="N137" s="202"/>
      <c r="O137" s="202"/>
      <c r="P137" s="202"/>
      <c r="Q137" s="202"/>
      <c r="R137" s="202"/>
      <c r="S137" s="202"/>
      <c r="T137" s="202"/>
      <c r="U137" s="202"/>
      <c r="V137" s="202"/>
      <c r="W137" s="204"/>
      <c r="X137" s="202"/>
      <c r="Y137" s="202"/>
      <c r="Z137" s="202"/>
      <c r="AA137" s="202"/>
    </row>
    <row r="138" spans="2:27" s="21" customFormat="1" x14ac:dyDescent="0.25">
      <c r="B138" s="192"/>
      <c r="C138" s="192"/>
      <c r="D138" s="192"/>
      <c r="E138" s="192"/>
      <c r="F138" s="192"/>
      <c r="G138" s="192"/>
      <c r="H138" s="192"/>
      <c r="I138" s="205"/>
      <c r="J138" s="205"/>
      <c r="K138" s="192"/>
      <c r="L138" s="192"/>
      <c r="M138" s="192"/>
      <c r="N138" s="192"/>
      <c r="O138" s="192"/>
      <c r="P138" s="192"/>
      <c r="Q138" s="192"/>
      <c r="R138" s="192"/>
      <c r="S138" s="192"/>
      <c r="T138" s="192"/>
      <c r="U138" s="192"/>
      <c r="V138" s="192"/>
      <c r="W138" s="204"/>
      <c r="X138" s="192"/>
      <c r="Y138" s="192"/>
      <c r="Z138" s="192"/>
      <c r="AA138" s="192"/>
    </row>
    <row r="139" spans="2:27" s="21" customFormat="1" x14ac:dyDescent="0.25">
      <c r="B139" s="192"/>
      <c r="C139" s="192"/>
      <c r="D139" s="192"/>
      <c r="E139" s="192"/>
      <c r="F139" s="192"/>
      <c r="G139" s="192"/>
      <c r="H139" s="192"/>
      <c r="I139" s="205"/>
      <c r="J139" s="205"/>
      <c r="K139" s="192"/>
      <c r="L139" s="192"/>
      <c r="M139" s="192"/>
      <c r="N139" s="192"/>
      <c r="O139" s="192"/>
      <c r="P139" s="192"/>
      <c r="Q139" s="192"/>
      <c r="R139" s="192"/>
      <c r="S139" s="192"/>
      <c r="T139" s="192"/>
      <c r="U139" s="192"/>
      <c r="V139" s="192"/>
      <c r="W139" s="204"/>
      <c r="X139" s="192"/>
      <c r="Y139" s="192"/>
      <c r="Z139" s="192"/>
      <c r="AA139" s="192"/>
    </row>
    <row r="140" spans="2:27" s="21" customFormat="1" ht="9.9499999999999993" customHeight="1" x14ac:dyDescent="0.25">
      <c r="B140" s="199"/>
      <c r="C140" s="199"/>
      <c r="D140" s="199"/>
      <c r="E140" s="199"/>
      <c r="F140" s="199"/>
      <c r="G140" s="199"/>
      <c r="H140" s="199"/>
      <c r="I140" s="200"/>
      <c r="J140" s="200"/>
      <c r="K140" s="199"/>
      <c r="L140" s="199"/>
      <c r="M140" s="199"/>
      <c r="N140" s="199"/>
      <c r="O140" s="199"/>
      <c r="P140" s="199"/>
      <c r="Q140" s="199"/>
      <c r="R140" s="199"/>
      <c r="S140" s="199"/>
      <c r="T140" s="199"/>
      <c r="U140" s="199"/>
      <c r="V140" s="199"/>
      <c r="W140" s="204"/>
      <c r="X140" s="199"/>
      <c r="Y140" s="199"/>
      <c r="Z140" s="199"/>
      <c r="AA140" s="199"/>
    </row>
    <row r="141" spans="2:27" hidden="1" x14ac:dyDescent="0.25"/>
  </sheetData>
  <sheetProtection formatCells="0" formatRows="0" selectLockedCells="1"/>
  <mergeCells count="563">
    <mergeCell ref="R125:S125"/>
    <mergeCell ref="T125:U125"/>
    <mergeCell ref="R127:S127"/>
    <mergeCell ref="T127:U127"/>
    <mergeCell ref="G128:H128"/>
    <mergeCell ref="I128:J128"/>
    <mergeCell ref="M128:N128"/>
    <mergeCell ref="O128:P128"/>
    <mergeCell ref="R128:S128"/>
    <mergeCell ref="T128:U128"/>
    <mergeCell ref="R129:S129"/>
    <mergeCell ref="M135:N135"/>
    <mergeCell ref="O135:P135"/>
    <mergeCell ref="R135:S135"/>
    <mergeCell ref="T135:U135"/>
    <mergeCell ref="R132:S132"/>
    <mergeCell ref="T132:U132"/>
    <mergeCell ref="G133:H133"/>
    <mergeCell ref="I133:J133"/>
    <mergeCell ref="M133:N133"/>
    <mergeCell ref="O133:P133"/>
    <mergeCell ref="R133:S133"/>
    <mergeCell ref="T133:U133"/>
    <mergeCell ref="B132:C135"/>
    <mergeCell ref="G132:H132"/>
    <mergeCell ref="I132:J132"/>
    <mergeCell ref="M132:N132"/>
    <mergeCell ref="O132:P132"/>
    <mergeCell ref="G134:H134"/>
    <mergeCell ref="I134:J134"/>
    <mergeCell ref="M134:N134"/>
    <mergeCell ref="T129:U129"/>
    <mergeCell ref="G130:H130"/>
    <mergeCell ref="I130:J130"/>
    <mergeCell ref="M130:N130"/>
    <mergeCell ref="O130:P130"/>
    <mergeCell ref="R130:S130"/>
    <mergeCell ref="T130:U130"/>
    <mergeCell ref="O134:P134"/>
    <mergeCell ref="R134:S134"/>
    <mergeCell ref="K132:L132"/>
    <mergeCell ref="K133:L133"/>
    <mergeCell ref="K134:L134"/>
    <mergeCell ref="K135:L135"/>
    <mergeCell ref="T134:U134"/>
    <mergeCell ref="G135:H135"/>
    <mergeCell ref="I135:J135"/>
    <mergeCell ref="B127:C130"/>
    <mergeCell ref="G127:H127"/>
    <mergeCell ref="I127:J127"/>
    <mergeCell ref="M127:N127"/>
    <mergeCell ref="O127:P127"/>
    <mergeCell ref="G129:H129"/>
    <mergeCell ref="I129:J129"/>
    <mergeCell ref="M129:N129"/>
    <mergeCell ref="O129:P129"/>
    <mergeCell ref="K127:L127"/>
    <mergeCell ref="K128:L128"/>
    <mergeCell ref="K129:L129"/>
    <mergeCell ref="K130:L130"/>
    <mergeCell ref="B122:C125"/>
    <mergeCell ref="G122:H122"/>
    <mergeCell ref="I122:J122"/>
    <mergeCell ref="M122:N122"/>
    <mergeCell ref="O122:P122"/>
    <mergeCell ref="G124:H124"/>
    <mergeCell ref="I124:J124"/>
    <mergeCell ref="M124:N124"/>
    <mergeCell ref="K125:L125"/>
    <mergeCell ref="G125:H125"/>
    <mergeCell ref="I125:J125"/>
    <mergeCell ref="M125:N125"/>
    <mergeCell ref="O125:P125"/>
    <mergeCell ref="T120:U120"/>
    <mergeCell ref="O124:P124"/>
    <mergeCell ref="R124:S124"/>
    <mergeCell ref="K124:L124"/>
    <mergeCell ref="T124:U124"/>
    <mergeCell ref="R122:S122"/>
    <mergeCell ref="T122:U122"/>
    <mergeCell ref="G123:H123"/>
    <mergeCell ref="I123:J123"/>
    <mergeCell ref="M123:N123"/>
    <mergeCell ref="O123:P123"/>
    <mergeCell ref="R123:S123"/>
    <mergeCell ref="T123:U123"/>
    <mergeCell ref="R117:S117"/>
    <mergeCell ref="T117:U117"/>
    <mergeCell ref="G118:H118"/>
    <mergeCell ref="I118:J118"/>
    <mergeCell ref="M118:N118"/>
    <mergeCell ref="O118:P118"/>
    <mergeCell ref="R118:S118"/>
    <mergeCell ref="T118:U118"/>
    <mergeCell ref="B117:C120"/>
    <mergeCell ref="G117:H117"/>
    <mergeCell ref="I117:J117"/>
    <mergeCell ref="M117:N117"/>
    <mergeCell ref="O117:P117"/>
    <mergeCell ref="G119:H119"/>
    <mergeCell ref="I119:J119"/>
    <mergeCell ref="M119:N119"/>
    <mergeCell ref="O119:P119"/>
    <mergeCell ref="R119:S119"/>
    <mergeCell ref="T119:U119"/>
    <mergeCell ref="G120:H120"/>
    <mergeCell ref="I120:J120"/>
    <mergeCell ref="M120:N120"/>
    <mergeCell ref="O120:P120"/>
    <mergeCell ref="R120:S120"/>
    <mergeCell ref="R115:S115"/>
    <mergeCell ref="T115:U115"/>
    <mergeCell ref="R112:S112"/>
    <mergeCell ref="T112:U112"/>
    <mergeCell ref="G113:H113"/>
    <mergeCell ref="I113:J113"/>
    <mergeCell ref="K113:L113"/>
    <mergeCell ref="M113:N113"/>
    <mergeCell ref="O113:P113"/>
    <mergeCell ref="R113:S113"/>
    <mergeCell ref="T113:U113"/>
    <mergeCell ref="R114:S114"/>
    <mergeCell ref="G110:H110"/>
    <mergeCell ref="I110:J110"/>
    <mergeCell ref="K110:L110"/>
    <mergeCell ref="M110:N110"/>
    <mergeCell ref="O110:P110"/>
    <mergeCell ref="R110:S110"/>
    <mergeCell ref="T110:U110"/>
    <mergeCell ref="B112:C115"/>
    <mergeCell ref="G112:H112"/>
    <mergeCell ref="I112:J112"/>
    <mergeCell ref="K112:L112"/>
    <mergeCell ref="M112:N112"/>
    <mergeCell ref="O112:P112"/>
    <mergeCell ref="G114:H114"/>
    <mergeCell ref="I114:J114"/>
    <mergeCell ref="K114:L114"/>
    <mergeCell ref="M114:N114"/>
    <mergeCell ref="O114:P114"/>
    <mergeCell ref="T114:U114"/>
    <mergeCell ref="G115:H115"/>
    <mergeCell ref="I115:J115"/>
    <mergeCell ref="K115:L115"/>
    <mergeCell ref="M115:N115"/>
    <mergeCell ref="O115:P115"/>
    <mergeCell ref="K106:L106"/>
    <mergeCell ref="M106:N106"/>
    <mergeCell ref="O106:P106"/>
    <mergeCell ref="D108:P108"/>
    <mergeCell ref="R108:U108"/>
    <mergeCell ref="G109:H109"/>
    <mergeCell ref="I109:J109"/>
    <mergeCell ref="K109:L109"/>
    <mergeCell ref="M109:N109"/>
    <mergeCell ref="O109:P109"/>
    <mergeCell ref="D106:F106"/>
    <mergeCell ref="G106:H106"/>
    <mergeCell ref="I106:J106"/>
    <mergeCell ref="R109:S109"/>
    <mergeCell ref="T109:U109"/>
    <mergeCell ref="D104:P104"/>
    <mergeCell ref="D105:F105"/>
    <mergeCell ref="G105:H105"/>
    <mergeCell ref="I105:J105"/>
    <mergeCell ref="K105:L105"/>
    <mergeCell ref="M105:N105"/>
    <mergeCell ref="O105:P105"/>
    <mergeCell ref="M99:N99"/>
    <mergeCell ref="O99:P99"/>
    <mergeCell ref="G100:H100"/>
    <mergeCell ref="I100:J100"/>
    <mergeCell ref="K100:L100"/>
    <mergeCell ref="M100:N100"/>
    <mergeCell ref="O100:P100"/>
    <mergeCell ref="T98:U98"/>
    <mergeCell ref="T95:U95"/>
    <mergeCell ref="B97:C100"/>
    <mergeCell ref="G97:H97"/>
    <mergeCell ref="I97:J97"/>
    <mergeCell ref="K97:L97"/>
    <mergeCell ref="M97:N97"/>
    <mergeCell ref="O97:P97"/>
    <mergeCell ref="R97:S97"/>
    <mergeCell ref="T97:U97"/>
    <mergeCell ref="G98:H98"/>
    <mergeCell ref="G99:H99"/>
    <mergeCell ref="I99:J99"/>
    <mergeCell ref="K99:L99"/>
    <mergeCell ref="T100:U100"/>
    <mergeCell ref="R99:S99"/>
    <mergeCell ref="T99:U99"/>
    <mergeCell ref="R100:S100"/>
    <mergeCell ref="I95:J95"/>
    <mergeCell ref="K95:L95"/>
    <mergeCell ref="M95:N95"/>
    <mergeCell ref="O95:P95"/>
    <mergeCell ref="R95:S95"/>
    <mergeCell ref="I98:J98"/>
    <mergeCell ref="K98:L98"/>
    <mergeCell ref="M98:N98"/>
    <mergeCell ref="O98:P98"/>
    <mergeCell ref="R98:S98"/>
    <mergeCell ref="I93:J93"/>
    <mergeCell ref="K93:L93"/>
    <mergeCell ref="M93:N93"/>
    <mergeCell ref="O93:P93"/>
    <mergeCell ref="R93:S93"/>
    <mergeCell ref="T93:U93"/>
    <mergeCell ref="T90:U90"/>
    <mergeCell ref="B92:C95"/>
    <mergeCell ref="G92:H92"/>
    <mergeCell ref="I92:J92"/>
    <mergeCell ref="K92:L92"/>
    <mergeCell ref="M92:N92"/>
    <mergeCell ref="O92:P92"/>
    <mergeCell ref="R92:S92"/>
    <mergeCell ref="T92:U92"/>
    <mergeCell ref="G93:H93"/>
    <mergeCell ref="G94:H94"/>
    <mergeCell ref="I94:J94"/>
    <mergeCell ref="K94:L94"/>
    <mergeCell ref="M94:N94"/>
    <mergeCell ref="O94:P94"/>
    <mergeCell ref="R94:S94"/>
    <mergeCell ref="T94:U94"/>
    <mergeCell ref="G95:H95"/>
    <mergeCell ref="T88:U88"/>
    <mergeCell ref="T85:U85"/>
    <mergeCell ref="B87:C90"/>
    <mergeCell ref="G87:H87"/>
    <mergeCell ref="I87:J87"/>
    <mergeCell ref="K87:L87"/>
    <mergeCell ref="M87:N87"/>
    <mergeCell ref="O87:P87"/>
    <mergeCell ref="R87:S87"/>
    <mergeCell ref="T87:U87"/>
    <mergeCell ref="G88:H88"/>
    <mergeCell ref="G89:H89"/>
    <mergeCell ref="I89:J89"/>
    <mergeCell ref="K89:L89"/>
    <mergeCell ref="M89:N89"/>
    <mergeCell ref="O89:P89"/>
    <mergeCell ref="R89:S89"/>
    <mergeCell ref="T89:U89"/>
    <mergeCell ref="G90:H90"/>
    <mergeCell ref="I90:J90"/>
    <mergeCell ref="K90:L90"/>
    <mergeCell ref="M90:N90"/>
    <mergeCell ref="O90:P90"/>
    <mergeCell ref="R90:S90"/>
    <mergeCell ref="I85:J85"/>
    <mergeCell ref="K85:L85"/>
    <mergeCell ref="M85:N85"/>
    <mergeCell ref="O85:P85"/>
    <mergeCell ref="R85:S85"/>
    <mergeCell ref="I88:J88"/>
    <mergeCell ref="K88:L88"/>
    <mergeCell ref="M88:N88"/>
    <mergeCell ref="O88:P88"/>
    <mergeCell ref="R88:S88"/>
    <mergeCell ref="I83:J83"/>
    <mergeCell ref="K83:L83"/>
    <mergeCell ref="M83:N83"/>
    <mergeCell ref="O83:P83"/>
    <mergeCell ref="R83:S83"/>
    <mergeCell ref="T83:U83"/>
    <mergeCell ref="T80:U80"/>
    <mergeCell ref="B82:C85"/>
    <mergeCell ref="G82:H82"/>
    <mergeCell ref="I82:J82"/>
    <mergeCell ref="K82:L82"/>
    <mergeCell ref="M82:N82"/>
    <mergeCell ref="O82:P82"/>
    <mergeCell ref="R82:S82"/>
    <mergeCell ref="T82:U82"/>
    <mergeCell ref="G83:H83"/>
    <mergeCell ref="G84:H84"/>
    <mergeCell ref="I84:J84"/>
    <mergeCell ref="K84:L84"/>
    <mergeCell ref="M84:N84"/>
    <mergeCell ref="O84:P84"/>
    <mergeCell ref="R84:S84"/>
    <mergeCell ref="T84:U84"/>
    <mergeCell ref="G85:H85"/>
    <mergeCell ref="T78:U78"/>
    <mergeCell ref="T75:U75"/>
    <mergeCell ref="B77:C80"/>
    <mergeCell ref="G77:H77"/>
    <mergeCell ref="I77:J77"/>
    <mergeCell ref="K77:L77"/>
    <mergeCell ref="M77:N77"/>
    <mergeCell ref="O77:P77"/>
    <mergeCell ref="R77:S77"/>
    <mergeCell ref="T77:U77"/>
    <mergeCell ref="G78:H78"/>
    <mergeCell ref="G79:H79"/>
    <mergeCell ref="I79:J79"/>
    <mergeCell ref="K79:L79"/>
    <mergeCell ref="M79:N79"/>
    <mergeCell ref="O79:P79"/>
    <mergeCell ref="R79:S79"/>
    <mergeCell ref="T79:U79"/>
    <mergeCell ref="G80:H80"/>
    <mergeCell ref="I80:J80"/>
    <mergeCell ref="K80:L80"/>
    <mergeCell ref="M80:N80"/>
    <mergeCell ref="O80:P80"/>
    <mergeCell ref="R80:S80"/>
    <mergeCell ref="G75:H75"/>
    <mergeCell ref="I75:J75"/>
    <mergeCell ref="K75:L75"/>
    <mergeCell ref="M75:N75"/>
    <mergeCell ref="O75:P75"/>
    <mergeCell ref="R75:S75"/>
    <mergeCell ref="I78:J78"/>
    <mergeCell ref="K78:L78"/>
    <mergeCell ref="M78:N78"/>
    <mergeCell ref="O78:P78"/>
    <mergeCell ref="R78:S78"/>
    <mergeCell ref="K71:L71"/>
    <mergeCell ref="M71:N71"/>
    <mergeCell ref="O71:P71"/>
    <mergeCell ref="D73:P73"/>
    <mergeCell ref="R73:U73"/>
    <mergeCell ref="G74:H74"/>
    <mergeCell ref="I74:J74"/>
    <mergeCell ref="K74:L74"/>
    <mergeCell ref="M74:N74"/>
    <mergeCell ref="D71:F71"/>
    <mergeCell ref="G71:H71"/>
    <mergeCell ref="I71:J71"/>
    <mergeCell ref="O74:P74"/>
    <mergeCell ref="R74:S74"/>
    <mergeCell ref="T74:U74"/>
    <mergeCell ref="R65:S65"/>
    <mergeCell ref="T65:U65"/>
    <mergeCell ref="D69:P69"/>
    <mergeCell ref="D70:F70"/>
    <mergeCell ref="G70:H70"/>
    <mergeCell ref="I70:J70"/>
    <mergeCell ref="K70:L70"/>
    <mergeCell ref="M70:N70"/>
    <mergeCell ref="O70:P70"/>
    <mergeCell ref="G65:H65"/>
    <mergeCell ref="M65:N65"/>
    <mergeCell ref="O65:P65"/>
    <mergeCell ref="R62:S62"/>
    <mergeCell ref="T62:U62"/>
    <mergeCell ref="R63:S63"/>
    <mergeCell ref="T63:U63"/>
    <mergeCell ref="R64:S64"/>
    <mergeCell ref="T64:U64"/>
    <mergeCell ref="R58:S58"/>
    <mergeCell ref="T58:U58"/>
    <mergeCell ref="R59:S59"/>
    <mergeCell ref="T59:U59"/>
    <mergeCell ref="R60:S60"/>
    <mergeCell ref="T60:U60"/>
    <mergeCell ref="T54:U54"/>
    <mergeCell ref="R55:S55"/>
    <mergeCell ref="T55:U55"/>
    <mergeCell ref="R57:S57"/>
    <mergeCell ref="T57:U57"/>
    <mergeCell ref="R50:S50"/>
    <mergeCell ref="T50:U50"/>
    <mergeCell ref="R52:S52"/>
    <mergeCell ref="T52:U52"/>
    <mergeCell ref="R53:S53"/>
    <mergeCell ref="T53:U53"/>
    <mergeCell ref="M63:N63"/>
    <mergeCell ref="O63:P63"/>
    <mergeCell ref="K64:L64"/>
    <mergeCell ref="M64:N64"/>
    <mergeCell ref="O64:P64"/>
    <mergeCell ref="K59:L59"/>
    <mergeCell ref="K60:L60"/>
    <mergeCell ref="R39:S39"/>
    <mergeCell ref="M47:N47"/>
    <mergeCell ref="O47:P47"/>
    <mergeCell ref="K48:L48"/>
    <mergeCell ref="M48:N48"/>
    <mergeCell ref="O48:P48"/>
    <mergeCell ref="K49:L49"/>
    <mergeCell ref="M49:N49"/>
    <mergeCell ref="O49:P49"/>
    <mergeCell ref="K52:L52"/>
    <mergeCell ref="O52:P52"/>
    <mergeCell ref="K53:L53"/>
    <mergeCell ref="M53:N53"/>
    <mergeCell ref="O42:P42"/>
    <mergeCell ref="K43:L43"/>
    <mergeCell ref="M43:N43"/>
    <mergeCell ref="R54:S54"/>
    <mergeCell ref="T39:U39"/>
    <mergeCell ref="R38:U38"/>
    <mergeCell ref="R40:S40"/>
    <mergeCell ref="T40:U40"/>
    <mergeCell ref="R42:S42"/>
    <mergeCell ref="T42:U42"/>
    <mergeCell ref="M62:N62"/>
    <mergeCell ref="O62:P62"/>
    <mergeCell ref="M58:N58"/>
    <mergeCell ref="O58:P58"/>
    <mergeCell ref="M59:N59"/>
    <mergeCell ref="O59:P59"/>
    <mergeCell ref="M60:N60"/>
    <mergeCell ref="O60:P60"/>
    <mergeCell ref="M54:N54"/>
    <mergeCell ref="O54:P54"/>
    <mergeCell ref="M55:N55"/>
    <mergeCell ref="O55:P55"/>
    <mergeCell ref="M57:N57"/>
    <mergeCell ref="O57:P57"/>
    <mergeCell ref="M50:N50"/>
    <mergeCell ref="O50:P50"/>
    <mergeCell ref="M52:N52"/>
    <mergeCell ref="O53:P53"/>
    <mergeCell ref="I63:J63"/>
    <mergeCell ref="I64:J64"/>
    <mergeCell ref="I65:J65"/>
    <mergeCell ref="K47:L47"/>
    <mergeCell ref="K50:L50"/>
    <mergeCell ref="K54:L54"/>
    <mergeCell ref="K58:L58"/>
    <mergeCell ref="K62:L62"/>
    <mergeCell ref="I47:J47"/>
    <mergeCell ref="I48:J48"/>
    <mergeCell ref="I49:J49"/>
    <mergeCell ref="I50:J50"/>
    <mergeCell ref="I52:J52"/>
    <mergeCell ref="I53:J53"/>
    <mergeCell ref="I54:J54"/>
    <mergeCell ref="I55:J55"/>
    <mergeCell ref="I57:J57"/>
    <mergeCell ref="K65:L65"/>
    <mergeCell ref="K55:L55"/>
    <mergeCell ref="K57:L57"/>
    <mergeCell ref="I60:J60"/>
    <mergeCell ref="I62:J62"/>
    <mergeCell ref="K63:L63"/>
    <mergeCell ref="D36:F36"/>
    <mergeCell ref="D35:F35"/>
    <mergeCell ref="O36:P36"/>
    <mergeCell ref="O39:P39"/>
    <mergeCell ref="O40:P40"/>
    <mergeCell ref="M40:N40"/>
    <mergeCell ref="K40:L40"/>
    <mergeCell ref="I40:J40"/>
    <mergeCell ref="G40:H40"/>
    <mergeCell ref="I36:J36"/>
    <mergeCell ref="G36:H36"/>
    <mergeCell ref="O35:P35"/>
    <mergeCell ref="G39:H39"/>
    <mergeCell ref="I39:J39"/>
    <mergeCell ref="K39:L39"/>
    <mergeCell ref="M39:N39"/>
    <mergeCell ref="K35:L35"/>
    <mergeCell ref="M35:N35"/>
    <mergeCell ref="M36:N36"/>
    <mergeCell ref="K36:L36"/>
    <mergeCell ref="I35:J35"/>
    <mergeCell ref="G35:H35"/>
    <mergeCell ref="G55:H55"/>
    <mergeCell ref="G57:H57"/>
    <mergeCell ref="G58:H58"/>
    <mergeCell ref="G59:H59"/>
    <mergeCell ref="G60:H60"/>
    <mergeCell ref="G62:H62"/>
    <mergeCell ref="G47:H47"/>
    <mergeCell ref="G48:H48"/>
    <mergeCell ref="G50:H50"/>
    <mergeCell ref="G52:H52"/>
    <mergeCell ref="G53:H53"/>
    <mergeCell ref="O43:P43"/>
    <mergeCell ref="G49:H49"/>
    <mergeCell ref="T44:U44"/>
    <mergeCell ref="R45:S45"/>
    <mergeCell ref="T45:U45"/>
    <mergeCell ref="G43:H43"/>
    <mergeCell ref="I43:J43"/>
    <mergeCell ref="R47:S47"/>
    <mergeCell ref="T47:U47"/>
    <mergeCell ref="R48:S48"/>
    <mergeCell ref="T48:U48"/>
    <mergeCell ref="R49:S49"/>
    <mergeCell ref="T49:U49"/>
    <mergeCell ref="R43:S43"/>
    <mergeCell ref="T43:U43"/>
    <mergeCell ref="R44:S44"/>
    <mergeCell ref="G44:H44"/>
    <mergeCell ref="I44:J44"/>
    <mergeCell ref="K44:L44"/>
    <mergeCell ref="M44:N44"/>
    <mergeCell ref="O44:P44"/>
    <mergeCell ref="K45:L45"/>
    <mergeCell ref="M45:N45"/>
    <mergeCell ref="O45:P45"/>
    <mergeCell ref="B6:F13"/>
    <mergeCell ref="K117:L117"/>
    <mergeCell ref="K118:L118"/>
    <mergeCell ref="K119:L119"/>
    <mergeCell ref="K120:L120"/>
    <mergeCell ref="K122:L122"/>
    <mergeCell ref="K123:L123"/>
    <mergeCell ref="D34:P34"/>
    <mergeCell ref="B42:C45"/>
    <mergeCell ref="B47:C50"/>
    <mergeCell ref="B52:C55"/>
    <mergeCell ref="B57:C60"/>
    <mergeCell ref="B62:C65"/>
    <mergeCell ref="G42:H42"/>
    <mergeCell ref="G63:H63"/>
    <mergeCell ref="G64:H64"/>
    <mergeCell ref="I58:J58"/>
    <mergeCell ref="I59:J59"/>
    <mergeCell ref="G54:H54"/>
    <mergeCell ref="G45:H45"/>
    <mergeCell ref="I45:J45"/>
    <mergeCell ref="I42:J42"/>
    <mergeCell ref="K42:L42"/>
    <mergeCell ref="M42:N42"/>
    <mergeCell ref="I22:J22"/>
    <mergeCell ref="K22:L22"/>
    <mergeCell ref="M22:N22"/>
    <mergeCell ref="O22:P22"/>
    <mergeCell ref="Q22:R22"/>
    <mergeCell ref="G19:H19"/>
    <mergeCell ref="I19:J19"/>
    <mergeCell ref="K19:L19"/>
    <mergeCell ref="M19:N19"/>
    <mergeCell ref="O19:P19"/>
    <mergeCell ref="Q19:R19"/>
    <mergeCell ref="G20:H20"/>
    <mergeCell ref="I20:J20"/>
    <mergeCell ref="K20:L20"/>
    <mergeCell ref="M20:N20"/>
    <mergeCell ref="O20:P20"/>
    <mergeCell ref="Q20:R20"/>
    <mergeCell ref="D21:F21"/>
    <mergeCell ref="D22:F22"/>
    <mergeCell ref="D23:F23"/>
    <mergeCell ref="D31:G31"/>
    <mergeCell ref="D67:G67"/>
    <mergeCell ref="D102:G102"/>
    <mergeCell ref="I18:R18"/>
    <mergeCell ref="B28:I29"/>
    <mergeCell ref="G38:P38"/>
    <mergeCell ref="K27:O29"/>
    <mergeCell ref="P27:T29"/>
    <mergeCell ref="G23:H23"/>
    <mergeCell ref="I23:J23"/>
    <mergeCell ref="K23:L23"/>
    <mergeCell ref="M23:N23"/>
    <mergeCell ref="O23:P23"/>
    <mergeCell ref="Q23:R23"/>
    <mergeCell ref="G21:H21"/>
    <mergeCell ref="I21:J21"/>
    <mergeCell ref="K21:L21"/>
    <mergeCell ref="M21:N21"/>
    <mergeCell ref="O21:P21"/>
    <mergeCell ref="Q21:R21"/>
    <mergeCell ref="G22:H22"/>
  </mergeCells>
  <pageMargins left="0.7" right="0.7" top="0.75" bottom="0.75" header="0.3" footer="0.3"/>
  <pageSetup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Variables!$AX$2:$AX$5</xm:f>
          </x14:formula1>
          <xm:sqref>P27:T29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125"/>
  <sheetViews>
    <sheetView showGridLines="0" topLeftCell="A67" zoomScaleNormal="100" workbookViewId="0">
      <selection activeCell="U78" sqref="U78:V78"/>
    </sheetView>
  </sheetViews>
  <sheetFormatPr defaultColWidth="0" defaultRowHeight="15" zeroHeight="1" x14ac:dyDescent="0.25"/>
  <cols>
    <col min="1" max="1" width="2.85546875" style="21" customWidth="1"/>
    <col min="2" max="2" width="9.140625" style="21" customWidth="1"/>
    <col min="3" max="22" width="8.85546875" customWidth="1"/>
    <col min="23" max="23" width="2.85546875" style="21" customWidth="1"/>
    <col min="24" max="16384" width="8.85546875" style="1" hidden="1"/>
  </cols>
  <sheetData>
    <row r="1" spans="1:28" x14ac:dyDescent="0.25">
      <c r="C1" s="233"/>
      <c r="D1" s="233"/>
      <c r="E1" s="233"/>
      <c r="F1" s="233"/>
      <c r="G1" s="233"/>
      <c r="H1" s="233"/>
      <c r="I1" s="233"/>
      <c r="J1" s="233"/>
      <c r="K1" s="233"/>
      <c r="L1" s="233"/>
      <c r="M1" s="233"/>
      <c r="N1" s="233"/>
      <c r="O1" s="233"/>
      <c r="P1" s="233"/>
      <c r="Q1" s="233"/>
      <c r="R1" s="233"/>
      <c r="S1" s="233"/>
      <c r="T1" s="233"/>
      <c r="U1" s="233"/>
      <c r="V1" s="233"/>
    </row>
    <row r="2" spans="1:28" x14ac:dyDescent="0.25">
      <c r="C2" s="233"/>
      <c r="D2" s="233"/>
      <c r="E2" s="233"/>
      <c r="F2" s="233"/>
      <c r="G2" s="233"/>
      <c r="H2" s="233"/>
      <c r="I2" s="233"/>
      <c r="J2" s="233"/>
      <c r="K2" s="233"/>
      <c r="L2" s="233"/>
      <c r="M2" s="233"/>
      <c r="N2" s="233"/>
      <c r="O2" s="233"/>
      <c r="P2" s="233"/>
      <c r="Q2" s="233"/>
      <c r="R2" s="233"/>
      <c r="S2" s="233"/>
      <c r="T2" s="233"/>
      <c r="U2" s="233"/>
      <c r="V2" s="233"/>
    </row>
    <row r="3" spans="1:28" x14ac:dyDescent="0.25">
      <c r="C3" s="233"/>
      <c r="D3" s="233"/>
      <c r="E3" s="233"/>
      <c r="F3" s="233"/>
      <c r="G3" s="233"/>
      <c r="H3" s="233"/>
      <c r="I3" s="233"/>
      <c r="J3" s="233"/>
      <c r="K3" s="233"/>
      <c r="L3" s="233"/>
      <c r="M3" s="233"/>
      <c r="N3" s="233"/>
      <c r="O3" s="233"/>
      <c r="P3" s="233"/>
      <c r="Q3" s="233"/>
      <c r="R3" s="233"/>
      <c r="S3" s="233"/>
      <c r="T3" s="233"/>
      <c r="U3" s="233"/>
      <c r="V3" s="233"/>
    </row>
    <row r="4" spans="1:28" x14ac:dyDescent="0.25">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ht="15" customHeight="1" x14ac:dyDescent="0.25">
      <c r="A6" s="21"/>
      <c r="B6" s="878" t="s">
        <v>1224</v>
      </c>
      <c r="C6" s="879"/>
      <c r="D6" s="879"/>
      <c r="E6" s="879"/>
      <c r="F6" s="880"/>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881"/>
      <c r="C7" s="882"/>
      <c r="D7" s="882"/>
      <c r="E7" s="882"/>
      <c r="F7" s="883"/>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881"/>
      <c r="C8" s="882"/>
      <c r="D8" s="882"/>
      <c r="E8" s="882"/>
      <c r="F8" s="883"/>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881"/>
      <c r="C9" s="882"/>
      <c r="D9" s="882"/>
      <c r="E9" s="882"/>
      <c r="F9" s="883"/>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881"/>
      <c r="C10" s="882"/>
      <c r="D10" s="882"/>
      <c r="E10" s="882"/>
      <c r="F10" s="883"/>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881"/>
      <c r="C11" s="882"/>
      <c r="D11" s="882"/>
      <c r="E11" s="882"/>
      <c r="F11" s="883"/>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881"/>
      <c r="C12" s="882"/>
      <c r="D12" s="882"/>
      <c r="E12" s="882"/>
      <c r="F12" s="883"/>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884"/>
      <c r="C13" s="885"/>
      <c r="D13" s="885"/>
      <c r="E13" s="885"/>
      <c r="F13" s="886"/>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191"/>
      <c r="D16" s="191"/>
      <c r="E16" s="191"/>
      <c r="F16" s="191"/>
      <c r="G16" s="191"/>
      <c r="H16" s="191"/>
      <c r="I16" s="191"/>
      <c r="J16" s="191"/>
      <c r="K16" s="191"/>
      <c r="L16" s="191"/>
      <c r="M16" s="191"/>
      <c r="N16" s="191"/>
      <c r="O16" s="191"/>
      <c r="P16" s="191"/>
      <c r="Q16" s="191"/>
      <c r="R16" s="191"/>
      <c r="S16" s="191"/>
      <c r="T16" s="191"/>
      <c r="U16" s="191"/>
      <c r="V16" s="191"/>
    </row>
    <row r="17" spans="2:22" ht="18.75" x14ac:dyDescent="0.3">
      <c r="B17" s="215" t="s">
        <v>789</v>
      </c>
      <c r="C17" s="214"/>
      <c r="D17" s="214"/>
      <c r="E17" s="214"/>
      <c r="F17" s="214"/>
      <c r="G17" s="214"/>
      <c r="H17" s="214"/>
      <c r="I17" s="214"/>
      <c r="J17" s="214"/>
      <c r="K17" s="214"/>
      <c r="L17" s="214"/>
      <c r="M17" s="214"/>
      <c r="N17" s="214"/>
      <c r="O17" s="214"/>
      <c r="P17" s="214"/>
      <c r="Q17" s="214"/>
      <c r="R17" s="214"/>
      <c r="S17" s="214"/>
      <c r="T17" s="214"/>
      <c r="U17" s="214"/>
      <c r="V17" s="214"/>
    </row>
    <row r="18" spans="2:22" x14ac:dyDescent="0.25">
      <c r="B18" s="192"/>
      <c r="C18" s="191"/>
      <c r="D18" s="191"/>
      <c r="E18" s="191"/>
      <c r="F18" s="191"/>
      <c r="G18" s="191"/>
      <c r="H18" s="191"/>
      <c r="I18" s="191"/>
      <c r="J18" s="191"/>
      <c r="K18" s="191"/>
      <c r="L18" s="191"/>
      <c r="M18" s="191"/>
      <c r="N18" s="191"/>
      <c r="O18" s="191"/>
      <c r="P18" s="191"/>
      <c r="Q18" s="191"/>
      <c r="R18" s="191"/>
      <c r="S18" s="191"/>
      <c r="T18" s="191"/>
      <c r="U18" s="191"/>
      <c r="V18" s="191"/>
    </row>
    <row r="19" spans="2:22" x14ac:dyDescent="0.25">
      <c r="B19" s="192"/>
      <c r="C19" s="191"/>
      <c r="D19" s="191"/>
      <c r="E19" s="191"/>
      <c r="F19" s="191"/>
      <c r="G19" s="191"/>
      <c r="H19" s="191"/>
      <c r="I19" s="191"/>
      <c r="J19" s="191"/>
      <c r="K19" s="932" t="s">
        <v>792</v>
      </c>
      <c r="L19" s="934"/>
      <c r="M19" s="932" t="s">
        <v>763</v>
      </c>
      <c r="N19" s="934"/>
      <c r="O19" s="932" t="s">
        <v>764</v>
      </c>
      <c r="P19" s="934"/>
      <c r="Q19" s="932" t="s">
        <v>765</v>
      </c>
      <c r="R19" s="934"/>
      <c r="S19" s="932" t="s">
        <v>766</v>
      </c>
      <c r="T19" s="934"/>
      <c r="U19" s="932" t="s">
        <v>767</v>
      </c>
      <c r="V19" s="934"/>
    </row>
    <row r="20" spans="2:22" x14ac:dyDescent="0.25">
      <c r="B20" s="192"/>
      <c r="C20" s="1187" t="s">
        <v>896</v>
      </c>
      <c r="D20" s="1187"/>
      <c r="E20" s="1187"/>
      <c r="F20" s="1187"/>
      <c r="G20" s="1188"/>
      <c r="H20" s="1099">
        <v>5</v>
      </c>
      <c r="I20" s="1101"/>
      <c r="J20" s="191"/>
      <c r="K20" s="887">
        <f>Input!M17</f>
        <v>2014</v>
      </c>
      <c r="L20" s="888"/>
      <c r="M20" s="887">
        <f>K20+1</f>
        <v>2015</v>
      </c>
      <c r="N20" s="888"/>
      <c r="O20" s="887">
        <f>IF($H20&gt;1,M20+1,"N/A")</f>
        <v>2016</v>
      </c>
      <c r="P20" s="888"/>
      <c r="Q20" s="887">
        <f>IF($H20&gt;2,O20+1,"N/A")</f>
        <v>2017</v>
      </c>
      <c r="R20" s="888"/>
      <c r="S20" s="887">
        <f>IF($H20&gt;3,Q20+1,"N/A")</f>
        <v>2018</v>
      </c>
      <c r="T20" s="888"/>
      <c r="U20" s="887">
        <f>IF($H20&gt;4,S20+1,"N/A")</f>
        <v>2019</v>
      </c>
      <c r="V20" s="888"/>
    </row>
    <row r="21" spans="2:22" ht="30" customHeight="1" x14ac:dyDescent="0.25">
      <c r="B21" s="192"/>
      <c r="C21" s="1189" t="s">
        <v>790</v>
      </c>
      <c r="D21" s="1189"/>
      <c r="E21" s="1189"/>
      <c r="F21" s="1189"/>
      <c r="G21" s="1190"/>
      <c r="H21" s="1151" t="s">
        <v>851</v>
      </c>
      <c r="I21" s="1152"/>
      <c r="J21" s="191"/>
      <c r="K21" s="889">
        <f>HLOOKUP(Input!M17,Country!$D$210:$AI$218,9,FALSE)/Input!M19</f>
        <v>4378.5897713718432</v>
      </c>
      <c r="L21" s="888"/>
      <c r="M21" s="889">
        <f>HLOOKUP(Input!M17+1,Country!$D$210:$AI$218,9,FALSE)/Input!M19</f>
        <v>4509.9474645129985</v>
      </c>
      <c r="N21" s="888"/>
      <c r="O21" s="889">
        <f>IF(ISNUMBER(O20),HLOOKUP(Input!M17+2,Country!$D$210:$AI$218,9,FALSE)/Input!M19,"N/A")</f>
        <v>4645.2458884483895</v>
      </c>
      <c r="P21" s="888"/>
      <c r="Q21" s="889">
        <f>IF(ISNUMBER(Q20),HLOOKUP(Input!M17+3,Country!$D$210:$AI$218,9,FALSE)/Input!M19,"N/A")</f>
        <v>4784.6032651018413</v>
      </c>
      <c r="R21" s="888"/>
      <c r="S21" s="889">
        <f>IF(ISNUMBER(S20),HLOOKUP(Input!M17+4,Country!$D$210:$AI$218,9,FALSE)/Input!M19,"N/A")</f>
        <v>4928.1413630548959</v>
      </c>
      <c r="T21" s="888"/>
      <c r="U21" s="889">
        <f>IF(ISNUMBER(U20),HLOOKUP(Input!M17+5,Country!$D$210:$AI$218,9,FALSE)/Input!M19,"N/A")</f>
        <v>5075.985603946544</v>
      </c>
      <c r="V21" s="888"/>
    </row>
    <row r="22" spans="2:22" x14ac:dyDescent="0.25">
      <c r="B22" s="192"/>
      <c r="C22" s="216" t="s">
        <v>791</v>
      </c>
      <c r="D22" s="216"/>
      <c r="E22" s="216"/>
      <c r="F22" s="216"/>
      <c r="G22" s="216"/>
      <c r="H22" s="1151" t="s">
        <v>833</v>
      </c>
      <c r="I22" s="1152"/>
      <c r="J22" s="191"/>
      <c r="K22" s="887">
        <f>Input!M18</f>
        <v>12</v>
      </c>
      <c r="L22" s="888"/>
      <c r="M22" s="191"/>
      <c r="N22" s="191"/>
      <c r="O22" s="191"/>
      <c r="P22" s="191"/>
      <c r="Q22" s="191"/>
      <c r="R22" s="191"/>
      <c r="S22" s="191"/>
      <c r="T22" s="191"/>
      <c r="U22" s="191"/>
      <c r="V22" s="191"/>
    </row>
    <row r="23" spans="2:22" x14ac:dyDescent="0.25">
      <c r="B23" s="192"/>
      <c r="C23" s="191"/>
      <c r="D23" s="191"/>
      <c r="E23" s="191"/>
      <c r="F23" s="191"/>
      <c r="G23" s="191"/>
      <c r="H23" s="191"/>
      <c r="I23" s="191"/>
      <c r="J23" s="191"/>
      <c r="K23" s="191"/>
      <c r="L23" s="191"/>
      <c r="M23" s="191"/>
      <c r="N23" s="191"/>
      <c r="O23" s="191"/>
      <c r="P23" s="191"/>
      <c r="Q23" s="191"/>
      <c r="R23" s="191"/>
      <c r="S23" s="191"/>
      <c r="T23" s="191"/>
      <c r="U23" s="191"/>
      <c r="V23" s="191"/>
    </row>
    <row r="24" spans="2:22" x14ac:dyDescent="0.25">
      <c r="B24" s="192"/>
      <c r="C24" s="217" t="s">
        <v>75</v>
      </c>
      <c r="D24" s="191"/>
      <c r="E24" s="191"/>
      <c r="F24" s="191"/>
      <c r="G24" s="191"/>
      <c r="H24" s="191"/>
      <c r="I24" s="191"/>
      <c r="J24" s="191"/>
      <c r="K24" s="191"/>
      <c r="L24" s="191"/>
      <c r="M24" s="191"/>
      <c r="N24" s="191"/>
      <c r="O24" s="191"/>
      <c r="P24" s="191"/>
      <c r="Q24" s="191"/>
      <c r="R24" s="191"/>
      <c r="S24" s="191"/>
      <c r="T24" s="191"/>
      <c r="U24" s="191"/>
      <c r="V24" s="191"/>
    </row>
    <row r="25" spans="2:22" x14ac:dyDescent="0.25">
      <c r="B25" s="192"/>
      <c r="C25" s="191" t="s">
        <v>897</v>
      </c>
      <c r="D25" s="191"/>
      <c r="E25" s="191"/>
      <c r="F25" s="191"/>
      <c r="G25" s="191"/>
      <c r="H25" s="887" t="str">
        <f>Setup!B7</f>
        <v>PD/LGD</v>
      </c>
      <c r="I25" s="888"/>
      <c r="J25" s="191"/>
      <c r="K25" s="191"/>
      <c r="L25" s="191"/>
      <c r="M25" s="191"/>
      <c r="N25" s="191"/>
      <c r="O25" s="191"/>
      <c r="P25" s="191"/>
      <c r="Q25" s="191"/>
      <c r="R25" s="191"/>
      <c r="S25" s="191"/>
      <c r="T25" s="191"/>
      <c r="U25" s="191"/>
      <c r="V25" s="191"/>
    </row>
    <row r="26" spans="2:22" ht="30" customHeight="1" x14ac:dyDescent="0.25">
      <c r="B26" s="192"/>
      <c r="C26" s="192" t="s">
        <v>803</v>
      </c>
      <c r="D26" s="191"/>
      <c r="E26" s="191"/>
      <c r="F26" s="191"/>
      <c r="G26" s="191"/>
      <c r="H26" s="1181" t="s">
        <v>1409</v>
      </c>
      <c r="I26" s="1182"/>
      <c r="J26" s="191"/>
      <c r="K26" s="191"/>
      <c r="L26" s="191"/>
      <c r="M26" s="191"/>
      <c r="N26" s="191"/>
      <c r="O26" s="191"/>
      <c r="P26" s="191"/>
      <c r="Q26" s="191"/>
      <c r="R26" s="191"/>
      <c r="S26" s="191"/>
      <c r="T26" s="191"/>
      <c r="U26" s="191"/>
      <c r="V26" s="191"/>
    </row>
    <row r="27" spans="2:22" ht="30" customHeight="1" x14ac:dyDescent="0.25">
      <c r="B27" s="192"/>
      <c r="C27" s="192" t="s">
        <v>898</v>
      </c>
      <c r="D27" s="191"/>
      <c r="E27" s="191"/>
      <c r="F27" s="191"/>
      <c r="G27" s="191"/>
      <c r="H27" s="1181" t="s">
        <v>843</v>
      </c>
      <c r="I27" s="1182"/>
      <c r="J27" s="191"/>
      <c r="K27" s="191"/>
      <c r="L27" s="191"/>
      <c r="M27" s="191"/>
      <c r="N27" s="191"/>
      <c r="O27" s="191"/>
      <c r="P27" s="191"/>
      <c r="Q27" s="191"/>
      <c r="R27" s="191"/>
      <c r="S27" s="191"/>
      <c r="T27" s="191"/>
      <c r="U27" s="191"/>
      <c r="V27" s="191"/>
    </row>
    <row r="28" spans="2:22" x14ac:dyDescent="0.25">
      <c r="B28" s="192"/>
      <c r="C28" s="192" t="s">
        <v>899</v>
      </c>
      <c r="D28" s="191"/>
      <c r="E28" s="191"/>
      <c r="F28" s="191"/>
      <c r="G28" s="191"/>
      <c r="H28" s="887" t="str">
        <f>Summary!G24</f>
        <v>IRB</v>
      </c>
      <c r="I28" s="888"/>
      <c r="J28" s="191"/>
      <c r="K28" s="191"/>
      <c r="L28" s="191"/>
      <c r="M28" s="984">
        <f>Calculation!L112</f>
        <v>0.33693575591570685</v>
      </c>
      <c r="N28" s="985"/>
      <c r="O28" s="984">
        <f>IF($H$20&gt;1,((1+M28)*(1+Calculation!N112)-1),"NA")</f>
        <v>0.35746154078695946</v>
      </c>
      <c r="P28" s="985"/>
      <c r="Q28" s="984">
        <f>IF($H$20&gt;2,((1+O28)*(1+Calculation!P112)-1),"NA")</f>
        <v>0.24985123297872969</v>
      </c>
      <c r="R28" s="985"/>
      <c r="S28" s="984">
        <f>IF($H$20&gt;3,((1+Q28)*(1+Calculation!R112)-1),"NA")</f>
        <v>0.12451727373988031</v>
      </c>
      <c r="T28" s="985"/>
      <c r="U28" s="984">
        <f>IF($H$20&gt;4,((1+S28)*(1+Calculation!T112)-1),"NA")</f>
        <v>-1.5079152720190225E-2</v>
      </c>
      <c r="V28" s="985"/>
    </row>
    <row r="29" spans="2:22" x14ac:dyDescent="0.25">
      <c r="B29" s="192"/>
      <c r="C29" s="192" t="s">
        <v>900</v>
      </c>
      <c r="D29" s="191"/>
      <c r="E29" s="191"/>
      <c r="F29" s="191"/>
      <c r="G29" s="191"/>
      <c r="H29" s="887" t="str">
        <f>Summary!G26</f>
        <v>No</v>
      </c>
      <c r="I29" s="888"/>
      <c r="J29" s="191"/>
      <c r="K29" s="191"/>
      <c r="L29" s="191"/>
      <c r="M29" s="191"/>
      <c r="N29" s="191"/>
      <c r="O29" s="191"/>
      <c r="P29" s="191"/>
      <c r="Q29" s="191"/>
      <c r="R29" s="191"/>
      <c r="S29" s="191"/>
      <c r="T29" s="191"/>
      <c r="U29" s="191"/>
      <c r="V29" s="191"/>
    </row>
    <row r="30" spans="2:22" x14ac:dyDescent="0.25">
      <c r="B30" s="192"/>
      <c r="C30" s="192" t="s">
        <v>901</v>
      </c>
      <c r="D30" s="191"/>
      <c r="E30" s="191"/>
      <c r="F30" s="191"/>
      <c r="G30" s="191"/>
      <c r="H30" s="1151" t="s">
        <v>833</v>
      </c>
      <c r="I30" s="1152"/>
      <c r="J30" s="191"/>
      <c r="K30" s="191"/>
      <c r="L30" s="191"/>
      <c r="M30" s="191"/>
      <c r="N30" s="191"/>
      <c r="O30" s="191"/>
      <c r="P30" s="191"/>
      <c r="Q30" s="191"/>
      <c r="R30" s="191"/>
      <c r="S30" s="191"/>
      <c r="T30" s="191"/>
      <c r="U30" s="191"/>
      <c r="V30" s="191"/>
    </row>
    <row r="31" spans="2:22" x14ac:dyDescent="0.25">
      <c r="B31" s="192"/>
      <c r="C31" s="191"/>
      <c r="D31" s="191"/>
      <c r="E31" s="191"/>
      <c r="F31" s="191"/>
      <c r="G31" s="191"/>
      <c r="H31" s="191"/>
      <c r="I31" s="191"/>
      <c r="J31" s="191"/>
      <c r="K31" s="191"/>
      <c r="L31" s="191"/>
      <c r="M31" s="191"/>
      <c r="N31" s="191"/>
      <c r="O31" s="191"/>
      <c r="P31" s="191"/>
      <c r="Q31" s="191"/>
      <c r="R31" s="191"/>
      <c r="S31" s="191"/>
      <c r="T31" s="191"/>
      <c r="U31" s="191"/>
      <c r="V31" s="191"/>
    </row>
    <row r="32" spans="2:22" x14ac:dyDescent="0.25">
      <c r="B32" s="192"/>
      <c r="C32" s="218" t="s">
        <v>76</v>
      </c>
      <c r="D32" s="191"/>
      <c r="E32" s="191"/>
      <c r="F32" s="191"/>
      <c r="G32" s="191"/>
      <c r="H32" s="191"/>
      <c r="I32" s="191"/>
      <c r="J32" s="191"/>
      <c r="K32" s="191"/>
      <c r="L32" s="191"/>
      <c r="M32" s="191"/>
      <c r="N32" s="191"/>
      <c r="O32" s="191"/>
      <c r="P32" s="191"/>
      <c r="Q32" s="191"/>
      <c r="R32" s="191"/>
      <c r="S32" s="191"/>
      <c r="T32" s="191"/>
      <c r="U32" s="191"/>
      <c r="V32" s="191"/>
    </row>
    <row r="33" spans="2:22" x14ac:dyDescent="0.25">
      <c r="B33" s="192"/>
      <c r="C33" s="192" t="s">
        <v>902</v>
      </c>
      <c r="D33" s="191"/>
      <c r="E33" s="191"/>
      <c r="F33" s="191"/>
      <c r="G33" s="191"/>
      <c r="H33" s="1181" t="s">
        <v>843</v>
      </c>
      <c r="I33" s="1182"/>
      <c r="J33" s="191"/>
      <c r="K33" s="191"/>
      <c r="L33" s="191"/>
      <c r="M33" s="191"/>
      <c r="N33" s="191"/>
      <c r="O33" s="191"/>
      <c r="P33" s="191"/>
      <c r="Q33" s="191"/>
      <c r="R33" s="191"/>
      <c r="S33" s="191"/>
      <c r="T33" s="191"/>
      <c r="U33" s="191"/>
      <c r="V33" s="191"/>
    </row>
    <row r="34" spans="2:22" x14ac:dyDescent="0.25">
      <c r="B34" s="192"/>
      <c r="C34" s="191"/>
      <c r="D34" s="191"/>
      <c r="E34" s="191"/>
      <c r="F34" s="191"/>
      <c r="G34" s="191"/>
      <c r="H34" s="191"/>
      <c r="I34" s="191"/>
      <c r="J34" s="191"/>
      <c r="K34" s="191"/>
      <c r="L34" s="191"/>
      <c r="M34" s="191"/>
      <c r="N34" s="191"/>
      <c r="O34" s="191"/>
      <c r="P34" s="191"/>
      <c r="Q34" s="191"/>
      <c r="R34" s="191"/>
      <c r="S34" s="191"/>
      <c r="T34" s="191"/>
      <c r="U34" s="191"/>
      <c r="V34" s="191"/>
    </row>
    <row r="35" spans="2:22" x14ac:dyDescent="0.25">
      <c r="B35" s="192"/>
      <c r="C35" s="217" t="s">
        <v>903</v>
      </c>
      <c r="D35" s="191"/>
      <c r="E35" s="191"/>
      <c r="F35" s="191"/>
      <c r="G35" s="191"/>
      <c r="H35" s="191"/>
      <c r="I35" s="191"/>
      <c r="J35" s="191"/>
      <c r="K35" s="191"/>
      <c r="L35" s="191"/>
      <c r="M35" s="191"/>
      <c r="N35" s="191"/>
      <c r="O35" s="191"/>
      <c r="P35" s="191"/>
      <c r="Q35" s="191"/>
      <c r="R35" s="191"/>
      <c r="S35" s="191"/>
      <c r="T35" s="191"/>
      <c r="U35" s="191"/>
      <c r="V35" s="191"/>
    </row>
    <row r="36" spans="2:22" x14ac:dyDescent="0.25">
      <c r="B36" s="192"/>
      <c r="C36" s="191" t="s">
        <v>904</v>
      </c>
      <c r="D36" s="191"/>
      <c r="E36" s="191"/>
      <c r="F36" s="191"/>
      <c r="G36" s="191"/>
      <c r="H36" s="1151" t="s">
        <v>833</v>
      </c>
      <c r="I36" s="1152"/>
      <c r="J36" s="191"/>
      <c r="K36" s="191"/>
      <c r="L36" s="191"/>
      <c r="M36" s="191"/>
      <c r="N36" s="191"/>
      <c r="O36" s="191"/>
      <c r="P36" s="191"/>
      <c r="Q36" s="191"/>
      <c r="R36" s="191"/>
      <c r="S36" s="191"/>
      <c r="T36" s="191"/>
      <c r="U36" s="191"/>
      <c r="V36" s="191"/>
    </row>
    <row r="37" spans="2:22" x14ac:dyDescent="0.25">
      <c r="B37" s="192"/>
      <c r="C37" s="191"/>
      <c r="D37" s="191"/>
      <c r="E37" s="191"/>
      <c r="F37" s="191"/>
      <c r="G37" s="191"/>
      <c r="H37" s="191"/>
      <c r="I37" s="191"/>
      <c r="J37" s="191"/>
      <c r="K37" s="191"/>
      <c r="L37" s="191"/>
      <c r="M37" s="191"/>
      <c r="N37" s="191"/>
      <c r="O37" s="191"/>
      <c r="P37" s="191"/>
      <c r="Q37" s="191"/>
      <c r="R37" s="191"/>
      <c r="S37" s="191"/>
      <c r="T37" s="191"/>
      <c r="U37" s="191"/>
      <c r="V37" s="191"/>
    </row>
    <row r="38" spans="2:22" x14ac:dyDescent="0.25">
      <c r="B38" s="192"/>
      <c r="C38" s="217" t="s">
        <v>905</v>
      </c>
      <c r="D38" s="191"/>
      <c r="E38" s="191"/>
      <c r="F38" s="191"/>
      <c r="G38" s="191"/>
      <c r="H38" s="191"/>
      <c r="I38" s="191"/>
      <c r="J38" s="191"/>
      <c r="K38" s="191"/>
      <c r="L38" s="191"/>
      <c r="M38" s="191"/>
      <c r="N38" s="191"/>
      <c r="O38" s="191"/>
      <c r="P38" s="191"/>
      <c r="Q38" s="191"/>
      <c r="R38" s="191"/>
      <c r="S38" s="191"/>
      <c r="T38" s="191"/>
      <c r="U38" s="191"/>
      <c r="V38" s="191"/>
    </row>
    <row r="39" spans="2:22" x14ac:dyDescent="0.25">
      <c r="B39" s="192"/>
      <c r="C39" s="191" t="s">
        <v>906</v>
      </c>
      <c r="D39" s="191"/>
      <c r="E39" s="191"/>
      <c r="F39" s="191"/>
      <c r="G39" s="191"/>
      <c r="H39" s="1151" t="s">
        <v>833</v>
      </c>
      <c r="I39" s="1152"/>
      <c r="J39" s="191"/>
      <c r="K39" s="1153">
        <v>0.25</v>
      </c>
      <c r="L39" s="1154"/>
      <c r="M39" s="1180">
        <f>K39</f>
        <v>0.25</v>
      </c>
      <c r="N39" s="888"/>
      <c r="O39" s="1180">
        <f>IF($H20&gt;1,$K39,"N/A")</f>
        <v>0.25</v>
      </c>
      <c r="P39" s="888" t="str">
        <f>IF(L20&gt;1,N39,"N/A")</f>
        <v>N/A</v>
      </c>
      <c r="Q39" s="1180">
        <f>IF($H20&gt;2,$K39,"N/A")</f>
        <v>0.25</v>
      </c>
      <c r="R39" s="888" t="str">
        <f>IF(N20&gt;1,P39,"N/A")</f>
        <v>N/A</v>
      </c>
      <c r="S39" s="1180">
        <f>IF($H20&gt;3,$K39,"N/A")</f>
        <v>0.25</v>
      </c>
      <c r="T39" s="888" t="str">
        <f>IF(P20&gt;1,R39,"N/A")</f>
        <v>N/A</v>
      </c>
      <c r="U39" s="1180">
        <f>IF($H20&gt;4,$K39,"N/A")</f>
        <v>0.25</v>
      </c>
      <c r="V39" s="888" t="str">
        <f>IF(R20&gt;1,T39,"N/A")</f>
        <v>N/A</v>
      </c>
    </row>
    <row r="40" spans="2:22" x14ac:dyDescent="0.25">
      <c r="B40" s="192"/>
      <c r="C40" s="191" t="s">
        <v>907</v>
      </c>
      <c r="D40" s="191"/>
      <c r="E40" s="191"/>
      <c r="F40" s="191"/>
      <c r="G40" s="191"/>
      <c r="H40" s="191"/>
      <c r="I40" s="191"/>
      <c r="J40" s="191"/>
      <c r="K40" s="191"/>
      <c r="L40" s="191"/>
      <c r="M40" s="1153">
        <v>0.5</v>
      </c>
      <c r="N40" s="1154"/>
      <c r="O40" s="1153">
        <v>0.5</v>
      </c>
      <c r="P40" s="1154"/>
      <c r="Q40" s="1153">
        <v>0.5</v>
      </c>
      <c r="R40" s="1154"/>
      <c r="S40" s="1153">
        <v>0.5</v>
      </c>
      <c r="T40" s="1154"/>
      <c r="U40" s="1153">
        <v>0.5</v>
      </c>
      <c r="V40" s="1154"/>
    </row>
    <row r="41" spans="2:22" x14ac:dyDescent="0.25">
      <c r="B41" s="192"/>
      <c r="C41" s="191"/>
      <c r="D41" s="191"/>
      <c r="E41" s="191"/>
      <c r="F41" s="191"/>
      <c r="G41" s="191"/>
      <c r="H41" s="191"/>
      <c r="I41" s="191"/>
      <c r="J41" s="191"/>
      <c r="K41" s="191"/>
      <c r="L41" s="191"/>
      <c r="M41" s="191"/>
      <c r="N41" s="191"/>
      <c r="O41" s="191"/>
      <c r="P41" s="191"/>
      <c r="Q41" s="191"/>
      <c r="R41" s="191"/>
      <c r="S41" s="191"/>
      <c r="T41" s="191"/>
      <c r="U41" s="191"/>
      <c r="V41" s="191"/>
    </row>
    <row r="42" spans="2:22" ht="18.75" x14ac:dyDescent="0.3">
      <c r="B42" s="215" t="s">
        <v>908</v>
      </c>
      <c r="C42" s="214"/>
      <c r="D42" s="214"/>
      <c r="E42" s="214"/>
      <c r="F42" s="214"/>
      <c r="G42" s="214"/>
      <c r="H42" s="214"/>
      <c r="I42" s="214"/>
      <c r="J42" s="214"/>
      <c r="K42" s="214"/>
      <c r="L42" s="214"/>
      <c r="M42" s="214"/>
      <c r="N42" s="214"/>
      <c r="O42" s="214"/>
      <c r="P42" s="214"/>
      <c r="Q42" s="214"/>
      <c r="R42" s="214"/>
      <c r="S42" s="214"/>
      <c r="T42" s="214"/>
      <c r="U42" s="214"/>
      <c r="V42" s="214"/>
    </row>
    <row r="43" spans="2:22" x14ac:dyDescent="0.25">
      <c r="B43" s="192"/>
      <c r="C43" s="191"/>
      <c r="D43" s="191"/>
      <c r="E43" s="191"/>
      <c r="F43" s="191"/>
      <c r="G43" s="191"/>
      <c r="H43" s="191"/>
      <c r="I43" s="191"/>
      <c r="J43" s="191"/>
      <c r="K43" s="191"/>
      <c r="L43" s="191"/>
      <c r="M43" s="191"/>
      <c r="N43" s="191"/>
      <c r="O43" s="191"/>
      <c r="P43" s="191"/>
      <c r="Q43" s="191"/>
      <c r="R43" s="191"/>
      <c r="S43" s="191"/>
      <c r="T43" s="191"/>
      <c r="U43" s="191"/>
      <c r="V43" s="191"/>
    </row>
    <row r="44" spans="2:22" x14ac:dyDescent="0.25">
      <c r="B44" s="192"/>
      <c r="C44" s="219" t="s">
        <v>909</v>
      </c>
      <c r="D44" s="191"/>
      <c r="E44" s="191"/>
      <c r="F44" s="191"/>
      <c r="G44" s="1169" t="s">
        <v>1382</v>
      </c>
      <c r="H44" s="1170"/>
      <c r="I44" s="1170"/>
      <c r="J44" s="1171"/>
      <c r="K44" s="887">
        <f>K20</f>
        <v>2014</v>
      </c>
      <c r="L44" s="888"/>
      <c r="M44" s="887">
        <f>K44+1</f>
        <v>2015</v>
      </c>
      <c r="N44" s="888"/>
      <c r="O44" s="887">
        <f>IF($H$20&gt;1,M$20+1,"N/A")</f>
        <v>2016</v>
      </c>
      <c r="P44" s="888"/>
      <c r="Q44" s="887">
        <f>IF($H20&gt;2,O20+1,"N/A")</f>
        <v>2017</v>
      </c>
      <c r="R44" s="888"/>
      <c r="S44" s="887">
        <f>IF($H20&gt;3,Q20+1,"N/A")</f>
        <v>2018</v>
      </c>
      <c r="T44" s="888"/>
      <c r="U44" s="887">
        <f>IF($H20&gt;4,S20+1,"N/A")</f>
        <v>2019</v>
      </c>
      <c r="V44" s="888"/>
    </row>
    <row r="45" spans="2:22" x14ac:dyDescent="0.25">
      <c r="B45" s="192"/>
      <c r="C45" s="191" t="s">
        <v>910</v>
      </c>
      <c r="D45" s="191"/>
      <c r="E45" s="191"/>
      <c r="F45" s="191"/>
      <c r="G45" s="1172"/>
      <c r="H45" s="1173"/>
      <c r="I45" s="1173"/>
      <c r="J45" s="1174"/>
      <c r="K45" s="1153">
        <v>0.12</v>
      </c>
      <c r="L45" s="1154"/>
      <c r="M45" s="1153">
        <v>0.12</v>
      </c>
      <c r="N45" s="1154"/>
      <c r="O45" s="1153">
        <v>0.12</v>
      </c>
      <c r="P45" s="1154"/>
      <c r="Q45" s="1153">
        <v>0.12</v>
      </c>
      <c r="R45" s="1154"/>
      <c r="S45" s="1153">
        <v>0.12</v>
      </c>
      <c r="T45" s="1154"/>
      <c r="U45" s="1153">
        <v>0.12</v>
      </c>
      <c r="V45" s="1154"/>
    </row>
    <row r="46" spans="2:22" x14ac:dyDescent="0.25">
      <c r="B46" s="192"/>
      <c r="C46" s="191" t="s">
        <v>911</v>
      </c>
      <c r="D46" s="191"/>
      <c r="E46" s="191"/>
      <c r="F46" s="191"/>
      <c r="G46" s="1172"/>
      <c r="H46" s="1173"/>
      <c r="I46" s="1173"/>
      <c r="J46" s="1174"/>
      <c r="K46" s="1153">
        <v>0.08</v>
      </c>
      <c r="L46" s="1154"/>
      <c r="M46" s="1153">
        <v>0.08</v>
      </c>
      <c r="N46" s="1154"/>
      <c r="O46" s="1153">
        <v>0.08</v>
      </c>
      <c r="P46" s="1154"/>
      <c r="Q46" s="1153">
        <v>0.08</v>
      </c>
      <c r="R46" s="1154"/>
      <c r="S46" s="1153">
        <v>0.08</v>
      </c>
      <c r="T46" s="1154"/>
      <c r="U46" s="1153">
        <v>0.08</v>
      </c>
      <c r="V46" s="1154"/>
    </row>
    <row r="47" spans="2:22" x14ac:dyDescent="0.25">
      <c r="B47" s="192"/>
      <c r="C47" s="191" t="s">
        <v>912</v>
      </c>
      <c r="D47" s="191"/>
      <c r="E47" s="191"/>
      <c r="F47" s="191"/>
      <c r="G47" s="1175"/>
      <c r="H47" s="1176"/>
      <c r="I47" s="1176"/>
      <c r="J47" s="1177"/>
      <c r="K47" s="1153">
        <v>0.04</v>
      </c>
      <c r="L47" s="1154"/>
      <c r="M47" s="1153">
        <v>0.04</v>
      </c>
      <c r="N47" s="1154"/>
      <c r="O47" s="1153">
        <v>0.04</v>
      </c>
      <c r="P47" s="1154"/>
      <c r="Q47" s="1153">
        <v>0.04</v>
      </c>
      <c r="R47" s="1154"/>
      <c r="S47" s="1153">
        <v>0.04</v>
      </c>
      <c r="T47" s="1154"/>
      <c r="U47" s="1153">
        <v>0.04</v>
      </c>
      <c r="V47" s="1154"/>
    </row>
    <row r="48" spans="2:22" x14ac:dyDescent="0.25">
      <c r="B48" s="192"/>
      <c r="C48" s="191"/>
      <c r="D48" s="191"/>
      <c r="E48" s="191"/>
      <c r="F48" s="191"/>
      <c r="G48" s="191"/>
      <c r="H48" s="191"/>
      <c r="I48" s="191"/>
      <c r="J48" s="191"/>
      <c r="K48" s="191"/>
      <c r="L48" s="191"/>
      <c r="M48" s="191"/>
      <c r="N48" s="191"/>
      <c r="O48" s="191"/>
      <c r="P48" s="191"/>
      <c r="Q48" s="191"/>
      <c r="R48" s="191"/>
      <c r="S48" s="191"/>
      <c r="T48" s="191"/>
      <c r="U48" s="191"/>
      <c r="V48" s="191"/>
    </row>
    <row r="49" spans="1:16384" x14ac:dyDescent="0.25">
      <c r="B49" s="192"/>
      <c r="C49" s="219" t="s">
        <v>913</v>
      </c>
      <c r="D49" s="191"/>
      <c r="E49" s="191"/>
      <c r="F49" s="191"/>
      <c r="G49" s="191"/>
      <c r="H49" s="191"/>
      <c r="I49" s="191"/>
      <c r="J49" s="191"/>
      <c r="K49" s="191"/>
      <c r="L49" s="191"/>
      <c r="M49" s="191"/>
      <c r="N49" s="191"/>
      <c r="O49" s="191"/>
      <c r="P49" s="191"/>
      <c r="Q49" s="191"/>
      <c r="R49" s="191"/>
      <c r="S49" s="191"/>
      <c r="T49" s="191"/>
      <c r="U49" s="191"/>
      <c r="V49" s="191"/>
    </row>
    <row r="50" spans="1:16384" x14ac:dyDescent="0.25">
      <c r="B50" s="192"/>
      <c r="C50" s="191" t="s">
        <v>910</v>
      </c>
      <c r="D50" s="191"/>
      <c r="E50" s="191"/>
      <c r="F50" s="191"/>
      <c r="G50" s="191"/>
      <c r="H50" s="1153">
        <v>0</v>
      </c>
      <c r="I50" s="1154"/>
      <c r="J50" s="191"/>
      <c r="K50" s="191"/>
      <c r="L50" s="191"/>
      <c r="M50" s="191"/>
      <c r="N50" s="191"/>
      <c r="O50" s="191"/>
      <c r="P50" s="191"/>
      <c r="Q50" s="191"/>
      <c r="R50" s="191"/>
      <c r="S50" s="191"/>
      <c r="T50" s="191"/>
      <c r="U50" s="191"/>
      <c r="V50" s="191"/>
    </row>
    <row r="51" spans="1:16384" x14ac:dyDescent="0.25">
      <c r="B51" s="192"/>
      <c r="C51" s="191" t="s">
        <v>911</v>
      </c>
      <c r="D51" s="191"/>
      <c r="E51" s="191"/>
      <c r="F51" s="191"/>
      <c r="G51" s="191"/>
      <c r="H51" s="1153">
        <v>0</v>
      </c>
      <c r="I51" s="1154"/>
      <c r="J51" s="191"/>
      <c r="K51" s="191"/>
      <c r="L51" s="191"/>
      <c r="M51" s="191"/>
      <c r="N51" s="191"/>
      <c r="O51" s="191"/>
      <c r="P51" s="191"/>
      <c r="Q51" s="191"/>
      <c r="R51" s="191"/>
      <c r="S51" s="191"/>
      <c r="T51" s="191"/>
      <c r="U51" s="191"/>
      <c r="V51" s="191"/>
    </row>
    <row r="52" spans="1:16384" x14ac:dyDescent="0.25">
      <c r="B52" s="192"/>
      <c r="C52" s="191" t="s">
        <v>912</v>
      </c>
      <c r="D52" s="191"/>
      <c r="E52" s="191"/>
      <c r="F52" s="191"/>
      <c r="G52" s="191"/>
      <c r="H52" s="1153">
        <v>0</v>
      </c>
      <c r="I52" s="1154"/>
      <c r="J52" s="191"/>
      <c r="K52" s="191"/>
      <c r="L52" s="191"/>
      <c r="M52" s="191"/>
      <c r="N52" s="191"/>
      <c r="O52" s="191"/>
      <c r="P52" s="191"/>
      <c r="Q52" s="191"/>
      <c r="R52" s="191"/>
      <c r="S52" s="191"/>
      <c r="T52" s="191"/>
      <c r="U52" s="191"/>
      <c r="V52" s="191"/>
    </row>
    <row r="53" spans="1:16384" s="8" customFormat="1" x14ac:dyDescent="0.25">
      <c r="A53" s="21"/>
      <c r="B53" s="192"/>
      <c r="C53" s="191"/>
      <c r="D53" s="191"/>
      <c r="E53" s="191"/>
      <c r="F53" s="191"/>
      <c r="G53" s="191"/>
      <c r="H53" s="191"/>
      <c r="I53" s="191"/>
      <c r="J53" s="191"/>
      <c r="K53" s="191"/>
      <c r="L53" s="191"/>
      <c r="M53" s="191"/>
      <c r="N53" s="191"/>
      <c r="O53" s="191"/>
      <c r="P53" s="191"/>
      <c r="Q53" s="191"/>
      <c r="R53" s="191"/>
      <c r="S53" s="191"/>
      <c r="T53" s="191"/>
      <c r="U53" s="191"/>
      <c r="V53" s="191"/>
      <c r="W53" s="2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C53" s="1"/>
      <c r="ND53" s="1"/>
      <c r="NE53" s="1"/>
      <c r="NF53" s="1"/>
      <c r="NG53" s="1"/>
      <c r="NH53" s="1"/>
      <c r="NI53" s="1"/>
      <c r="NJ53" s="1"/>
      <c r="NK53" s="1"/>
      <c r="NL53" s="1"/>
      <c r="NM53" s="1"/>
      <c r="NN53" s="1"/>
      <c r="NO53" s="1"/>
      <c r="NP53" s="1"/>
      <c r="NQ53" s="1"/>
      <c r="NR53" s="1"/>
      <c r="NS53" s="1"/>
      <c r="NT53" s="1"/>
      <c r="NU53" s="1"/>
      <c r="NV53" s="1"/>
      <c r="NW53" s="1"/>
      <c r="NX53" s="1"/>
      <c r="NY53" s="1"/>
      <c r="NZ53" s="1"/>
      <c r="OA53" s="1"/>
      <c r="OB53" s="1"/>
      <c r="OC53" s="1"/>
      <c r="OD53" s="1"/>
      <c r="OE53" s="1"/>
      <c r="OF53" s="1"/>
      <c r="OG53" s="1"/>
      <c r="OH53" s="1"/>
      <c r="OI53" s="1"/>
      <c r="OJ53" s="1"/>
      <c r="OK53" s="1"/>
      <c r="OL53" s="1"/>
      <c r="OM53" s="1"/>
      <c r="ON53" s="1"/>
      <c r="OO53" s="1"/>
      <c r="OP53" s="1"/>
      <c r="OQ53" s="1"/>
      <c r="OR53" s="1"/>
      <c r="OS53" s="1"/>
      <c r="OT53" s="1"/>
      <c r="OU53" s="1"/>
      <c r="OV53" s="1"/>
      <c r="OW53" s="1"/>
      <c r="OX53" s="1"/>
      <c r="OY53" s="1"/>
      <c r="OZ53" s="1"/>
      <c r="PA53" s="1"/>
      <c r="PB53" s="1"/>
      <c r="PC53" s="1"/>
      <c r="PD53" s="1"/>
      <c r="PE53" s="1"/>
      <c r="PF53" s="1"/>
      <c r="PG53" s="1"/>
      <c r="PH53" s="1"/>
      <c r="PI53" s="1"/>
      <c r="PJ53" s="1"/>
      <c r="PK53" s="1"/>
      <c r="PL53" s="1"/>
      <c r="PM53" s="1"/>
      <c r="PN53" s="1"/>
      <c r="PO53" s="1"/>
      <c r="PP53" s="1"/>
      <c r="PQ53" s="1"/>
      <c r="PR53" s="1"/>
      <c r="PS53" s="1"/>
      <c r="PT53" s="1"/>
      <c r="PU53" s="1"/>
      <c r="PV53" s="1"/>
      <c r="PW53" s="1"/>
      <c r="PX53" s="1"/>
      <c r="PY53" s="1"/>
      <c r="PZ53" s="1"/>
      <c r="QA53" s="1"/>
      <c r="QB53" s="1"/>
      <c r="QC53" s="1"/>
      <c r="QD53" s="1"/>
      <c r="QE53" s="1"/>
      <c r="QF53" s="1"/>
      <c r="QG53" s="1"/>
      <c r="QH53" s="1"/>
      <c r="QI53" s="1"/>
      <c r="QJ53" s="1"/>
      <c r="QK53" s="1"/>
      <c r="QL53" s="1"/>
      <c r="QM53" s="1"/>
      <c r="QN53" s="1"/>
      <c r="QO53" s="1"/>
      <c r="QP53" s="1"/>
      <c r="QQ53" s="1"/>
      <c r="QR53" s="1"/>
      <c r="QS53" s="1"/>
      <c r="QT53" s="1"/>
      <c r="QU53" s="1"/>
      <c r="QV53" s="1"/>
      <c r="QW53" s="1"/>
      <c r="QX53" s="1"/>
      <c r="QY53" s="1"/>
      <c r="QZ53" s="1"/>
      <c r="RA53" s="1"/>
      <c r="RB53" s="1"/>
      <c r="RC53" s="1"/>
      <c r="RD53" s="1"/>
      <c r="RE53" s="1"/>
      <c r="RF53" s="1"/>
      <c r="RG53" s="1"/>
      <c r="RH53" s="1"/>
      <c r="RI53" s="1"/>
      <c r="RJ53" s="1"/>
      <c r="RK53" s="1"/>
      <c r="RL53" s="1"/>
      <c r="RM53" s="1"/>
      <c r="RN53" s="1"/>
      <c r="RO53" s="1"/>
      <c r="RP53" s="1"/>
      <c r="RQ53" s="1"/>
      <c r="RR53" s="1"/>
      <c r="RS53" s="1"/>
      <c r="RT53" s="1"/>
      <c r="RU53" s="1"/>
      <c r="RV53" s="1"/>
      <c r="RW53" s="1"/>
      <c r="RX53" s="1"/>
      <c r="RY53" s="1"/>
      <c r="RZ53" s="1"/>
      <c r="SA53" s="1"/>
      <c r="SB53" s="1"/>
      <c r="SC53" s="1"/>
      <c r="SD53" s="1"/>
      <c r="SE53" s="1"/>
      <c r="SF53" s="1"/>
      <c r="SG53" s="1"/>
      <c r="SH53" s="1"/>
      <c r="SI53" s="1"/>
      <c r="SJ53" s="1"/>
      <c r="SK53" s="1"/>
      <c r="SL53" s="1"/>
      <c r="SM53" s="1"/>
      <c r="SN53" s="1"/>
      <c r="SO53" s="1"/>
      <c r="SP53" s="1"/>
      <c r="SQ53" s="1"/>
      <c r="SR53" s="1"/>
      <c r="SS53" s="1"/>
      <c r="ST53" s="1"/>
      <c r="SU53" s="1"/>
      <c r="SV53" s="1"/>
      <c r="SW53" s="1"/>
      <c r="SX53" s="1"/>
      <c r="SY53" s="1"/>
      <c r="SZ53" s="1"/>
      <c r="TA53" s="1"/>
      <c r="TB53" s="1"/>
      <c r="TC53" s="1"/>
      <c r="TD53" s="1"/>
      <c r="TE53" s="1"/>
      <c r="TF53" s="1"/>
      <c r="TG53" s="1"/>
      <c r="TH53" s="1"/>
      <c r="TI53" s="1"/>
      <c r="TJ53" s="1"/>
      <c r="TK53" s="1"/>
      <c r="TL53" s="1"/>
      <c r="TM53" s="1"/>
      <c r="TN53" s="1"/>
      <c r="TO53" s="1"/>
      <c r="TP53" s="1"/>
      <c r="TQ53" s="1"/>
      <c r="TR53" s="1"/>
      <c r="TS53" s="1"/>
      <c r="TT53" s="1"/>
      <c r="TU53" s="1"/>
      <c r="TV53" s="1"/>
      <c r="TW53" s="1"/>
      <c r="TX53" s="1"/>
      <c r="TY53" s="1"/>
      <c r="TZ53" s="1"/>
      <c r="UA53" s="1"/>
      <c r="UB53" s="1"/>
      <c r="UC53" s="1"/>
      <c r="UD53" s="1"/>
      <c r="UE53" s="1"/>
      <c r="UF53" s="1"/>
      <c r="UG53" s="1"/>
      <c r="UH53" s="1"/>
      <c r="UI53" s="1"/>
      <c r="UJ53" s="1"/>
      <c r="UK53" s="1"/>
      <c r="UL53" s="1"/>
      <c r="UM53" s="1"/>
      <c r="UN53" s="1"/>
      <c r="UO53" s="1"/>
      <c r="UP53" s="1"/>
      <c r="UQ53" s="1"/>
      <c r="UR53" s="1"/>
      <c r="US53" s="1"/>
      <c r="UT53" s="1"/>
      <c r="UU53" s="1"/>
      <c r="UV53" s="1"/>
      <c r="UW53" s="1"/>
      <c r="UX53" s="1"/>
      <c r="UY53" s="1"/>
      <c r="UZ53" s="1"/>
      <c r="VA53" s="1"/>
      <c r="VB53" s="1"/>
      <c r="VC53" s="1"/>
      <c r="VD53" s="1"/>
      <c r="VE53" s="1"/>
      <c r="VF53" s="1"/>
      <c r="VG53" s="1"/>
      <c r="VH53" s="1"/>
      <c r="VI53" s="1"/>
      <c r="VJ53" s="1"/>
      <c r="VK53" s="1"/>
      <c r="VL53" s="1"/>
      <c r="VM53" s="1"/>
      <c r="VN53" s="1"/>
      <c r="VO53" s="1"/>
      <c r="VP53" s="1"/>
      <c r="VQ53" s="1"/>
      <c r="VR53" s="1"/>
      <c r="VS53" s="1"/>
      <c r="VT53" s="1"/>
      <c r="VU53" s="1"/>
      <c r="VV53" s="1"/>
      <c r="VW53" s="1"/>
      <c r="VX53" s="1"/>
      <c r="VY53" s="1"/>
      <c r="VZ53" s="1"/>
      <c r="WA53" s="1"/>
      <c r="WB53" s="1"/>
      <c r="WC53" s="1"/>
      <c r="WD53" s="1"/>
      <c r="WE53" s="1"/>
      <c r="WF53" s="1"/>
      <c r="WG53" s="1"/>
      <c r="WH53" s="1"/>
      <c r="WI53" s="1"/>
      <c r="WJ53" s="1"/>
      <c r="WK53" s="1"/>
      <c r="WL53" s="1"/>
      <c r="WM53" s="1"/>
      <c r="WN53" s="1"/>
      <c r="WO53" s="1"/>
      <c r="WP53" s="1"/>
      <c r="WQ53" s="1"/>
      <c r="WR53" s="1"/>
      <c r="WS53" s="1"/>
      <c r="WT53" s="1"/>
      <c r="WU53" s="1"/>
      <c r="WV53" s="1"/>
      <c r="WW53" s="1"/>
      <c r="WX53" s="1"/>
      <c r="WY53" s="1"/>
      <c r="WZ53" s="1"/>
      <c r="XA53" s="1"/>
      <c r="XB53" s="1"/>
      <c r="XC53" s="1"/>
      <c r="XD53" s="1"/>
      <c r="XE53" s="1"/>
      <c r="XF53" s="1"/>
      <c r="XG53" s="1"/>
      <c r="XH53" s="1"/>
      <c r="XI53" s="1"/>
      <c r="XJ53" s="1"/>
      <c r="XK53" s="1"/>
      <c r="XL53" s="1"/>
      <c r="XM53" s="1"/>
      <c r="XN53" s="1"/>
      <c r="XO53" s="1"/>
      <c r="XP53" s="1"/>
      <c r="XQ53" s="1"/>
      <c r="XR53" s="1"/>
      <c r="XS53" s="1"/>
      <c r="XT53" s="1"/>
      <c r="XU53" s="1"/>
      <c r="XV53" s="1"/>
      <c r="XW53" s="1"/>
      <c r="XX53" s="1"/>
      <c r="XY53" s="1"/>
      <c r="XZ53" s="1"/>
      <c r="YA53" s="1"/>
      <c r="YB53" s="1"/>
      <c r="YC53" s="1"/>
      <c r="YD53" s="1"/>
      <c r="YE53" s="1"/>
      <c r="YF53" s="1"/>
      <c r="YG53" s="1"/>
      <c r="YH53" s="1"/>
      <c r="YI53" s="1"/>
      <c r="YJ53" s="1"/>
      <c r="YK53" s="1"/>
      <c r="YL53" s="1"/>
      <c r="YM53" s="1"/>
      <c r="YN53" s="1"/>
      <c r="YO53" s="1"/>
      <c r="YP53" s="1"/>
      <c r="YQ53" s="1"/>
      <c r="YR53" s="1"/>
      <c r="YS53" s="1"/>
      <c r="YT53" s="1"/>
      <c r="YU53" s="1"/>
      <c r="YV53" s="1"/>
      <c r="YW53" s="1"/>
      <c r="YX53" s="1"/>
      <c r="YY53" s="1"/>
      <c r="YZ53" s="1"/>
      <c r="ZA53" s="1"/>
      <c r="ZB53" s="1"/>
      <c r="ZC53" s="1"/>
      <c r="ZD53" s="1"/>
      <c r="ZE53" s="1"/>
      <c r="ZF53" s="1"/>
      <c r="ZG53" s="1"/>
      <c r="ZH53" s="1"/>
      <c r="ZI53" s="1"/>
      <c r="ZJ53" s="1"/>
      <c r="ZK53" s="1"/>
      <c r="ZL53" s="1"/>
      <c r="ZM53" s="1"/>
      <c r="ZN53" s="1"/>
      <c r="ZO53" s="1"/>
      <c r="ZP53" s="1"/>
      <c r="ZQ53" s="1"/>
      <c r="ZR53" s="1"/>
      <c r="ZS53" s="1"/>
      <c r="ZT53" s="1"/>
      <c r="ZU53" s="1"/>
      <c r="ZV53" s="1"/>
      <c r="ZW53" s="1"/>
      <c r="ZX53" s="1"/>
      <c r="ZY53" s="1"/>
      <c r="ZZ53" s="1"/>
      <c r="AAA53" s="1"/>
      <c r="AAB53" s="1"/>
      <c r="AAC53" s="1"/>
      <c r="AAD53" s="1"/>
      <c r="AAE53" s="1"/>
      <c r="AAF53" s="1"/>
      <c r="AAG53" s="1"/>
      <c r="AAH53" s="1"/>
      <c r="AAI53" s="1"/>
      <c r="AAJ53" s="1"/>
      <c r="AAK53" s="1"/>
      <c r="AAL53" s="1"/>
      <c r="AAM53" s="1"/>
      <c r="AAN53" s="1"/>
      <c r="AAO53" s="1"/>
      <c r="AAP53" s="1"/>
      <c r="AAQ53" s="1"/>
      <c r="AAR53" s="1"/>
      <c r="AAS53" s="1"/>
      <c r="AAT53" s="1"/>
      <c r="AAU53" s="1"/>
      <c r="AAV53" s="1"/>
      <c r="AAW53" s="1"/>
      <c r="AAX53" s="1"/>
      <c r="AAY53" s="1"/>
      <c r="AAZ53" s="1"/>
      <c r="ABA53" s="1"/>
      <c r="ABB53" s="1"/>
      <c r="ABC53" s="1"/>
      <c r="ABD53" s="1"/>
      <c r="ABE53" s="1"/>
      <c r="ABF53" s="1"/>
      <c r="ABG53" s="1"/>
      <c r="ABH53" s="1"/>
      <c r="ABI53" s="1"/>
      <c r="ABJ53" s="1"/>
      <c r="ABK53" s="1"/>
      <c r="ABL53" s="1"/>
      <c r="ABM53" s="1"/>
      <c r="ABN53" s="1"/>
      <c r="ABO53" s="1"/>
      <c r="ABP53" s="1"/>
      <c r="ABQ53" s="1"/>
      <c r="ABR53" s="1"/>
      <c r="ABS53" s="1"/>
      <c r="ABT53" s="1"/>
      <c r="ABU53" s="1"/>
      <c r="ABV53" s="1"/>
      <c r="ABW53" s="1"/>
      <c r="ABX53" s="1"/>
      <c r="ABY53" s="1"/>
      <c r="ABZ53" s="1"/>
      <c r="ACA53" s="1"/>
      <c r="ACB53" s="1"/>
      <c r="ACC53" s="1"/>
      <c r="ACD53" s="1"/>
      <c r="ACE53" s="1"/>
      <c r="ACF53" s="1"/>
      <c r="ACG53" s="1"/>
      <c r="ACH53" s="1"/>
      <c r="ACI53" s="1"/>
      <c r="ACJ53" s="1"/>
      <c r="ACK53" s="1"/>
      <c r="ACL53" s="1"/>
      <c r="ACM53" s="1"/>
      <c r="ACN53" s="1"/>
      <c r="ACO53" s="1"/>
      <c r="ACP53" s="1"/>
      <c r="ACQ53" s="1"/>
      <c r="ACR53" s="1"/>
      <c r="ACS53" s="1"/>
      <c r="ACT53" s="1"/>
      <c r="ACU53" s="1"/>
      <c r="ACV53" s="1"/>
      <c r="ACW53" s="1"/>
      <c r="ACX53" s="1"/>
      <c r="ACY53" s="1"/>
      <c r="ACZ53" s="1"/>
      <c r="ADA53" s="1"/>
      <c r="ADB53" s="1"/>
      <c r="ADC53" s="1"/>
      <c r="ADD53" s="1"/>
      <c r="ADE53" s="1"/>
      <c r="ADF53" s="1"/>
      <c r="ADG53" s="1"/>
      <c r="ADH53" s="1"/>
      <c r="ADI53" s="1"/>
      <c r="ADJ53" s="1"/>
      <c r="ADK53" s="1"/>
      <c r="ADL53" s="1"/>
      <c r="ADM53" s="1"/>
      <c r="ADN53" s="1"/>
      <c r="ADO53" s="1"/>
      <c r="ADP53" s="1"/>
      <c r="ADQ53" s="1"/>
      <c r="ADR53" s="1"/>
      <c r="ADS53" s="1"/>
      <c r="ADT53" s="1"/>
      <c r="ADU53" s="1"/>
      <c r="ADV53" s="1"/>
      <c r="ADW53" s="1"/>
      <c r="ADX53" s="1"/>
      <c r="ADY53" s="1"/>
      <c r="ADZ53" s="1"/>
      <c r="AEA53" s="1"/>
      <c r="AEB53" s="1"/>
      <c r="AEC53" s="1"/>
      <c r="AED53" s="1"/>
      <c r="AEE53" s="1"/>
      <c r="AEF53" s="1"/>
      <c r="AEG53" s="1"/>
      <c r="AEH53" s="1"/>
      <c r="AEI53" s="1"/>
      <c r="AEJ53" s="1"/>
      <c r="AEK53" s="1"/>
      <c r="AEL53" s="1"/>
      <c r="AEM53" s="1"/>
      <c r="AEN53" s="1"/>
      <c r="AEO53" s="1"/>
      <c r="AEP53" s="1"/>
      <c r="AEQ53" s="1"/>
      <c r="AER53" s="1"/>
      <c r="AES53" s="1"/>
      <c r="AET53" s="1"/>
      <c r="AEU53" s="1"/>
      <c r="AEV53" s="1"/>
      <c r="AEW53" s="1"/>
      <c r="AEX53" s="1"/>
      <c r="AEY53" s="1"/>
      <c r="AEZ53" s="1"/>
      <c r="AFA53" s="1"/>
      <c r="AFB53" s="1"/>
      <c r="AFC53" s="1"/>
      <c r="AFD53" s="1"/>
      <c r="AFE53" s="1"/>
      <c r="AFF53" s="1"/>
      <c r="AFG53" s="1"/>
      <c r="AFH53" s="1"/>
      <c r="AFI53" s="1"/>
      <c r="AFJ53" s="1"/>
      <c r="AFK53" s="1"/>
      <c r="AFL53" s="1"/>
      <c r="AFM53" s="1"/>
      <c r="AFN53" s="1"/>
      <c r="AFO53" s="1"/>
      <c r="AFP53" s="1"/>
      <c r="AFQ53" s="1"/>
      <c r="AFR53" s="1"/>
      <c r="AFS53" s="1"/>
      <c r="AFT53" s="1"/>
      <c r="AFU53" s="1"/>
      <c r="AFV53" s="1"/>
      <c r="AFW53" s="1"/>
      <c r="AFX53" s="1"/>
      <c r="AFY53" s="1"/>
      <c r="AFZ53" s="1"/>
      <c r="AGA53" s="1"/>
      <c r="AGB53" s="1"/>
      <c r="AGC53" s="1"/>
      <c r="AGD53" s="1"/>
      <c r="AGE53" s="1"/>
      <c r="AGF53" s="1"/>
      <c r="AGG53" s="1"/>
      <c r="AGH53" s="1"/>
      <c r="AGI53" s="1"/>
      <c r="AGJ53" s="1"/>
      <c r="AGK53" s="1"/>
      <c r="AGL53" s="1"/>
      <c r="AGM53" s="1"/>
      <c r="AGN53" s="1"/>
      <c r="AGO53" s="1"/>
      <c r="AGP53" s="1"/>
      <c r="AGQ53" s="1"/>
      <c r="AGR53" s="1"/>
      <c r="AGS53" s="1"/>
      <c r="AGT53" s="1"/>
      <c r="AGU53" s="1"/>
      <c r="AGV53" s="1"/>
      <c r="AGW53" s="1"/>
      <c r="AGX53" s="1"/>
      <c r="AGY53" s="1"/>
      <c r="AGZ53" s="1"/>
      <c r="AHA53" s="1"/>
      <c r="AHB53" s="1"/>
      <c r="AHC53" s="1"/>
      <c r="AHD53" s="1"/>
      <c r="AHE53" s="1"/>
      <c r="AHF53" s="1"/>
      <c r="AHG53" s="1"/>
      <c r="AHH53" s="1"/>
      <c r="AHI53" s="1"/>
      <c r="AHJ53" s="1"/>
      <c r="AHK53" s="1"/>
      <c r="AHL53" s="1"/>
      <c r="AHM53" s="1"/>
      <c r="AHN53" s="1"/>
      <c r="AHO53" s="1"/>
      <c r="AHP53" s="1"/>
      <c r="AHQ53" s="1"/>
      <c r="AHR53" s="1"/>
      <c r="AHS53" s="1"/>
      <c r="AHT53" s="1"/>
      <c r="AHU53" s="1"/>
      <c r="AHV53" s="1"/>
      <c r="AHW53" s="1"/>
      <c r="AHX53" s="1"/>
      <c r="AHY53" s="1"/>
      <c r="AHZ53" s="1"/>
      <c r="AIA53" s="1"/>
      <c r="AIB53" s="1"/>
      <c r="AIC53" s="1"/>
      <c r="AID53" s="1"/>
      <c r="AIE53" s="1"/>
      <c r="AIF53" s="1"/>
      <c r="AIG53" s="1"/>
      <c r="AIH53" s="1"/>
      <c r="AII53" s="1"/>
      <c r="AIJ53" s="1"/>
      <c r="AIK53" s="1"/>
      <c r="AIL53" s="1"/>
      <c r="AIM53" s="1"/>
      <c r="AIN53" s="1"/>
      <c r="AIO53" s="1"/>
      <c r="AIP53" s="1"/>
      <c r="AIQ53" s="1"/>
      <c r="AIR53" s="1"/>
      <c r="AIS53" s="1"/>
      <c r="AIT53" s="1"/>
      <c r="AIU53" s="1"/>
      <c r="AIV53" s="1"/>
      <c r="AIW53" s="1"/>
      <c r="AIX53" s="1"/>
      <c r="AIY53" s="1"/>
      <c r="AIZ53" s="1"/>
      <c r="AJA53" s="1"/>
      <c r="AJB53" s="1"/>
      <c r="AJC53" s="1"/>
      <c r="AJD53" s="1"/>
      <c r="AJE53" s="1"/>
      <c r="AJF53" s="1"/>
      <c r="AJG53" s="1"/>
      <c r="AJH53" s="1"/>
      <c r="AJI53" s="1"/>
      <c r="AJJ53" s="1"/>
      <c r="AJK53" s="1"/>
      <c r="AJL53" s="1"/>
      <c r="AJM53" s="1"/>
      <c r="AJN53" s="1"/>
      <c r="AJO53" s="1"/>
      <c r="AJP53" s="1"/>
      <c r="AJQ53" s="1"/>
      <c r="AJR53" s="1"/>
      <c r="AJS53" s="1"/>
      <c r="AJT53" s="1"/>
      <c r="AJU53" s="1"/>
      <c r="AJV53" s="1"/>
      <c r="AJW53" s="1"/>
      <c r="AJX53" s="1"/>
      <c r="AJY53" s="1"/>
      <c r="AJZ53" s="1"/>
      <c r="AKA53" s="1"/>
      <c r="AKB53" s="1"/>
      <c r="AKC53" s="1"/>
      <c r="AKD53" s="1"/>
      <c r="AKE53" s="1"/>
      <c r="AKF53" s="1"/>
      <c r="AKG53" s="1"/>
      <c r="AKH53" s="1"/>
      <c r="AKI53" s="1"/>
      <c r="AKJ53" s="1"/>
      <c r="AKK53" s="1"/>
      <c r="AKL53" s="1"/>
      <c r="AKM53" s="1"/>
      <c r="AKN53" s="1"/>
      <c r="AKO53" s="1"/>
      <c r="AKP53" s="1"/>
      <c r="AKQ53" s="1"/>
      <c r="AKR53" s="1"/>
      <c r="AKS53" s="1"/>
      <c r="AKT53" s="1"/>
      <c r="AKU53" s="1"/>
      <c r="AKV53" s="1"/>
      <c r="AKW53" s="1"/>
      <c r="AKX53" s="1"/>
      <c r="AKY53" s="1"/>
      <c r="AKZ53" s="1"/>
      <c r="ALA53" s="1"/>
      <c r="ALB53" s="1"/>
      <c r="ALC53" s="1"/>
      <c r="ALD53" s="1"/>
      <c r="ALE53" s="1"/>
      <c r="ALF53" s="1"/>
      <c r="ALG53" s="1"/>
      <c r="ALH53" s="1"/>
      <c r="ALI53" s="1"/>
      <c r="ALJ53" s="1"/>
      <c r="ALK53" s="1"/>
      <c r="ALL53" s="1"/>
      <c r="ALM53" s="1"/>
      <c r="ALN53" s="1"/>
      <c r="ALO53" s="1"/>
      <c r="ALP53" s="1"/>
      <c r="ALQ53" s="1"/>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c r="BOB53" s="1"/>
      <c r="BOC53" s="1"/>
      <c r="BOD53" s="1"/>
      <c r="BOE53" s="1"/>
      <c r="BOF53" s="1"/>
      <c r="BOG53" s="1"/>
      <c r="BOH53" s="1"/>
      <c r="BOI53" s="1"/>
      <c r="BOJ53" s="1"/>
      <c r="BOK53" s="1"/>
      <c r="BOL53" s="1"/>
      <c r="BOM53" s="1"/>
      <c r="BON53" s="1"/>
      <c r="BOO53" s="1"/>
      <c r="BOP53" s="1"/>
      <c r="BOQ53" s="1"/>
      <c r="BOR53" s="1"/>
      <c r="BOS53" s="1"/>
      <c r="BOT53" s="1"/>
      <c r="BOU53" s="1"/>
      <c r="BOV53" s="1"/>
      <c r="BOW53" s="1"/>
      <c r="BOX53" s="1"/>
      <c r="BOY53" s="1"/>
      <c r="BOZ53" s="1"/>
      <c r="BPA53" s="1"/>
      <c r="BPB53" s="1"/>
      <c r="BPC53" s="1"/>
      <c r="BPD53" s="1"/>
      <c r="BPE53" s="1"/>
      <c r="BPF53" s="1"/>
      <c r="BPG53" s="1"/>
      <c r="BPH53" s="1"/>
      <c r="BPI53" s="1"/>
      <c r="BPJ53" s="1"/>
      <c r="BPK53" s="1"/>
      <c r="BPL53" s="1"/>
      <c r="BPM53" s="1"/>
      <c r="BPN53" s="1"/>
      <c r="BPO53" s="1"/>
      <c r="BPP53" s="1"/>
      <c r="BPQ53" s="1"/>
      <c r="BPR53" s="1"/>
      <c r="BPS53" s="1"/>
      <c r="BPT53" s="1"/>
      <c r="BPU53" s="1"/>
      <c r="BPV53" s="1"/>
      <c r="BPW53" s="1"/>
      <c r="BPX53" s="1"/>
      <c r="BPY53" s="1"/>
      <c r="BPZ53" s="1"/>
      <c r="BQA53" s="1"/>
      <c r="BQB53" s="1"/>
      <c r="BQC53" s="1"/>
      <c r="BQD53" s="1"/>
      <c r="BQE53" s="1"/>
      <c r="BQF53" s="1"/>
      <c r="BQG53" s="1"/>
      <c r="BQH53" s="1"/>
      <c r="BQI53" s="1"/>
      <c r="BQJ53" s="1"/>
      <c r="BQK53" s="1"/>
      <c r="BQL53" s="1"/>
      <c r="BQM53" s="1"/>
      <c r="BQN53" s="1"/>
      <c r="BQO53" s="1"/>
      <c r="BQP53" s="1"/>
      <c r="BQQ53" s="1"/>
      <c r="BQR53" s="1"/>
      <c r="BQS53" s="1"/>
      <c r="BQT53" s="1"/>
      <c r="BQU53" s="1"/>
      <c r="BQV53" s="1"/>
      <c r="BQW53" s="1"/>
      <c r="BQX53" s="1"/>
      <c r="BQY53" s="1"/>
      <c r="BQZ53" s="1"/>
      <c r="BRA53" s="1"/>
      <c r="BRB53" s="1"/>
      <c r="BRC53" s="1"/>
      <c r="BRD53" s="1"/>
      <c r="BRE53" s="1"/>
      <c r="BRF53" s="1"/>
      <c r="BRG53" s="1"/>
      <c r="BRH53" s="1"/>
      <c r="BRI53" s="1"/>
      <c r="BRJ53" s="1"/>
      <c r="BRK53" s="1"/>
      <c r="BRL53" s="1"/>
      <c r="BRM53" s="1"/>
      <c r="BRN53" s="1"/>
      <c r="BRO53" s="1"/>
      <c r="BRP53" s="1"/>
      <c r="BRQ53" s="1"/>
      <c r="BRR53" s="1"/>
      <c r="BRS53" s="1"/>
      <c r="BRT53" s="1"/>
      <c r="BRU53" s="1"/>
      <c r="BRV53" s="1"/>
      <c r="BRW53" s="1"/>
      <c r="BRX53" s="1"/>
      <c r="BRY53" s="1"/>
      <c r="BRZ53" s="1"/>
      <c r="BSA53" s="1"/>
      <c r="BSB53" s="1"/>
      <c r="BSC53" s="1"/>
      <c r="BSD53" s="1"/>
      <c r="BSE53" s="1"/>
      <c r="BSF53" s="1"/>
      <c r="BSG53" s="1"/>
      <c r="BSH53" s="1"/>
      <c r="BSI53" s="1"/>
      <c r="BSJ53" s="1"/>
      <c r="BSK53" s="1"/>
      <c r="BSL53" s="1"/>
      <c r="BSM53" s="1"/>
      <c r="BSN53" s="1"/>
      <c r="BSO53" s="1"/>
      <c r="BSP53" s="1"/>
      <c r="BSQ53" s="1"/>
      <c r="BSR53" s="1"/>
      <c r="BSS53" s="1"/>
      <c r="BST53" s="1"/>
      <c r="BSU53" s="1"/>
      <c r="BSV53" s="1"/>
      <c r="BSW53" s="1"/>
      <c r="BSX53" s="1"/>
      <c r="BSY53" s="1"/>
      <c r="BSZ53" s="1"/>
      <c r="BTA53" s="1"/>
      <c r="BTB53" s="1"/>
      <c r="BTC53" s="1"/>
      <c r="BTD53" s="1"/>
      <c r="BTE53" s="1"/>
      <c r="BTF53" s="1"/>
      <c r="BTG53" s="1"/>
      <c r="BTH53" s="1"/>
      <c r="BTI53" s="1"/>
      <c r="BTJ53" s="1"/>
      <c r="BTK53" s="1"/>
      <c r="BTL53" s="1"/>
      <c r="BTM53" s="1"/>
      <c r="BTN53" s="1"/>
      <c r="BTO53" s="1"/>
      <c r="BTP53" s="1"/>
      <c r="BTQ53" s="1"/>
      <c r="BTR53" s="1"/>
      <c r="BTS53" s="1"/>
      <c r="BTT53" s="1"/>
      <c r="BTU53" s="1"/>
      <c r="BTV53" s="1"/>
      <c r="BTW53" s="1"/>
      <c r="BTX53" s="1"/>
      <c r="BTY53" s="1"/>
      <c r="BTZ53" s="1"/>
      <c r="BUA53" s="1"/>
      <c r="BUB53" s="1"/>
      <c r="BUC53" s="1"/>
      <c r="BUD53" s="1"/>
      <c r="BUE53" s="1"/>
      <c r="BUF53" s="1"/>
      <c r="BUG53" s="1"/>
      <c r="BUH53" s="1"/>
      <c r="BUI53" s="1"/>
      <c r="BUJ53" s="1"/>
      <c r="BUK53" s="1"/>
      <c r="BUL53" s="1"/>
      <c r="BUM53" s="1"/>
      <c r="BUN53" s="1"/>
      <c r="BUO53" s="1"/>
      <c r="BUP53" s="1"/>
      <c r="BUQ53" s="1"/>
      <c r="BUR53" s="1"/>
      <c r="BUS53" s="1"/>
      <c r="BUT53" s="1"/>
      <c r="BUU53" s="1"/>
      <c r="BUV53" s="1"/>
      <c r="BUW53" s="1"/>
      <c r="BUX53" s="1"/>
      <c r="BUY53" s="1"/>
      <c r="BUZ53" s="1"/>
      <c r="BVA53" s="1"/>
      <c r="BVB53" s="1"/>
      <c r="BVC53" s="1"/>
      <c r="BVD53" s="1"/>
      <c r="BVE53" s="1"/>
      <c r="BVF53" s="1"/>
      <c r="BVG53" s="1"/>
      <c r="BVH53" s="1"/>
      <c r="BVI53" s="1"/>
      <c r="BVJ53" s="1"/>
      <c r="BVK53" s="1"/>
      <c r="BVL53" s="1"/>
      <c r="BVM53" s="1"/>
      <c r="BVN53" s="1"/>
      <c r="BVO53" s="1"/>
      <c r="BVP53" s="1"/>
      <c r="BVQ53" s="1"/>
      <c r="BVR53" s="1"/>
      <c r="BVS53" s="1"/>
      <c r="BVT53" s="1"/>
      <c r="BVU53" s="1"/>
      <c r="BVV53" s="1"/>
      <c r="BVW53" s="1"/>
      <c r="BVX53" s="1"/>
      <c r="BVY53" s="1"/>
      <c r="BVZ53" s="1"/>
      <c r="BWA53" s="1"/>
      <c r="BWB53" s="1"/>
      <c r="BWC53" s="1"/>
      <c r="BWD53" s="1"/>
      <c r="BWE53" s="1"/>
      <c r="BWF53" s="1"/>
      <c r="BWG53" s="1"/>
      <c r="BWH53" s="1"/>
      <c r="BWI53" s="1"/>
      <c r="BWJ53" s="1"/>
      <c r="BWK53" s="1"/>
      <c r="BWL53" s="1"/>
      <c r="BWM53" s="1"/>
      <c r="BWN53" s="1"/>
      <c r="BWO53" s="1"/>
      <c r="BWP53" s="1"/>
      <c r="BWQ53" s="1"/>
      <c r="BWR53" s="1"/>
      <c r="BWS53" s="1"/>
      <c r="BWT53" s="1"/>
      <c r="BWU53" s="1"/>
      <c r="BWV53" s="1"/>
      <c r="BWW53" s="1"/>
      <c r="BWX53" s="1"/>
      <c r="BWY53" s="1"/>
      <c r="BWZ53" s="1"/>
      <c r="BXA53" s="1"/>
      <c r="BXB53" s="1"/>
      <c r="BXC53" s="1"/>
      <c r="BXD53" s="1"/>
      <c r="BXE53" s="1"/>
      <c r="BXF53" s="1"/>
      <c r="BXG53" s="1"/>
      <c r="BXH53" s="1"/>
      <c r="BXI53" s="1"/>
      <c r="BXJ53" s="1"/>
      <c r="BXK53" s="1"/>
      <c r="BXL53" s="1"/>
      <c r="BXM53" s="1"/>
      <c r="BXN53" s="1"/>
      <c r="BXO53" s="1"/>
      <c r="BXP53" s="1"/>
      <c r="BXQ53" s="1"/>
      <c r="BXR53" s="1"/>
      <c r="BXS53" s="1"/>
      <c r="BXT53" s="1"/>
      <c r="BXU53" s="1"/>
      <c r="BXV53" s="1"/>
      <c r="BXW53" s="1"/>
      <c r="BXX53" s="1"/>
      <c r="BXY53" s="1"/>
      <c r="BXZ53" s="1"/>
      <c r="BYA53" s="1"/>
      <c r="BYB53" s="1"/>
      <c r="BYC53" s="1"/>
      <c r="BYD53" s="1"/>
      <c r="BYE53" s="1"/>
      <c r="BYF53" s="1"/>
      <c r="BYG53" s="1"/>
      <c r="BYH53" s="1"/>
      <c r="BYI53" s="1"/>
      <c r="BYJ53" s="1"/>
      <c r="BYK53" s="1"/>
      <c r="BYL53" s="1"/>
      <c r="BYM53" s="1"/>
      <c r="BYN53" s="1"/>
      <c r="BYO53" s="1"/>
      <c r="BYP53" s="1"/>
      <c r="BYQ53" s="1"/>
      <c r="BYR53" s="1"/>
      <c r="BYS53" s="1"/>
      <c r="BYT53" s="1"/>
      <c r="BYU53" s="1"/>
      <c r="BYV53" s="1"/>
      <c r="BYW53" s="1"/>
      <c r="BYX53" s="1"/>
      <c r="BYY53" s="1"/>
      <c r="BYZ53" s="1"/>
      <c r="BZA53" s="1"/>
      <c r="BZB53" s="1"/>
      <c r="BZC53" s="1"/>
      <c r="BZD53" s="1"/>
      <c r="BZE53" s="1"/>
      <c r="BZF53" s="1"/>
      <c r="BZG53" s="1"/>
      <c r="BZH53" s="1"/>
      <c r="BZI53" s="1"/>
      <c r="BZJ53" s="1"/>
      <c r="BZK53" s="1"/>
      <c r="BZL53" s="1"/>
      <c r="BZM53" s="1"/>
      <c r="BZN53" s="1"/>
      <c r="BZO53" s="1"/>
      <c r="BZP53" s="1"/>
      <c r="BZQ53" s="1"/>
      <c r="BZR53" s="1"/>
      <c r="BZS53" s="1"/>
      <c r="BZT53" s="1"/>
      <c r="BZU53" s="1"/>
      <c r="BZV53" s="1"/>
      <c r="BZW53" s="1"/>
      <c r="BZX53" s="1"/>
      <c r="BZY53" s="1"/>
      <c r="BZZ53" s="1"/>
      <c r="CAA53" s="1"/>
      <c r="CAB53" s="1"/>
      <c r="CAC53" s="1"/>
      <c r="CAD53" s="1"/>
      <c r="CAE53" s="1"/>
      <c r="CAF53" s="1"/>
      <c r="CAG53" s="1"/>
      <c r="CAH53" s="1"/>
      <c r="CAI53" s="1"/>
      <c r="CAJ53" s="1"/>
      <c r="CAK53" s="1"/>
      <c r="CAL53" s="1"/>
      <c r="CAM53" s="1"/>
      <c r="CAN53" s="1"/>
      <c r="CAO53" s="1"/>
      <c r="CAP53" s="1"/>
      <c r="CAQ53" s="1"/>
      <c r="CAR53" s="1"/>
      <c r="CAS53" s="1"/>
      <c r="CAT53" s="1"/>
      <c r="CAU53" s="1"/>
      <c r="CAV53" s="1"/>
      <c r="CAW53" s="1"/>
      <c r="CAX53" s="1"/>
      <c r="CAY53" s="1"/>
      <c r="CAZ53" s="1"/>
      <c r="CBA53" s="1"/>
      <c r="CBB53" s="1"/>
      <c r="CBC53" s="1"/>
      <c r="CBD53" s="1"/>
      <c r="CBE53" s="1"/>
      <c r="CBF53" s="1"/>
      <c r="CBG53" s="1"/>
      <c r="CBH53" s="1"/>
      <c r="CBI53" s="1"/>
      <c r="CBJ53" s="1"/>
      <c r="CBK53" s="1"/>
      <c r="CBL53" s="1"/>
      <c r="CBM53" s="1"/>
      <c r="CBN53" s="1"/>
      <c r="CBO53" s="1"/>
      <c r="CBP53" s="1"/>
      <c r="CBQ53" s="1"/>
      <c r="CBR53" s="1"/>
      <c r="CBS53" s="1"/>
      <c r="CBT53" s="1"/>
      <c r="CBU53" s="1"/>
      <c r="CBV53" s="1"/>
      <c r="CBW53" s="1"/>
      <c r="CBX53" s="1"/>
      <c r="CBY53" s="1"/>
      <c r="CBZ53" s="1"/>
      <c r="CCA53" s="1"/>
      <c r="CCB53" s="1"/>
      <c r="CCC53" s="1"/>
      <c r="CCD53" s="1"/>
      <c r="CCE53" s="1"/>
      <c r="CCF53" s="1"/>
      <c r="CCG53" s="1"/>
      <c r="CCH53" s="1"/>
      <c r="CCI53" s="1"/>
      <c r="CCJ53" s="1"/>
      <c r="CCK53" s="1"/>
      <c r="CCL53" s="1"/>
      <c r="CCM53" s="1"/>
      <c r="CCN53" s="1"/>
      <c r="CCO53" s="1"/>
      <c r="CCP53" s="1"/>
      <c r="CCQ53" s="1"/>
      <c r="CCR53" s="1"/>
      <c r="CCS53" s="1"/>
      <c r="CCT53" s="1"/>
      <c r="CCU53" s="1"/>
      <c r="CCV53" s="1"/>
      <c r="CCW53" s="1"/>
      <c r="CCX53" s="1"/>
      <c r="CCY53" s="1"/>
      <c r="CCZ53" s="1"/>
      <c r="CDA53" s="1"/>
      <c r="CDB53" s="1"/>
      <c r="CDC53" s="1"/>
      <c r="CDD53" s="1"/>
      <c r="CDE53" s="1"/>
      <c r="CDF53" s="1"/>
      <c r="CDG53" s="1"/>
      <c r="CDH53" s="1"/>
      <c r="CDI53" s="1"/>
      <c r="CDJ53" s="1"/>
      <c r="CDK53" s="1"/>
      <c r="CDL53" s="1"/>
      <c r="CDM53" s="1"/>
      <c r="CDN53" s="1"/>
      <c r="CDO53" s="1"/>
      <c r="CDP53" s="1"/>
      <c r="CDQ53" s="1"/>
      <c r="CDR53" s="1"/>
      <c r="CDS53" s="1"/>
      <c r="CDT53" s="1"/>
      <c r="CDU53" s="1"/>
      <c r="CDV53" s="1"/>
      <c r="CDW53" s="1"/>
      <c r="CDX53" s="1"/>
      <c r="CDY53" s="1"/>
      <c r="CDZ53" s="1"/>
      <c r="CEA53" s="1"/>
      <c r="CEB53" s="1"/>
      <c r="CEC53" s="1"/>
      <c r="CED53" s="1"/>
      <c r="CEE53" s="1"/>
      <c r="CEF53" s="1"/>
      <c r="CEG53" s="1"/>
      <c r="CEH53" s="1"/>
      <c r="CEI53" s="1"/>
      <c r="CEJ53" s="1"/>
      <c r="CEK53" s="1"/>
      <c r="CEL53" s="1"/>
      <c r="CEM53" s="1"/>
      <c r="CEN53" s="1"/>
      <c r="CEO53" s="1"/>
      <c r="CEP53" s="1"/>
      <c r="CEQ53" s="1"/>
      <c r="CER53" s="1"/>
      <c r="CES53" s="1"/>
      <c r="CET53" s="1"/>
      <c r="CEU53" s="1"/>
      <c r="CEV53" s="1"/>
      <c r="CEW53" s="1"/>
      <c r="CEX53" s="1"/>
      <c r="CEY53" s="1"/>
      <c r="CEZ53" s="1"/>
      <c r="CFA53" s="1"/>
      <c r="CFB53" s="1"/>
      <c r="CFC53" s="1"/>
      <c r="CFD53" s="1"/>
      <c r="CFE53" s="1"/>
      <c r="CFF53" s="1"/>
      <c r="CFG53" s="1"/>
      <c r="CFH53" s="1"/>
      <c r="CFI53" s="1"/>
      <c r="CFJ53" s="1"/>
      <c r="CFK53" s="1"/>
      <c r="CFL53" s="1"/>
      <c r="CFM53" s="1"/>
      <c r="CFN53" s="1"/>
      <c r="CFO53" s="1"/>
      <c r="CFP53" s="1"/>
      <c r="CFQ53" s="1"/>
      <c r="CFR53" s="1"/>
      <c r="CFS53" s="1"/>
      <c r="CFT53" s="1"/>
      <c r="CFU53" s="1"/>
      <c r="CFV53" s="1"/>
      <c r="CFW53" s="1"/>
      <c r="CFX53" s="1"/>
      <c r="CFY53" s="1"/>
      <c r="CFZ53" s="1"/>
      <c r="CGA53" s="1"/>
      <c r="CGB53" s="1"/>
      <c r="CGC53" s="1"/>
      <c r="CGD53" s="1"/>
      <c r="CGE53" s="1"/>
      <c r="CGF53" s="1"/>
      <c r="CGG53" s="1"/>
      <c r="CGH53" s="1"/>
      <c r="CGI53" s="1"/>
      <c r="CGJ53" s="1"/>
      <c r="CGK53" s="1"/>
      <c r="CGL53" s="1"/>
      <c r="CGM53" s="1"/>
      <c r="CGN53" s="1"/>
      <c r="CGO53" s="1"/>
      <c r="CGP53" s="1"/>
      <c r="CGQ53" s="1"/>
      <c r="CGR53" s="1"/>
      <c r="CGS53" s="1"/>
      <c r="CGT53" s="1"/>
      <c r="CGU53" s="1"/>
      <c r="CGV53" s="1"/>
      <c r="CGW53" s="1"/>
      <c r="CGX53" s="1"/>
      <c r="CGY53" s="1"/>
      <c r="CGZ53" s="1"/>
      <c r="CHA53" s="1"/>
      <c r="CHB53" s="1"/>
      <c r="CHC53" s="1"/>
      <c r="CHD53" s="1"/>
      <c r="CHE53" s="1"/>
      <c r="CHF53" s="1"/>
      <c r="CHG53" s="1"/>
      <c r="CHH53" s="1"/>
      <c r="CHI53" s="1"/>
      <c r="CHJ53" s="1"/>
      <c r="CHK53" s="1"/>
      <c r="CHL53" s="1"/>
      <c r="CHM53" s="1"/>
      <c r="CHN53" s="1"/>
      <c r="CHO53" s="1"/>
      <c r="CHP53" s="1"/>
      <c r="CHQ53" s="1"/>
      <c r="CHR53" s="1"/>
      <c r="CHS53" s="1"/>
      <c r="CHT53" s="1"/>
      <c r="CHU53" s="1"/>
      <c r="CHV53" s="1"/>
      <c r="CHW53" s="1"/>
      <c r="CHX53" s="1"/>
      <c r="CHY53" s="1"/>
      <c r="CHZ53" s="1"/>
      <c r="CIA53" s="1"/>
      <c r="CIB53" s="1"/>
      <c r="CIC53" s="1"/>
      <c r="CID53" s="1"/>
      <c r="CIE53" s="1"/>
      <c r="CIF53" s="1"/>
      <c r="CIG53" s="1"/>
      <c r="CIH53" s="1"/>
      <c r="CII53" s="1"/>
      <c r="CIJ53" s="1"/>
      <c r="CIK53" s="1"/>
      <c r="CIL53" s="1"/>
      <c r="CIM53" s="1"/>
      <c r="CIN53" s="1"/>
      <c r="CIO53" s="1"/>
      <c r="CIP53" s="1"/>
      <c r="CIQ53" s="1"/>
      <c r="CIR53" s="1"/>
      <c r="CIS53" s="1"/>
      <c r="CIT53" s="1"/>
      <c r="CIU53" s="1"/>
      <c r="CIV53" s="1"/>
      <c r="CIW53" s="1"/>
      <c r="CIX53" s="1"/>
      <c r="CIY53" s="1"/>
      <c r="CIZ53" s="1"/>
      <c r="CJA53" s="1"/>
      <c r="CJB53" s="1"/>
      <c r="CJC53" s="1"/>
      <c r="CJD53" s="1"/>
      <c r="CJE53" s="1"/>
      <c r="CJF53" s="1"/>
      <c r="CJG53" s="1"/>
      <c r="CJH53" s="1"/>
      <c r="CJI53" s="1"/>
      <c r="CJJ53" s="1"/>
      <c r="CJK53" s="1"/>
      <c r="CJL53" s="1"/>
      <c r="CJM53" s="1"/>
      <c r="CJN53" s="1"/>
      <c r="CJO53" s="1"/>
      <c r="CJP53" s="1"/>
      <c r="CJQ53" s="1"/>
      <c r="CJR53" s="1"/>
      <c r="CJS53" s="1"/>
      <c r="CJT53" s="1"/>
      <c r="CJU53" s="1"/>
      <c r="CJV53" s="1"/>
      <c r="CJW53" s="1"/>
      <c r="CJX53" s="1"/>
      <c r="CJY53" s="1"/>
      <c r="CJZ53" s="1"/>
      <c r="CKA53" s="1"/>
      <c r="CKB53" s="1"/>
      <c r="CKC53" s="1"/>
      <c r="CKD53" s="1"/>
      <c r="CKE53" s="1"/>
      <c r="CKF53" s="1"/>
      <c r="CKG53" s="1"/>
      <c r="CKH53" s="1"/>
      <c r="CKI53" s="1"/>
      <c r="CKJ53" s="1"/>
      <c r="CKK53" s="1"/>
      <c r="CKL53" s="1"/>
      <c r="CKM53" s="1"/>
      <c r="CKN53" s="1"/>
      <c r="CKO53" s="1"/>
      <c r="CKP53" s="1"/>
      <c r="CKQ53" s="1"/>
      <c r="CKR53" s="1"/>
      <c r="CKS53" s="1"/>
      <c r="CKT53" s="1"/>
      <c r="CKU53" s="1"/>
      <c r="CKV53" s="1"/>
      <c r="CKW53" s="1"/>
      <c r="CKX53" s="1"/>
      <c r="CKY53" s="1"/>
      <c r="CKZ53" s="1"/>
      <c r="CLA53" s="1"/>
      <c r="CLB53" s="1"/>
      <c r="CLC53" s="1"/>
      <c r="CLD53" s="1"/>
      <c r="CLE53" s="1"/>
      <c r="CLF53" s="1"/>
      <c r="CLG53" s="1"/>
      <c r="CLH53" s="1"/>
      <c r="CLI53" s="1"/>
      <c r="CLJ53" s="1"/>
      <c r="CLK53" s="1"/>
      <c r="CLL53" s="1"/>
      <c r="CLM53" s="1"/>
      <c r="CLN53" s="1"/>
      <c r="CLO53" s="1"/>
      <c r="CLP53" s="1"/>
      <c r="CLQ53" s="1"/>
      <c r="CLR53" s="1"/>
      <c r="CLS53" s="1"/>
      <c r="CLT53" s="1"/>
      <c r="CLU53" s="1"/>
      <c r="CLV53" s="1"/>
      <c r="CLW53" s="1"/>
      <c r="CLX53" s="1"/>
      <c r="CLY53" s="1"/>
      <c r="CLZ53" s="1"/>
      <c r="CMA53" s="1"/>
      <c r="CMB53" s="1"/>
      <c r="CMC53" s="1"/>
      <c r="CMD53" s="1"/>
      <c r="CME53" s="1"/>
      <c r="CMF53" s="1"/>
      <c r="CMG53" s="1"/>
      <c r="CMH53" s="1"/>
      <c r="CMI53" s="1"/>
      <c r="CMJ53" s="1"/>
      <c r="CMK53" s="1"/>
      <c r="CML53" s="1"/>
      <c r="CMM53" s="1"/>
      <c r="CMN53" s="1"/>
      <c r="CMO53" s="1"/>
      <c r="CMP53" s="1"/>
      <c r="CMQ53" s="1"/>
      <c r="CMR53" s="1"/>
      <c r="CMS53" s="1"/>
      <c r="CMT53" s="1"/>
      <c r="CMU53" s="1"/>
      <c r="CMV53" s="1"/>
      <c r="CMW53" s="1"/>
      <c r="CMX53" s="1"/>
      <c r="CMY53" s="1"/>
      <c r="CMZ53" s="1"/>
      <c r="CNA53" s="1"/>
      <c r="CNB53" s="1"/>
      <c r="CNC53" s="1"/>
      <c r="CND53" s="1"/>
      <c r="CNE53" s="1"/>
      <c r="CNF53" s="1"/>
      <c r="CNG53" s="1"/>
      <c r="CNH53" s="1"/>
      <c r="CNI53" s="1"/>
      <c r="CNJ53" s="1"/>
      <c r="CNK53" s="1"/>
      <c r="CNL53" s="1"/>
      <c r="CNM53" s="1"/>
      <c r="CNN53" s="1"/>
      <c r="CNO53" s="1"/>
      <c r="CNP53" s="1"/>
      <c r="CNQ53" s="1"/>
      <c r="CNR53" s="1"/>
      <c r="CNS53" s="1"/>
      <c r="CNT53" s="1"/>
      <c r="CNU53" s="1"/>
      <c r="CNV53" s="1"/>
      <c r="CNW53" s="1"/>
      <c r="CNX53" s="1"/>
      <c r="CNY53" s="1"/>
      <c r="CNZ53" s="1"/>
      <c r="COA53" s="1"/>
      <c r="COB53" s="1"/>
      <c r="COC53" s="1"/>
      <c r="COD53" s="1"/>
      <c r="COE53" s="1"/>
      <c r="COF53" s="1"/>
      <c r="COG53" s="1"/>
      <c r="COH53" s="1"/>
      <c r="COI53" s="1"/>
      <c r="COJ53" s="1"/>
      <c r="COK53" s="1"/>
      <c r="COL53" s="1"/>
      <c r="COM53" s="1"/>
      <c r="CON53" s="1"/>
      <c r="COO53" s="1"/>
      <c r="COP53" s="1"/>
      <c r="COQ53" s="1"/>
      <c r="COR53" s="1"/>
      <c r="COS53" s="1"/>
      <c r="COT53" s="1"/>
      <c r="COU53" s="1"/>
      <c r="COV53" s="1"/>
      <c r="COW53" s="1"/>
      <c r="COX53" s="1"/>
      <c r="COY53" s="1"/>
      <c r="COZ53" s="1"/>
      <c r="CPA53" s="1"/>
      <c r="CPB53" s="1"/>
      <c r="CPC53" s="1"/>
      <c r="CPD53" s="1"/>
      <c r="CPE53" s="1"/>
      <c r="CPF53" s="1"/>
      <c r="CPG53" s="1"/>
      <c r="CPH53" s="1"/>
      <c r="CPI53" s="1"/>
      <c r="CPJ53" s="1"/>
      <c r="CPK53" s="1"/>
      <c r="CPL53" s="1"/>
      <c r="CPM53" s="1"/>
      <c r="CPN53" s="1"/>
      <c r="CPO53" s="1"/>
      <c r="CPP53" s="1"/>
      <c r="CPQ53" s="1"/>
      <c r="CPR53" s="1"/>
      <c r="CPS53" s="1"/>
      <c r="CPT53" s="1"/>
      <c r="CPU53" s="1"/>
      <c r="CPV53" s="1"/>
      <c r="CPW53" s="1"/>
      <c r="CPX53" s="1"/>
      <c r="CPY53" s="1"/>
      <c r="CPZ53" s="1"/>
      <c r="CQA53" s="1"/>
      <c r="CQB53" s="1"/>
      <c r="CQC53" s="1"/>
      <c r="CQD53" s="1"/>
      <c r="CQE53" s="1"/>
      <c r="CQF53" s="1"/>
      <c r="CQG53" s="1"/>
      <c r="CQH53" s="1"/>
      <c r="CQI53" s="1"/>
      <c r="CQJ53" s="1"/>
      <c r="CQK53" s="1"/>
      <c r="CQL53" s="1"/>
      <c r="CQM53" s="1"/>
      <c r="CQN53" s="1"/>
      <c r="CQO53" s="1"/>
      <c r="CQP53" s="1"/>
      <c r="CQQ53" s="1"/>
      <c r="CQR53" s="1"/>
      <c r="CQS53" s="1"/>
      <c r="CQT53" s="1"/>
      <c r="CQU53" s="1"/>
      <c r="CQV53" s="1"/>
      <c r="CQW53" s="1"/>
      <c r="CQX53" s="1"/>
      <c r="CQY53" s="1"/>
      <c r="CQZ53" s="1"/>
      <c r="CRA53" s="1"/>
      <c r="CRB53" s="1"/>
      <c r="CRC53" s="1"/>
      <c r="CRD53" s="1"/>
      <c r="CRE53" s="1"/>
      <c r="CRF53" s="1"/>
      <c r="CRG53" s="1"/>
      <c r="CRH53" s="1"/>
      <c r="CRI53" s="1"/>
      <c r="CRJ53" s="1"/>
      <c r="CRK53" s="1"/>
      <c r="CRL53" s="1"/>
      <c r="CRM53" s="1"/>
      <c r="CRN53" s="1"/>
      <c r="CRO53" s="1"/>
      <c r="CRP53" s="1"/>
      <c r="CRQ53" s="1"/>
      <c r="CRR53" s="1"/>
      <c r="CRS53" s="1"/>
      <c r="CRT53" s="1"/>
      <c r="CRU53" s="1"/>
      <c r="CRV53" s="1"/>
      <c r="CRW53" s="1"/>
      <c r="CRX53" s="1"/>
      <c r="CRY53" s="1"/>
      <c r="CRZ53" s="1"/>
      <c r="CSA53" s="1"/>
      <c r="CSB53" s="1"/>
      <c r="CSC53" s="1"/>
      <c r="CSD53" s="1"/>
      <c r="CSE53" s="1"/>
      <c r="CSF53" s="1"/>
      <c r="CSG53" s="1"/>
      <c r="CSH53" s="1"/>
      <c r="CSI53" s="1"/>
      <c r="CSJ53" s="1"/>
      <c r="CSK53" s="1"/>
      <c r="CSL53" s="1"/>
      <c r="CSM53" s="1"/>
      <c r="CSN53" s="1"/>
      <c r="CSO53" s="1"/>
      <c r="CSP53" s="1"/>
      <c r="CSQ53" s="1"/>
      <c r="CSR53" s="1"/>
      <c r="CSS53" s="1"/>
      <c r="CST53" s="1"/>
      <c r="CSU53" s="1"/>
      <c r="CSV53" s="1"/>
      <c r="CSW53" s="1"/>
      <c r="CSX53" s="1"/>
      <c r="CSY53" s="1"/>
      <c r="CSZ53" s="1"/>
      <c r="CTA53" s="1"/>
      <c r="CTB53" s="1"/>
      <c r="CTC53" s="1"/>
      <c r="CTD53" s="1"/>
      <c r="CTE53" s="1"/>
      <c r="CTF53" s="1"/>
      <c r="CTG53" s="1"/>
      <c r="CTH53" s="1"/>
      <c r="CTI53" s="1"/>
      <c r="CTJ53" s="1"/>
      <c r="CTK53" s="1"/>
      <c r="CTL53" s="1"/>
      <c r="CTM53" s="1"/>
      <c r="CTN53" s="1"/>
      <c r="CTO53" s="1"/>
      <c r="CTP53" s="1"/>
      <c r="CTQ53" s="1"/>
      <c r="CTR53" s="1"/>
      <c r="CTS53" s="1"/>
      <c r="CTT53" s="1"/>
      <c r="CTU53" s="1"/>
      <c r="CTV53" s="1"/>
      <c r="CTW53" s="1"/>
      <c r="CTX53" s="1"/>
      <c r="CTY53" s="1"/>
      <c r="CTZ53" s="1"/>
      <c r="CUA53" s="1"/>
      <c r="CUB53" s="1"/>
      <c r="CUC53" s="1"/>
      <c r="CUD53" s="1"/>
      <c r="CUE53" s="1"/>
      <c r="CUF53" s="1"/>
      <c r="CUG53" s="1"/>
      <c r="CUH53" s="1"/>
      <c r="CUI53" s="1"/>
      <c r="CUJ53" s="1"/>
      <c r="CUK53" s="1"/>
      <c r="CUL53" s="1"/>
      <c r="CUM53" s="1"/>
      <c r="CUN53" s="1"/>
      <c r="CUO53" s="1"/>
      <c r="CUP53" s="1"/>
      <c r="CUQ53" s="1"/>
      <c r="CUR53" s="1"/>
      <c r="CUS53" s="1"/>
      <c r="CUT53" s="1"/>
      <c r="CUU53" s="1"/>
      <c r="CUV53" s="1"/>
      <c r="CUW53" s="1"/>
      <c r="CUX53" s="1"/>
      <c r="CUY53" s="1"/>
      <c r="CUZ53" s="1"/>
      <c r="CVA53" s="1"/>
      <c r="CVB53" s="1"/>
      <c r="CVC53" s="1"/>
      <c r="CVD53" s="1"/>
      <c r="CVE53" s="1"/>
      <c r="CVF53" s="1"/>
      <c r="CVG53" s="1"/>
      <c r="CVH53" s="1"/>
      <c r="CVI53" s="1"/>
      <c r="CVJ53" s="1"/>
      <c r="CVK53" s="1"/>
      <c r="CVL53" s="1"/>
      <c r="CVM53" s="1"/>
      <c r="CVN53" s="1"/>
      <c r="CVO53" s="1"/>
      <c r="CVP53" s="1"/>
      <c r="CVQ53" s="1"/>
      <c r="CVR53" s="1"/>
      <c r="CVS53" s="1"/>
      <c r="CVT53" s="1"/>
      <c r="CVU53" s="1"/>
      <c r="CVV53" s="1"/>
      <c r="CVW53" s="1"/>
      <c r="CVX53" s="1"/>
      <c r="CVY53" s="1"/>
      <c r="CVZ53" s="1"/>
      <c r="CWA53" s="1"/>
      <c r="CWB53" s="1"/>
      <c r="CWC53" s="1"/>
      <c r="CWD53" s="1"/>
      <c r="CWE53" s="1"/>
      <c r="CWF53" s="1"/>
      <c r="CWG53" s="1"/>
      <c r="CWH53" s="1"/>
      <c r="CWI53" s="1"/>
      <c r="CWJ53" s="1"/>
      <c r="CWK53" s="1"/>
      <c r="CWL53" s="1"/>
      <c r="CWM53" s="1"/>
      <c r="CWN53" s="1"/>
      <c r="CWO53" s="1"/>
      <c r="CWP53" s="1"/>
      <c r="CWQ53" s="1"/>
      <c r="CWR53" s="1"/>
      <c r="CWS53" s="1"/>
      <c r="CWT53" s="1"/>
      <c r="CWU53" s="1"/>
      <c r="CWV53" s="1"/>
      <c r="CWW53" s="1"/>
      <c r="CWX53" s="1"/>
      <c r="CWY53" s="1"/>
      <c r="CWZ53" s="1"/>
      <c r="CXA53" s="1"/>
      <c r="CXB53" s="1"/>
      <c r="CXC53" s="1"/>
      <c r="CXD53" s="1"/>
      <c r="CXE53" s="1"/>
      <c r="CXF53" s="1"/>
      <c r="CXG53" s="1"/>
      <c r="CXH53" s="1"/>
      <c r="CXI53" s="1"/>
      <c r="CXJ53" s="1"/>
      <c r="CXK53" s="1"/>
      <c r="CXL53" s="1"/>
      <c r="CXM53" s="1"/>
      <c r="CXN53" s="1"/>
      <c r="CXO53" s="1"/>
      <c r="CXP53" s="1"/>
      <c r="CXQ53" s="1"/>
      <c r="CXR53" s="1"/>
      <c r="CXS53" s="1"/>
      <c r="CXT53" s="1"/>
      <c r="CXU53" s="1"/>
      <c r="CXV53" s="1"/>
      <c r="CXW53" s="1"/>
      <c r="CXX53" s="1"/>
      <c r="CXY53" s="1"/>
      <c r="CXZ53" s="1"/>
      <c r="CYA53" s="1"/>
      <c r="CYB53" s="1"/>
      <c r="CYC53" s="1"/>
      <c r="CYD53" s="1"/>
      <c r="CYE53" s="1"/>
      <c r="CYF53" s="1"/>
      <c r="CYG53" s="1"/>
      <c r="CYH53" s="1"/>
      <c r="CYI53" s="1"/>
      <c r="CYJ53" s="1"/>
      <c r="CYK53" s="1"/>
      <c r="CYL53" s="1"/>
      <c r="CYM53" s="1"/>
      <c r="CYN53" s="1"/>
      <c r="CYO53" s="1"/>
      <c r="CYP53" s="1"/>
      <c r="CYQ53" s="1"/>
      <c r="CYR53" s="1"/>
      <c r="CYS53" s="1"/>
      <c r="CYT53" s="1"/>
      <c r="CYU53" s="1"/>
      <c r="CYV53" s="1"/>
      <c r="CYW53" s="1"/>
      <c r="CYX53" s="1"/>
      <c r="CYY53" s="1"/>
      <c r="CYZ53" s="1"/>
      <c r="CZA53" s="1"/>
      <c r="CZB53" s="1"/>
      <c r="CZC53" s="1"/>
      <c r="CZD53" s="1"/>
      <c r="CZE53" s="1"/>
      <c r="CZF53" s="1"/>
      <c r="CZG53" s="1"/>
      <c r="CZH53" s="1"/>
      <c r="CZI53" s="1"/>
      <c r="CZJ53" s="1"/>
      <c r="CZK53" s="1"/>
      <c r="CZL53" s="1"/>
      <c r="CZM53" s="1"/>
      <c r="CZN53" s="1"/>
      <c r="CZO53" s="1"/>
      <c r="CZP53" s="1"/>
      <c r="CZQ53" s="1"/>
      <c r="CZR53" s="1"/>
      <c r="CZS53" s="1"/>
      <c r="CZT53" s="1"/>
      <c r="CZU53" s="1"/>
      <c r="CZV53" s="1"/>
      <c r="CZW53" s="1"/>
      <c r="CZX53" s="1"/>
      <c r="CZY53" s="1"/>
      <c r="CZZ53" s="1"/>
      <c r="DAA53" s="1"/>
      <c r="DAB53" s="1"/>
      <c r="DAC53" s="1"/>
      <c r="DAD53" s="1"/>
      <c r="DAE53" s="1"/>
      <c r="DAF53" s="1"/>
      <c r="DAG53" s="1"/>
      <c r="DAH53" s="1"/>
      <c r="DAI53" s="1"/>
      <c r="DAJ53" s="1"/>
      <c r="DAK53" s="1"/>
      <c r="DAL53" s="1"/>
      <c r="DAM53" s="1"/>
      <c r="DAN53" s="1"/>
      <c r="DAO53" s="1"/>
      <c r="DAP53" s="1"/>
      <c r="DAQ53" s="1"/>
      <c r="DAR53" s="1"/>
      <c r="DAS53" s="1"/>
      <c r="DAT53" s="1"/>
      <c r="DAU53" s="1"/>
      <c r="DAV53" s="1"/>
      <c r="DAW53" s="1"/>
      <c r="DAX53" s="1"/>
      <c r="DAY53" s="1"/>
      <c r="DAZ53" s="1"/>
      <c r="DBA53" s="1"/>
      <c r="DBB53" s="1"/>
      <c r="DBC53" s="1"/>
      <c r="DBD53" s="1"/>
      <c r="DBE53" s="1"/>
      <c r="DBF53" s="1"/>
      <c r="DBG53" s="1"/>
      <c r="DBH53" s="1"/>
      <c r="DBI53" s="1"/>
      <c r="DBJ53" s="1"/>
      <c r="DBK53" s="1"/>
      <c r="DBL53" s="1"/>
      <c r="DBM53" s="1"/>
      <c r="DBN53" s="1"/>
      <c r="DBO53" s="1"/>
      <c r="DBP53" s="1"/>
      <c r="DBQ53" s="1"/>
      <c r="DBR53" s="1"/>
      <c r="DBS53" s="1"/>
      <c r="DBT53" s="1"/>
      <c r="DBU53" s="1"/>
      <c r="DBV53" s="1"/>
      <c r="DBW53" s="1"/>
      <c r="DBX53" s="1"/>
      <c r="DBY53" s="1"/>
      <c r="DBZ53" s="1"/>
      <c r="DCA53" s="1"/>
      <c r="DCB53" s="1"/>
      <c r="DCC53" s="1"/>
      <c r="DCD53" s="1"/>
      <c r="DCE53" s="1"/>
      <c r="DCF53" s="1"/>
      <c r="DCG53" s="1"/>
      <c r="DCH53" s="1"/>
      <c r="DCI53" s="1"/>
      <c r="DCJ53" s="1"/>
      <c r="DCK53" s="1"/>
      <c r="DCL53" s="1"/>
      <c r="DCM53" s="1"/>
      <c r="DCN53" s="1"/>
      <c r="DCO53" s="1"/>
      <c r="DCP53" s="1"/>
      <c r="DCQ53" s="1"/>
      <c r="DCR53" s="1"/>
      <c r="DCS53" s="1"/>
      <c r="DCT53" s="1"/>
      <c r="DCU53" s="1"/>
      <c r="DCV53" s="1"/>
      <c r="DCW53" s="1"/>
      <c r="DCX53" s="1"/>
      <c r="DCY53" s="1"/>
      <c r="DCZ53" s="1"/>
      <c r="DDA53" s="1"/>
      <c r="DDB53" s="1"/>
      <c r="DDC53" s="1"/>
      <c r="DDD53" s="1"/>
      <c r="DDE53" s="1"/>
      <c r="DDF53" s="1"/>
      <c r="DDG53" s="1"/>
      <c r="DDH53" s="1"/>
      <c r="DDI53" s="1"/>
      <c r="DDJ53" s="1"/>
      <c r="DDK53" s="1"/>
      <c r="DDL53" s="1"/>
      <c r="DDM53" s="1"/>
      <c r="DDN53" s="1"/>
      <c r="DDO53" s="1"/>
      <c r="DDP53" s="1"/>
      <c r="DDQ53" s="1"/>
      <c r="DDR53" s="1"/>
      <c r="DDS53" s="1"/>
      <c r="DDT53" s="1"/>
      <c r="DDU53" s="1"/>
      <c r="DDV53" s="1"/>
      <c r="DDW53" s="1"/>
      <c r="DDX53" s="1"/>
      <c r="DDY53" s="1"/>
      <c r="DDZ53" s="1"/>
      <c r="DEA53" s="1"/>
      <c r="DEB53" s="1"/>
      <c r="DEC53" s="1"/>
      <c r="DED53" s="1"/>
      <c r="DEE53" s="1"/>
      <c r="DEF53" s="1"/>
      <c r="DEG53" s="1"/>
      <c r="DEH53" s="1"/>
      <c r="DEI53" s="1"/>
      <c r="DEJ53" s="1"/>
      <c r="DEK53" s="1"/>
      <c r="DEL53" s="1"/>
      <c r="DEM53" s="1"/>
      <c r="DEN53" s="1"/>
      <c r="DEO53" s="1"/>
      <c r="DEP53" s="1"/>
      <c r="DEQ53" s="1"/>
      <c r="DER53" s="1"/>
      <c r="DES53" s="1"/>
      <c r="DET53" s="1"/>
      <c r="DEU53" s="1"/>
      <c r="DEV53" s="1"/>
      <c r="DEW53" s="1"/>
      <c r="DEX53" s="1"/>
      <c r="DEY53" s="1"/>
      <c r="DEZ53" s="1"/>
      <c r="DFA53" s="1"/>
      <c r="DFB53" s="1"/>
      <c r="DFC53" s="1"/>
      <c r="DFD53" s="1"/>
      <c r="DFE53" s="1"/>
      <c r="DFF53" s="1"/>
      <c r="DFG53" s="1"/>
      <c r="DFH53" s="1"/>
      <c r="DFI53" s="1"/>
      <c r="DFJ53" s="1"/>
      <c r="DFK53" s="1"/>
      <c r="DFL53" s="1"/>
      <c r="DFM53" s="1"/>
      <c r="DFN53" s="1"/>
      <c r="DFO53" s="1"/>
      <c r="DFP53" s="1"/>
      <c r="DFQ53" s="1"/>
      <c r="DFR53" s="1"/>
      <c r="DFS53" s="1"/>
      <c r="DFT53" s="1"/>
      <c r="DFU53" s="1"/>
      <c r="DFV53" s="1"/>
      <c r="DFW53" s="1"/>
      <c r="DFX53" s="1"/>
      <c r="DFY53" s="1"/>
      <c r="DFZ53" s="1"/>
      <c r="DGA53" s="1"/>
      <c r="DGB53" s="1"/>
      <c r="DGC53" s="1"/>
      <c r="DGD53" s="1"/>
      <c r="DGE53" s="1"/>
      <c r="DGF53" s="1"/>
      <c r="DGG53" s="1"/>
      <c r="DGH53" s="1"/>
      <c r="DGI53" s="1"/>
      <c r="DGJ53" s="1"/>
      <c r="DGK53" s="1"/>
      <c r="DGL53" s="1"/>
      <c r="DGM53" s="1"/>
      <c r="DGN53" s="1"/>
      <c r="DGO53" s="1"/>
      <c r="DGP53" s="1"/>
      <c r="DGQ53" s="1"/>
      <c r="DGR53" s="1"/>
      <c r="DGS53" s="1"/>
      <c r="DGT53" s="1"/>
      <c r="DGU53" s="1"/>
      <c r="DGV53" s="1"/>
      <c r="DGW53" s="1"/>
      <c r="DGX53" s="1"/>
      <c r="DGY53" s="1"/>
      <c r="DGZ53" s="1"/>
      <c r="DHA53" s="1"/>
      <c r="DHB53" s="1"/>
      <c r="DHC53" s="1"/>
      <c r="DHD53" s="1"/>
      <c r="DHE53" s="1"/>
      <c r="DHF53" s="1"/>
      <c r="DHG53" s="1"/>
      <c r="DHH53" s="1"/>
      <c r="DHI53" s="1"/>
      <c r="DHJ53" s="1"/>
      <c r="DHK53" s="1"/>
      <c r="DHL53" s="1"/>
      <c r="DHM53" s="1"/>
      <c r="DHN53" s="1"/>
      <c r="DHO53" s="1"/>
      <c r="DHP53" s="1"/>
      <c r="DHQ53" s="1"/>
      <c r="DHR53" s="1"/>
      <c r="DHS53" s="1"/>
      <c r="DHT53" s="1"/>
      <c r="DHU53" s="1"/>
      <c r="DHV53" s="1"/>
      <c r="DHW53" s="1"/>
      <c r="DHX53" s="1"/>
      <c r="DHY53" s="1"/>
      <c r="DHZ53" s="1"/>
      <c r="DIA53" s="1"/>
      <c r="DIB53" s="1"/>
      <c r="DIC53" s="1"/>
      <c r="DID53" s="1"/>
      <c r="DIE53" s="1"/>
      <c r="DIF53" s="1"/>
      <c r="DIG53" s="1"/>
      <c r="DIH53" s="1"/>
      <c r="DII53" s="1"/>
      <c r="DIJ53" s="1"/>
      <c r="DIK53" s="1"/>
      <c r="DIL53" s="1"/>
      <c r="DIM53" s="1"/>
      <c r="DIN53" s="1"/>
      <c r="DIO53" s="1"/>
      <c r="DIP53" s="1"/>
      <c r="DIQ53" s="1"/>
      <c r="DIR53" s="1"/>
      <c r="DIS53" s="1"/>
      <c r="DIT53" s="1"/>
      <c r="DIU53" s="1"/>
      <c r="DIV53" s="1"/>
      <c r="DIW53" s="1"/>
      <c r="DIX53" s="1"/>
      <c r="DIY53" s="1"/>
      <c r="DIZ53" s="1"/>
      <c r="DJA53" s="1"/>
      <c r="DJB53" s="1"/>
      <c r="DJC53" s="1"/>
      <c r="DJD53" s="1"/>
      <c r="DJE53" s="1"/>
      <c r="DJF53" s="1"/>
      <c r="DJG53" s="1"/>
      <c r="DJH53" s="1"/>
      <c r="DJI53" s="1"/>
      <c r="DJJ53" s="1"/>
      <c r="DJK53" s="1"/>
      <c r="DJL53" s="1"/>
      <c r="DJM53" s="1"/>
      <c r="DJN53" s="1"/>
      <c r="DJO53" s="1"/>
      <c r="DJP53" s="1"/>
      <c r="DJQ53" s="1"/>
      <c r="DJR53" s="1"/>
      <c r="DJS53" s="1"/>
      <c r="DJT53" s="1"/>
      <c r="DJU53" s="1"/>
      <c r="DJV53" s="1"/>
      <c r="DJW53" s="1"/>
      <c r="DJX53" s="1"/>
      <c r="DJY53" s="1"/>
      <c r="DJZ53" s="1"/>
      <c r="DKA53" s="1"/>
      <c r="DKB53" s="1"/>
      <c r="DKC53" s="1"/>
      <c r="DKD53" s="1"/>
      <c r="DKE53" s="1"/>
      <c r="DKF53" s="1"/>
      <c r="DKG53" s="1"/>
      <c r="DKH53" s="1"/>
      <c r="DKI53" s="1"/>
      <c r="DKJ53" s="1"/>
      <c r="DKK53" s="1"/>
      <c r="DKL53" s="1"/>
      <c r="DKM53" s="1"/>
      <c r="DKN53" s="1"/>
      <c r="DKO53" s="1"/>
      <c r="DKP53" s="1"/>
      <c r="DKQ53" s="1"/>
      <c r="DKR53" s="1"/>
      <c r="DKS53" s="1"/>
      <c r="DKT53" s="1"/>
      <c r="DKU53" s="1"/>
      <c r="DKV53" s="1"/>
      <c r="DKW53" s="1"/>
      <c r="DKX53" s="1"/>
      <c r="DKY53" s="1"/>
      <c r="DKZ53" s="1"/>
      <c r="DLA53" s="1"/>
      <c r="DLB53" s="1"/>
      <c r="DLC53" s="1"/>
      <c r="DLD53" s="1"/>
      <c r="DLE53" s="1"/>
      <c r="DLF53" s="1"/>
      <c r="DLG53" s="1"/>
      <c r="DLH53" s="1"/>
      <c r="DLI53" s="1"/>
      <c r="DLJ53" s="1"/>
      <c r="DLK53" s="1"/>
      <c r="DLL53" s="1"/>
      <c r="DLM53" s="1"/>
      <c r="DLN53" s="1"/>
      <c r="DLO53" s="1"/>
      <c r="DLP53" s="1"/>
      <c r="DLQ53" s="1"/>
      <c r="DLR53" s="1"/>
      <c r="DLS53" s="1"/>
      <c r="DLT53" s="1"/>
      <c r="DLU53" s="1"/>
      <c r="DLV53" s="1"/>
      <c r="DLW53" s="1"/>
      <c r="DLX53" s="1"/>
      <c r="DLY53" s="1"/>
      <c r="DLZ53" s="1"/>
      <c r="DMA53" s="1"/>
      <c r="DMB53" s="1"/>
      <c r="DMC53" s="1"/>
      <c r="DMD53" s="1"/>
      <c r="DME53" s="1"/>
      <c r="DMF53" s="1"/>
      <c r="DMG53" s="1"/>
      <c r="DMH53" s="1"/>
      <c r="DMI53" s="1"/>
      <c r="DMJ53" s="1"/>
      <c r="DMK53" s="1"/>
      <c r="DML53" s="1"/>
      <c r="DMM53" s="1"/>
      <c r="DMN53" s="1"/>
      <c r="DMO53" s="1"/>
      <c r="DMP53" s="1"/>
      <c r="DMQ53" s="1"/>
      <c r="DMR53" s="1"/>
      <c r="DMS53" s="1"/>
      <c r="DMT53" s="1"/>
      <c r="DMU53" s="1"/>
      <c r="DMV53" s="1"/>
      <c r="DMW53" s="1"/>
      <c r="DMX53" s="1"/>
      <c r="DMY53" s="1"/>
      <c r="DMZ53" s="1"/>
      <c r="DNA53" s="1"/>
      <c r="DNB53" s="1"/>
      <c r="DNC53" s="1"/>
      <c r="DND53" s="1"/>
      <c r="DNE53" s="1"/>
      <c r="DNF53" s="1"/>
      <c r="DNG53" s="1"/>
      <c r="DNH53" s="1"/>
      <c r="DNI53" s="1"/>
      <c r="DNJ53" s="1"/>
      <c r="DNK53" s="1"/>
      <c r="DNL53" s="1"/>
      <c r="DNM53" s="1"/>
      <c r="DNN53" s="1"/>
      <c r="DNO53" s="1"/>
      <c r="DNP53" s="1"/>
      <c r="DNQ53" s="1"/>
      <c r="DNR53" s="1"/>
      <c r="DNS53" s="1"/>
      <c r="DNT53" s="1"/>
      <c r="DNU53" s="1"/>
      <c r="DNV53" s="1"/>
      <c r="DNW53" s="1"/>
      <c r="DNX53" s="1"/>
      <c r="DNY53" s="1"/>
      <c r="DNZ53" s="1"/>
      <c r="DOA53" s="1"/>
      <c r="DOB53" s="1"/>
      <c r="DOC53" s="1"/>
      <c r="DOD53" s="1"/>
      <c r="DOE53" s="1"/>
      <c r="DOF53" s="1"/>
      <c r="DOG53" s="1"/>
      <c r="DOH53" s="1"/>
      <c r="DOI53" s="1"/>
      <c r="DOJ53" s="1"/>
      <c r="DOK53" s="1"/>
      <c r="DOL53" s="1"/>
      <c r="DOM53" s="1"/>
      <c r="DON53" s="1"/>
      <c r="DOO53" s="1"/>
      <c r="DOP53" s="1"/>
      <c r="DOQ53" s="1"/>
      <c r="DOR53" s="1"/>
      <c r="DOS53" s="1"/>
      <c r="DOT53" s="1"/>
      <c r="DOU53" s="1"/>
      <c r="DOV53" s="1"/>
      <c r="DOW53" s="1"/>
      <c r="DOX53" s="1"/>
      <c r="DOY53" s="1"/>
      <c r="DOZ53" s="1"/>
      <c r="DPA53" s="1"/>
      <c r="DPB53" s="1"/>
      <c r="DPC53" s="1"/>
      <c r="DPD53" s="1"/>
      <c r="DPE53" s="1"/>
      <c r="DPF53" s="1"/>
      <c r="DPG53" s="1"/>
      <c r="DPH53" s="1"/>
      <c r="DPI53" s="1"/>
      <c r="DPJ53" s="1"/>
      <c r="DPK53" s="1"/>
      <c r="DPL53" s="1"/>
      <c r="DPM53" s="1"/>
      <c r="DPN53" s="1"/>
      <c r="DPO53" s="1"/>
      <c r="DPP53" s="1"/>
      <c r="DPQ53" s="1"/>
      <c r="DPR53" s="1"/>
      <c r="DPS53" s="1"/>
      <c r="DPT53" s="1"/>
      <c r="DPU53" s="1"/>
      <c r="DPV53" s="1"/>
      <c r="DPW53" s="1"/>
      <c r="DPX53" s="1"/>
      <c r="DPY53" s="1"/>
      <c r="DPZ53" s="1"/>
      <c r="DQA53" s="1"/>
      <c r="DQB53" s="1"/>
      <c r="DQC53" s="1"/>
      <c r="DQD53" s="1"/>
      <c r="DQE53" s="1"/>
      <c r="DQF53" s="1"/>
      <c r="DQG53" s="1"/>
      <c r="DQH53" s="1"/>
      <c r="DQI53" s="1"/>
      <c r="DQJ53" s="1"/>
      <c r="DQK53" s="1"/>
      <c r="DQL53" s="1"/>
      <c r="DQM53" s="1"/>
      <c r="DQN53" s="1"/>
      <c r="DQO53" s="1"/>
      <c r="DQP53" s="1"/>
      <c r="DQQ53" s="1"/>
      <c r="DQR53" s="1"/>
      <c r="DQS53" s="1"/>
      <c r="DQT53" s="1"/>
      <c r="DQU53" s="1"/>
      <c r="DQV53" s="1"/>
      <c r="DQW53" s="1"/>
      <c r="DQX53" s="1"/>
      <c r="DQY53" s="1"/>
      <c r="DQZ53" s="1"/>
      <c r="DRA53" s="1"/>
      <c r="DRB53" s="1"/>
      <c r="DRC53" s="1"/>
      <c r="DRD53" s="1"/>
      <c r="DRE53" s="1"/>
      <c r="DRF53" s="1"/>
      <c r="DRG53" s="1"/>
      <c r="DRH53" s="1"/>
      <c r="DRI53" s="1"/>
      <c r="DRJ53" s="1"/>
      <c r="DRK53" s="1"/>
      <c r="DRL53" s="1"/>
      <c r="DRM53" s="1"/>
      <c r="DRN53" s="1"/>
      <c r="DRO53" s="1"/>
      <c r="DRP53" s="1"/>
      <c r="DRQ53" s="1"/>
      <c r="DRR53" s="1"/>
      <c r="DRS53" s="1"/>
      <c r="DRT53" s="1"/>
      <c r="DRU53" s="1"/>
      <c r="DRV53" s="1"/>
      <c r="DRW53" s="1"/>
      <c r="DRX53" s="1"/>
      <c r="DRY53" s="1"/>
      <c r="DRZ53" s="1"/>
      <c r="DSA53" s="1"/>
      <c r="DSB53" s="1"/>
      <c r="DSC53" s="1"/>
      <c r="DSD53" s="1"/>
      <c r="DSE53" s="1"/>
      <c r="DSF53" s="1"/>
      <c r="DSG53" s="1"/>
      <c r="DSH53" s="1"/>
      <c r="DSI53" s="1"/>
      <c r="DSJ53" s="1"/>
      <c r="DSK53" s="1"/>
      <c r="DSL53" s="1"/>
      <c r="DSM53" s="1"/>
      <c r="DSN53" s="1"/>
      <c r="DSO53" s="1"/>
      <c r="DSP53" s="1"/>
      <c r="DSQ53" s="1"/>
      <c r="DSR53" s="1"/>
      <c r="DSS53" s="1"/>
      <c r="DST53" s="1"/>
      <c r="DSU53" s="1"/>
      <c r="DSV53" s="1"/>
      <c r="DSW53" s="1"/>
      <c r="DSX53" s="1"/>
      <c r="DSY53" s="1"/>
      <c r="DSZ53" s="1"/>
      <c r="DTA53" s="1"/>
      <c r="DTB53" s="1"/>
      <c r="DTC53" s="1"/>
      <c r="DTD53" s="1"/>
      <c r="DTE53" s="1"/>
      <c r="DTF53" s="1"/>
      <c r="DTG53" s="1"/>
      <c r="DTH53" s="1"/>
      <c r="DTI53" s="1"/>
      <c r="DTJ53" s="1"/>
      <c r="DTK53" s="1"/>
      <c r="DTL53" s="1"/>
      <c r="DTM53" s="1"/>
      <c r="DTN53" s="1"/>
      <c r="DTO53" s="1"/>
      <c r="DTP53" s="1"/>
      <c r="DTQ53" s="1"/>
      <c r="DTR53" s="1"/>
      <c r="DTS53" s="1"/>
      <c r="DTT53" s="1"/>
      <c r="DTU53" s="1"/>
      <c r="DTV53" s="1"/>
      <c r="DTW53" s="1"/>
      <c r="DTX53" s="1"/>
      <c r="DTY53" s="1"/>
      <c r="DTZ53" s="1"/>
      <c r="DUA53" s="1"/>
      <c r="DUB53" s="1"/>
      <c r="DUC53" s="1"/>
      <c r="DUD53" s="1"/>
      <c r="DUE53" s="1"/>
      <c r="DUF53" s="1"/>
      <c r="DUG53" s="1"/>
      <c r="DUH53" s="1"/>
      <c r="DUI53" s="1"/>
      <c r="DUJ53" s="1"/>
      <c r="DUK53" s="1"/>
      <c r="DUL53" s="1"/>
      <c r="DUM53" s="1"/>
      <c r="DUN53" s="1"/>
      <c r="DUO53" s="1"/>
      <c r="DUP53" s="1"/>
      <c r="DUQ53" s="1"/>
      <c r="DUR53" s="1"/>
      <c r="DUS53" s="1"/>
      <c r="DUT53" s="1"/>
      <c r="DUU53" s="1"/>
      <c r="DUV53" s="1"/>
      <c r="DUW53" s="1"/>
      <c r="DUX53" s="1"/>
      <c r="DUY53" s="1"/>
      <c r="DUZ53" s="1"/>
      <c r="DVA53" s="1"/>
      <c r="DVB53" s="1"/>
      <c r="DVC53" s="1"/>
      <c r="DVD53" s="1"/>
      <c r="DVE53" s="1"/>
      <c r="DVF53" s="1"/>
      <c r="DVG53" s="1"/>
      <c r="DVH53" s="1"/>
      <c r="DVI53" s="1"/>
      <c r="DVJ53" s="1"/>
      <c r="DVK53" s="1"/>
      <c r="DVL53" s="1"/>
      <c r="DVM53" s="1"/>
      <c r="DVN53" s="1"/>
      <c r="DVO53" s="1"/>
      <c r="DVP53" s="1"/>
      <c r="DVQ53" s="1"/>
      <c r="DVR53" s="1"/>
      <c r="DVS53" s="1"/>
      <c r="DVT53" s="1"/>
      <c r="DVU53" s="1"/>
      <c r="DVV53" s="1"/>
      <c r="DVW53" s="1"/>
      <c r="DVX53" s="1"/>
      <c r="DVY53" s="1"/>
      <c r="DVZ53" s="1"/>
      <c r="DWA53" s="1"/>
      <c r="DWB53" s="1"/>
      <c r="DWC53" s="1"/>
      <c r="DWD53" s="1"/>
      <c r="DWE53" s="1"/>
      <c r="DWF53" s="1"/>
      <c r="DWG53" s="1"/>
      <c r="DWH53" s="1"/>
      <c r="DWI53" s="1"/>
      <c r="DWJ53" s="1"/>
      <c r="DWK53" s="1"/>
      <c r="DWL53" s="1"/>
      <c r="DWM53" s="1"/>
      <c r="DWN53" s="1"/>
      <c r="DWO53" s="1"/>
      <c r="DWP53" s="1"/>
      <c r="DWQ53" s="1"/>
      <c r="DWR53" s="1"/>
      <c r="DWS53" s="1"/>
      <c r="DWT53" s="1"/>
      <c r="DWU53" s="1"/>
      <c r="DWV53" s="1"/>
      <c r="DWW53" s="1"/>
      <c r="DWX53" s="1"/>
      <c r="DWY53" s="1"/>
      <c r="DWZ53" s="1"/>
      <c r="DXA53" s="1"/>
      <c r="DXB53" s="1"/>
      <c r="DXC53" s="1"/>
      <c r="DXD53" s="1"/>
      <c r="DXE53" s="1"/>
      <c r="DXF53" s="1"/>
      <c r="DXG53" s="1"/>
      <c r="DXH53" s="1"/>
      <c r="DXI53" s="1"/>
      <c r="DXJ53" s="1"/>
      <c r="DXK53" s="1"/>
      <c r="DXL53" s="1"/>
      <c r="DXM53" s="1"/>
      <c r="DXN53" s="1"/>
      <c r="DXO53" s="1"/>
      <c r="DXP53" s="1"/>
      <c r="DXQ53" s="1"/>
      <c r="DXR53" s="1"/>
      <c r="DXS53" s="1"/>
      <c r="DXT53" s="1"/>
      <c r="DXU53" s="1"/>
      <c r="DXV53" s="1"/>
      <c r="DXW53" s="1"/>
      <c r="DXX53" s="1"/>
      <c r="DXY53" s="1"/>
      <c r="DXZ53" s="1"/>
      <c r="DYA53" s="1"/>
      <c r="DYB53" s="1"/>
      <c r="DYC53" s="1"/>
      <c r="DYD53" s="1"/>
      <c r="DYE53" s="1"/>
      <c r="DYF53" s="1"/>
      <c r="DYG53" s="1"/>
      <c r="DYH53" s="1"/>
      <c r="DYI53" s="1"/>
      <c r="DYJ53" s="1"/>
      <c r="DYK53" s="1"/>
      <c r="DYL53" s="1"/>
      <c r="DYM53" s="1"/>
      <c r="DYN53" s="1"/>
      <c r="DYO53" s="1"/>
      <c r="DYP53" s="1"/>
      <c r="DYQ53" s="1"/>
      <c r="DYR53" s="1"/>
      <c r="DYS53" s="1"/>
      <c r="DYT53" s="1"/>
      <c r="DYU53" s="1"/>
      <c r="DYV53" s="1"/>
      <c r="DYW53" s="1"/>
      <c r="DYX53" s="1"/>
      <c r="DYY53" s="1"/>
      <c r="DYZ53" s="1"/>
      <c r="DZA53" s="1"/>
      <c r="DZB53" s="1"/>
      <c r="DZC53" s="1"/>
      <c r="DZD53" s="1"/>
      <c r="DZE53" s="1"/>
      <c r="DZF53" s="1"/>
      <c r="DZG53" s="1"/>
      <c r="DZH53" s="1"/>
      <c r="DZI53" s="1"/>
      <c r="DZJ53" s="1"/>
      <c r="DZK53" s="1"/>
      <c r="DZL53" s="1"/>
      <c r="DZM53" s="1"/>
      <c r="DZN53" s="1"/>
      <c r="DZO53" s="1"/>
      <c r="DZP53" s="1"/>
      <c r="DZQ53" s="1"/>
      <c r="DZR53" s="1"/>
      <c r="DZS53" s="1"/>
      <c r="DZT53" s="1"/>
      <c r="DZU53" s="1"/>
      <c r="DZV53" s="1"/>
      <c r="DZW53" s="1"/>
      <c r="DZX53" s="1"/>
      <c r="DZY53" s="1"/>
      <c r="DZZ53" s="1"/>
      <c r="EAA53" s="1"/>
      <c r="EAB53" s="1"/>
      <c r="EAC53" s="1"/>
      <c r="EAD53" s="1"/>
      <c r="EAE53" s="1"/>
      <c r="EAF53" s="1"/>
      <c r="EAG53" s="1"/>
      <c r="EAH53" s="1"/>
      <c r="EAI53" s="1"/>
      <c r="EAJ53" s="1"/>
      <c r="EAK53" s="1"/>
      <c r="EAL53" s="1"/>
      <c r="EAM53" s="1"/>
      <c r="EAN53" s="1"/>
      <c r="EAO53" s="1"/>
      <c r="EAP53" s="1"/>
      <c r="EAQ53" s="1"/>
      <c r="EAR53" s="1"/>
      <c r="EAS53" s="1"/>
      <c r="EAT53" s="1"/>
      <c r="EAU53" s="1"/>
      <c r="EAV53" s="1"/>
      <c r="EAW53" s="1"/>
      <c r="EAX53" s="1"/>
      <c r="EAY53" s="1"/>
      <c r="EAZ53" s="1"/>
      <c r="EBA53" s="1"/>
      <c r="EBB53" s="1"/>
      <c r="EBC53" s="1"/>
      <c r="EBD53" s="1"/>
      <c r="EBE53" s="1"/>
      <c r="EBF53" s="1"/>
      <c r="EBG53" s="1"/>
      <c r="EBH53" s="1"/>
      <c r="EBI53" s="1"/>
      <c r="EBJ53" s="1"/>
      <c r="EBK53" s="1"/>
      <c r="EBL53" s="1"/>
      <c r="EBM53" s="1"/>
      <c r="EBN53" s="1"/>
      <c r="EBO53" s="1"/>
      <c r="EBP53" s="1"/>
      <c r="EBQ53" s="1"/>
      <c r="EBR53" s="1"/>
      <c r="EBS53" s="1"/>
      <c r="EBT53" s="1"/>
      <c r="EBU53" s="1"/>
      <c r="EBV53" s="1"/>
      <c r="EBW53" s="1"/>
      <c r="EBX53" s="1"/>
      <c r="EBY53" s="1"/>
      <c r="EBZ53" s="1"/>
      <c r="ECA53" s="1"/>
      <c r="ECB53" s="1"/>
      <c r="ECC53" s="1"/>
      <c r="ECD53" s="1"/>
      <c r="ECE53" s="1"/>
      <c r="ECF53" s="1"/>
      <c r="ECG53" s="1"/>
      <c r="ECH53" s="1"/>
      <c r="ECI53" s="1"/>
      <c r="ECJ53" s="1"/>
      <c r="ECK53" s="1"/>
      <c r="ECL53" s="1"/>
      <c r="ECM53" s="1"/>
      <c r="ECN53" s="1"/>
      <c r="ECO53" s="1"/>
      <c r="ECP53" s="1"/>
      <c r="ECQ53" s="1"/>
      <c r="ECR53" s="1"/>
      <c r="ECS53" s="1"/>
      <c r="ECT53" s="1"/>
      <c r="ECU53" s="1"/>
      <c r="ECV53" s="1"/>
      <c r="ECW53" s="1"/>
      <c r="ECX53" s="1"/>
      <c r="ECY53" s="1"/>
      <c r="ECZ53" s="1"/>
      <c r="EDA53" s="1"/>
      <c r="EDB53" s="1"/>
      <c r="EDC53" s="1"/>
      <c r="EDD53" s="1"/>
      <c r="EDE53" s="1"/>
      <c r="EDF53" s="1"/>
      <c r="EDG53" s="1"/>
      <c r="EDH53" s="1"/>
      <c r="EDI53" s="1"/>
      <c r="EDJ53" s="1"/>
      <c r="EDK53" s="1"/>
      <c r="EDL53" s="1"/>
      <c r="EDM53" s="1"/>
      <c r="EDN53" s="1"/>
      <c r="EDO53" s="1"/>
      <c r="EDP53" s="1"/>
      <c r="EDQ53" s="1"/>
      <c r="EDR53" s="1"/>
      <c r="EDS53" s="1"/>
      <c r="EDT53" s="1"/>
      <c r="EDU53" s="1"/>
      <c r="EDV53" s="1"/>
      <c r="EDW53" s="1"/>
      <c r="EDX53" s="1"/>
      <c r="EDY53" s="1"/>
      <c r="EDZ53" s="1"/>
      <c r="EEA53" s="1"/>
      <c r="EEB53" s="1"/>
      <c r="EEC53" s="1"/>
      <c r="EED53" s="1"/>
      <c r="EEE53" s="1"/>
      <c r="EEF53" s="1"/>
      <c r="EEG53" s="1"/>
      <c r="EEH53" s="1"/>
      <c r="EEI53" s="1"/>
      <c r="EEJ53" s="1"/>
      <c r="EEK53" s="1"/>
      <c r="EEL53" s="1"/>
      <c r="EEM53" s="1"/>
      <c r="EEN53" s="1"/>
      <c r="EEO53" s="1"/>
      <c r="EEP53" s="1"/>
      <c r="EEQ53" s="1"/>
      <c r="EER53" s="1"/>
      <c r="EES53" s="1"/>
      <c r="EET53" s="1"/>
      <c r="EEU53" s="1"/>
      <c r="EEV53" s="1"/>
      <c r="EEW53" s="1"/>
      <c r="EEX53" s="1"/>
      <c r="EEY53" s="1"/>
      <c r="EEZ53" s="1"/>
      <c r="EFA53" s="1"/>
      <c r="EFB53" s="1"/>
      <c r="EFC53" s="1"/>
      <c r="EFD53" s="1"/>
      <c r="EFE53" s="1"/>
      <c r="EFF53" s="1"/>
      <c r="EFG53" s="1"/>
      <c r="EFH53" s="1"/>
      <c r="EFI53" s="1"/>
      <c r="EFJ53" s="1"/>
      <c r="EFK53" s="1"/>
      <c r="EFL53" s="1"/>
      <c r="EFM53" s="1"/>
      <c r="EFN53" s="1"/>
      <c r="EFO53" s="1"/>
      <c r="EFP53" s="1"/>
      <c r="EFQ53" s="1"/>
      <c r="EFR53" s="1"/>
      <c r="EFS53" s="1"/>
      <c r="EFT53" s="1"/>
      <c r="EFU53" s="1"/>
      <c r="EFV53" s="1"/>
      <c r="EFW53" s="1"/>
      <c r="EFX53" s="1"/>
      <c r="EFY53" s="1"/>
      <c r="EFZ53" s="1"/>
      <c r="EGA53" s="1"/>
      <c r="EGB53" s="1"/>
      <c r="EGC53" s="1"/>
      <c r="EGD53" s="1"/>
      <c r="EGE53" s="1"/>
      <c r="EGF53" s="1"/>
      <c r="EGG53" s="1"/>
      <c r="EGH53" s="1"/>
      <c r="EGI53" s="1"/>
      <c r="EGJ53" s="1"/>
      <c r="EGK53" s="1"/>
      <c r="EGL53" s="1"/>
      <c r="EGM53" s="1"/>
      <c r="EGN53" s="1"/>
      <c r="EGO53" s="1"/>
      <c r="EGP53" s="1"/>
      <c r="EGQ53" s="1"/>
      <c r="EGR53" s="1"/>
      <c r="EGS53" s="1"/>
      <c r="EGT53" s="1"/>
      <c r="EGU53" s="1"/>
      <c r="EGV53" s="1"/>
      <c r="EGW53" s="1"/>
      <c r="EGX53" s="1"/>
      <c r="EGY53" s="1"/>
      <c r="EGZ53" s="1"/>
      <c r="EHA53" s="1"/>
      <c r="EHB53" s="1"/>
      <c r="EHC53" s="1"/>
      <c r="EHD53" s="1"/>
      <c r="EHE53" s="1"/>
      <c r="EHF53" s="1"/>
      <c r="EHG53" s="1"/>
      <c r="EHH53" s="1"/>
      <c r="EHI53" s="1"/>
      <c r="EHJ53" s="1"/>
      <c r="EHK53" s="1"/>
      <c r="EHL53" s="1"/>
      <c r="EHM53" s="1"/>
      <c r="EHN53" s="1"/>
      <c r="EHO53" s="1"/>
      <c r="EHP53" s="1"/>
      <c r="EHQ53" s="1"/>
      <c r="EHR53" s="1"/>
      <c r="EHS53" s="1"/>
      <c r="EHT53" s="1"/>
      <c r="EHU53" s="1"/>
      <c r="EHV53" s="1"/>
      <c r="EHW53" s="1"/>
      <c r="EHX53" s="1"/>
      <c r="EHY53" s="1"/>
      <c r="EHZ53" s="1"/>
      <c r="EIA53" s="1"/>
      <c r="EIB53" s="1"/>
      <c r="EIC53" s="1"/>
      <c r="EID53" s="1"/>
      <c r="EIE53" s="1"/>
      <c r="EIF53" s="1"/>
      <c r="EIG53" s="1"/>
      <c r="EIH53" s="1"/>
      <c r="EII53" s="1"/>
      <c r="EIJ53" s="1"/>
      <c r="EIK53" s="1"/>
      <c r="EIL53" s="1"/>
      <c r="EIM53" s="1"/>
      <c r="EIN53" s="1"/>
      <c r="EIO53" s="1"/>
      <c r="EIP53" s="1"/>
      <c r="EIQ53" s="1"/>
      <c r="EIR53" s="1"/>
      <c r="EIS53" s="1"/>
      <c r="EIT53" s="1"/>
      <c r="EIU53" s="1"/>
      <c r="EIV53" s="1"/>
      <c r="EIW53" s="1"/>
      <c r="EIX53" s="1"/>
      <c r="EIY53" s="1"/>
      <c r="EIZ53" s="1"/>
      <c r="EJA53" s="1"/>
      <c r="EJB53" s="1"/>
      <c r="EJC53" s="1"/>
      <c r="EJD53" s="1"/>
      <c r="EJE53" s="1"/>
      <c r="EJF53" s="1"/>
      <c r="EJG53" s="1"/>
      <c r="EJH53" s="1"/>
      <c r="EJI53" s="1"/>
      <c r="EJJ53" s="1"/>
      <c r="EJK53" s="1"/>
      <c r="EJL53" s="1"/>
      <c r="EJM53" s="1"/>
      <c r="EJN53" s="1"/>
      <c r="EJO53" s="1"/>
      <c r="EJP53" s="1"/>
      <c r="EJQ53" s="1"/>
      <c r="EJR53" s="1"/>
      <c r="EJS53" s="1"/>
      <c r="EJT53" s="1"/>
      <c r="EJU53" s="1"/>
      <c r="EJV53" s="1"/>
      <c r="EJW53" s="1"/>
      <c r="EJX53" s="1"/>
      <c r="EJY53" s="1"/>
      <c r="EJZ53" s="1"/>
      <c r="EKA53" s="1"/>
      <c r="EKB53" s="1"/>
      <c r="EKC53" s="1"/>
      <c r="EKD53" s="1"/>
      <c r="EKE53" s="1"/>
      <c r="EKF53" s="1"/>
      <c r="EKG53" s="1"/>
      <c r="EKH53" s="1"/>
      <c r="EKI53" s="1"/>
      <c r="EKJ53" s="1"/>
      <c r="EKK53" s="1"/>
      <c r="EKL53" s="1"/>
      <c r="EKM53" s="1"/>
      <c r="EKN53" s="1"/>
      <c r="EKO53" s="1"/>
      <c r="EKP53" s="1"/>
      <c r="EKQ53" s="1"/>
      <c r="EKR53" s="1"/>
      <c r="EKS53" s="1"/>
      <c r="EKT53" s="1"/>
      <c r="EKU53" s="1"/>
      <c r="EKV53" s="1"/>
      <c r="EKW53" s="1"/>
      <c r="EKX53" s="1"/>
      <c r="EKY53" s="1"/>
      <c r="EKZ53" s="1"/>
      <c r="ELA53" s="1"/>
      <c r="ELB53" s="1"/>
      <c r="ELC53" s="1"/>
      <c r="ELD53" s="1"/>
      <c r="ELE53" s="1"/>
      <c r="ELF53" s="1"/>
      <c r="ELG53" s="1"/>
      <c r="ELH53" s="1"/>
      <c r="ELI53" s="1"/>
      <c r="ELJ53" s="1"/>
      <c r="ELK53" s="1"/>
      <c r="ELL53" s="1"/>
      <c r="ELM53" s="1"/>
      <c r="ELN53" s="1"/>
      <c r="ELO53" s="1"/>
      <c r="ELP53" s="1"/>
      <c r="ELQ53" s="1"/>
      <c r="ELR53" s="1"/>
      <c r="ELS53" s="1"/>
      <c r="ELT53" s="1"/>
      <c r="ELU53" s="1"/>
      <c r="ELV53" s="1"/>
      <c r="ELW53" s="1"/>
      <c r="ELX53" s="1"/>
      <c r="ELY53" s="1"/>
      <c r="ELZ53" s="1"/>
      <c r="EMA53" s="1"/>
      <c r="EMB53" s="1"/>
      <c r="EMC53" s="1"/>
      <c r="EMD53" s="1"/>
      <c r="EME53" s="1"/>
      <c r="EMF53" s="1"/>
      <c r="EMG53" s="1"/>
      <c r="EMH53" s="1"/>
      <c r="EMI53" s="1"/>
      <c r="EMJ53" s="1"/>
      <c r="EMK53" s="1"/>
      <c r="EML53" s="1"/>
      <c r="EMM53" s="1"/>
      <c r="EMN53" s="1"/>
      <c r="EMO53" s="1"/>
      <c r="EMP53" s="1"/>
      <c r="EMQ53" s="1"/>
      <c r="EMR53" s="1"/>
      <c r="EMS53" s="1"/>
      <c r="EMT53" s="1"/>
      <c r="EMU53" s="1"/>
      <c r="EMV53" s="1"/>
      <c r="EMW53" s="1"/>
      <c r="EMX53" s="1"/>
      <c r="EMY53" s="1"/>
      <c r="EMZ53" s="1"/>
      <c r="ENA53" s="1"/>
      <c r="ENB53" s="1"/>
      <c r="ENC53" s="1"/>
      <c r="END53" s="1"/>
      <c r="ENE53" s="1"/>
      <c r="ENF53" s="1"/>
      <c r="ENG53" s="1"/>
      <c r="ENH53" s="1"/>
      <c r="ENI53" s="1"/>
      <c r="ENJ53" s="1"/>
      <c r="ENK53" s="1"/>
      <c r="ENL53" s="1"/>
      <c r="ENM53" s="1"/>
      <c r="ENN53" s="1"/>
      <c r="ENO53" s="1"/>
      <c r="ENP53" s="1"/>
      <c r="ENQ53" s="1"/>
      <c r="ENR53" s="1"/>
      <c r="ENS53" s="1"/>
      <c r="ENT53" s="1"/>
      <c r="ENU53" s="1"/>
      <c r="ENV53" s="1"/>
      <c r="ENW53" s="1"/>
      <c r="ENX53" s="1"/>
      <c r="ENY53" s="1"/>
      <c r="ENZ53" s="1"/>
      <c r="EOA53" s="1"/>
      <c r="EOB53" s="1"/>
      <c r="EOC53" s="1"/>
      <c r="EOD53" s="1"/>
      <c r="EOE53" s="1"/>
      <c r="EOF53" s="1"/>
      <c r="EOG53" s="1"/>
      <c r="EOH53" s="1"/>
      <c r="EOI53" s="1"/>
      <c r="EOJ53" s="1"/>
      <c r="EOK53" s="1"/>
      <c r="EOL53" s="1"/>
      <c r="EOM53" s="1"/>
      <c r="EON53" s="1"/>
      <c r="EOO53" s="1"/>
      <c r="EOP53" s="1"/>
      <c r="EOQ53" s="1"/>
      <c r="EOR53" s="1"/>
      <c r="EOS53" s="1"/>
      <c r="EOT53" s="1"/>
      <c r="EOU53" s="1"/>
      <c r="EOV53" s="1"/>
      <c r="EOW53" s="1"/>
      <c r="EOX53" s="1"/>
      <c r="EOY53" s="1"/>
      <c r="EOZ53" s="1"/>
      <c r="EPA53" s="1"/>
      <c r="EPB53" s="1"/>
      <c r="EPC53" s="1"/>
      <c r="EPD53" s="1"/>
      <c r="EPE53" s="1"/>
      <c r="EPF53" s="1"/>
      <c r="EPG53" s="1"/>
      <c r="EPH53" s="1"/>
      <c r="EPI53" s="1"/>
      <c r="EPJ53" s="1"/>
      <c r="EPK53" s="1"/>
      <c r="EPL53" s="1"/>
      <c r="EPM53" s="1"/>
      <c r="EPN53" s="1"/>
      <c r="EPO53" s="1"/>
      <c r="EPP53" s="1"/>
      <c r="EPQ53" s="1"/>
      <c r="EPR53" s="1"/>
      <c r="EPS53" s="1"/>
      <c r="EPT53" s="1"/>
      <c r="EPU53" s="1"/>
      <c r="EPV53" s="1"/>
      <c r="EPW53" s="1"/>
      <c r="EPX53" s="1"/>
      <c r="EPY53" s="1"/>
      <c r="EPZ53" s="1"/>
      <c r="EQA53" s="1"/>
      <c r="EQB53" s="1"/>
      <c r="EQC53" s="1"/>
      <c r="EQD53" s="1"/>
      <c r="EQE53" s="1"/>
      <c r="EQF53" s="1"/>
      <c r="EQG53" s="1"/>
      <c r="EQH53" s="1"/>
      <c r="EQI53" s="1"/>
      <c r="EQJ53" s="1"/>
      <c r="EQK53" s="1"/>
      <c r="EQL53" s="1"/>
      <c r="EQM53" s="1"/>
      <c r="EQN53" s="1"/>
      <c r="EQO53" s="1"/>
      <c r="EQP53" s="1"/>
      <c r="EQQ53" s="1"/>
      <c r="EQR53" s="1"/>
      <c r="EQS53" s="1"/>
      <c r="EQT53" s="1"/>
      <c r="EQU53" s="1"/>
      <c r="EQV53" s="1"/>
      <c r="EQW53" s="1"/>
      <c r="EQX53" s="1"/>
      <c r="EQY53" s="1"/>
      <c r="EQZ53" s="1"/>
      <c r="ERA53" s="1"/>
      <c r="ERB53" s="1"/>
      <c r="ERC53" s="1"/>
      <c r="ERD53" s="1"/>
      <c r="ERE53" s="1"/>
      <c r="ERF53" s="1"/>
      <c r="ERG53" s="1"/>
      <c r="ERH53" s="1"/>
      <c r="ERI53" s="1"/>
      <c r="ERJ53" s="1"/>
      <c r="ERK53" s="1"/>
      <c r="ERL53" s="1"/>
      <c r="ERM53" s="1"/>
      <c r="ERN53" s="1"/>
      <c r="ERO53" s="1"/>
      <c r="ERP53" s="1"/>
      <c r="ERQ53" s="1"/>
      <c r="ERR53" s="1"/>
      <c r="ERS53" s="1"/>
      <c r="ERT53" s="1"/>
      <c r="ERU53" s="1"/>
      <c r="ERV53" s="1"/>
      <c r="ERW53" s="1"/>
      <c r="ERX53" s="1"/>
      <c r="ERY53" s="1"/>
      <c r="ERZ53" s="1"/>
      <c r="ESA53" s="1"/>
      <c r="ESB53" s="1"/>
      <c r="ESC53" s="1"/>
      <c r="ESD53" s="1"/>
      <c r="ESE53" s="1"/>
      <c r="ESF53" s="1"/>
      <c r="ESG53" s="1"/>
      <c r="ESH53" s="1"/>
      <c r="ESI53" s="1"/>
      <c r="ESJ53" s="1"/>
      <c r="ESK53" s="1"/>
      <c r="ESL53" s="1"/>
      <c r="ESM53" s="1"/>
      <c r="ESN53" s="1"/>
      <c r="ESO53" s="1"/>
      <c r="ESP53" s="1"/>
      <c r="ESQ53" s="1"/>
      <c r="ESR53" s="1"/>
      <c r="ESS53" s="1"/>
      <c r="EST53" s="1"/>
      <c r="ESU53" s="1"/>
      <c r="ESV53" s="1"/>
      <c r="ESW53" s="1"/>
      <c r="ESX53" s="1"/>
      <c r="ESY53" s="1"/>
      <c r="ESZ53" s="1"/>
      <c r="ETA53" s="1"/>
      <c r="ETB53" s="1"/>
      <c r="ETC53" s="1"/>
      <c r="ETD53" s="1"/>
      <c r="ETE53" s="1"/>
      <c r="ETF53" s="1"/>
      <c r="ETG53" s="1"/>
      <c r="ETH53" s="1"/>
      <c r="ETI53" s="1"/>
      <c r="ETJ53" s="1"/>
      <c r="ETK53" s="1"/>
      <c r="ETL53" s="1"/>
      <c r="ETM53" s="1"/>
      <c r="ETN53" s="1"/>
      <c r="ETO53" s="1"/>
      <c r="ETP53" s="1"/>
      <c r="ETQ53" s="1"/>
      <c r="ETR53" s="1"/>
      <c r="ETS53" s="1"/>
      <c r="ETT53" s="1"/>
      <c r="ETU53" s="1"/>
      <c r="ETV53" s="1"/>
      <c r="ETW53" s="1"/>
      <c r="ETX53" s="1"/>
      <c r="ETY53" s="1"/>
      <c r="ETZ53" s="1"/>
      <c r="EUA53" s="1"/>
      <c r="EUB53" s="1"/>
      <c r="EUC53" s="1"/>
      <c r="EUD53" s="1"/>
      <c r="EUE53" s="1"/>
      <c r="EUF53" s="1"/>
      <c r="EUG53" s="1"/>
      <c r="EUH53" s="1"/>
      <c r="EUI53" s="1"/>
      <c r="EUJ53" s="1"/>
      <c r="EUK53" s="1"/>
      <c r="EUL53" s="1"/>
      <c r="EUM53" s="1"/>
      <c r="EUN53" s="1"/>
      <c r="EUO53" s="1"/>
      <c r="EUP53" s="1"/>
      <c r="EUQ53" s="1"/>
      <c r="EUR53" s="1"/>
      <c r="EUS53" s="1"/>
      <c r="EUT53" s="1"/>
      <c r="EUU53" s="1"/>
      <c r="EUV53" s="1"/>
      <c r="EUW53" s="1"/>
      <c r="EUX53" s="1"/>
      <c r="EUY53" s="1"/>
      <c r="EUZ53" s="1"/>
      <c r="EVA53" s="1"/>
      <c r="EVB53" s="1"/>
      <c r="EVC53" s="1"/>
      <c r="EVD53" s="1"/>
      <c r="EVE53" s="1"/>
      <c r="EVF53" s="1"/>
      <c r="EVG53" s="1"/>
      <c r="EVH53" s="1"/>
      <c r="EVI53" s="1"/>
      <c r="EVJ53" s="1"/>
      <c r="EVK53" s="1"/>
      <c r="EVL53" s="1"/>
      <c r="EVM53" s="1"/>
      <c r="EVN53" s="1"/>
      <c r="EVO53" s="1"/>
      <c r="EVP53" s="1"/>
      <c r="EVQ53" s="1"/>
      <c r="EVR53" s="1"/>
      <c r="EVS53" s="1"/>
      <c r="EVT53" s="1"/>
      <c r="EVU53" s="1"/>
      <c r="EVV53" s="1"/>
      <c r="EVW53" s="1"/>
      <c r="EVX53" s="1"/>
      <c r="EVY53" s="1"/>
      <c r="EVZ53" s="1"/>
      <c r="EWA53" s="1"/>
      <c r="EWB53" s="1"/>
      <c r="EWC53" s="1"/>
      <c r="EWD53" s="1"/>
      <c r="EWE53" s="1"/>
      <c r="EWF53" s="1"/>
      <c r="EWG53" s="1"/>
      <c r="EWH53" s="1"/>
      <c r="EWI53" s="1"/>
      <c r="EWJ53" s="1"/>
      <c r="EWK53" s="1"/>
      <c r="EWL53" s="1"/>
      <c r="EWM53" s="1"/>
      <c r="EWN53" s="1"/>
      <c r="EWO53" s="1"/>
      <c r="EWP53" s="1"/>
      <c r="EWQ53" s="1"/>
      <c r="EWR53" s="1"/>
      <c r="EWS53" s="1"/>
      <c r="EWT53" s="1"/>
      <c r="EWU53" s="1"/>
      <c r="EWV53" s="1"/>
      <c r="EWW53" s="1"/>
      <c r="EWX53" s="1"/>
      <c r="EWY53" s="1"/>
      <c r="EWZ53" s="1"/>
      <c r="EXA53" s="1"/>
      <c r="EXB53" s="1"/>
      <c r="EXC53" s="1"/>
      <c r="EXD53" s="1"/>
      <c r="EXE53" s="1"/>
      <c r="EXF53" s="1"/>
      <c r="EXG53" s="1"/>
      <c r="EXH53" s="1"/>
      <c r="EXI53" s="1"/>
      <c r="EXJ53" s="1"/>
      <c r="EXK53" s="1"/>
      <c r="EXL53" s="1"/>
      <c r="EXM53" s="1"/>
      <c r="EXN53" s="1"/>
      <c r="EXO53" s="1"/>
      <c r="EXP53" s="1"/>
      <c r="EXQ53" s="1"/>
      <c r="EXR53" s="1"/>
      <c r="EXS53" s="1"/>
      <c r="EXT53" s="1"/>
      <c r="EXU53" s="1"/>
      <c r="EXV53" s="1"/>
      <c r="EXW53" s="1"/>
      <c r="EXX53" s="1"/>
      <c r="EXY53" s="1"/>
      <c r="EXZ53" s="1"/>
      <c r="EYA53" s="1"/>
      <c r="EYB53" s="1"/>
      <c r="EYC53" s="1"/>
      <c r="EYD53" s="1"/>
      <c r="EYE53" s="1"/>
      <c r="EYF53" s="1"/>
      <c r="EYG53" s="1"/>
      <c r="EYH53" s="1"/>
      <c r="EYI53" s="1"/>
      <c r="EYJ53" s="1"/>
      <c r="EYK53" s="1"/>
      <c r="EYL53" s="1"/>
      <c r="EYM53" s="1"/>
      <c r="EYN53" s="1"/>
      <c r="EYO53" s="1"/>
      <c r="EYP53" s="1"/>
      <c r="EYQ53" s="1"/>
      <c r="EYR53" s="1"/>
      <c r="EYS53" s="1"/>
      <c r="EYT53" s="1"/>
      <c r="EYU53" s="1"/>
      <c r="EYV53" s="1"/>
      <c r="EYW53" s="1"/>
      <c r="EYX53" s="1"/>
      <c r="EYY53" s="1"/>
      <c r="EYZ53" s="1"/>
      <c r="EZA53" s="1"/>
      <c r="EZB53" s="1"/>
      <c r="EZC53" s="1"/>
      <c r="EZD53" s="1"/>
      <c r="EZE53" s="1"/>
      <c r="EZF53" s="1"/>
      <c r="EZG53" s="1"/>
      <c r="EZH53" s="1"/>
      <c r="EZI53" s="1"/>
      <c r="EZJ53" s="1"/>
      <c r="EZK53" s="1"/>
      <c r="EZL53" s="1"/>
      <c r="EZM53" s="1"/>
      <c r="EZN53" s="1"/>
      <c r="EZO53" s="1"/>
      <c r="EZP53" s="1"/>
      <c r="EZQ53" s="1"/>
      <c r="EZR53" s="1"/>
      <c r="EZS53" s="1"/>
      <c r="EZT53" s="1"/>
      <c r="EZU53" s="1"/>
      <c r="EZV53" s="1"/>
      <c r="EZW53" s="1"/>
      <c r="EZX53" s="1"/>
      <c r="EZY53" s="1"/>
      <c r="EZZ53" s="1"/>
      <c r="FAA53" s="1"/>
      <c r="FAB53" s="1"/>
      <c r="FAC53" s="1"/>
      <c r="FAD53" s="1"/>
      <c r="FAE53" s="1"/>
      <c r="FAF53" s="1"/>
      <c r="FAG53" s="1"/>
      <c r="FAH53" s="1"/>
      <c r="FAI53" s="1"/>
      <c r="FAJ53" s="1"/>
      <c r="FAK53" s="1"/>
      <c r="FAL53" s="1"/>
      <c r="FAM53" s="1"/>
      <c r="FAN53" s="1"/>
      <c r="FAO53" s="1"/>
      <c r="FAP53" s="1"/>
      <c r="FAQ53" s="1"/>
      <c r="FAR53" s="1"/>
      <c r="FAS53" s="1"/>
      <c r="FAT53" s="1"/>
      <c r="FAU53" s="1"/>
      <c r="FAV53" s="1"/>
      <c r="FAW53" s="1"/>
      <c r="FAX53" s="1"/>
      <c r="FAY53" s="1"/>
      <c r="FAZ53" s="1"/>
      <c r="FBA53" s="1"/>
      <c r="FBB53" s="1"/>
      <c r="FBC53" s="1"/>
      <c r="FBD53" s="1"/>
      <c r="FBE53" s="1"/>
      <c r="FBF53" s="1"/>
      <c r="FBG53" s="1"/>
      <c r="FBH53" s="1"/>
      <c r="FBI53" s="1"/>
      <c r="FBJ53" s="1"/>
      <c r="FBK53" s="1"/>
      <c r="FBL53" s="1"/>
      <c r="FBM53" s="1"/>
      <c r="FBN53" s="1"/>
      <c r="FBO53" s="1"/>
      <c r="FBP53" s="1"/>
      <c r="FBQ53" s="1"/>
      <c r="FBR53" s="1"/>
      <c r="FBS53" s="1"/>
      <c r="FBT53" s="1"/>
      <c r="FBU53" s="1"/>
      <c r="FBV53" s="1"/>
      <c r="FBW53" s="1"/>
      <c r="FBX53" s="1"/>
      <c r="FBY53" s="1"/>
      <c r="FBZ53" s="1"/>
      <c r="FCA53" s="1"/>
      <c r="FCB53" s="1"/>
      <c r="FCC53" s="1"/>
      <c r="FCD53" s="1"/>
      <c r="FCE53" s="1"/>
      <c r="FCF53" s="1"/>
      <c r="FCG53" s="1"/>
      <c r="FCH53" s="1"/>
      <c r="FCI53" s="1"/>
      <c r="FCJ53" s="1"/>
      <c r="FCK53" s="1"/>
      <c r="FCL53" s="1"/>
      <c r="FCM53" s="1"/>
      <c r="FCN53" s="1"/>
      <c r="FCO53" s="1"/>
      <c r="FCP53" s="1"/>
      <c r="FCQ53" s="1"/>
      <c r="FCR53" s="1"/>
      <c r="FCS53" s="1"/>
      <c r="FCT53" s="1"/>
      <c r="FCU53" s="1"/>
      <c r="FCV53" s="1"/>
      <c r="FCW53" s="1"/>
      <c r="FCX53" s="1"/>
      <c r="FCY53" s="1"/>
      <c r="FCZ53" s="1"/>
      <c r="FDA53" s="1"/>
      <c r="FDB53" s="1"/>
      <c r="FDC53" s="1"/>
      <c r="FDD53" s="1"/>
      <c r="FDE53" s="1"/>
      <c r="FDF53" s="1"/>
      <c r="FDG53" s="1"/>
      <c r="FDH53" s="1"/>
      <c r="FDI53" s="1"/>
      <c r="FDJ53" s="1"/>
      <c r="FDK53" s="1"/>
      <c r="FDL53" s="1"/>
      <c r="FDM53" s="1"/>
      <c r="FDN53" s="1"/>
      <c r="FDO53" s="1"/>
      <c r="FDP53" s="1"/>
      <c r="FDQ53" s="1"/>
      <c r="FDR53" s="1"/>
      <c r="FDS53" s="1"/>
      <c r="FDT53" s="1"/>
      <c r="FDU53" s="1"/>
      <c r="FDV53" s="1"/>
      <c r="FDW53" s="1"/>
      <c r="FDX53" s="1"/>
      <c r="FDY53" s="1"/>
      <c r="FDZ53" s="1"/>
      <c r="FEA53" s="1"/>
      <c r="FEB53" s="1"/>
      <c r="FEC53" s="1"/>
      <c r="FED53" s="1"/>
      <c r="FEE53" s="1"/>
      <c r="FEF53" s="1"/>
      <c r="FEG53" s="1"/>
      <c r="FEH53" s="1"/>
      <c r="FEI53" s="1"/>
      <c r="FEJ53" s="1"/>
      <c r="FEK53" s="1"/>
      <c r="FEL53" s="1"/>
      <c r="FEM53" s="1"/>
      <c r="FEN53" s="1"/>
      <c r="FEO53" s="1"/>
      <c r="FEP53" s="1"/>
      <c r="FEQ53" s="1"/>
      <c r="FER53" s="1"/>
      <c r="FES53" s="1"/>
      <c r="FET53" s="1"/>
      <c r="FEU53" s="1"/>
      <c r="FEV53" s="1"/>
      <c r="FEW53" s="1"/>
      <c r="FEX53" s="1"/>
      <c r="FEY53" s="1"/>
      <c r="FEZ53" s="1"/>
      <c r="FFA53" s="1"/>
      <c r="FFB53" s="1"/>
      <c r="FFC53" s="1"/>
      <c r="FFD53" s="1"/>
      <c r="FFE53" s="1"/>
      <c r="FFF53" s="1"/>
      <c r="FFG53" s="1"/>
      <c r="FFH53" s="1"/>
      <c r="FFI53" s="1"/>
      <c r="FFJ53" s="1"/>
      <c r="FFK53" s="1"/>
      <c r="FFL53" s="1"/>
      <c r="FFM53" s="1"/>
      <c r="FFN53" s="1"/>
      <c r="FFO53" s="1"/>
      <c r="FFP53" s="1"/>
      <c r="FFQ53" s="1"/>
      <c r="FFR53" s="1"/>
      <c r="FFS53" s="1"/>
      <c r="FFT53" s="1"/>
      <c r="FFU53" s="1"/>
      <c r="FFV53" s="1"/>
      <c r="FFW53" s="1"/>
      <c r="FFX53" s="1"/>
      <c r="FFY53" s="1"/>
      <c r="FFZ53" s="1"/>
      <c r="FGA53" s="1"/>
      <c r="FGB53" s="1"/>
      <c r="FGC53" s="1"/>
      <c r="FGD53" s="1"/>
      <c r="FGE53" s="1"/>
      <c r="FGF53" s="1"/>
      <c r="FGG53" s="1"/>
      <c r="FGH53" s="1"/>
      <c r="FGI53" s="1"/>
      <c r="FGJ53" s="1"/>
      <c r="FGK53" s="1"/>
      <c r="FGL53" s="1"/>
      <c r="FGM53" s="1"/>
      <c r="FGN53" s="1"/>
      <c r="FGO53" s="1"/>
      <c r="FGP53" s="1"/>
      <c r="FGQ53" s="1"/>
      <c r="FGR53" s="1"/>
      <c r="FGS53" s="1"/>
      <c r="FGT53" s="1"/>
      <c r="FGU53" s="1"/>
      <c r="FGV53" s="1"/>
      <c r="FGW53" s="1"/>
      <c r="FGX53" s="1"/>
      <c r="FGY53" s="1"/>
      <c r="FGZ53" s="1"/>
      <c r="FHA53" s="1"/>
      <c r="FHB53" s="1"/>
      <c r="FHC53" s="1"/>
      <c r="FHD53" s="1"/>
      <c r="FHE53" s="1"/>
      <c r="FHF53" s="1"/>
      <c r="FHG53" s="1"/>
      <c r="FHH53" s="1"/>
      <c r="FHI53" s="1"/>
      <c r="FHJ53" s="1"/>
      <c r="FHK53" s="1"/>
      <c r="FHL53" s="1"/>
      <c r="FHM53" s="1"/>
      <c r="FHN53" s="1"/>
      <c r="FHO53" s="1"/>
      <c r="FHP53" s="1"/>
      <c r="FHQ53" s="1"/>
      <c r="FHR53" s="1"/>
      <c r="FHS53" s="1"/>
      <c r="FHT53" s="1"/>
      <c r="FHU53" s="1"/>
      <c r="FHV53" s="1"/>
      <c r="FHW53" s="1"/>
      <c r="FHX53" s="1"/>
      <c r="FHY53" s="1"/>
      <c r="FHZ53" s="1"/>
      <c r="FIA53" s="1"/>
      <c r="FIB53" s="1"/>
      <c r="FIC53" s="1"/>
      <c r="FID53" s="1"/>
      <c r="FIE53" s="1"/>
      <c r="FIF53" s="1"/>
      <c r="FIG53" s="1"/>
      <c r="FIH53" s="1"/>
      <c r="FII53" s="1"/>
      <c r="FIJ53" s="1"/>
      <c r="FIK53" s="1"/>
      <c r="FIL53" s="1"/>
      <c r="FIM53" s="1"/>
      <c r="FIN53" s="1"/>
      <c r="FIO53" s="1"/>
      <c r="FIP53" s="1"/>
      <c r="FIQ53" s="1"/>
      <c r="FIR53" s="1"/>
      <c r="FIS53" s="1"/>
      <c r="FIT53" s="1"/>
      <c r="FIU53" s="1"/>
      <c r="FIV53" s="1"/>
      <c r="FIW53" s="1"/>
      <c r="FIX53" s="1"/>
      <c r="FIY53" s="1"/>
      <c r="FIZ53" s="1"/>
      <c r="FJA53" s="1"/>
      <c r="FJB53" s="1"/>
      <c r="FJC53" s="1"/>
      <c r="FJD53" s="1"/>
      <c r="FJE53" s="1"/>
      <c r="FJF53" s="1"/>
      <c r="FJG53" s="1"/>
      <c r="FJH53" s="1"/>
      <c r="FJI53" s="1"/>
      <c r="FJJ53" s="1"/>
      <c r="FJK53" s="1"/>
      <c r="FJL53" s="1"/>
      <c r="FJM53" s="1"/>
      <c r="FJN53" s="1"/>
      <c r="FJO53" s="1"/>
      <c r="FJP53" s="1"/>
      <c r="FJQ53" s="1"/>
      <c r="FJR53" s="1"/>
      <c r="FJS53" s="1"/>
      <c r="FJT53" s="1"/>
      <c r="FJU53" s="1"/>
      <c r="FJV53" s="1"/>
      <c r="FJW53" s="1"/>
      <c r="FJX53" s="1"/>
      <c r="FJY53" s="1"/>
      <c r="FJZ53" s="1"/>
      <c r="FKA53" s="1"/>
      <c r="FKB53" s="1"/>
      <c r="FKC53" s="1"/>
      <c r="FKD53" s="1"/>
      <c r="FKE53" s="1"/>
      <c r="FKF53" s="1"/>
      <c r="FKG53" s="1"/>
      <c r="FKH53" s="1"/>
      <c r="FKI53" s="1"/>
      <c r="FKJ53" s="1"/>
      <c r="FKK53" s="1"/>
      <c r="FKL53" s="1"/>
      <c r="FKM53" s="1"/>
      <c r="FKN53" s="1"/>
      <c r="FKO53" s="1"/>
      <c r="FKP53" s="1"/>
      <c r="FKQ53" s="1"/>
      <c r="FKR53" s="1"/>
      <c r="FKS53" s="1"/>
      <c r="FKT53" s="1"/>
      <c r="FKU53" s="1"/>
      <c r="FKV53" s="1"/>
      <c r="FKW53" s="1"/>
      <c r="FKX53" s="1"/>
      <c r="FKY53" s="1"/>
      <c r="FKZ53" s="1"/>
      <c r="FLA53" s="1"/>
      <c r="FLB53" s="1"/>
      <c r="FLC53" s="1"/>
      <c r="FLD53" s="1"/>
      <c r="FLE53" s="1"/>
      <c r="FLF53" s="1"/>
      <c r="FLG53" s="1"/>
      <c r="FLH53" s="1"/>
      <c r="FLI53" s="1"/>
      <c r="FLJ53" s="1"/>
      <c r="FLK53" s="1"/>
      <c r="FLL53" s="1"/>
      <c r="FLM53" s="1"/>
      <c r="FLN53" s="1"/>
      <c r="FLO53" s="1"/>
      <c r="FLP53" s="1"/>
      <c r="FLQ53" s="1"/>
      <c r="FLR53" s="1"/>
      <c r="FLS53" s="1"/>
      <c r="FLT53" s="1"/>
      <c r="FLU53" s="1"/>
      <c r="FLV53" s="1"/>
      <c r="FLW53" s="1"/>
      <c r="FLX53" s="1"/>
      <c r="FLY53" s="1"/>
      <c r="FLZ53" s="1"/>
      <c r="FMA53" s="1"/>
      <c r="FMB53" s="1"/>
      <c r="FMC53" s="1"/>
      <c r="FMD53" s="1"/>
      <c r="FME53" s="1"/>
      <c r="FMF53" s="1"/>
      <c r="FMG53" s="1"/>
      <c r="FMH53" s="1"/>
      <c r="FMI53" s="1"/>
      <c r="FMJ53" s="1"/>
      <c r="FMK53" s="1"/>
      <c r="FML53" s="1"/>
      <c r="FMM53" s="1"/>
      <c r="FMN53" s="1"/>
      <c r="FMO53" s="1"/>
      <c r="FMP53" s="1"/>
      <c r="FMQ53" s="1"/>
      <c r="FMR53" s="1"/>
      <c r="FMS53" s="1"/>
      <c r="FMT53" s="1"/>
      <c r="FMU53" s="1"/>
      <c r="FMV53" s="1"/>
      <c r="FMW53" s="1"/>
      <c r="FMX53" s="1"/>
      <c r="FMY53" s="1"/>
      <c r="FMZ53" s="1"/>
      <c r="FNA53" s="1"/>
      <c r="FNB53" s="1"/>
      <c r="FNC53" s="1"/>
      <c r="FND53" s="1"/>
      <c r="FNE53" s="1"/>
      <c r="FNF53" s="1"/>
      <c r="FNG53" s="1"/>
      <c r="FNH53" s="1"/>
      <c r="FNI53" s="1"/>
      <c r="FNJ53" s="1"/>
      <c r="FNK53" s="1"/>
      <c r="FNL53" s="1"/>
      <c r="FNM53" s="1"/>
      <c r="FNN53" s="1"/>
      <c r="FNO53" s="1"/>
      <c r="FNP53" s="1"/>
      <c r="FNQ53" s="1"/>
      <c r="FNR53" s="1"/>
      <c r="FNS53" s="1"/>
      <c r="FNT53" s="1"/>
      <c r="FNU53" s="1"/>
      <c r="FNV53" s="1"/>
      <c r="FNW53" s="1"/>
      <c r="FNX53" s="1"/>
      <c r="FNY53" s="1"/>
      <c r="FNZ53" s="1"/>
      <c r="FOA53" s="1"/>
      <c r="FOB53" s="1"/>
      <c r="FOC53" s="1"/>
      <c r="FOD53" s="1"/>
      <c r="FOE53" s="1"/>
      <c r="FOF53" s="1"/>
      <c r="FOG53" s="1"/>
      <c r="FOH53" s="1"/>
      <c r="FOI53" s="1"/>
      <c r="FOJ53" s="1"/>
      <c r="FOK53" s="1"/>
      <c r="FOL53" s="1"/>
      <c r="FOM53" s="1"/>
      <c r="FON53" s="1"/>
      <c r="FOO53" s="1"/>
      <c r="FOP53" s="1"/>
      <c r="FOQ53" s="1"/>
      <c r="FOR53" s="1"/>
      <c r="FOS53" s="1"/>
      <c r="FOT53" s="1"/>
      <c r="FOU53" s="1"/>
      <c r="FOV53" s="1"/>
      <c r="FOW53" s="1"/>
      <c r="FOX53" s="1"/>
      <c r="FOY53" s="1"/>
      <c r="FOZ53" s="1"/>
      <c r="FPA53" s="1"/>
      <c r="FPB53" s="1"/>
      <c r="FPC53" s="1"/>
      <c r="FPD53" s="1"/>
      <c r="FPE53" s="1"/>
      <c r="FPF53" s="1"/>
      <c r="FPG53" s="1"/>
      <c r="FPH53" s="1"/>
      <c r="FPI53" s="1"/>
      <c r="FPJ53" s="1"/>
      <c r="FPK53" s="1"/>
      <c r="FPL53" s="1"/>
      <c r="FPM53" s="1"/>
      <c r="FPN53" s="1"/>
      <c r="FPO53" s="1"/>
      <c r="FPP53" s="1"/>
      <c r="FPQ53" s="1"/>
      <c r="FPR53" s="1"/>
      <c r="FPS53" s="1"/>
      <c r="FPT53" s="1"/>
      <c r="FPU53" s="1"/>
      <c r="FPV53" s="1"/>
      <c r="FPW53" s="1"/>
      <c r="FPX53" s="1"/>
      <c r="FPY53" s="1"/>
      <c r="FPZ53" s="1"/>
      <c r="FQA53" s="1"/>
      <c r="FQB53" s="1"/>
      <c r="FQC53" s="1"/>
      <c r="FQD53" s="1"/>
      <c r="FQE53" s="1"/>
      <c r="FQF53" s="1"/>
      <c r="FQG53" s="1"/>
      <c r="FQH53" s="1"/>
      <c r="FQI53" s="1"/>
      <c r="FQJ53" s="1"/>
      <c r="FQK53" s="1"/>
      <c r="FQL53" s="1"/>
      <c r="FQM53" s="1"/>
      <c r="FQN53" s="1"/>
      <c r="FQO53" s="1"/>
      <c r="FQP53" s="1"/>
      <c r="FQQ53" s="1"/>
      <c r="FQR53" s="1"/>
      <c r="FQS53" s="1"/>
      <c r="FQT53" s="1"/>
      <c r="FQU53" s="1"/>
      <c r="FQV53" s="1"/>
      <c r="FQW53" s="1"/>
      <c r="FQX53" s="1"/>
      <c r="FQY53" s="1"/>
      <c r="FQZ53" s="1"/>
      <c r="FRA53" s="1"/>
      <c r="FRB53" s="1"/>
      <c r="FRC53" s="1"/>
      <c r="FRD53" s="1"/>
      <c r="FRE53" s="1"/>
      <c r="FRF53" s="1"/>
      <c r="FRG53" s="1"/>
      <c r="FRH53" s="1"/>
      <c r="FRI53" s="1"/>
      <c r="FRJ53" s="1"/>
      <c r="FRK53" s="1"/>
      <c r="FRL53" s="1"/>
      <c r="FRM53" s="1"/>
      <c r="FRN53" s="1"/>
      <c r="FRO53" s="1"/>
      <c r="FRP53" s="1"/>
      <c r="FRQ53" s="1"/>
      <c r="FRR53" s="1"/>
      <c r="FRS53" s="1"/>
      <c r="FRT53" s="1"/>
      <c r="FRU53" s="1"/>
      <c r="FRV53" s="1"/>
      <c r="FRW53" s="1"/>
      <c r="FRX53" s="1"/>
      <c r="FRY53" s="1"/>
      <c r="FRZ53" s="1"/>
      <c r="FSA53" s="1"/>
      <c r="FSB53" s="1"/>
      <c r="FSC53" s="1"/>
      <c r="FSD53" s="1"/>
      <c r="FSE53" s="1"/>
      <c r="FSF53" s="1"/>
      <c r="FSG53" s="1"/>
      <c r="FSH53" s="1"/>
      <c r="FSI53" s="1"/>
      <c r="FSJ53" s="1"/>
      <c r="FSK53" s="1"/>
      <c r="FSL53" s="1"/>
      <c r="FSM53" s="1"/>
      <c r="FSN53" s="1"/>
      <c r="FSO53" s="1"/>
      <c r="FSP53" s="1"/>
      <c r="FSQ53" s="1"/>
      <c r="FSR53" s="1"/>
      <c r="FSS53" s="1"/>
      <c r="FST53" s="1"/>
      <c r="FSU53" s="1"/>
      <c r="FSV53" s="1"/>
      <c r="FSW53" s="1"/>
      <c r="FSX53" s="1"/>
      <c r="FSY53" s="1"/>
      <c r="FSZ53" s="1"/>
      <c r="FTA53" s="1"/>
      <c r="FTB53" s="1"/>
      <c r="FTC53" s="1"/>
      <c r="FTD53" s="1"/>
      <c r="FTE53" s="1"/>
      <c r="FTF53" s="1"/>
      <c r="FTG53" s="1"/>
      <c r="FTH53" s="1"/>
      <c r="FTI53" s="1"/>
      <c r="FTJ53" s="1"/>
      <c r="FTK53" s="1"/>
      <c r="FTL53" s="1"/>
      <c r="FTM53" s="1"/>
      <c r="FTN53" s="1"/>
      <c r="FTO53" s="1"/>
      <c r="FTP53" s="1"/>
      <c r="FTQ53" s="1"/>
      <c r="FTR53" s="1"/>
      <c r="FTS53" s="1"/>
      <c r="FTT53" s="1"/>
      <c r="FTU53" s="1"/>
      <c r="FTV53" s="1"/>
      <c r="FTW53" s="1"/>
      <c r="FTX53" s="1"/>
      <c r="FTY53" s="1"/>
      <c r="FTZ53" s="1"/>
      <c r="FUA53" s="1"/>
      <c r="FUB53" s="1"/>
      <c r="FUC53" s="1"/>
      <c r="FUD53" s="1"/>
      <c r="FUE53" s="1"/>
      <c r="FUF53" s="1"/>
      <c r="FUG53" s="1"/>
      <c r="FUH53" s="1"/>
      <c r="FUI53" s="1"/>
      <c r="FUJ53" s="1"/>
      <c r="FUK53" s="1"/>
      <c r="FUL53" s="1"/>
      <c r="FUM53" s="1"/>
      <c r="FUN53" s="1"/>
      <c r="FUO53" s="1"/>
      <c r="FUP53" s="1"/>
      <c r="FUQ53" s="1"/>
      <c r="FUR53" s="1"/>
      <c r="FUS53" s="1"/>
      <c r="FUT53" s="1"/>
      <c r="FUU53" s="1"/>
      <c r="FUV53" s="1"/>
      <c r="FUW53" s="1"/>
      <c r="FUX53" s="1"/>
      <c r="FUY53" s="1"/>
      <c r="FUZ53" s="1"/>
      <c r="FVA53" s="1"/>
      <c r="FVB53" s="1"/>
      <c r="FVC53" s="1"/>
      <c r="FVD53" s="1"/>
      <c r="FVE53" s="1"/>
      <c r="FVF53" s="1"/>
      <c r="FVG53" s="1"/>
      <c r="FVH53" s="1"/>
      <c r="FVI53" s="1"/>
      <c r="FVJ53" s="1"/>
      <c r="FVK53" s="1"/>
      <c r="FVL53" s="1"/>
      <c r="FVM53" s="1"/>
      <c r="FVN53" s="1"/>
      <c r="FVO53" s="1"/>
      <c r="FVP53" s="1"/>
      <c r="FVQ53" s="1"/>
      <c r="FVR53" s="1"/>
      <c r="FVS53" s="1"/>
      <c r="FVT53" s="1"/>
      <c r="FVU53" s="1"/>
      <c r="FVV53" s="1"/>
      <c r="FVW53" s="1"/>
      <c r="FVX53" s="1"/>
      <c r="FVY53" s="1"/>
      <c r="FVZ53" s="1"/>
      <c r="FWA53" s="1"/>
      <c r="FWB53" s="1"/>
      <c r="FWC53" s="1"/>
      <c r="FWD53" s="1"/>
      <c r="FWE53" s="1"/>
      <c r="FWF53" s="1"/>
      <c r="FWG53" s="1"/>
      <c r="FWH53" s="1"/>
      <c r="FWI53" s="1"/>
      <c r="FWJ53" s="1"/>
      <c r="FWK53" s="1"/>
      <c r="FWL53" s="1"/>
      <c r="FWM53" s="1"/>
      <c r="FWN53" s="1"/>
      <c r="FWO53" s="1"/>
      <c r="FWP53" s="1"/>
      <c r="FWQ53" s="1"/>
      <c r="FWR53" s="1"/>
      <c r="FWS53" s="1"/>
      <c r="FWT53" s="1"/>
      <c r="FWU53" s="1"/>
      <c r="FWV53" s="1"/>
      <c r="FWW53" s="1"/>
      <c r="FWX53" s="1"/>
      <c r="FWY53" s="1"/>
      <c r="FWZ53" s="1"/>
      <c r="FXA53" s="1"/>
      <c r="FXB53" s="1"/>
      <c r="FXC53" s="1"/>
      <c r="FXD53" s="1"/>
      <c r="FXE53" s="1"/>
      <c r="FXF53" s="1"/>
      <c r="FXG53" s="1"/>
      <c r="FXH53" s="1"/>
      <c r="FXI53" s="1"/>
      <c r="FXJ53" s="1"/>
      <c r="FXK53" s="1"/>
      <c r="FXL53" s="1"/>
      <c r="FXM53" s="1"/>
      <c r="FXN53" s="1"/>
      <c r="FXO53" s="1"/>
      <c r="FXP53" s="1"/>
      <c r="FXQ53" s="1"/>
      <c r="FXR53" s="1"/>
      <c r="FXS53" s="1"/>
      <c r="FXT53" s="1"/>
      <c r="FXU53" s="1"/>
      <c r="FXV53" s="1"/>
      <c r="FXW53" s="1"/>
      <c r="FXX53" s="1"/>
      <c r="FXY53" s="1"/>
      <c r="FXZ53" s="1"/>
      <c r="FYA53" s="1"/>
      <c r="FYB53" s="1"/>
      <c r="FYC53" s="1"/>
      <c r="FYD53" s="1"/>
      <c r="FYE53" s="1"/>
      <c r="FYF53" s="1"/>
      <c r="FYG53" s="1"/>
      <c r="FYH53" s="1"/>
      <c r="FYI53" s="1"/>
      <c r="FYJ53" s="1"/>
      <c r="FYK53" s="1"/>
      <c r="FYL53" s="1"/>
      <c r="FYM53" s="1"/>
      <c r="FYN53" s="1"/>
      <c r="FYO53" s="1"/>
      <c r="FYP53" s="1"/>
      <c r="FYQ53" s="1"/>
      <c r="FYR53" s="1"/>
      <c r="FYS53" s="1"/>
      <c r="FYT53" s="1"/>
      <c r="FYU53" s="1"/>
      <c r="FYV53" s="1"/>
      <c r="FYW53" s="1"/>
      <c r="FYX53" s="1"/>
      <c r="FYY53" s="1"/>
      <c r="FYZ53" s="1"/>
      <c r="FZA53" s="1"/>
      <c r="FZB53" s="1"/>
      <c r="FZC53" s="1"/>
      <c r="FZD53" s="1"/>
      <c r="FZE53" s="1"/>
      <c r="FZF53" s="1"/>
      <c r="FZG53" s="1"/>
      <c r="FZH53" s="1"/>
      <c r="FZI53" s="1"/>
      <c r="FZJ53" s="1"/>
      <c r="FZK53" s="1"/>
      <c r="FZL53" s="1"/>
      <c r="FZM53" s="1"/>
      <c r="FZN53" s="1"/>
      <c r="FZO53" s="1"/>
      <c r="FZP53" s="1"/>
      <c r="FZQ53" s="1"/>
      <c r="FZR53" s="1"/>
      <c r="FZS53" s="1"/>
      <c r="FZT53" s="1"/>
      <c r="FZU53" s="1"/>
      <c r="FZV53" s="1"/>
      <c r="FZW53" s="1"/>
      <c r="FZX53" s="1"/>
      <c r="FZY53" s="1"/>
      <c r="FZZ53" s="1"/>
      <c r="GAA53" s="1"/>
      <c r="GAB53" s="1"/>
      <c r="GAC53" s="1"/>
      <c r="GAD53" s="1"/>
      <c r="GAE53" s="1"/>
      <c r="GAF53" s="1"/>
      <c r="GAG53" s="1"/>
      <c r="GAH53" s="1"/>
      <c r="GAI53" s="1"/>
      <c r="GAJ53" s="1"/>
      <c r="GAK53" s="1"/>
      <c r="GAL53" s="1"/>
      <c r="GAM53" s="1"/>
      <c r="GAN53" s="1"/>
      <c r="GAO53" s="1"/>
      <c r="GAP53" s="1"/>
      <c r="GAQ53" s="1"/>
      <c r="GAR53" s="1"/>
      <c r="GAS53" s="1"/>
      <c r="GAT53" s="1"/>
      <c r="GAU53" s="1"/>
      <c r="GAV53" s="1"/>
      <c r="GAW53" s="1"/>
      <c r="GAX53" s="1"/>
      <c r="GAY53" s="1"/>
      <c r="GAZ53" s="1"/>
      <c r="GBA53" s="1"/>
      <c r="GBB53" s="1"/>
      <c r="GBC53" s="1"/>
      <c r="GBD53" s="1"/>
      <c r="GBE53" s="1"/>
      <c r="GBF53" s="1"/>
      <c r="GBG53" s="1"/>
      <c r="GBH53" s="1"/>
      <c r="GBI53" s="1"/>
      <c r="GBJ53" s="1"/>
      <c r="GBK53" s="1"/>
      <c r="GBL53" s="1"/>
      <c r="GBM53" s="1"/>
      <c r="GBN53" s="1"/>
      <c r="GBO53" s="1"/>
      <c r="GBP53" s="1"/>
      <c r="GBQ53" s="1"/>
      <c r="GBR53" s="1"/>
      <c r="GBS53" s="1"/>
      <c r="GBT53" s="1"/>
      <c r="GBU53" s="1"/>
      <c r="GBV53" s="1"/>
      <c r="GBW53" s="1"/>
      <c r="GBX53" s="1"/>
      <c r="GBY53" s="1"/>
      <c r="GBZ53" s="1"/>
      <c r="GCA53" s="1"/>
      <c r="GCB53" s="1"/>
      <c r="GCC53" s="1"/>
      <c r="GCD53" s="1"/>
      <c r="GCE53" s="1"/>
      <c r="GCF53" s="1"/>
      <c r="GCG53" s="1"/>
      <c r="GCH53" s="1"/>
      <c r="GCI53" s="1"/>
      <c r="GCJ53" s="1"/>
      <c r="GCK53" s="1"/>
      <c r="GCL53" s="1"/>
      <c r="GCM53" s="1"/>
      <c r="GCN53" s="1"/>
      <c r="GCO53" s="1"/>
      <c r="GCP53" s="1"/>
      <c r="GCQ53" s="1"/>
      <c r="GCR53" s="1"/>
      <c r="GCS53" s="1"/>
      <c r="GCT53" s="1"/>
      <c r="GCU53" s="1"/>
      <c r="GCV53" s="1"/>
      <c r="GCW53" s="1"/>
      <c r="GCX53" s="1"/>
      <c r="GCY53" s="1"/>
      <c r="GCZ53" s="1"/>
      <c r="GDA53" s="1"/>
      <c r="GDB53" s="1"/>
      <c r="GDC53" s="1"/>
      <c r="GDD53" s="1"/>
      <c r="GDE53" s="1"/>
      <c r="GDF53" s="1"/>
      <c r="GDG53" s="1"/>
      <c r="GDH53" s="1"/>
      <c r="GDI53" s="1"/>
      <c r="GDJ53" s="1"/>
      <c r="GDK53" s="1"/>
      <c r="GDL53" s="1"/>
      <c r="GDM53" s="1"/>
      <c r="GDN53" s="1"/>
      <c r="GDO53" s="1"/>
      <c r="GDP53" s="1"/>
      <c r="GDQ53" s="1"/>
      <c r="GDR53" s="1"/>
      <c r="GDS53" s="1"/>
      <c r="GDT53" s="1"/>
      <c r="GDU53" s="1"/>
      <c r="GDV53" s="1"/>
      <c r="GDW53" s="1"/>
      <c r="GDX53" s="1"/>
      <c r="GDY53" s="1"/>
      <c r="GDZ53" s="1"/>
      <c r="GEA53" s="1"/>
      <c r="GEB53" s="1"/>
      <c r="GEC53" s="1"/>
      <c r="GED53" s="1"/>
      <c r="GEE53" s="1"/>
      <c r="GEF53" s="1"/>
      <c r="GEG53" s="1"/>
      <c r="GEH53" s="1"/>
      <c r="GEI53" s="1"/>
      <c r="GEJ53" s="1"/>
      <c r="GEK53" s="1"/>
      <c r="GEL53" s="1"/>
      <c r="GEM53" s="1"/>
      <c r="GEN53" s="1"/>
      <c r="GEO53" s="1"/>
      <c r="GEP53" s="1"/>
      <c r="GEQ53" s="1"/>
      <c r="GER53" s="1"/>
      <c r="GES53" s="1"/>
      <c r="GET53" s="1"/>
      <c r="GEU53" s="1"/>
      <c r="GEV53" s="1"/>
      <c r="GEW53" s="1"/>
      <c r="GEX53" s="1"/>
      <c r="GEY53" s="1"/>
      <c r="GEZ53" s="1"/>
      <c r="GFA53" s="1"/>
      <c r="GFB53" s="1"/>
      <c r="GFC53" s="1"/>
      <c r="GFD53" s="1"/>
      <c r="GFE53" s="1"/>
      <c r="GFF53" s="1"/>
      <c r="GFG53" s="1"/>
      <c r="GFH53" s="1"/>
      <c r="GFI53" s="1"/>
      <c r="GFJ53" s="1"/>
      <c r="GFK53" s="1"/>
      <c r="GFL53" s="1"/>
      <c r="GFM53" s="1"/>
      <c r="GFN53" s="1"/>
      <c r="GFO53" s="1"/>
      <c r="GFP53" s="1"/>
      <c r="GFQ53" s="1"/>
      <c r="GFR53" s="1"/>
      <c r="GFS53" s="1"/>
      <c r="GFT53" s="1"/>
      <c r="GFU53" s="1"/>
      <c r="GFV53" s="1"/>
      <c r="GFW53" s="1"/>
      <c r="GFX53" s="1"/>
      <c r="GFY53" s="1"/>
      <c r="GFZ53" s="1"/>
      <c r="GGA53" s="1"/>
      <c r="GGB53" s="1"/>
      <c r="GGC53" s="1"/>
      <c r="GGD53" s="1"/>
      <c r="GGE53" s="1"/>
      <c r="GGF53" s="1"/>
      <c r="GGG53" s="1"/>
      <c r="GGH53" s="1"/>
      <c r="GGI53" s="1"/>
      <c r="GGJ53" s="1"/>
      <c r="GGK53" s="1"/>
      <c r="GGL53" s="1"/>
      <c r="GGM53" s="1"/>
      <c r="GGN53" s="1"/>
      <c r="GGO53" s="1"/>
      <c r="GGP53" s="1"/>
      <c r="GGQ53" s="1"/>
      <c r="GGR53" s="1"/>
      <c r="GGS53" s="1"/>
      <c r="GGT53" s="1"/>
      <c r="GGU53" s="1"/>
      <c r="GGV53" s="1"/>
      <c r="GGW53" s="1"/>
      <c r="GGX53" s="1"/>
      <c r="GGY53" s="1"/>
      <c r="GGZ53" s="1"/>
      <c r="GHA53" s="1"/>
      <c r="GHB53" s="1"/>
      <c r="GHC53" s="1"/>
      <c r="GHD53" s="1"/>
      <c r="GHE53" s="1"/>
      <c r="GHF53" s="1"/>
      <c r="GHG53" s="1"/>
      <c r="GHH53" s="1"/>
      <c r="GHI53" s="1"/>
      <c r="GHJ53" s="1"/>
      <c r="GHK53" s="1"/>
      <c r="GHL53" s="1"/>
      <c r="GHM53" s="1"/>
      <c r="GHN53" s="1"/>
      <c r="GHO53" s="1"/>
      <c r="GHP53" s="1"/>
      <c r="GHQ53" s="1"/>
      <c r="GHR53" s="1"/>
      <c r="GHS53" s="1"/>
      <c r="GHT53" s="1"/>
      <c r="GHU53" s="1"/>
      <c r="GHV53" s="1"/>
      <c r="GHW53" s="1"/>
      <c r="GHX53" s="1"/>
      <c r="GHY53" s="1"/>
      <c r="GHZ53" s="1"/>
      <c r="GIA53" s="1"/>
      <c r="GIB53" s="1"/>
      <c r="GIC53" s="1"/>
      <c r="GID53" s="1"/>
      <c r="GIE53" s="1"/>
      <c r="GIF53" s="1"/>
      <c r="GIG53" s="1"/>
      <c r="GIH53" s="1"/>
      <c r="GII53" s="1"/>
      <c r="GIJ53" s="1"/>
      <c r="GIK53" s="1"/>
      <c r="GIL53" s="1"/>
      <c r="GIM53" s="1"/>
      <c r="GIN53" s="1"/>
      <c r="GIO53" s="1"/>
      <c r="GIP53" s="1"/>
      <c r="GIQ53" s="1"/>
      <c r="GIR53" s="1"/>
      <c r="GIS53" s="1"/>
      <c r="GIT53" s="1"/>
      <c r="GIU53" s="1"/>
      <c r="GIV53" s="1"/>
      <c r="GIW53" s="1"/>
      <c r="GIX53" s="1"/>
      <c r="GIY53" s="1"/>
      <c r="GIZ53" s="1"/>
      <c r="GJA53" s="1"/>
      <c r="GJB53" s="1"/>
      <c r="GJC53" s="1"/>
      <c r="GJD53" s="1"/>
      <c r="GJE53" s="1"/>
      <c r="GJF53" s="1"/>
      <c r="GJG53" s="1"/>
      <c r="GJH53" s="1"/>
      <c r="GJI53" s="1"/>
      <c r="GJJ53" s="1"/>
      <c r="GJK53" s="1"/>
      <c r="GJL53" s="1"/>
      <c r="GJM53" s="1"/>
      <c r="GJN53" s="1"/>
      <c r="GJO53" s="1"/>
      <c r="GJP53" s="1"/>
      <c r="GJQ53" s="1"/>
      <c r="GJR53" s="1"/>
      <c r="GJS53" s="1"/>
      <c r="GJT53" s="1"/>
      <c r="GJU53" s="1"/>
      <c r="GJV53" s="1"/>
      <c r="GJW53" s="1"/>
      <c r="GJX53" s="1"/>
      <c r="GJY53" s="1"/>
      <c r="GJZ53" s="1"/>
      <c r="GKA53" s="1"/>
      <c r="GKB53" s="1"/>
      <c r="GKC53" s="1"/>
      <c r="GKD53" s="1"/>
      <c r="GKE53" s="1"/>
      <c r="GKF53" s="1"/>
      <c r="GKG53" s="1"/>
      <c r="GKH53" s="1"/>
      <c r="GKI53" s="1"/>
      <c r="GKJ53" s="1"/>
      <c r="GKK53" s="1"/>
      <c r="GKL53" s="1"/>
      <c r="GKM53" s="1"/>
      <c r="GKN53" s="1"/>
      <c r="GKO53" s="1"/>
      <c r="GKP53" s="1"/>
      <c r="GKQ53" s="1"/>
      <c r="GKR53" s="1"/>
      <c r="GKS53" s="1"/>
      <c r="GKT53" s="1"/>
      <c r="GKU53" s="1"/>
      <c r="GKV53" s="1"/>
      <c r="GKW53" s="1"/>
      <c r="GKX53" s="1"/>
      <c r="GKY53" s="1"/>
      <c r="GKZ53" s="1"/>
      <c r="GLA53" s="1"/>
      <c r="GLB53" s="1"/>
      <c r="GLC53" s="1"/>
      <c r="GLD53" s="1"/>
      <c r="GLE53" s="1"/>
      <c r="GLF53" s="1"/>
      <c r="GLG53" s="1"/>
      <c r="GLH53" s="1"/>
      <c r="GLI53" s="1"/>
      <c r="GLJ53" s="1"/>
      <c r="GLK53" s="1"/>
      <c r="GLL53" s="1"/>
      <c r="GLM53" s="1"/>
      <c r="GLN53" s="1"/>
      <c r="GLO53" s="1"/>
      <c r="GLP53" s="1"/>
      <c r="GLQ53" s="1"/>
      <c r="GLR53" s="1"/>
      <c r="GLS53" s="1"/>
      <c r="GLT53" s="1"/>
      <c r="GLU53" s="1"/>
      <c r="GLV53" s="1"/>
      <c r="GLW53" s="1"/>
      <c r="GLX53" s="1"/>
      <c r="GLY53" s="1"/>
      <c r="GLZ53" s="1"/>
      <c r="GMA53" s="1"/>
      <c r="GMB53" s="1"/>
      <c r="GMC53" s="1"/>
      <c r="GMD53" s="1"/>
      <c r="GME53" s="1"/>
      <c r="GMF53" s="1"/>
      <c r="GMG53" s="1"/>
      <c r="GMH53" s="1"/>
      <c r="GMI53" s="1"/>
      <c r="GMJ53" s="1"/>
      <c r="GMK53" s="1"/>
      <c r="GML53" s="1"/>
      <c r="GMM53" s="1"/>
      <c r="GMN53" s="1"/>
      <c r="GMO53" s="1"/>
      <c r="GMP53" s="1"/>
      <c r="GMQ53" s="1"/>
      <c r="GMR53" s="1"/>
      <c r="GMS53" s="1"/>
      <c r="GMT53" s="1"/>
      <c r="GMU53" s="1"/>
      <c r="GMV53" s="1"/>
      <c r="GMW53" s="1"/>
      <c r="GMX53" s="1"/>
      <c r="GMY53" s="1"/>
      <c r="GMZ53" s="1"/>
      <c r="GNA53" s="1"/>
      <c r="GNB53" s="1"/>
      <c r="GNC53" s="1"/>
      <c r="GND53" s="1"/>
      <c r="GNE53" s="1"/>
      <c r="GNF53" s="1"/>
      <c r="GNG53" s="1"/>
      <c r="GNH53" s="1"/>
      <c r="GNI53" s="1"/>
      <c r="GNJ53" s="1"/>
      <c r="GNK53" s="1"/>
      <c r="GNL53" s="1"/>
      <c r="GNM53" s="1"/>
      <c r="GNN53" s="1"/>
      <c r="GNO53" s="1"/>
      <c r="GNP53" s="1"/>
      <c r="GNQ53" s="1"/>
      <c r="GNR53" s="1"/>
      <c r="GNS53" s="1"/>
      <c r="GNT53" s="1"/>
      <c r="GNU53" s="1"/>
      <c r="GNV53" s="1"/>
      <c r="GNW53" s="1"/>
      <c r="GNX53" s="1"/>
      <c r="GNY53" s="1"/>
      <c r="GNZ53" s="1"/>
      <c r="GOA53" s="1"/>
      <c r="GOB53" s="1"/>
      <c r="GOC53" s="1"/>
      <c r="GOD53" s="1"/>
      <c r="GOE53" s="1"/>
      <c r="GOF53" s="1"/>
      <c r="GOG53" s="1"/>
      <c r="GOH53" s="1"/>
      <c r="GOI53" s="1"/>
      <c r="GOJ53" s="1"/>
      <c r="GOK53" s="1"/>
      <c r="GOL53" s="1"/>
      <c r="GOM53" s="1"/>
      <c r="GON53" s="1"/>
      <c r="GOO53" s="1"/>
      <c r="GOP53" s="1"/>
      <c r="GOQ53" s="1"/>
      <c r="GOR53" s="1"/>
      <c r="GOS53" s="1"/>
      <c r="GOT53" s="1"/>
      <c r="GOU53" s="1"/>
      <c r="GOV53" s="1"/>
      <c r="GOW53" s="1"/>
      <c r="GOX53" s="1"/>
      <c r="GOY53" s="1"/>
      <c r="GOZ53" s="1"/>
      <c r="GPA53" s="1"/>
      <c r="GPB53" s="1"/>
      <c r="GPC53" s="1"/>
      <c r="GPD53" s="1"/>
      <c r="GPE53" s="1"/>
      <c r="GPF53" s="1"/>
      <c r="GPG53" s="1"/>
      <c r="GPH53" s="1"/>
      <c r="GPI53" s="1"/>
      <c r="GPJ53" s="1"/>
      <c r="GPK53" s="1"/>
      <c r="GPL53" s="1"/>
      <c r="GPM53" s="1"/>
      <c r="GPN53" s="1"/>
      <c r="GPO53" s="1"/>
      <c r="GPP53" s="1"/>
      <c r="GPQ53" s="1"/>
      <c r="GPR53" s="1"/>
      <c r="GPS53" s="1"/>
      <c r="GPT53" s="1"/>
      <c r="GPU53" s="1"/>
      <c r="GPV53" s="1"/>
      <c r="GPW53" s="1"/>
      <c r="GPX53" s="1"/>
      <c r="GPY53" s="1"/>
      <c r="GPZ53" s="1"/>
      <c r="GQA53" s="1"/>
      <c r="GQB53" s="1"/>
      <c r="GQC53" s="1"/>
      <c r="GQD53" s="1"/>
      <c r="GQE53" s="1"/>
      <c r="GQF53" s="1"/>
      <c r="GQG53" s="1"/>
      <c r="GQH53" s="1"/>
      <c r="GQI53" s="1"/>
      <c r="GQJ53" s="1"/>
      <c r="GQK53" s="1"/>
      <c r="GQL53" s="1"/>
      <c r="GQM53" s="1"/>
      <c r="GQN53" s="1"/>
      <c r="GQO53" s="1"/>
      <c r="GQP53" s="1"/>
      <c r="GQQ53" s="1"/>
      <c r="GQR53" s="1"/>
      <c r="GQS53" s="1"/>
      <c r="GQT53" s="1"/>
      <c r="GQU53" s="1"/>
      <c r="GQV53" s="1"/>
      <c r="GQW53" s="1"/>
      <c r="GQX53" s="1"/>
      <c r="GQY53" s="1"/>
      <c r="GQZ53" s="1"/>
      <c r="GRA53" s="1"/>
      <c r="GRB53" s="1"/>
      <c r="GRC53" s="1"/>
      <c r="GRD53" s="1"/>
      <c r="GRE53" s="1"/>
      <c r="GRF53" s="1"/>
      <c r="GRG53" s="1"/>
      <c r="GRH53" s="1"/>
      <c r="GRI53" s="1"/>
      <c r="GRJ53" s="1"/>
      <c r="GRK53" s="1"/>
      <c r="GRL53" s="1"/>
      <c r="GRM53" s="1"/>
      <c r="GRN53" s="1"/>
      <c r="GRO53" s="1"/>
      <c r="GRP53" s="1"/>
      <c r="GRQ53" s="1"/>
      <c r="GRR53" s="1"/>
      <c r="GRS53" s="1"/>
      <c r="GRT53" s="1"/>
      <c r="GRU53" s="1"/>
      <c r="GRV53" s="1"/>
      <c r="GRW53" s="1"/>
      <c r="GRX53" s="1"/>
      <c r="GRY53" s="1"/>
      <c r="GRZ53" s="1"/>
      <c r="GSA53" s="1"/>
      <c r="GSB53" s="1"/>
      <c r="GSC53" s="1"/>
      <c r="GSD53" s="1"/>
      <c r="GSE53" s="1"/>
      <c r="GSF53" s="1"/>
      <c r="GSG53" s="1"/>
      <c r="GSH53" s="1"/>
      <c r="GSI53" s="1"/>
      <c r="GSJ53" s="1"/>
      <c r="GSK53" s="1"/>
      <c r="GSL53" s="1"/>
      <c r="GSM53" s="1"/>
      <c r="GSN53" s="1"/>
      <c r="GSO53" s="1"/>
      <c r="GSP53" s="1"/>
      <c r="GSQ53" s="1"/>
      <c r="GSR53" s="1"/>
      <c r="GSS53" s="1"/>
      <c r="GST53" s="1"/>
      <c r="GSU53" s="1"/>
      <c r="GSV53" s="1"/>
      <c r="GSW53" s="1"/>
      <c r="GSX53" s="1"/>
      <c r="GSY53" s="1"/>
      <c r="GSZ53" s="1"/>
      <c r="GTA53" s="1"/>
      <c r="GTB53" s="1"/>
      <c r="GTC53" s="1"/>
      <c r="GTD53" s="1"/>
      <c r="GTE53" s="1"/>
      <c r="GTF53" s="1"/>
      <c r="GTG53" s="1"/>
      <c r="GTH53" s="1"/>
      <c r="GTI53" s="1"/>
      <c r="GTJ53" s="1"/>
      <c r="GTK53" s="1"/>
      <c r="GTL53" s="1"/>
      <c r="GTM53" s="1"/>
      <c r="GTN53" s="1"/>
      <c r="GTO53" s="1"/>
      <c r="GTP53" s="1"/>
      <c r="GTQ53" s="1"/>
      <c r="GTR53" s="1"/>
      <c r="GTS53" s="1"/>
      <c r="GTT53" s="1"/>
      <c r="GTU53" s="1"/>
      <c r="GTV53" s="1"/>
      <c r="GTW53" s="1"/>
      <c r="GTX53" s="1"/>
      <c r="GTY53" s="1"/>
      <c r="GTZ53" s="1"/>
      <c r="GUA53" s="1"/>
      <c r="GUB53" s="1"/>
      <c r="GUC53" s="1"/>
      <c r="GUD53" s="1"/>
      <c r="GUE53" s="1"/>
      <c r="GUF53" s="1"/>
      <c r="GUG53" s="1"/>
      <c r="GUH53" s="1"/>
      <c r="GUI53" s="1"/>
      <c r="GUJ53" s="1"/>
      <c r="GUK53" s="1"/>
      <c r="GUL53" s="1"/>
      <c r="GUM53" s="1"/>
      <c r="GUN53" s="1"/>
      <c r="GUO53" s="1"/>
      <c r="GUP53" s="1"/>
      <c r="GUQ53" s="1"/>
      <c r="GUR53" s="1"/>
      <c r="GUS53" s="1"/>
      <c r="GUT53" s="1"/>
      <c r="GUU53" s="1"/>
      <c r="GUV53" s="1"/>
      <c r="GUW53" s="1"/>
      <c r="GUX53" s="1"/>
      <c r="GUY53" s="1"/>
      <c r="GUZ53" s="1"/>
      <c r="GVA53" s="1"/>
      <c r="GVB53" s="1"/>
      <c r="GVC53" s="1"/>
      <c r="GVD53" s="1"/>
      <c r="GVE53" s="1"/>
      <c r="GVF53" s="1"/>
      <c r="GVG53" s="1"/>
      <c r="GVH53" s="1"/>
      <c r="GVI53" s="1"/>
      <c r="GVJ53" s="1"/>
      <c r="GVK53" s="1"/>
      <c r="GVL53" s="1"/>
      <c r="GVM53" s="1"/>
      <c r="GVN53" s="1"/>
      <c r="GVO53" s="1"/>
      <c r="GVP53" s="1"/>
      <c r="GVQ53" s="1"/>
      <c r="GVR53" s="1"/>
      <c r="GVS53" s="1"/>
      <c r="GVT53" s="1"/>
      <c r="GVU53" s="1"/>
      <c r="GVV53" s="1"/>
      <c r="GVW53" s="1"/>
      <c r="GVX53" s="1"/>
      <c r="GVY53" s="1"/>
      <c r="GVZ53" s="1"/>
      <c r="GWA53" s="1"/>
      <c r="GWB53" s="1"/>
      <c r="GWC53" s="1"/>
      <c r="GWD53" s="1"/>
      <c r="GWE53" s="1"/>
      <c r="GWF53" s="1"/>
      <c r="GWG53" s="1"/>
      <c r="GWH53" s="1"/>
      <c r="GWI53" s="1"/>
      <c r="GWJ53" s="1"/>
      <c r="GWK53" s="1"/>
      <c r="GWL53" s="1"/>
      <c r="GWM53" s="1"/>
      <c r="GWN53" s="1"/>
      <c r="GWO53" s="1"/>
      <c r="GWP53" s="1"/>
      <c r="GWQ53" s="1"/>
      <c r="GWR53" s="1"/>
      <c r="GWS53" s="1"/>
      <c r="GWT53" s="1"/>
      <c r="GWU53" s="1"/>
      <c r="GWV53" s="1"/>
      <c r="GWW53" s="1"/>
      <c r="GWX53" s="1"/>
      <c r="GWY53" s="1"/>
      <c r="GWZ53" s="1"/>
      <c r="GXA53" s="1"/>
      <c r="GXB53" s="1"/>
      <c r="GXC53" s="1"/>
      <c r="GXD53" s="1"/>
      <c r="GXE53" s="1"/>
      <c r="GXF53" s="1"/>
      <c r="GXG53" s="1"/>
      <c r="GXH53" s="1"/>
      <c r="GXI53" s="1"/>
      <c r="GXJ53" s="1"/>
      <c r="GXK53" s="1"/>
      <c r="GXL53" s="1"/>
      <c r="GXM53" s="1"/>
      <c r="GXN53" s="1"/>
      <c r="GXO53" s="1"/>
      <c r="GXP53" s="1"/>
      <c r="GXQ53" s="1"/>
      <c r="GXR53" s="1"/>
      <c r="GXS53" s="1"/>
      <c r="GXT53" s="1"/>
      <c r="GXU53" s="1"/>
      <c r="GXV53" s="1"/>
      <c r="GXW53" s="1"/>
      <c r="GXX53" s="1"/>
      <c r="GXY53" s="1"/>
      <c r="GXZ53" s="1"/>
      <c r="GYA53" s="1"/>
      <c r="GYB53" s="1"/>
      <c r="GYC53" s="1"/>
      <c r="GYD53" s="1"/>
      <c r="GYE53" s="1"/>
      <c r="GYF53" s="1"/>
      <c r="GYG53" s="1"/>
      <c r="GYH53" s="1"/>
      <c r="GYI53" s="1"/>
      <c r="GYJ53" s="1"/>
      <c r="GYK53" s="1"/>
      <c r="GYL53" s="1"/>
      <c r="GYM53" s="1"/>
      <c r="GYN53" s="1"/>
      <c r="GYO53" s="1"/>
      <c r="GYP53" s="1"/>
      <c r="GYQ53" s="1"/>
      <c r="GYR53" s="1"/>
      <c r="GYS53" s="1"/>
      <c r="GYT53" s="1"/>
      <c r="GYU53" s="1"/>
      <c r="GYV53" s="1"/>
      <c r="GYW53" s="1"/>
      <c r="GYX53" s="1"/>
      <c r="GYY53" s="1"/>
      <c r="GYZ53" s="1"/>
      <c r="GZA53" s="1"/>
      <c r="GZB53" s="1"/>
      <c r="GZC53" s="1"/>
      <c r="GZD53" s="1"/>
      <c r="GZE53" s="1"/>
      <c r="GZF53" s="1"/>
      <c r="GZG53" s="1"/>
      <c r="GZH53" s="1"/>
      <c r="GZI53" s="1"/>
      <c r="GZJ53" s="1"/>
      <c r="GZK53" s="1"/>
      <c r="GZL53" s="1"/>
      <c r="GZM53" s="1"/>
      <c r="GZN53" s="1"/>
      <c r="GZO53" s="1"/>
      <c r="GZP53" s="1"/>
      <c r="GZQ53" s="1"/>
      <c r="GZR53" s="1"/>
      <c r="GZS53" s="1"/>
      <c r="GZT53" s="1"/>
      <c r="GZU53" s="1"/>
      <c r="GZV53" s="1"/>
      <c r="GZW53" s="1"/>
      <c r="GZX53" s="1"/>
      <c r="GZY53" s="1"/>
      <c r="GZZ53" s="1"/>
      <c r="HAA53" s="1"/>
      <c r="HAB53" s="1"/>
      <c r="HAC53" s="1"/>
      <c r="HAD53" s="1"/>
      <c r="HAE53" s="1"/>
      <c r="HAF53" s="1"/>
      <c r="HAG53" s="1"/>
      <c r="HAH53" s="1"/>
      <c r="HAI53" s="1"/>
      <c r="HAJ53" s="1"/>
      <c r="HAK53" s="1"/>
      <c r="HAL53" s="1"/>
      <c r="HAM53" s="1"/>
      <c r="HAN53" s="1"/>
      <c r="HAO53" s="1"/>
      <c r="HAP53" s="1"/>
      <c r="HAQ53" s="1"/>
      <c r="HAR53" s="1"/>
      <c r="HAS53" s="1"/>
      <c r="HAT53" s="1"/>
      <c r="HAU53" s="1"/>
      <c r="HAV53" s="1"/>
      <c r="HAW53" s="1"/>
      <c r="HAX53" s="1"/>
      <c r="HAY53" s="1"/>
      <c r="HAZ53" s="1"/>
      <c r="HBA53" s="1"/>
      <c r="HBB53" s="1"/>
      <c r="HBC53" s="1"/>
      <c r="HBD53" s="1"/>
      <c r="HBE53" s="1"/>
      <c r="HBF53" s="1"/>
      <c r="HBG53" s="1"/>
      <c r="HBH53" s="1"/>
      <c r="HBI53" s="1"/>
      <c r="HBJ53" s="1"/>
      <c r="HBK53" s="1"/>
      <c r="HBL53" s="1"/>
      <c r="HBM53" s="1"/>
      <c r="HBN53" s="1"/>
      <c r="HBO53" s="1"/>
      <c r="HBP53" s="1"/>
      <c r="HBQ53" s="1"/>
      <c r="HBR53" s="1"/>
      <c r="HBS53" s="1"/>
      <c r="HBT53" s="1"/>
      <c r="HBU53" s="1"/>
      <c r="HBV53" s="1"/>
      <c r="HBW53" s="1"/>
      <c r="HBX53" s="1"/>
      <c r="HBY53" s="1"/>
      <c r="HBZ53" s="1"/>
      <c r="HCA53" s="1"/>
      <c r="HCB53" s="1"/>
      <c r="HCC53" s="1"/>
      <c r="HCD53" s="1"/>
      <c r="HCE53" s="1"/>
      <c r="HCF53" s="1"/>
      <c r="HCG53" s="1"/>
      <c r="HCH53" s="1"/>
      <c r="HCI53" s="1"/>
      <c r="HCJ53" s="1"/>
      <c r="HCK53" s="1"/>
      <c r="HCL53" s="1"/>
      <c r="HCM53" s="1"/>
      <c r="HCN53" s="1"/>
      <c r="HCO53" s="1"/>
      <c r="HCP53" s="1"/>
      <c r="HCQ53" s="1"/>
      <c r="HCR53" s="1"/>
      <c r="HCS53" s="1"/>
      <c r="HCT53" s="1"/>
      <c r="HCU53" s="1"/>
      <c r="HCV53" s="1"/>
      <c r="HCW53" s="1"/>
      <c r="HCX53" s="1"/>
      <c r="HCY53" s="1"/>
      <c r="HCZ53" s="1"/>
      <c r="HDA53" s="1"/>
      <c r="HDB53" s="1"/>
      <c r="HDC53" s="1"/>
      <c r="HDD53" s="1"/>
      <c r="HDE53" s="1"/>
      <c r="HDF53" s="1"/>
      <c r="HDG53" s="1"/>
      <c r="HDH53" s="1"/>
      <c r="HDI53" s="1"/>
      <c r="HDJ53" s="1"/>
      <c r="HDK53" s="1"/>
      <c r="HDL53" s="1"/>
      <c r="HDM53" s="1"/>
      <c r="HDN53" s="1"/>
      <c r="HDO53" s="1"/>
      <c r="HDP53" s="1"/>
      <c r="HDQ53" s="1"/>
      <c r="HDR53" s="1"/>
      <c r="HDS53" s="1"/>
      <c r="HDT53" s="1"/>
      <c r="HDU53" s="1"/>
      <c r="HDV53" s="1"/>
      <c r="HDW53" s="1"/>
      <c r="HDX53" s="1"/>
      <c r="HDY53" s="1"/>
      <c r="HDZ53" s="1"/>
      <c r="HEA53" s="1"/>
      <c r="HEB53" s="1"/>
      <c r="HEC53" s="1"/>
      <c r="HED53" s="1"/>
      <c r="HEE53" s="1"/>
      <c r="HEF53" s="1"/>
      <c r="HEG53" s="1"/>
      <c r="HEH53" s="1"/>
      <c r="HEI53" s="1"/>
      <c r="HEJ53" s="1"/>
      <c r="HEK53" s="1"/>
      <c r="HEL53" s="1"/>
      <c r="HEM53" s="1"/>
      <c r="HEN53" s="1"/>
      <c r="HEO53" s="1"/>
      <c r="HEP53" s="1"/>
      <c r="HEQ53" s="1"/>
      <c r="HER53" s="1"/>
      <c r="HES53" s="1"/>
      <c r="HET53" s="1"/>
      <c r="HEU53" s="1"/>
      <c r="HEV53" s="1"/>
      <c r="HEW53" s="1"/>
      <c r="HEX53" s="1"/>
      <c r="HEY53" s="1"/>
      <c r="HEZ53" s="1"/>
      <c r="HFA53" s="1"/>
      <c r="HFB53" s="1"/>
      <c r="HFC53" s="1"/>
      <c r="HFD53" s="1"/>
      <c r="HFE53" s="1"/>
      <c r="HFF53" s="1"/>
      <c r="HFG53" s="1"/>
      <c r="HFH53" s="1"/>
      <c r="HFI53" s="1"/>
      <c r="HFJ53" s="1"/>
      <c r="HFK53" s="1"/>
      <c r="HFL53" s="1"/>
      <c r="HFM53" s="1"/>
      <c r="HFN53" s="1"/>
      <c r="HFO53" s="1"/>
      <c r="HFP53" s="1"/>
      <c r="HFQ53" s="1"/>
      <c r="HFR53" s="1"/>
      <c r="HFS53" s="1"/>
      <c r="HFT53" s="1"/>
      <c r="HFU53" s="1"/>
      <c r="HFV53" s="1"/>
      <c r="HFW53" s="1"/>
      <c r="HFX53" s="1"/>
      <c r="HFY53" s="1"/>
      <c r="HFZ53" s="1"/>
      <c r="HGA53" s="1"/>
      <c r="HGB53" s="1"/>
      <c r="HGC53" s="1"/>
      <c r="HGD53" s="1"/>
      <c r="HGE53" s="1"/>
      <c r="HGF53" s="1"/>
      <c r="HGG53" s="1"/>
      <c r="HGH53" s="1"/>
      <c r="HGI53" s="1"/>
      <c r="HGJ53" s="1"/>
      <c r="HGK53" s="1"/>
      <c r="HGL53" s="1"/>
      <c r="HGM53" s="1"/>
      <c r="HGN53" s="1"/>
      <c r="HGO53" s="1"/>
      <c r="HGP53" s="1"/>
      <c r="HGQ53" s="1"/>
      <c r="HGR53" s="1"/>
      <c r="HGS53" s="1"/>
      <c r="HGT53" s="1"/>
      <c r="HGU53" s="1"/>
      <c r="HGV53" s="1"/>
      <c r="HGW53" s="1"/>
      <c r="HGX53" s="1"/>
      <c r="HGY53" s="1"/>
      <c r="HGZ53" s="1"/>
      <c r="HHA53" s="1"/>
      <c r="HHB53" s="1"/>
      <c r="HHC53" s="1"/>
      <c r="HHD53" s="1"/>
      <c r="HHE53" s="1"/>
      <c r="HHF53" s="1"/>
      <c r="HHG53" s="1"/>
      <c r="HHH53" s="1"/>
      <c r="HHI53" s="1"/>
      <c r="HHJ53" s="1"/>
      <c r="HHK53" s="1"/>
      <c r="HHL53" s="1"/>
      <c r="HHM53" s="1"/>
      <c r="HHN53" s="1"/>
      <c r="HHO53" s="1"/>
      <c r="HHP53" s="1"/>
      <c r="HHQ53" s="1"/>
      <c r="HHR53" s="1"/>
      <c r="HHS53" s="1"/>
      <c r="HHT53" s="1"/>
      <c r="HHU53" s="1"/>
      <c r="HHV53" s="1"/>
      <c r="HHW53" s="1"/>
      <c r="HHX53" s="1"/>
      <c r="HHY53" s="1"/>
      <c r="HHZ53" s="1"/>
      <c r="HIA53" s="1"/>
      <c r="HIB53" s="1"/>
      <c r="HIC53" s="1"/>
      <c r="HID53" s="1"/>
      <c r="HIE53" s="1"/>
      <c r="HIF53" s="1"/>
      <c r="HIG53" s="1"/>
      <c r="HIH53" s="1"/>
      <c r="HII53" s="1"/>
      <c r="HIJ53" s="1"/>
      <c r="HIK53" s="1"/>
      <c r="HIL53" s="1"/>
      <c r="HIM53" s="1"/>
      <c r="HIN53" s="1"/>
      <c r="HIO53" s="1"/>
      <c r="HIP53" s="1"/>
      <c r="HIQ53" s="1"/>
      <c r="HIR53" s="1"/>
      <c r="HIS53" s="1"/>
      <c r="HIT53" s="1"/>
      <c r="HIU53" s="1"/>
      <c r="HIV53" s="1"/>
      <c r="HIW53" s="1"/>
      <c r="HIX53" s="1"/>
      <c r="HIY53" s="1"/>
      <c r="HIZ53" s="1"/>
      <c r="HJA53" s="1"/>
      <c r="HJB53" s="1"/>
      <c r="HJC53" s="1"/>
      <c r="HJD53" s="1"/>
      <c r="HJE53" s="1"/>
      <c r="HJF53" s="1"/>
      <c r="HJG53" s="1"/>
      <c r="HJH53" s="1"/>
      <c r="HJI53" s="1"/>
      <c r="HJJ53" s="1"/>
      <c r="HJK53" s="1"/>
      <c r="HJL53" s="1"/>
      <c r="HJM53" s="1"/>
      <c r="HJN53" s="1"/>
      <c r="HJO53" s="1"/>
      <c r="HJP53" s="1"/>
      <c r="HJQ53" s="1"/>
      <c r="HJR53" s="1"/>
      <c r="HJS53" s="1"/>
      <c r="HJT53" s="1"/>
      <c r="HJU53" s="1"/>
      <c r="HJV53" s="1"/>
      <c r="HJW53" s="1"/>
      <c r="HJX53" s="1"/>
      <c r="HJY53" s="1"/>
      <c r="HJZ53" s="1"/>
      <c r="HKA53" s="1"/>
      <c r="HKB53" s="1"/>
      <c r="HKC53" s="1"/>
      <c r="HKD53" s="1"/>
      <c r="HKE53" s="1"/>
      <c r="HKF53" s="1"/>
      <c r="HKG53" s="1"/>
      <c r="HKH53" s="1"/>
      <c r="HKI53" s="1"/>
      <c r="HKJ53" s="1"/>
      <c r="HKK53" s="1"/>
      <c r="HKL53" s="1"/>
      <c r="HKM53" s="1"/>
      <c r="HKN53" s="1"/>
      <c r="HKO53" s="1"/>
      <c r="HKP53" s="1"/>
      <c r="HKQ53" s="1"/>
      <c r="HKR53" s="1"/>
      <c r="HKS53" s="1"/>
      <c r="HKT53" s="1"/>
      <c r="HKU53" s="1"/>
      <c r="HKV53" s="1"/>
      <c r="HKW53" s="1"/>
      <c r="HKX53" s="1"/>
      <c r="HKY53" s="1"/>
      <c r="HKZ53" s="1"/>
      <c r="HLA53" s="1"/>
      <c r="HLB53" s="1"/>
      <c r="HLC53" s="1"/>
      <c r="HLD53" s="1"/>
      <c r="HLE53" s="1"/>
      <c r="HLF53" s="1"/>
      <c r="HLG53" s="1"/>
      <c r="HLH53" s="1"/>
      <c r="HLI53" s="1"/>
      <c r="HLJ53" s="1"/>
      <c r="HLK53" s="1"/>
      <c r="HLL53" s="1"/>
      <c r="HLM53" s="1"/>
      <c r="HLN53" s="1"/>
      <c r="HLO53" s="1"/>
      <c r="HLP53" s="1"/>
      <c r="HLQ53" s="1"/>
      <c r="HLR53" s="1"/>
      <c r="HLS53" s="1"/>
      <c r="HLT53" s="1"/>
      <c r="HLU53" s="1"/>
      <c r="HLV53" s="1"/>
      <c r="HLW53" s="1"/>
      <c r="HLX53" s="1"/>
      <c r="HLY53" s="1"/>
      <c r="HLZ53" s="1"/>
      <c r="HMA53" s="1"/>
      <c r="HMB53" s="1"/>
      <c r="HMC53" s="1"/>
      <c r="HMD53" s="1"/>
      <c r="HME53" s="1"/>
      <c r="HMF53" s="1"/>
      <c r="HMG53" s="1"/>
      <c r="HMH53" s="1"/>
      <c r="HMI53" s="1"/>
      <c r="HMJ53" s="1"/>
      <c r="HMK53" s="1"/>
      <c r="HML53" s="1"/>
      <c r="HMM53" s="1"/>
      <c r="HMN53" s="1"/>
      <c r="HMO53" s="1"/>
      <c r="HMP53" s="1"/>
      <c r="HMQ53" s="1"/>
      <c r="HMR53" s="1"/>
      <c r="HMS53" s="1"/>
      <c r="HMT53" s="1"/>
      <c r="HMU53" s="1"/>
      <c r="HMV53" s="1"/>
      <c r="HMW53" s="1"/>
      <c r="HMX53" s="1"/>
      <c r="HMY53" s="1"/>
      <c r="HMZ53" s="1"/>
      <c r="HNA53" s="1"/>
      <c r="HNB53" s="1"/>
      <c r="HNC53" s="1"/>
      <c r="HND53" s="1"/>
      <c r="HNE53" s="1"/>
      <c r="HNF53" s="1"/>
      <c r="HNG53" s="1"/>
      <c r="HNH53" s="1"/>
      <c r="HNI53" s="1"/>
      <c r="HNJ53" s="1"/>
      <c r="HNK53" s="1"/>
      <c r="HNL53" s="1"/>
      <c r="HNM53" s="1"/>
      <c r="HNN53" s="1"/>
      <c r="HNO53" s="1"/>
      <c r="HNP53" s="1"/>
      <c r="HNQ53" s="1"/>
      <c r="HNR53" s="1"/>
      <c r="HNS53" s="1"/>
      <c r="HNT53" s="1"/>
      <c r="HNU53" s="1"/>
      <c r="HNV53" s="1"/>
      <c r="HNW53" s="1"/>
      <c r="HNX53" s="1"/>
      <c r="HNY53" s="1"/>
      <c r="HNZ53" s="1"/>
      <c r="HOA53" s="1"/>
      <c r="HOB53" s="1"/>
      <c r="HOC53" s="1"/>
      <c r="HOD53" s="1"/>
      <c r="HOE53" s="1"/>
      <c r="HOF53" s="1"/>
      <c r="HOG53" s="1"/>
      <c r="HOH53" s="1"/>
      <c r="HOI53" s="1"/>
      <c r="HOJ53" s="1"/>
      <c r="HOK53" s="1"/>
      <c r="HOL53" s="1"/>
      <c r="HOM53" s="1"/>
      <c r="HON53" s="1"/>
      <c r="HOO53" s="1"/>
      <c r="HOP53" s="1"/>
      <c r="HOQ53" s="1"/>
      <c r="HOR53" s="1"/>
      <c r="HOS53" s="1"/>
      <c r="HOT53" s="1"/>
      <c r="HOU53" s="1"/>
      <c r="HOV53" s="1"/>
      <c r="HOW53" s="1"/>
      <c r="HOX53" s="1"/>
      <c r="HOY53" s="1"/>
      <c r="HOZ53" s="1"/>
      <c r="HPA53" s="1"/>
      <c r="HPB53" s="1"/>
      <c r="HPC53" s="1"/>
      <c r="HPD53" s="1"/>
      <c r="HPE53" s="1"/>
      <c r="HPF53" s="1"/>
      <c r="HPG53" s="1"/>
      <c r="HPH53" s="1"/>
      <c r="HPI53" s="1"/>
      <c r="HPJ53" s="1"/>
      <c r="HPK53" s="1"/>
      <c r="HPL53" s="1"/>
      <c r="HPM53" s="1"/>
      <c r="HPN53" s="1"/>
      <c r="HPO53" s="1"/>
      <c r="HPP53" s="1"/>
      <c r="HPQ53" s="1"/>
      <c r="HPR53" s="1"/>
      <c r="HPS53" s="1"/>
      <c r="HPT53" s="1"/>
      <c r="HPU53" s="1"/>
      <c r="HPV53" s="1"/>
      <c r="HPW53" s="1"/>
      <c r="HPX53" s="1"/>
      <c r="HPY53" s="1"/>
      <c r="HPZ53" s="1"/>
      <c r="HQA53" s="1"/>
      <c r="HQB53" s="1"/>
      <c r="HQC53" s="1"/>
      <c r="HQD53" s="1"/>
      <c r="HQE53" s="1"/>
      <c r="HQF53" s="1"/>
      <c r="HQG53" s="1"/>
      <c r="HQH53" s="1"/>
      <c r="HQI53" s="1"/>
      <c r="HQJ53" s="1"/>
      <c r="HQK53" s="1"/>
      <c r="HQL53" s="1"/>
      <c r="HQM53" s="1"/>
      <c r="HQN53" s="1"/>
      <c r="HQO53" s="1"/>
      <c r="HQP53" s="1"/>
      <c r="HQQ53" s="1"/>
      <c r="HQR53" s="1"/>
      <c r="HQS53" s="1"/>
      <c r="HQT53" s="1"/>
      <c r="HQU53" s="1"/>
      <c r="HQV53" s="1"/>
      <c r="HQW53" s="1"/>
      <c r="HQX53" s="1"/>
      <c r="HQY53" s="1"/>
      <c r="HQZ53" s="1"/>
      <c r="HRA53" s="1"/>
      <c r="HRB53" s="1"/>
      <c r="HRC53" s="1"/>
      <c r="HRD53" s="1"/>
      <c r="HRE53" s="1"/>
      <c r="HRF53" s="1"/>
      <c r="HRG53" s="1"/>
      <c r="HRH53" s="1"/>
      <c r="HRI53" s="1"/>
      <c r="HRJ53" s="1"/>
      <c r="HRK53" s="1"/>
      <c r="HRL53" s="1"/>
      <c r="HRM53" s="1"/>
      <c r="HRN53" s="1"/>
      <c r="HRO53" s="1"/>
      <c r="HRP53" s="1"/>
      <c r="HRQ53" s="1"/>
      <c r="HRR53" s="1"/>
      <c r="HRS53" s="1"/>
      <c r="HRT53" s="1"/>
      <c r="HRU53" s="1"/>
      <c r="HRV53" s="1"/>
      <c r="HRW53" s="1"/>
      <c r="HRX53" s="1"/>
      <c r="HRY53" s="1"/>
      <c r="HRZ53" s="1"/>
      <c r="HSA53" s="1"/>
      <c r="HSB53" s="1"/>
      <c r="HSC53" s="1"/>
      <c r="HSD53" s="1"/>
      <c r="HSE53" s="1"/>
      <c r="HSF53" s="1"/>
      <c r="HSG53" s="1"/>
      <c r="HSH53" s="1"/>
      <c r="HSI53" s="1"/>
      <c r="HSJ53" s="1"/>
      <c r="HSK53" s="1"/>
      <c r="HSL53" s="1"/>
      <c r="HSM53" s="1"/>
      <c r="HSN53" s="1"/>
      <c r="HSO53" s="1"/>
      <c r="HSP53" s="1"/>
      <c r="HSQ53" s="1"/>
      <c r="HSR53" s="1"/>
      <c r="HSS53" s="1"/>
      <c r="HST53" s="1"/>
      <c r="HSU53" s="1"/>
      <c r="HSV53" s="1"/>
      <c r="HSW53" s="1"/>
      <c r="HSX53" s="1"/>
      <c r="HSY53" s="1"/>
      <c r="HSZ53" s="1"/>
      <c r="HTA53" s="1"/>
      <c r="HTB53" s="1"/>
      <c r="HTC53" s="1"/>
      <c r="HTD53" s="1"/>
      <c r="HTE53" s="1"/>
      <c r="HTF53" s="1"/>
      <c r="HTG53" s="1"/>
      <c r="HTH53" s="1"/>
      <c r="HTI53" s="1"/>
      <c r="HTJ53" s="1"/>
      <c r="HTK53" s="1"/>
      <c r="HTL53" s="1"/>
      <c r="HTM53" s="1"/>
      <c r="HTN53" s="1"/>
      <c r="HTO53" s="1"/>
      <c r="HTP53" s="1"/>
      <c r="HTQ53" s="1"/>
      <c r="HTR53" s="1"/>
      <c r="HTS53" s="1"/>
      <c r="HTT53" s="1"/>
      <c r="HTU53" s="1"/>
      <c r="HTV53" s="1"/>
      <c r="HTW53" s="1"/>
      <c r="HTX53" s="1"/>
      <c r="HTY53" s="1"/>
      <c r="HTZ53" s="1"/>
      <c r="HUA53" s="1"/>
      <c r="HUB53" s="1"/>
      <c r="HUC53" s="1"/>
      <c r="HUD53" s="1"/>
      <c r="HUE53" s="1"/>
      <c r="HUF53" s="1"/>
      <c r="HUG53" s="1"/>
      <c r="HUH53" s="1"/>
      <c r="HUI53" s="1"/>
      <c r="HUJ53" s="1"/>
      <c r="HUK53" s="1"/>
      <c r="HUL53" s="1"/>
      <c r="HUM53" s="1"/>
      <c r="HUN53" s="1"/>
      <c r="HUO53" s="1"/>
      <c r="HUP53" s="1"/>
      <c r="HUQ53" s="1"/>
      <c r="HUR53" s="1"/>
      <c r="HUS53" s="1"/>
      <c r="HUT53" s="1"/>
      <c r="HUU53" s="1"/>
      <c r="HUV53" s="1"/>
      <c r="HUW53" s="1"/>
      <c r="HUX53" s="1"/>
      <c r="HUY53" s="1"/>
      <c r="HUZ53" s="1"/>
      <c r="HVA53" s="1"/>
      <c r="HVB53" s="1"/>
      <c r="HVC53" s="1"/>
      <c r="HVD53" s="1"/>
      <c r="HVE53" s="1"/>
      <c r="HVF53" s="1"/>
      <c r="HVG53" s="1"/>
      <c r="HVH53" s="1"/>
      <c r="HVI53" s="1"/>
      <c r="HVJ53" s="1"/>
      <c r="HVK53" s="1"/>
      <c r="HVL53" s="1"/>
      <c r="HVM53" s="1"/>
      <c r="HVN53" s="1"/>
      <c r="HVO53" s="1"/>
      <c r="HVP53" s="1"/>
      <c r="HVQ53" s="1"/>
      <c r="HVR53" s="1"/>
      <c r="HVS53" s="1"/>
      <c r="HVT53" s="1"/>
      <c r="HVU53" s="1"/>
      <c r="HVV53" s="1"/>
      <c r="HVW53" s="1"/>
      <c r="HVX53" s="1"/>
      <c r="HVY53" s="1"/>
      <c r="HVZ53" s="1"/>
      <c r="HWA53" s="1"/>
      <c r="HWB53" s="1"/>
      <c r="HWC53" s="1"/>
      <c r="HWD53" s="1"/>
      <c r="HWE53" s="1"/>
      <c r="HWF53" s="1"/>
      <c r="HWG53" s="1"/>
      <c r="HWH53" s="1"/>
      <c r="HWI53" s="1"/>
      <c r="HWJ53" s="1"/>
      <c r="HWK53" s="1"/>
      <c r="HWL53" s="1"/>
      <c r="HWM53" s="1"/>
      <c r="HWN53" s="1"/>
      <c r="HWO53" s="1"/>
      <c r="HWP53" s="1"/>
      <c r="HWQ53" s="1"/>
      <c r="HWR53" s="1"/>
      <c r="HWS53" s="1"/>
      <c r="HWT53" s="1"/>
      <c r="HWU53" s="1"/>
      <c r="HWV53" s="1"/>
      <c r="HWW53" s="1"/>
      <c r="HWX53" s="1"/>
      <c r="HWY53" s="1"/>
      <c r="HWZ53" s="1"/>
      <c r="HXA53" s="1"/>
      <c r="HXB53" s="1"/>
      <c r="HXC53" s="1"/>
      <c r="HXD53" s="1"/>
      <c r="HXE53" s="1"/>
      <c r="HXF53" s="1"/>
      <c r="HXG53" s="1"/>
      <c r="HXH53" s="1"/>
      <c r="HXI53" s="1"/>
      <c r="HXJ53" s="1"/>
      <c r="HXK53" s="1"/>
      <c r="HXL53" s="1"/>
      <c r="HXM53" s="1"/>
      <c r="HXN53" s="1"/>
      <c r="HXO53" s="1"/>
      <c r="HXP53" s="1"/>
      <c r="HXQ53" s="1"/>
      <c r="HXR53" s="1"/>
      <c r="HXS53" s="1"/>
      <c r="HXT53" s="1"/>
      <c r="HXU53" s="1"/>
      <c r="HXV53" s="1"/>
      <c r="HXW53" s="1"/>
      <c r="HXX53" s="1"/>
      <c r="HXY53" s="1"/>
      <c r="HXZ53" s="1"/>
      <c r="HYA53" s="1"/>
      <c r="HYB53" s="1"/>
      <c r="HYC53" s="1"/>
      <c r="HYD53" s="1"/>
      <c r="HYE53" s="1"/>
      <c r="HYF53" s="1"/>
      <c r="HYG53" s="1"/>
      <c r="HYH53" s="1"/>
      <c r="HYI53" s="1"/>
      <c r="HYJ53" s="1"/>
      <c r="HYK53" s="1"/>
      <c r="HYL53" s="1"/>
      <c r="HYM53" s="1"/>
      <c r="HYN53" s="1"/>
      <c r="HYO53" s="1"/>
      <c r="HYP53" s="1"/>
      <c r="HYQ53" s="1"/>
      <c r="HYR53" s="1"/>
      <c r="HYS53" s="1"/>
      <c r="HYT53" s="1"/>
      <c r="HYU53" s="1"/>
      <c r="HYV53" s="1"/>
      <c r="HYW53" s="1"/>
      <c r="HYX53" s="1"/>
      <c r="HYY53" s="1"/>
      <c r="HYZ53" s="1"/>
      <c r="HZA53" s="1"/>
      <c r="HZB53" s="1"/>
      <c r="HZC53" s="1"/>
      <c r="HZD53" s="1"/>
      <c r="HZE53" s="1"/>
      <c r="HZF53" s="1"/>
      <c r="HZG53" s="1"/>
      <c r="HZH53" s="1"/>
      <c r="HZI53" s="1"/>
      <c r="HZJ53" s="1"/>
      <c r="HZK53" s="1"/>
      <c r="HZL53" s="1"/>
      <c r="HZM53" s="1"/>
      <c r="HZN53" s="1"/>
      <c r="HZO53" s="1"/>
      <c r="HZP53" s="1"/>
      <c r="HZQ53" s="1"/>
      <c r="HZR53" s="1"/>
      <c r="HZS53" s="1"/>
      <c r="HZT53" s="1"/>
      <c r="HZU53" s="1"/>
      <c r="HZV53" s="1"/>
      <c r="HZW53" s="1"/>
      <c r="HZX53" s="1"/>
      <c r="HZY53" s="1"/>
      <c r="HZZ53" s="1"/>
      <c r="IAA53" s="1"/>
      <c r="IAB53" s="1"/>
      <c r="IAC53" s="1"/>
      <c r="IAD53" s="1"/>
      <c r="IAE53" s="1"/>
      <c r="IAF53" s="1"/>
      <c r="IAG53" s="1"/>
      <c r="IAH53" s="1"/>
      <c r="IAI53" s="1"/>
      <c r="IAJ53" s="1"/>
      <c r="IAK53" s="1"/>
      <c r="IAL53" s="1"/>
      <c r="IAM53" s="1"/>
      <c r="IAN53" s="1"/>
      <c r="IAO53" s="1"/>
      <c r="IAP53" s="1"/>
      <c r="IAQ53" s="1"/>
      <c r="IAR53" s="1"/>
      <c r="IAS53" s="1"/>
      <c r="IAT53" s="1"/>
      <c r="IAU53" s="1"/>
      <c r="IAV53" s="1"/>
      <c r="IAW53" s="1"/>
      <c r="IAX53" s="1"/>
      <c r="IAY53" s="1"/>
      <c r="IAZ53" s="1"/>
      <c r="IBA53" s="1"/>
      <c r="IBB53" s="1"/>
      <c r="IBC53" s="1"/>
      <c r="IBD53" s="1"/>
      <c r="IBE53" s="1"/>
      <c r="IBF53" s="1"/>
      <c r="IBG53" s="1"/>
      <c r="IBH53" s="1"/>
      <c r="IBI53" s="1"/>
      <c r="IBJ53" s="1"/>
      <c r="IBK53" s="1"/>
      <c r="IBL53" s="1"/>
      <c r="IBM53" s="1"/>
      <c r="IBN53" s="1"/>
      <c r="IBO53" s="1"/>
      <c r="IBP53" s="1"/>
      <c r="IBQ53" s="1"/>
      <c r="IBR53" s="1"/>
      <c r="IBS53" s="1"/>
      <c r="IBT53" s="1"/>
      <c r="IBU53" s="1"/>
      <c r="IBV53" s="1"/>
      <c r="IBW53" s="1"/>
      <c r="IBX53" s="1"/>
      <c r="IBY53" s="1"/>
      <c r="IBZ53" s="1"/>
      <c r="ICA53" s="1"/>
      <c r="ICB53" s="1"/>
      <c r="ICC53" s="1"/>
      <c r="ICD53" s="1"/>
      <c r="ICE53" s="1"/>
      <c r="ICF53" s="1"/>
      <c r="ICG53" s="1"/>
      <c r="ICH53" s="1"/>
      <c r="ICI53" s="1"/>
      <c r="ICJ53" s="1"/>
      <c r="ICK53" s="1"/>
      <c r="ICL53" s="1"/>
      <c r="ICM53" s="1"/>
      <c r="ICN53" s="1"/>
      <c r="ICO53" s="1"/>
      <c r="ICP53" s="1"/>
      <c r="ICQ53" s="1"/>
      <c r="ICR53" s="1"/>
      <c r="ICS53" s="1"/>
      <c r="ICT53" s="1"/>
      <c r="ICU53" s="1"/>
      <c r="ICV53" s="1"/>
      <c r="ICW53" s="1"/>
      <c r="ICX53" s="1"/>
      <c r="ICY53" s="1"/>
      <c r="ICZ53" s="1"/>
      <c r="IDA53" s="1"/>
      <c r="IDB53" s="1"/>
      <c r="IDC53" s="1"/>
      <c r="IDD53" s="1"/>
      <c r="IDE53" s="1"/>
      <c r="IDF53" s="1"/>
      <c r="IDG53" s="1"/>
      <c r="IDH53" s="1"/>
      <c r="IDI53" s="1"/>
      <c r="IDJ53" s="1"/>
      <c r="IDK53" s="1"/>
      <c r="IDL53" s="1"/>
      <c r="IDM53" s="1"/>
      <c r="IDN53" s="1"/>
      <c r="IDO53" s="1"/>
      <c r="IDP53" s="1"/>
      <c r="IDQ53" s="1"/>
      <c r="IDR53" s="1"/>
      <c r="IDS53" s="1"/>
      <c r="IDT53" s="1"/>
      <c r="IDU53" s="1"/>
      <c r="IDV53" s="1"/>
      <c r="IDW53" s="1"/>
      <c r="IDX53" s="1"/>
      <c r="IDY53" s="1"/>
      <c r="IDZ53" s="1"/>
      <c r="IEA53" s="1"/>
      <c r="IEB53" s="1"/>
      <c r="IEC53" s="1"/>
      <c r="IED53" s="1"/>
      <c r="IEE53" s="1"/>
      <c r="IEF53" s="1"/>
      <c r="IEG53" s="1"/>
      <c r="IEH53" s="1"/>
      <c r="IEI53" s="1"/>
      <c r="IEJ53" s="1"/>
      <c r="IEK53" s="1"/>
      <c r="IEL53" s="1"/>
      <c r="IEM53" s="1"/>
      <c r="IEN53" s="1"/>
      <c r="IEO53" s="1"/>
      <c r="IEP53" s="1"/>
      <c r="IEQ53" s="1"/>
      <c r="IER53" s="1"/>
      <c r="IES53" s="1"/>
      <c r="IET53" s="1"/>
      <c r="IEU53" s="1"/>
      <c r="IEV53" s="1"/>
      <c r="IEW53" s="1"/>
      <c r="IEX53" s="1"/>
      <c r="IEY53" s="1"/>
      <c r="IEZ53" s="1"/>
      <c r="IFA53" s="1"/>
      <c r="IFB53" s="1"/>
      <c r="IFC53" s="1"/>
      <c r="IFD53" s="1"/>
      <c r="IFE53" s="1"/>
      <c r="IFF53" s="1"/>
      <c r="IFG53" s="1"/>
      <c r="IFH53" s="1"/>
      <c r="IFI53" s="1"/>
      <c r="IFJ53" s="1"/>
      <c r="IFK53" s="1"/>
      <c r="IFL53" s="1"/>
      <c r="IFM53" s="1"/>
      <c r="IFN53" s="1"/>
      <c r="IFO53" s="1"/>
      <c r="IFP53" s="1"/>
      <c r="IFQ53" s="1"/>
      <c r="IFR53" s="1"/>
      <c r="IFS53" s="1"/>
      <c r="IFT53" s="1"/>
      <c r="IFU53" s="1"/>
      <c r="IFV53" s="1"/>
      <c r="IFW53" s="1"/>
      <c r="IFX53" s="1"/>
      <c r="IFY53" s="1"/>
      <c r="IFZ53" s="1"/>
      <c r="IGA53" s="1"/>
      <c r="IGB53" s="1"/>
      <c r="IGC53" s="1"/>
      <c r="IGD53" s="1"/>
      <c r="IGE53" s="1"/>
      <c r="IGF53" s="1"/>
      <c r="IGG53" s="1"/>
      <c r="IGH53" s="1"/>
      <c r="IGI53" s="1"/>
      <c r="IGJ53" s="1"/>
      <c r="IGK53" s="1"/>
      <c r="IGL53" s="1"/>
      <c r="IGM53" s="1"/>
      <c r="IGN53" s="1"/>
      <c r="IGO53" s="1"/>
      <c r="IGP53" s="1"/>
      <c r="IGQ53" s="1"/>
      <c r="IGR53" s="1"/>
      <c r="IGS53" s="1"/>
      <c r="IGT53" s="1"/>
      <c r="IGU53" s="1"/>
      <c r="IGV53" s="1"/>
      <c r="IGW53" s="1"/>
      <c r="IGX53" s="1"/>
      <c r="IGY53" s="1"/>
      <c r="IGZ53" s="1"/>
      <c r="IHA53" s="1"/>
      <c r="IHB53" s="1"/>
      <c r="IHC53" s="1"/>
      <c r="IHD53" s="1"/>
      <c r="IHE53" s="1"/>
      <c r="IHF53" s="1"/>
      <c r="IHG53" s="1"/>
      <c r="IHH53" s="1"/>
      <c r="IHI53" s="1"/>
      <c r="IHJ53" s="1"/>
      <c r="IHK53" s="1"/>
      <c r="IHL53" s="1"/>
      <c r="IHM53" s="1"/>
      <c r="IHN53" s="1"/>
      <c r="IHO53" s="1"/>
      <c r="IHP53" s="1"/>
      <c r="IHQ53" s="1"/>
      <c r="IHR53" s="1"/>
      <c r="IHS53" s="1"/>
      <c r="IHT53" s="1"/>
      <c r="IHU53" s="1"/>
      <c r="IHV53" s="1"/>
      <c r="IHW53" s="1"/>
      <c r="IHX53" s="1"/>
      <c r="IHY53" s="1"/>
      <c r="IHZ53" s="1"/>
      <c r="IIA53" s="1"/>
      <c r="IIB53" s="1"/>
      <c r="IIC53" s="1"/>
      <c r="IID53" s="1"/>
      <c r="IIE53" s="1"/>
      <c r="IIF53" s="1"/>
      <c r="IIG53" s="1"/>
      <c r="IIH53" s="1"/>
      <c r="III53" s="1"/>
      <c r="IIJ53" s="1"/>
      <c r="IIK53" s="1"/>
      <c r="IIL53" s="1"/>
      <c r="IIM53" s="1"/>
      <c r="IIN53" s="1"/>
      <c r="IIO53" s="1"/>
      <c r="IIP53" s="1"/>
      <c r="IIQ53" s="1"/>
      <c r="IIR53" s="1"/>
      <c r="IIS53" s="1"/>
      <c r="IIT53" s="1"/>
      <c r="IIU53" s="1"/>
      <c r="IIV53" s="1"/>
      <c r="IIW53" s="1"/>
      <c r="IIX53" s="1"/>
      <c r="IIY53" s="1"/>
      <c r="IIZ53" s="1"/>
      <c r="IJA53" s="1"/>
      <c r="IJB53" s="1"/>
      <c r="IJC53" s="1"/>
      <c r="IJD53" s="1"/>
      <c r="IJE53" s="1"/>
      <c r="IJF53" s="1"/>
      <c r="IJG53" s="1"/>
      <c r="IJH53" s="1"/>
      <c r="IJI53" s="1"/>
      <c r="IJJ53" s="1"/>
      <c r="IJK53" s="1"/>
      <c r="IJL53" s="1"/>
      <c r="IJM53" s="1"/>
      <c r="IJN53" s="1"/>
      <c r="IJO53" s="1"/>
      <c r="IJP53" s="1"/>
      <c r="IJQ53" s="1"/>
      <c r="IJR53" s="1"/>
      <c r="IJS53" s="1"/>
      <c r="IJT53" s="1"/>
      <c r="IJU53" s="1"/>
      <c r="IJV53" s="1"/>
      <c r="IJW53" s="1"/>
      <c r="IJX53" s="1"/>
      <c r="IJY53" s="1"/>
      <c r="IJZ53" s="1"/>
      <c r="IKA53" s="1"/>
      <c r="IKB53" s="1"/>
      <c r="IKC53" s="1"/>
      <c r="IKD53" s="1"/>
      <c r="IKE53" s="1"/>
      <c r="IKF53" s="1"/>
      <c r="IKG53" s="1"/>
      <c r="IKH53" s="1"/>
      <c r="IKI53" s="1"/>
      <c r="IKJ53" s="1"/>
      <c r="IKK53" s="1"/>
      <c r="IKL53" s="1"/>
      <c r="IKM53" s="1"/>
      <c r="IKN53" s="1"/>
      <c r="IKO53" s="1"/>
      <c r="IKP53" s="1"/>
      <c r="IKQ53" s="1"/>
      <c r="IKR53" s="1"/>
      <c r="IKS53" s="1"/>
      <c r="IKT53" s="1"/>
      <c r="IKU53" s="1"/>
      <c r="IKV53" s="1"/>
      <c r="IKW53" s="1"/>
      <c r="IKX53" s="1"/>
      <c r="IKY53" s="1"/>
      <c r="IKZ53" s="1"/>
      <c r="ILA53" s="1"/>
      <c r="ILB53" s="1"/>
      <c r="ILC53" s="1"/>
      <c r="ILD53" s="1"/>
      <c r="ILE53" s="1"/>
      <c r="ILF53" s="1"/>
      <c r="ILG53" s="1"/>
      <c r="ILH53" s="1"/>
      <c r="ILI53" s="1"/>
      <c r="ILJ53" s="1"/>
      <c r="ILK53" s="1"/>
      <c r="ILL53" s="1"/>
      <c r="ILM53" s="1"/>
      <c r="ILN53" s="1"/>
      <c r="ILO53" s="1"/>
      <c r="ILP53" s="1"/>
      <c r="ILQ53" s="1"/>
      <c r="ILR53" s="1"/>
      <c r="ILS53" s="1"/>
      <c r="ILT53" s="1"/>
      <c r="ILU53" s="1"/>
      <c r="ILV53" s="1"/>
      <c r="ILW53" s="1"/>
      <c r="ILX53" s="1"/>
      <c r="ILY53" s="1"/>
      <c r="ILZ53" s="1"/>
      <c r="IMA53" s="1"/>
      <c r="IMB53" s="1"/>
      <c r="IMC53" s="1"/>
      <c r="IMD53" s="1"/>
      <c r="IME53" s="1"/>
      <c r="IMF53" s="1"/>
      <c r="IMG53" s="1"/>
      <c r="IMH53" s="1"/>
      <c r="IMI53" s="1"/>
      <c r="IMJ53" s="1"/>
      <c r="IMK53" s="1"/>
      <c r="IML53" s="1"/>
      <c r="IMM53" s="1"/>
      <c r="IMN53" s="1"/>
      <c r="IMO53" s="1"/>
      <c r="IMP53" s="1"/>
      <c r="IMQ53" s="1"/>
      <c r="IMR53" s="1"/>
      <c r="IMS53" s="1"/>
      <c r="IMT53" s="1"/>
      <c r="IMU53" s="1"/>
      <c r="IMV53" s="1"/>
      <c r="IMW53" s="1"/>
      <c r="IMX53" s="1"/>
      <c r="IMY53" s="1"/>
      <c r="IMZ53" s="1"/>
      <c r="INA53" s="1"/>
      <c r="INB53" s="1"/>
      <c r="INC53" s="1"/>
      <c r="IND53" s="1"/>
      <c r="INE53" s="1"/>
      <c r="INF53" s="1"/>
      <c r="ING53" s="1"/>
      <c r="INH53" s="1"/>
      <c r="INI53" s="1"/>
      <c r="INJ53" s="1"/>
      <c r="INK53" s="1"/>
      <c r="INL53" s="1"/>
      <c r="INM53" s="1"/>
      <c r="INN53" s="1"/>
      <c r="INO53" s="1"/>
      <c r="INP53" s="1"/>
      <c r="INQ53" s="1"/>
      <c r="INR53" s="1"/>
      <c r="INS53" s="1"/>
      <c r="INT53" s="1"/>
      <c r="INU53" s="1"/>
      <c r="INV53" s="1"/>
      <c r="INW53" s="1"/>
      <c r="INX53" s="1"/>
      <c r="INY53" s="1"/>
      <c r="INZ53" s="1"/>
      <c r="IOA53" s="1"/>
      <c r="IOB53" s="1"/>
      <c r="IOC53" s="1"/>
      <c r="IOD53" s="1"/>
      <c r="IOE53" s="1"/>
      <c r="IOF53" s="1"/>
      <c r="IOG53" s="1"/>
      <c r="IOH53" s="1"/>
      <c r="IOI53" s="1"/>
      <c r="IOJ53" s="1"/>
      <c r="IOK53" s="1"/>
      <c r="IOL53" s="1"/>
      <c r="IOM53" s="1"/>
      <c r="ION53" s="1"/>
      <c r="IOO53" s="1"/>
      <c r="IOP53" s="1"/>
      <c r="IOQ53" s="1"/>
      <c r="IOR53" s="1"/>
      <c r="IOS53" s="1"/>
      <c r="IOT53" s="1"/>
      <c r="IOU53" s="1"/>
      <c r="IOV53" s="1"/>
      <c r="IOW53" s="1"/>
      <c r="IOX53" s="1"/>
      <c r="IOY53" s="1"/>
      <c r="IOZ53" s="1"/>
      <c r="IPA53" s="1"/>
      <c r="IPB53" s="1"/>
      <c r="IPC53" s="1"/>
      <c r="IPD53" s="1"/>
      <c r="IPE53" s="1"/>
      <c r="IPF53" s="1"/>
      <c r="IPG53" s="1"/>
      <c r="IPH53" s="1"/>
      <c r="IPI53" s="1"/>
      <c r="IPJ53" s="1"/>
      <c r="IPK53" s="1"/>
      <c r="IPL53" s="1"/>
      <c r="IPM53" s="1"/>
      <c r="IPN53" s="1"/>
      <c r="IPO53" s="1"/>
      <c r="IPP53" s="1"/>
      <c r="IPQ53" s="1"/>
      <c r="IPR53" s="1"/>
      <c r="IPS53" s="1"/>
      <c r="IPT53" s="1"/>
      <c r="IPU53" s="1"/>
      <c r="IPV53" s="1"/>
      <c r="IPW53" s="1"/>
      <c r="IPX53" s="1"/>
      <c r="IPY53" s="1"/>
      <c r="IPZ53" s="1"/>
      <c r="IQA53" s="1"/>
      <c r="IQB53" s="1"/>
      <c r="IQC53" s="1"/>
      <c r="IQD53" s="1"/>
      <c r="IQE53" s="1"/>
      <c r="IQF53" s="1"/>
      <c r="IQG53" s="1"/>
      <c r="IQH53" s="1"/>
      <c r="IQI53" s="1"/>
      <c r="IQJ53" s="1"/>
      <c r="IQK53" s="1"/>
      <c r="IQL53" s="1"/>
      <c r="IQM53" s="1"/>
      <c r="IQN53" s="1"/>
      <c r="IQO53" s="1"/>
      <c r="IQP53" s="1"/>
      <c r="IQQ53" s="1"/>
      <c r="IQR53" s="1"/>
      <c r="IQS53" s="1"/>
      <c r="IQT53" s="1"/>
      <c r="IQU53" s="1"/>
      <c r="IQV53" s="1"/>
      <c r="IQW53" s="1"/>
      <c r="IQX53" s="1"/>
      <c r="IQY53" s="1"/>
      <c r="IQZ53" s="1"/>
      <c r="IRA53" s="1"/>
      <c r="IRB53" s="1"/>
      <c r="IRC53" s="1"/>
      <c r="IRD53" s="1"/>
      <c r="IRE53" s="1"/>
      <c r="IRF53" s="1"/>
      <c r="IRG53" s="1"/>
      <c r="IRH53" s="1"/>
      <c r="IRI53" s="1"/>
      <c r="IRJ53" s="1"/>
      <c r="IRK53" s="1"/>
      <c r="IRL53" s="1"/>
      <c r="IRM53" s="1"/>
      <c r="IRN53" s="1"/>
      <c r="IRO53" s="1"/>
      <c r="IRP53" s="1"/>
      <c r="IRQ53" s="1"/>
      <c r="IRR53" s="1"/>
      <c r="IRS53" s="1"/>
      <c r="IRT53" s="1"/>
      <c r="IRU53" s="1"/>
      <c r="IRV53" s="1"/>
      <c r="IRW53" s="1"/>
      <c r="IRX53" s="1"/>
      <c r="IRY53" s="1"/>
      <c r="IRZ53" s="1"/>
      <c r="ISA53" s="1"/>
      <c r="ISB53" s="1"/>
      <c r="ISC53" s="1"/>
      <c r="ISD53" s="1"/>
      <c r="ISE53" s="1"/>
      <c r="ISF53" s="1"/>
      <c r="ISG53" s="1"/>
      <c r="ISH53" s="1"/>
      <c r="ISI53" s="1"/>
      <c r="ISJ53" s="1"/>
      <c r="ISK53" s="1"/>
      <c r="ISL53" s="1"/>
      <c r="ISM53" s="1"/>
      <c r="ISN53" s="1"/>
      <c r="ISO53" s="1"/>
      <c r="ISP53" s="1"/>
      <c r="ISQ53" s="1"/>
      <c r="ISR53" s="1"/>
      <c r="ISS53" s="1"/>
      <c r="IST53" s="1"/>
      <c r="ISU53" s="1"/>
      <c r="ISV53" s="1"/>
      <c r="ISW53" s="1"/>
      <c r="ISX53" s="1"/>
      <c r="ISY53" s="1"/>
      <c r="ISZ53" s="1"/>
      <c r="ITA53" s="1"/>
      <c r="ITB53" s="1"/>
      <c r="ITC53" s="1"/>
      <c r="ITD53" s="1"/>
      <c r="ITE53" s="1"/>
      <c r="ITF53" s="1"/>
      <c r="ITG53" s="1"/>
      <c r="ITH53" s="1"/>
      <c r="ITI53" s="1"/>
      <c r="ITJ53" s="1"/>
      <c r="ITK53" s="1"/>
      <c r="ITL53" s="1"/>
      <c r="ITM53" s="1"/>
      <c r="ITN53" s="1"/>
      <c r="ITO53" s="1"/>
      <c r="ITP53" s="1"/>
      <c r="ITQ53" s="1"/>
      <c r="ITR53" s="1"/>
      <c r="ITS53" s="1"/>
      <c r="ITT53" s="1"/>
      <c r="ITU53" s="1"/>
      <c r="ITV53" s="1"/>
      <c r="ITW53" s="1"/>
      <c r="ITX53" s="1"/>
      <c r="ITY53" s="1"/>
      <c r="ITZ53" s="1"/>
      <c r="IUA53" s="1"/>
      <c r="IUB53" s="1"/>
      <c r="IUC53" s="1"/>
      <c r="IUD53" s="1"/>
      <c r="IUE53" s="1"/>
      <c r="IUF53" s="1"/>
      <c r="IUG53" s="1"/>
      <c r="IUH53" s="1"/>
      <c r="IUI53" s="1"/>
      <c r="IUJ53" s="1"/>
      <c r="IUK53" s="1"/>
      <c r="IUL53" s="1"/>
      <c r="IUM53" s="1"/>
      <c r="IUN53" s="1"/>
      <c r="IUO53" s="1"/>
      <c r="IUP53" s="1"/>
      <c r="IUQ53" s="1"/>
      <c r="IUR53" s="1"/>
      <c r="IUS53" s="1"/>
      <c r="IUT53" s="1"/>
      <c r="IUU53" s="1"/>
      <c r="IUV53" s="1"/>
      <c r="IUW53" s="1"/>
      <c r="IUX53" s="1"/>
      <c r="IUY53" s="1"/>
      <c r="IUZ53" s="1"/>
      <c r="IVA53" s="1"/>
      <c r="IVB53" s="1"/>
      <c r="IVC53" s="1"/>
      <c r="IVD53" s="1"/>
      <c r="IVE53" s="1"/>
      <c r="IVF53" s="1"/>
      <c r="IVG53" s="1"/>
      <c r="IVH53" s="1"/>
      <c r="IVI53" s="1"/>
      <c r="IVJ53" s="1"/>
      <c r="IVK53" s="1"/>
      <c r="IVL53" s="1"/>
      <c r="IVM53" s="1"/>
      <c r="IVN53" s="1"/>
      <c r="IVO53" s="1"/>
      <c r="IVP53" s="1"/>
      <c r="IVQ53" s="1"/>
      <c r="IVR53" s="1"/>
      <c r="IVS53" s="1"/>
      <c r="IVT53" s="1"/>
      <c r="IVU53" s="1"/>
      <c r="IVV53" s="1"/>
      <c r="IVW53" s="1"/>
      <c r="IVX53" s="1"/>
      <c r="IVY53" s="1"/>
      <c r="IVZ53" s="1"/>
      <c r="IWA53" s="1"/>
      <c r="IWB53" s="1"/>
      <c r="IWC53" s="1"/>
      <c r="IWD53" s="1"/>
      <c r="IWE53" s="1"/>
      <c r="IWF53" s="1"/>
      <c r="IWG53" s="1"/>
      <c r="IWH53" s="1"/>
      <c r="IWI53" s="1"/>
      <c r="IWJ53" s="1"/>
      <c r="IWK53" s="1"/>
      <c r="IWL53" s="1"/>
      <c r="IWM53" s="1"/>
      <c r="IWN53" s="1"/>
      <c r="IWO53" s="1"/>
      <c r="IWP53" s="1"/>
      <c r="IWQ53" s="1"/>
      <c r="IWR53" s="1"/>
      <c r="IWS53" s="1"/>
      <c r="IWT53" s="1"/>
      <c r="IWU53" s="1"/>
      <c r="IWV53" s="1"/>
      <c r="IWW53" s="1"/>
      <c r="IWX53" s="1"/>
      <c r="IWY53" s="1"/>
      <c r="IWZ53" s="1"/>
      <c r="IXA53" s="1"/>
      <c r="IXB53" s="1"/>
      <c r="IXC53" s="1"/>
      <c r="IXD53" s="1"/>
      <c r="IXE53" s="1"/>
      <c r="IXF53" s="1"/>
      <c r="IXG53" s="1"/>
      <c r="IXH53" s="1"/>
      <c r="IXI53" s="1"/>
      <c r="IXJ53" s="1"/>
      <c r="IXK53" s="1"/>
      <c r="IXL53" s="1"/>
      <c r="IXM53" s="1"/>
      <c r="IXN53" s="1"/>
      <c r="IXO53" s="1"/>
      <c r="IXP53" s="1"/>
      <c r="IXQ53" s="1"/>
      <c r="IXR53" s="1"/>
      <c r="IXS53" s="1"/>
      <c r="IXT53" s="1"/>
      <c r="IXU53" s="1"/>
      <c r="IXV53" s="1"/>
      <c r="IXW53" s="1"/>
      <c r="IXX53" s="1"/>
      <c r="IXY53" s="1"/>
      <c r="IXZ53" s="1"/>
      <c r="IYA53" s="1"/>
      <c r="IYB53" s="1"/>
      <c r="IYC53" s="1"/>
      <c r="IYD53" s="1"/>
      <c r="IYE53" s="1"/>
      <c r="IYF53" s="1"/>
      <c r="IYG53" s="1"/>
      <c r="IYH53" s="1"/>
      <c r="IYI53" s="1"/>
      <c r="IYJ53" s="1"/>
      <c r="IYK53" s="1"/>
      <c r="IYL53" s="1"/>
      <c r="IYM53" s="1"/>
      <c r="IYN53" s="1"/>
      <c r="IYO53" s="1"/>
      <c r="IYP53" s="1"/>
      <c r="IYQ53" s="1"/>
      <c r="IYR53" s="1"/>
      <c r="IYS53" s="1"/>
      <c r="IYT53" s="1"/>
      <c r="IYU53" s="1"/>
      <c r="IYV53" s="1"/>
      <c r="IYW53" s="1"/>
      <c r="IYX53" s="1"/>
      <c r="IYY53" s="1"/>
      <c r="IYZ53" s="1"/>
      <c r="IZA53" s="1"/>
      <c r="IZB53" s="1"/>
      <c r="IZC53" s="1"/>
      <c r="IZD53" s="1"/>
      <c r="IZE53" s="1"/>
      <c r="IZF53" s="1"/>
      <c r="IZG53" s="1"/>
      <c r="IZH53" s="1"/>
      <c r="IZI53" s="1"/>
      <c r="IZJ53" s="1"/>
      <c r="IZK53" s="1"/>
      <c r="IZL53" s="1"/>
      <c r="IZM53" s="1"/>
      <c r="IZN53" s="1"/>
      <c r="IZO53" s="1"/>
      <c r="IZP53" s="1"/>
      <c r="IZQ53" s="1"/>
      <c r="IZR53" s="1"/>
      <c r="IZS53" s="1"/>
      <c r="IZT53" s="1"/>
      <c r="IZU53" s="1"/>
      <c r="IZV53" s="1"/>
      <c r="IZW53" s="1"/>
      <c r="IZX53" s="1"/>
      <c r="IZY53" s="1"/>
      <c r="IZZ53" s="1"/>
      <c r="JAA53" s="1"/>
      <c r="JAB53" s="1"/>
      <c r="JAC53" s="1"/>
      <c r="JAD53" s="1"/>
      <c r="JAE53" s="1"/>
      <c r="JAF53" s="1"/>
      <c r="JAG53" s="1"/>
      <c r="JAH53" s="1"/>
      <c r="JAI53" s="1"/>
      <c r="JAJ53" s="1"/>
      <c r="JAK53" s="1"/>
      <c r="JAL53" s="1"/>
      <c r="JAM53" s="1"/>
      <c r="JAN53" s="1"/>
      <c r="JAO53" s="1"/>
      <c r="JAP53" s="1"/>
      <c r="JAQ53" s="1"/>
      <c r="JAR53" s="1"/>
      <c r="JAS53" s="1"/>
      <c r="JAT53" s="1"/>
      <c r="JAU53" s="1"/>
      <c r="JAV53" s="1"/>
      <c r="JAW53" s="1"/>
      <c r="JAX53" s="1"/>
      <c r="JAY53" s="1"/>
      <c r="JAZ53" s="1"/>
      <c r="JBA53" s="1"/>
      <c r="JBB53" s="1"/>
      <c r="JBC53" s="1"/>
      <c r="JBD53" s="1"/>
      <c r="JBE53" s="1"/>
      <c r="JBF53" s="1"/>
      <c r="JBG53" s="1"/>
      <c r="JBH53" s="1"/>
      <c r="JBI53" s="1"/>
      <c r="JBJ53" s="1"/>
      <c r="JBK53" s="1"/>
      <c r="JBL53" s="1"/>
      <c r="JBM53" s="1"/>
      <c r="JBN53" s="1"/>
      <c r="JBO53" s="1"/>
      <c r="JBP53" s="1"/>
      <c r="JBQ53" s="1"/>
      <c r="JBR53" s="1"/>
      <c r="JBS53" s="1"/>
      <c r="JBT53" s="1"/>
      <c r="JBU53" s="1"/>
      <c r="JBV53" s="1"/>
      <c r="JBW53" s="1"/>
      <c r="JBX53" s="1"/>
      <c r="JBY53" s="1"/>
      <c r="JBZ53" s="1"/>
      <c r="JCA53" s="1"/>
      <c r="JCB53" s="1"/>
      <c r="JCC53" s="1"/>
      <c r="JCD53" s="1"/>
      <c r="JCE53" s="1"/>
      <c r="JCF53" s="1"/>
      <c r="JCG53" s="1"/>
      <c r="JCH53" s="1"/>
      <c r="JCI53" s="1"/>
      <c r="JCJ53" s="1"/>
      <c r="JCK53" s="1"/>
      <c r="JCL53" s="1"/>
      <c r="JCM53" s="1"/>
      <c r="JCN53" s="1"/>
      <c r="JCO53" s="1"/>
      <c r="JCP53" s="1"/>
      <c r="JCQ53" s="1"/>
      <c r="JCR53" s="1"/>
      <c r="JCS53" s="1"/>
      <c r="JCT53" s="1"/>
      <c r="JCU53" s="1"/>
      <c r="JCV53" s="1"/>
      <c r="JCW53" s="1"/>
      <c r="JCX53" s="1"/>
      <c r="JCY53" s="1"/>
      <c r="JCZ53" s="1"/>
      <c r="JDA53" s="1"/>
      <c r="JDB53" s="1"/>
      <c r="JDC53" s="1"/>
      <c r="JDD53" s="1"/>
      <c r="JDE53" s="1"/>
      <c r="JDF53" s="1"/>
      <c r="JDG53" s="1"/>
      <c r="JDH53" s="1"/>
      <c r="JDI53" s="1"/>
      <c r="JDJ53" s="1"/>
      <c r="JDK53" s="1"/>
      <c r="JDL53" s="1"/>
      <c r="JDM53" s="1"/>
      <c r="JDN53" s="1"/>
      <c r="JDO53" s="1"/>
      <c r="JDP53" s="1"/>
      <c r="JDQ53" s="1"/>
      <c r="JDR53" s="1"/>
      <c r="JDS53" s="1"/>
      <c r="JDT53" s="1"/>
      <c r="JDU53" s="1"/>
      <c r="JDV53" s="1"/>
      <c r="JDW53" s="1"/>
      <c r="JDX53" s="1"/>
      <c r="JDY53" s="1"/>
      <c r="JDZ53" s="1"/>
      <c r="JEA53" s="1"/>
      <c r="JEB53" s="1"/>
      <c r="JEC53" s="1"/>
      <c r="JED53" s="1"/>
      <c r="JEE53" s="1"/>
      <c r="JEF53" s="1"/>
      <c r="JEG53" s="1"/>
      <c r="JEH53" s="1"/>
      <c r="JEI53" s="1"/>
      <c r="JEJ53" s="1"/>
      <c r="JEK53" s="1"/>
      <c r="JEL53" s="1"/>
      <c r="JEM53" s="1"/>
      <c r="JEN53" s="1"/>
      <c r="JEO53" s="1"/>
      <c r="JEP53" s="1"/>
      <c r="JEQ53" s="1"/>
      <c r="JER53" s="1"/>
      <c r="JES53" s="1"/>
      <c r="JET53" s="1"/>
      <c r="JEU53" s="1"/>
      <c r="JEV53" s="1"/>
      <c r="JEW53" s="1"/>
      <c r="JEX53" s="1"/>
      <c r="JEY53" s="1"/>
      <c r="JEZ53" s="1"/>
      <c r="JFA53" s="1"/>
      <c r="JFB53" s="1"/>
      <c r="JFC53" s="1"/>
      <c r="JFD53" s="1"/>
      <c r="JFE53" s="1"/>
      <c r="JFF53" s="1"/>
      <c r="JFG53" s="1"/>
      <c r="JFH53" s="1"/>
      <c r="JFI53" s="1"/>
      <c r="JFJ53" s="1"/>
      <c r="JFK53" s="1"/>
      <c r="JFL53" s="1"/>
      <c r="JFM53" s="1"/>
      <c r="JFN53" s="1"/>
      <c r="JFO53" s="1"/>
      <c r="JFP53" s="1"/>
      <c r="JFQ53" s="1"/>
      <c r="JFR53" s="1"/>
      <c r="JFS53" s="1"/>
      <c r="JFT53" s="1"/>
      <c r="JFU53" s="1"/>
      <c r="JFV53" s="1"/>
      <c r="JFW53" s="1"/>
      <c r="JFX53" s="1"/>
      <c r="JFY53" s="1"/>
      <c r="JFZ53" s="1"/>
      <c r="JGA53" s="1"/>
      <c r="JGB53" s="1"/>
      <c r="JGC53" s="1"/>
      <c r="JGD53" s="1"/>
      <c r="JGE53" s="1"/>
      <c r="JGF53" s="1"/>
      <c r="JGG53" s="1"/>
      <c r="JGH53" s="1"/>
      <c r="JGI53" s="1"/>
      <c r="JGJ53" s="1"/>
      <c r="JGK53" s="1"/>
      <c r="JGL53" s="1"/>
      <c r="JGM53" s="1"/>
      <c r="JGN53" s="1"/>
      <c r="JGO53" s="1"/>
      <c r="JGP53" s="1"/>
      <c r="JGQ53" s="1"/>
      <c r="JGR53" s="1"/>
      <c r="JGS53" s="1"/>
      <c r="JGT53" s="1"/>
      <c r="JGU53" s="1"/>
      <c r="JGV53" s="1"/>
      <c r="JGW53" s="1"/>
      <c r="JGX53" s="1"/>
      <c r="JGY53" s="1"/>
      <c r="JGZ53" s="1"/>
      <c r="JHA53" s="1"/>
      <c r="JHB53" s="1"/>
      <c r="JHC53" s="1"/>
      <c r="JHD53" s="1"/>
      <c r="JHE53" s="1"/>
      <c r="JHF53" s="1"/>
      <c r="JHG53" s="1"/>
      <c r="JHH53" s="1"/>
      <c r="JHI53" s="1"/>
      <c r="JHJ53" s="1"/>
      <c r="JHK53" s="1"/>
      <c r="JHL53" s="1"/>
      <c r="JHM53" s="1"/>
      <c r="JHN53" s="1"/>
      <c r="JHO53" s="1"/>
      <c r="JHP53" s="1"/>
      <c r="JHQ53" s="1"/>
      <c r="JHR53" s="1"/>
      <c r="JHS53" s="1"/>
      <c r="JHT53" s="1"/>
      <c r="JHU53" s="1"/>
      <c r="JHV53" s="1"/>
      <c r="JHW53" s="1"/>
      <c r="JHX53" s="1"/>
      <c r="JHY53" s="1"/>
      <c r="JHZ53" s="1"/>
      <c r="JIA53" s="1"/>
      <c r="JIB53" s="1"/>
      <c r="JIC53" s="1"/>
      <c r="JID53" s="1"/>
      <c r="JIE53" s="1"/>
      <c r="JIF53" s="1"/>
      <c r="JIG53" s="1"/>
      <c r="JIH53" s="1"/>
      <c r="JII53" s="1"/>
      <c r="JIJ53" s="1"/>
      <c r="JIK53" s="1"/>
      <c r="JIL53" s="1"/>
      <c r="JIM53" s="1"/>
      <c r="JIN53" s="1"/>
      <c r="JIO53" s="1"/>
      <c r="JIP53" s="1"/>
      <c r="JIQ53" s="1"/>
      <c r="JIR53" s="1"/>
      <c r="JIS53" s="1"/>
      <c r="JIT53" s="1"/>
      <c r="JIU53" s="1"/>
      <c r="JIV53" s="1"/>
      <c r="JIW53" s="1"/>
      <c r="JIX53" s="1"/>
      <c r="JIY53" s="1"/>
      <c r="JIZ53" s="1"/>
      <c r="JJA53" s="1"/>
      <c r="JJB53" s="1"/>
      <c r="JJC53" s="1"/>
      <c r="JJD53" s="1"/>
      <c r="JJE53" s="1"/>
      <c r="JJF53" s="1"/>
      <c r="JJG53" s="1"/>
      <c r="JJH53" s="1"/>
      <c r="JJI53" s="1"/>
      <c r="JJJ53" s="1"/>
      <c r="JJK53" s="1"/>
      <c r="JJL53" s="1"/>
      <c r="JJM53" s="1"/>
      <c r="JJN53" s="1"/>
      <c r="JJO53" s="1"/>
      <c r="JJP53" s="1"/>
      <c r="JJQ53" s="1"/>
      <c r="JJR53" s="1"/>
      <c r="JJS53" s="1"/>
      <c r="JJT53" s="1"/>
      <c r="JJU53" s="1"/>
      <c r="JJV53" s="1"/>
      <c r="JJW53" s="1"/>
      <c r="JJX53" s="1"/>
      <c r="JJY53" s="1"/>
      <c r="JJZ53" s="1"/>
      <c r="JKA53" s="1"/>
      <c r="JKB53" s="1"/>
      <c r="JKC53" s="1"/>
      <c r="JKD53" s="1"/>
      <c r="JKE53" s="1"/>
      <c r="JKF53" s="1"/>
      <c r="JKG53" s="1"/>
      <c r="JKH53" s="1"/>
      <c r="JKI53" s="1"/>
      <c r="JKJ53" s="1"/>
      <c r="JKK53" s="1"/>
      <c r="JKL53" s="1"/>
      <c r="JKM53" s="1"/>
      <c r="JKN53" s="1"/>
      <c r="JKO53" s="1"/>
      <c r="JKP53" s="1"/>
      <c r="JKQ53" s="1"/>
      <c r="JKR53" s="1"/>
      <c r="JKS53" s="1"/>
      <c r="JKT53" s="1"/>
      <c r="JKU53" s="1"/>
      <c r="JKV53" s="1"/>
      <c r="JKW53" s="1"/>
      <c r="JKX53" s="1"/>
      <c r="JKY53" s="1"/>
      <c r="JKZ53" s="1"/>
      <c r="JLA53" s="1"/>
      <c r="JLB53" s="1"/>
      <c r="JLC53" s="1"/>
      <c r="JLD53" s="1"/>
      <c r="JLE53" s="1"/>
      <c r="JLF53" s="1"/>
      <c r="JLG53" s="1"/>
      <c r="JLH53" s="1"/>
      <c r="JLI53" s="1"/>
      <c r="JLJ53" s="1"/>
      <c r="JLK53" s="1"/>
      <c r="JLL53" s="1"/>
      <c r="JLM53" s="1"/>
      <c r="JLN53" s="1"/>
      <c r="JLO53" s="1"/>
      <c r="JLP53" s="1"/>
      <c r="JLQ53" s="1"/>
      <c r="JLR53" s="1"/>
      <c r="JLS53" s="1"/>
      <c r="JLT53" s="1"/>
      <c r="JLU53" s="1"/>
      <c r="JLV53" s="1"/>
      <c r="JLW53" s="1"/>
      <c r="JLX53" s="1"/>
      <c r="JLY53" s="1"/>
      <c r="JLZ53" s="1"/>
      <c r="JMA53" s="1"/>
      <c r="JMB53" s="1"/>
      <c r="JMC53" s="1"/>
      <c r="JMD53" s="1"/>
      <c r="JME53" s="1"/>
      <c r="JMF53" s="1"/>
      <c r="JMG53" s="1"/>
      <c r="JMH53" s="1"/>
      <c r="JMI53" s="1"/>
      <c r="JMJ53" s="1"/>
      <c r="JMK53" s="1"/>
      <c r="JML53" s="1"/>
      <c r="JMM53" s="1"/>
      <c r="JMN53" s="1"/>
      <c r="JMO53" s="1"/>
      <c r="JMP53" s="1"/>
      <c r="JMQ53" s="1"/>
      <c r="JMR53" s="1"/>
      <c r="JMS53" s="1"/>
      <c r="JMT53" s="1"/>
      <c r="JMU53" s="1"/>
      <c r="JMV53" s="1"/>
      <c r="JMW53" s="1"/>
      <c r="JMX53" s="1"/>
      <c r="JMY53" s="1"/>
      <c r="JMZ53" s="1"/>
      <c r="JNA53" s="1"/>
      <c r="JNB53" s="1"/>
      <c r="JNC53" s="1"/>
      <c r="JND53" s="1"/>
      <c r="JNE53" s="1"/>
      <c r="JNF53" s="1"/>
      <c r="JNG53" s="1"/>
      <c r="JNH53" s="1"/>
      <c r="JNI53" s="1"/>
      <c r="JNJ53" s="1"/>
      <c r="JNK53" s="1"/>
      <c r="JNL53" s="1"/>
      <c r="JNM53" s="1"/>
      <c r="JNN53" s="1"/>
      <c r="JNO53" s="1"/>
      <c r="JNP53" s="1"/>
      <c r="JNQ53" s="1"/>
      <c r="JNR53" s="1"/>
      <c r="JNS53" s="1"/>
      <c r="JNT53" s="1"/>
      <c r="JNU53" s="1"/>
      <c r="JNV53" s="1"/>
      <c r="JNW53" s="1"/>
      <c r="JNX53" s="1"/>
      <c r="JNY53" s="1"/>
      <c r="JNZ53" s="1"/>
      <c r="JOA53" s="1"/>
      <c r="JOB53" s="1"/>
      <c r="JOC53" s="1"/>
      <c r="JOD53" s="1"/>
      <c r="JOE53" s="1"/>
      <c r="JOF53" s="1"/>
      <c r="JOG53" s="1"/>
      <c r="JOH53" s="1"/>
      <c r="JOI53" s="1"/>
      <c r="JOJ53" s="1"/>
      <c r="JOK53" s="1"/>
      <c r="JOL53" s="1"/>
      <c r="JOM53" s="1"/>
      <c r="JON53" s="1"/>
      <c r="JOO53" s="1"/>
      <c r="JOP53" s="1"/>
      <c r="JOQ53" s="1"/>
      <c r="JOR53" s="1"/>
      <c r="JOS53" s="1"/>
      <c r="JOT53" s="1"/>
      <c r="JOU53" s="1"/>
      <c r="JOV53" s="1"/>
      <c r="JOW53" s="1"/>
      <c r="JOX53" s="1"/>
      <c r="JOY53" s="1"/>
      <c r="JOZ53" s="1"/>
      <c r="JPA53" s="1"/>
      <c r="JPB53" s="1"/>
      <c r="JPC53" s="1"/>
      <c r="JPD53" s="1"/>
      <c r="JPE53" s="1"/>
      <c r="JPF53" s="1"/>
      <c r="JPG53" s="1"/>
      <c r="JPH53" s="1"/>
      <c r="JPI53" s="1"/>
      <c r="JPJ53" s="1"/>
      <c r="JPK53" s="1"/>
      <c r="JPL53" s="1"/>
      <c r="JPM53" s="1"/>
      <c r="JPN53" s="1"/>
      <c r="JPO53" s="1"/>
      <c r="JPP53" s="1"/>
      <c r="JPQ53" s="1"/>
      <c r="JPR53" s="1"/>
      <c r="JPS53" s="1"/>
      <c r="JPT53" s="1"/>
      <c r="JPU53" s="1"/>
      <c r="JPV53" s="1"/>
      <c r="JPW53" s="1"/>
      <c r="JPX53" s="1"/>
      <c r="JPY53" s="1"/>
      <c r="JPZ53" s="1"/>
      <c r="JQA53" s="1"/>
      <c r="JQB53" s="1"/>
      <c r="JQC53" s="1"/>
      <c r="JQD53" s="1"/>
      <c r="JQE53" s="1"/>
      <c r="JQF53" s="1"/>
      <c r="JQG53" s="1"/>
      <c r="JQH53" s="1"/>
      <c r="JQI53" s="1"/>
      <c r="JQJ53" s="1"/>
      <c r="JQK53" s="1"/>
      <c r="JQL53" s="1"/>
      <c r="JQM53" s="1"/>
      <c r="JQN53" s="1"/>
      <c r="JQO53" s="1"/>
      <c r="JQP53" s="1"/>
      <c r="JQQ53" s="1"/>
      <c r="JQR53" s="1"/>
      <c r="JQS53" s="1"/>
      <c r="JQT53" s="1"/>
      <c r="JQU53" s="1"/>
      <c r="JQV53" s="1"/>
      <c r="JQW53" s="1"/>
      <c r="JQX53" s="1"/>
      <c r="JQY53" s="1"/>
      <c r="JQZ53" s="1"/>
      <c r="JRA53" s="1"/>
      <c r="JRB53" s="1"/>
      <c r="JRC53" s="1"/>
      <c r="JRD53" s="1"/>
      <c r="JRE53" s="1"/>
      <c r="JRF53" s="1"/>
      <c r="JRG53" s="1"/>
      <c r="JRH53" s="1"/>
      <c r="JRI53" s="1"/>
      <c r="JRJ53" s="1"/>
      <c r="JRK53" s="1"/>
      <c r="JRL53" s="1"/>
      <c r="JRM53" s="1"/>
      <c r="JRN53" s="1"/>
      <c r="JRO53" s="1"/>
      <c r="JRP53" s="1"/>
      <c r="JRQ53" s="1"/>
      <c r="JRR53" s="1"/>
      <c r="JRS53" s="1"/>
      <c r="JRT53" s="1"/>
      <c r="JRU53" s="1"/>
      <c r="JRV53" s="1"/>
      <c r="JRW53" s="1"/>
      <c r="JRX53" s="1"/>
      <c r="JRY53" s="1"/>
      <c r="JRZ53" s="1"/>
      <c r="JSA53" s="1"/>
      <c r="JSB53" s="1"/>
      <c r="JSC53" s="1"/>
      <c r="JSD53" s="1"/>
      <c r="JSE53" s="1"/>
      <c r="JSF53" s="1"/>
      <c r="JSG53" s="1"/>
      <c r="JSH53" s="1"/>
      <c r="JSI53" s="1"/>
      <c r="JSJ53" s="1"/>
      <c r="JSK53" s="1"/>
      <c r="JSL53" s="1"/>
      <c r="JSM53" s="1"/>
      <c r="JSN53" s="1"/>
      <c r="JSO53" s="1"/>
      <c r="JSP53" s="1"/>
      <c r="JSQ53" s="1"/>
      <c r="JSR53" s="1"/>
      <c r="JSS53" s="1"/>
      <c r="JST53" s="1"/>
      <c r="JSU53" s="1"/>
      <c r="JSV53" s="1"/>
      <c r="JSW53" s="1"/>
      <c r="JSX53" s="1"/>
      <c r="JSY53" s="1"/>
      <c r="JSZ53" s="1"/>
      <c r="JTA53" s="1"/>
      <c r="JTB53" s="1"/>
      <c r="JTC53" s="1"/>
      <c r="JTD53" s="1"/>
      <c r="JTE53" s="1"/>
      <c r="JTF53" s="1"/>
      <c r="JTG53" s="1"/>
      <c r="JTH53" s="1"/>
      <c r="JTI53" s="1"/>
      <c r="JTJ53" s="1"/>
      <c r="JTK53" s="1"/>
      <c r="JTL53" s="1"/>
      <c r="JTM53" s="1"/>
      <c r="JTN53" s="1"/>
      <c r="JTO53" s="1"/>
      <c r="JTP53" s="1"/>
      <c r="JTQ53" s="1"/>
      <c r="JTR53" s="1"/>
      <c r="JTS53" s="1"/>
      <c r="JTT53" s="1"/>
      <c r="JTU53" s="1"/>
      <c r="JTV53" s="1"/>
      <c r="JTW53" s="1"/>
      <c r="JTX53" s="1"/>
      <c r="JTY53" s="1"/>
      <c r="JTZ53" s="1"/>
      <c r="JUA53" s="1"/>
      <c r="JUB53" s="1"/>
      <c r="JUC53" s="1"/>
      <c r="JUD53" s="1"/>
      <c r="JUE53" s="1"/>
      <c r="JUF53" s="1"/>
      <c r="JUG53" s="1"/>
      <c r="JUH53" s="1"/>
      <c r="JUI53" s="1"/>
      <c r="JUJ53" s="1"/>
      <c r="JUK53" s="1"/>
      <c r="JUL53" s="1"/>
      <c r="JUM53" s="1"/>
      <c r="JUN53" s="1"/>
      <c r="JUO53" s="1"/>
      <c r="JUP53" s="1"/>
      <c r="JUQ53" s="1"/>
      <c r="JUR53" s="1"/>
      <c r="JUS53" s="1"/>
      <c r="JUT53" s="1"/>
      <c r="JUU53" s="1"/>
      <c r="JUV53" s="1"/>
      <c r="JUW53" s="1"/>
      <c r="JUX53" s="1"/>
      <c r="JUY53" s="1"/>
      <c r="JUZ53" s="1"/>
      <c r="JVA53" s="1"/>
      <c r="JVB53" s="1"/>
      <c r="JVC53" s="1"/>
      <c r="JVD53" s="1"/>
      <c r="JVE53" s="1"/>
      <c r="JVF53" s="1"/>
      <c r="JVG53" s="1"/>
      <c r="JVH53" s="1"/>
      <c r="JVI53" s="1"/>
      <c r="JVJ53" s="1"/>
      <c r="JVK53" s="1"/>
      <c r="JVL53" s="1"/>
      <c r="JVM53" s="1"/>
      <c r="JVN53" s="1"/>
      <c r="JVO53" s="1"/>
      <c r="JVP53" s="1"/>
      <c r="JVQ53" s="1"/>
      <c r="JVR53" s="1"/>
      <c r="JVS53" s="1"/>
      <c r="JVT53" s="1"/>
      <c r="JVU53" s="1"/>
      <c r="JVV53" s="1"/>
      <c r="JVW53" s="1"/>
      <c r="JVX53" s="1"/>
      <c r="JVY53" s="1"/>
      <c r="JVZ53" s="1"/>
      <c r="JWA53" s="1"/>
      <c r="JWB53" s="1"/>
      <c r="JWC53" s="1"/>
      <c r="JWD53" s="1"/>
      <c r="JWE53" s="1"/>
      <c r="JWF53" s="1"/>
      <c r="JWG53" s="1"/>
      <c r="JWH53" s="1"/>
      <c r="JWI53" s="1"/>
      <c r="JWJ53" s="1"/>
      <c r="JWK53" s="1"/>
      <c r="JWL53" s="1"/>
      <c r="JWM53" s="1"/>
      <c r="JWN53" s="1"/>
      <c r="JWO53" s="1"/>
      <c r="JWP53" s="1"/>
      <c r="JWQ53" s="1"/>
      <c r="JWR53" s="1"/>
      <c r="JWS53" s="1"/>
      <c r="JWT53" s="1"/>
      <c r="JWU53" s="1"/>
      <c r="JWV53" s="1"/>
      <c r="JWW53" s="1"/>
      <c r="JWX53" s="1"/>
      <c r="JWY53" s="1"/>
      <c r="JWZ53" s="1"/>
      <c r="JXA53" s="1"/>
      <c r="JXB53" s="1"/>
      <c r="JXC53" s="1"/>
      <c r="JXD53" s="1"/>
      <c r="JXE53" s="1"/>
      <c r="JXF53" s="1"/>
      <c r="JXG53" s="1"/>
      <c r="JXH53" s="1"/>
      <c r="JXI53" s="1"/>
      <c r="JXJ53" s="1"/>
      <c r="JXK53" s="1"/>
      <c r="JXL53" s="1"/>
      <c r="JXM53" s="1"/>
      <c r="JXN53" s="1"/>
      <c r="JXO53" s="1"/>
      <c r="JXP53" s="1"/>
      <c r="JXQ53" s="1"/>
      <c r="JXR53" s="1"/>
      <c r="JXS53" s="1"/>
      <c r="JXT53" s="1"/>
      <c r="JXU53" s="1"/>
      <c r="JXV53" s="1"/>
      <c r="JXW53" s="1"/>
      <c r="JXX53" s="1"/>
      <c r="JXY53" s="1"/>
      <c r="JXZ53" s="1"/>
      <c r="JYA53" s="1"/>
      <c r="JYB53" s="1"/>
      <c r="JYC53" s="1"/>
      <c r="JYD53" s="1"/>
      <c r="JYE53" s="1"/>
      <c r="JYF53" s="1"/>
      <c r="JYG53" s="1"/>
      <c r="JYH53" s="1"/>
      <c r="JYI53" s="1"/>
      <c r="JYJ53" s="1"/>
      <c r="JYK53" s="1"/>
      <c r="JYL53" s="1"/>
      <c r="JYM53" s="1"/>
      <c r="JYN53" s="1"/>
      <c r="JYO53" s="1"/>
      <c r="JYP53" s="1"/>
      <c r="JYQ53" s="1"/>
      <c r="JYR53" s="1"/>
      <c r="JYS53" s="1"/>
      <c r="JYT53" s="1"/>
      <c r="JYU53" s="1"/>
      <c r="JYV53" s="1"/>
      <c r="JYW53" s="1"/>
      <c r="JYX53" s="1"/>
      <c r="JYY53" s="1"/>
      <c r="JYZ53" s="1"/>
      <c r="JZA53" s="1"/>
      <c r="JZB53" s="1"/>
      <c r="JZC53" s="1"/>
      <c r="JZD53" s="1"/>
      <c r="JZE53" s="1"/>
      <c r="JZF53" s="1"/>
      <c r="JZG53" s="1"/>
      <c r="JZH53" s="1"/>
      <c r="JZI53" s="1"/>
      <c r="JZJ53" s="1"/>
      <c r="JZK53" s="1"/>
      <c r="JZL53" s="1"/>
      <c r="JZM53" s="1"/>
      <c r="JZN53" s="1"/>
      <c r="JZO53" s="1"/>
      <c r="JZP53" s="1"/>
      <c r="JZQ53" s="1"/>
      <c r="JZR53" s="1"/>
      <c r="JZS53" s="1"/>
      <c r="JZT53" s="1"/>
      <c r="JZU53" s="1"/>
      <c r="JZV53" s="1"/>
      <c r="JZW53" s="1"/>
      <c r="JZX53" s="1"/>
      <c r="JZY53" s="1"/>
      <c r="JZZ53" s="1"/>
      <c r="KAA53" s="1"/>
      <c r="KAB53" s="1"/>
      <c r="KAC53" s="1"/>
      <c r="KAD53" s="1"/>
      <c r="KAE53" s="1"/>
      <c r="KAF53" s="1"/>
      <c r="KAG53" s="1"/>
      <c r="KAH53" s="1"/>
      <c r="KAI53" s="1"/>
      <c r="KAJ53" s="1"/>
      <c r="KAK53" s="1"/>
      <c r="KAL53" s="1"/>
      <c r="KAM53" s="1"/>
      <c r="KAN53" s="1"/>
      <c r="KAO53" s="1"/>
      <c r="KAP53" s="1"/>
      <c r="KAQ53" s="1"/>
      <c r="KAR53" s="1"/>
      <c r="KAS53" s="1"/>
      <c r="KAT53" s="1"/>
      <c r="KAU53" s="1"/>
      <c r="KAV53" s="1"/>
      <c r="KAW53" s="1"/>
      <c r="KAX53" s="1"/>
      <c r="KAY53" s="1"/>
      <c r="KAZ53" s="1"/>
      <c r="KBA53" s="1"/>
      <c r="KBB53" s="1"/>
      <c r="KBC53" s="1"/>
      <c r="KBD53" s="1"/>
      <c r="KBE53" s="1"/>
      <c r="KBF53" s="1"/>
      <c r="KBG53" s="1"/>
      <c r="KBH53" s="1"/>
      <c r="KBI53" s="1"/>
      <c r="KBJ53" s="1"/>
      <c r="KBK53" s="1"/>
      <c r="KBL53" s="1"/>
      <c r="KBM53" s="1"/>
      <c r="KBN53" s="1"/>
      <c r="KBO53" s="1"/>
      <c r="KBP53" s="1"/>
      <c r="KBQ53" s="1"/>
      <c r="KBR53" s="1"/>
      <c r="KBS53" s="1"/>
      <c r="KBT53" s="1"/>
      <c r="KBU53" s="1"/>
      <c r="KBV53" s="1"/>
      <c r="KBW53" s="1"/>
      <c r="KBX53" s="1"/>
      <c r="KBY53" s="1"/>
      <c r="KBZ53" s="1"/>
      <c r="KCA53" s="1"/>
      <c r="KCB53" s="1"/>
      <c r="KCC53" s="1"/>
      <c r="KCD53" s="1"/>
      <c r="KCE53" s="1"/>
      <c r="KCF53" s="1"/>
      <c r="KCG53" s="1"/>
      <c r="KCH53" s="1"/>
      <c r="KCI53" s="1"/>
      <c r="KCJ53" s="1"/>
      <c r="KCK53" s="1"/>
      <c r="KCL53" s="1"/>
      <c r="KCM53" s="1"/>
      <c r="KCN53" s="1"/>
      <c r="KCO53" s="1"/>
      <c r="KCP53" s="1"/>
      <c r="KCQ53" s="1"/>
      <c r="KCR53" s="1"/>
      <c r="KCS53" s="1"/>
      <c r="KCT53" s="1"/>
      <c r="KCU53" s="1"/>
      <c r="KCV53" s="1"/>
      <c r="KCW53" s="1"/>
      <c r="KCX53" s="1"/>
      <c r="KCY53" s="1"/>
      <c r="KCZ53" s="1"/>
      <c r="KDA53" s="1"/>
      <c r="KDB53" s="1"/>
      <c r="KDC53" s="1"/>
      <c r="KDD53" s="1"/>
      <c r="KDE53" s="1"/>
      <c r="KDF53" s="1"/>
      <c r="KDG53" s="1"/>
      <c r="KDH53" s="1"/>
      <c r="KDI53" s="1"/>
      <c r="KDJ53" s="1"/>
      <c r="KDK53" s="1"/>
      <c r="KDL53" s="1"/>
      <c r="KDM53" s="1"/>
      <c r="KDN53" s="1"/>
      <c r="KDO53" s="1"/>
      <c r="KDP53" s="1"/>
      <c r="KDQ53" s="1"/>
      <c r="KDR53" s="1"/>
      <c r="KDS53" s="1"/>
      <c r="KDT53" s="1"/>
      <c r="KDU53" s="1"/>
      <c r="KDV53" s="1"/>
      <c r="KDW53" s="1"/>
      <c r="KDX53" s="1"/>
      <c r="KDY53" s="1"/>
      <c r="KDZ53" s="1"/>
      <c r="KEA53" s="1"/>
      <c r="KEB53" s="1"/>
      <c r="KEC53" s="1"/>
      <c r="KED53" s="1"/>
      <c r="KEE53" s="1"/>
      <c r="KEF53" s="1"/>
      <c r="KEG53" s="1"/>
      <c r="KEH53" s="1"/>
      <c r="KEI53" s="1"/>
      <c r="KEJ53" s="1"/>
      <c r="KEK53" s="1"/>
      <c r="KEL53" s="1"/>
      <c r="KEM53" s="1"/>
      <c r="KEN53" s="1"/>
      <c r="KEO53" s="1"/>
      <c r="KEP53" s="1"/>
      <c r="KEQ53" s="1"/>
      <c r="KER53" s="1"/>
      <c r="KES53" s="1"/>
      <c r="KET53" s="1"/>
      <c r="KEU53" s="1"/>
      <c r="KEV53" s="1"/>
      <c r="KEW53" s="1"/>
      <c r="KEX53" s="1"/>
      <c r="KEY53" s="1"/>
      <c r="KEZ53" s="1"/>
      <c r="KFA53" s="1"/>
      <c r="KFB53" s="1"/>
      <c r="KFC53" s="1"/>
      <c r="KFD53" s="1"/>
      <c r="KFE53" s="1"/>
      <c r="KFF53" s="1"/>
      <c r="KFG53" s="1"/>
      <c r="KFH53" s="1"/>
      <c r="KFI53" s="1"/>
      <c r="KFJ53" s="1"/>
      <c r="KFK53" s="1"/>
      <c r="KFL53" s="1"/>
      <c r="KFM53" s="1"/>
      <c r="KFN53" s="1"/>
      <c r="KFO53" s="1"/>
      <c r="KFP53" s="1"/>
      <c r="KFQ53" s="1"/>
      <c r="KFR53" s="1"/>
      <c r="KFS53" s="1"/>
      <c r="KFT53" s="1"/>
      <c r="KFU53" s="1"/>
      <c r="KFV53" s="1"/>
      <c r="KFW53" s="1"/>
      <c r="KFX53" s="1"/>
      <c r="KFY53" s="1"/>
      <c r="KFZ53" s="1"/>
      <c r="KGA53" s="1"/>
      <c r="KGB53" s="1"/>
      <c r="KGC53" s="1"/>
      <c r="KGD53" s="1"/>
      <c r="KGE53" s="1"/>
      <c r="KGF53" s="1"/>
      <c r="KGG53" s="1"/>
      <c r="KGH53" s="1"/>
      <c r="KGI53" s="1"/>
      <c r="KGJ53" s="1"/>
      <c r="KGK53" s="1"/>
      <c r="KGL53" s="1"/>
      <c r="KGM53" s="1"/>
      <c r="KGN53" s="1"/>
      <c r="KGO53" s="1"/>
      <c r="KGP53" s="1"/>
      <c r="KGQ53" s="1"/>
      <c r="KGR53" s="1"/>
      <c r="KGS53" s="1"/>
      <c r="KGT53" s="1"/>
      <c r="KGU53" s="1"/>
      <c r="KGV53" s="1"/>
      <c r="KGW53" s="1"/>
      <c r="KGX53" s="1"/>
      <c r="KGY53" s="1"/>
      <c r="KGZ53" s="1"/>
      <c r="KHA53" s="1"/>
      <c r="KHB53" s="1"/>
      <c r="KHC53" s="1"/>
      <c r="KHD53" s="1"/>
      <c r="KHE53" s="1"/>
      <c r="KHF53" s="1"/>
      <c r="KHG53" s="1"/>
      <c r="KHH53" s="1"/>
      <c r="KHI53" s="1"/>
      <c r="KHJ53" s="1"/>
      <c r="KHK53" s="1"/>
      <c r="KHL53" s="1"/>
      <c r="KHM53" s="1"/>
      <c r="KHN53" s="1"/>
      <c r="KHO53" s="1"/>
      <c r="KHP53" s="1"/>
      <c r="KHQ53" s="1"/>
      <c r="KHR53" s="1"/>
      <c r="KHS53" s="1"/>
      <c r="KHT53" s="1"/>
      <c r="KHU53" s="1"/>
      <c r="KHV53" s="1"/>
      <c r="KHW53" s="1"/>
      <c r="KHX53" s="1"/>
      <c r="KHY53" s="1"/>
      <c r="KHZ53" s="1"/>
      <c r="KIA53" s="1"/>
      <c r="KIB53" s="1"/>
      <c r="KIC53" s="1"/>
      <c r="KID53" s="1"/>
      <c r="KIE53" s="1"/>
      <c r="KIF53" s="1"/>
      <c r="KIG53" s="1"/>
      <c r="KIH53" s="1"/>
      <c r="KII53" s="1"/>
      <c r="KIJ53" s="1"/>
      <c r="KIK53" s="1"/>
      <c r="KIL53" s="1"/>
      <c r="KIM53" s="1"/>
      <c r="KIN53" s="1"/>
      <c r="KIO53" s="1"/>
      <c r="KIP53" s="1"/>
      <c r="KIQ53" s="1"/>
      <c r="KIR53" s="1"/>
      <c r="KIS53" s="1"/>
      <c r="KIT53" s="1"/>
      <c r="KIU53" s="1"/>
      <c r="KIV53" s="1"/>
      <c r="KIW53" s="1"/>
      <c r="KIX53" s="1"/>
      <c r="KIY53" s="1"/>
      <c r="KIZ53" s="1"/>
      <c r="KJA53" s="1"/>
      <c r="KJB53" s="1"/>
      <c r="KJC53" s="1"/>
      <c r="KJD53" s="1"/>
      <c r="KJE53" s="1"/>
      <c r="KJF53" s="1"/>
      <c r="KJG53" s="1"/>
      <c r="KJH53" s="1"/>
      <c r="KJI53" s="1"/>
      <c r="KJJ53" s="1"/>
      <c r="KJK53" s="1"/>
      <c r="KJL53" s="1"/>
      <c r="KJM53" s="1"/>
      <c r="KJN53" s="1"/>
      <c r="KJO53" s="1"/>
      <c r="KJP53" s="1"/>
      <c r="KJQ53" s="1"/>
      <c r="KJR53" s="1"/>
      <c r="KJS53" s="1"/>
      <c r="KJT53" s="1"/>
      <c r="KJU53" s="1"/>
      <c r="KJV53" s="1"/>
      <c r="KJW53" s="1"/>
      <c r="KJX53" s="1"/>
      <c r="KJY53" s="1"/>
      <c r="KJZ53" s="1"/>
      <c r="KKA53" s="1"/>
      <c r="KKB53" s="1"/>
      <c r="KKC53" s="1"/>
      <c r="KKD53" s="1"/>
      <c r="KKE53" s="1"/>
      <c r="KKF53" s="1"/>
      <c r="KKG53" s="1"/>
      <c r="KKH53" s="1"/>
      <c r="KKI53" s="1"/>
      <c r="KKJ53" s="1"/>
      <c r="KKK53" s="1"/>
      <c r="KKL53" s="1"/>
      <c r="KKM53" s="1"/>
      <c r="KKN53" s="1"/>
      <c r="KKO53" s="1"/>
      <c r="KKP53" s="1"/>
      <c r="KKQ53" s="1"/>
      <c r="KKR53" s="1"/>
      <c r="KKS53" s="1"/>
      <c r="KKT53" s="1"/>
      <c r="KKU53" s="1"/>
      <c r="KKV53" s="1"/>
      <c r="KKW53" s="1"/>
      <c r="KKX53" s="1"/>
      <c r="KKY53" s="1"/>
      <c r="KKZ53" s="1"/>
      <c r="KLA53" s="1"/>
      <c r="KLB53" s="1"/>
      <c r="KLC53" s="1"/>
      <c r="KLD53" s="1"/>
      <c r="KLE53" s="1"/>
      <c r="KLF53" s="1"/>
      <c r="KLG53" s="1"/>
      <c r="KLH53" s="1"/>
      <c r="KLI53" s="1"/>
      <c r="KLJ53" s="1"/>
      <c r="KLK53" s="1"/>
      <c r="KLL53" s="1"/>
      <c r="KLM53" s="1"/>
      <c r="KLN53" s="1"/>
      <c r="KLO53" s="1"/>
      <c r="KLP53" s="1"/>
      <c r="KLQ53" s="1"/>
      <c r="KLR53" s="1"/>
      <c r="KLS53" s="1"/>
      <c r="KLT53" s="1"/>
      <c r="KLU53" s="1"/>
      <c r="KLV53" s="1"/>
      <c r="KLW53" s="1"/>
      <c r="KLX53" s="1"/>
      <c r="KLY53" s="1"/>
      <c r="KLZ53" s="1"/>
      <c r="KMA53" s="1"/>
      <c r="KMB53" s="1"/>
      <c r="KMC53" s="1"/>
      <c r="KMD53" s="1"/>
      <c r="KME53" s="1"/>
      <c r="KMF53" s="1"/>
      <c r="KMG53" s="1"/>
      <c r="KMH53" s="1"/>
      <c r="KMI53" s="1"/>
      <c r="KMJ53" s="1"/>
      <c r="KMK53" s="1"/>
      <c r="KML53" s="1"/>
      <c r="KMM53" s="1"/>
      <c r="KMN53" s="1"/>
      <c r="KMO53" s="1"/>
      <c r="KMP53" s="1"/>
      <c r="KMQ53" s="1"/>
      <c r="KMR53" s="1"/>
      <c r="KMS53" s="1"/>
      <c r="KMT53" s="1"/>
      <c r="KMU53" s="1"/>
      <c r="KMV53" s="1"/>
      <c r="KMW53" s="1"/>
      <c r="KMX53" s="1"/>
      <c r="KMY53" s="1"/>
      <c r="KMZ53" s="1"/>
      <c r="KNA53" s="1"/>
      <c r="KNB53" s="1"/>
      <c r="KNC53" s="1"/>
      <c r="KND53" s="1"/>
      <c r="KNE53" s="1"/>
      <c r="KNF53" s="1"/>
      <c r="KNG53" s="1"/>
      <c r="KNH53" s="1"/>
      <c r="KNI53" s="1"/>
      <c r="KNJ53" s="1"/>
      <c r="KNK53" s="1"/>
      <c r="KNL53" s="1"/>
      <c r="KNM53" s="1"/>
      <c r="KNN53" s="1"/>
      <c r="KNO53" s="1"/>
      <c r="KNP53" s="1"/>
      <c r="KNQ53" s="1"/>
      <c r="KNR53" s="1"/>
      <c r="KNS53" s="1"/>
      <c r="KNT53" s="1"/>
      <c r="KNU53" s="1"/>
      <c r="KNV53" s="1"/>
      <c r="KNW53" s="1"/>
      <c r="KNX53" s="1"/>
      <c r="KNY53" s="1"/>
      <c r="KNZ53" s="1"/>
      <c r="KOA53" s="1"/>
      <c r="KOB53" s="1"/>
      <c r="KOC53" s="1"/>
      <c r="KOD53" s="1"/>
      <c r="KOE53" s="1"/>
      <c r="KOF53" s="1"/>
      <c r="KOG53" s="1"/>
      <c r="KOH53" s="1"/>
      <c r="KOI53" s="1"/>
      <c r="KOJ53" s="1"/>
      <c r="KOK53" s="1"/>
      <c r="KOL53" s="1"/>
      <c r="KOM53" s="1"/>
      <c r="KON53" s="1"/>
      <c r="KOO53" s="1"/>
      <c r="KOP53" s="1"/>
      <c r="KOQ53" s="1"/>
      <c r="KOR53" s="1"/>
      <c r="KOS53" s="1"/>
      <c r="KOT53" s="1"/>
      <c r="KOU53" s="1"/>
      <c r="KOV53" s="1"/>
      <c r="KOW53" s="1"/>
      <c r="KOX53" s="1"/>
      <c r="KOY53" s="1"/>
      <c r="KOZ53" s="1"/>
      <c r="KPA53" s="1"/>
      <c r="KPB53" s="1"/>
      <c r="KPC53" s="1"/>
      <c r="KPD53" s="1"/>
      <c r="KPE53" s="1"/>
      <c r="KPF53" s="1"/>
      <c r="KPG53" s="1"/>
      <c r="KPH53" s="1"/>
      <c r="KPI53" s="1"/>
      <c r="KPJ53" s="1"/>
      <c r="KPK53" s="1"/>
      <c r="KPL53" s="1"/>
      <c r="KPM53" s="1"/>
      <c r="KPN53" s="1"/>
      <c r="KPO53" s="1"/>
      <c r="KPP53" s="1"/>
      <c r="KPQ53" s="1"/>
      <c r="KPR53" s="1"/>
      <c r="KPS53" s="1"/>
      <c r="KPT53" s="1"/>
      <c r="KPU53" s="1"/>
      <c r="KPV53" s="1"/>
      <c r="KPW53" s="1"/>
      <c r="KPX53" s="1"/>
      <c r="KPY53" s="1"/>
      <c r="KPZ53" s="1"/>
      <c r="KQA53" s="1"/>
      <c r="KQB53" s="1"/>
      <c r="KQC53" s="1"/>
      <c r="KQD53" s="1"/>
      <c r="KQE53" s="1"/>
      <c r="KQF53" s="1"/>
      <c r="KQG53" s="1"/>
      <c r="KQH53" s="1"/>
      <c r="KQI53" s="1"/>
      <c r="KQJ53" s="1"/>
      <c r="KQK53" s="1"/>
      <c r="KQL53" s="1"/>
      <c r="KQM53" s="1"/>
      <c r="KQN53" s="1"/>
      <c r="KQO53" s="1"/>
      <c r="KQP53" s="1"/>
      <c r="KQQ53" s="1"/>
      <c r="KQR53" s="1"/>
      <c r="KQS53" s="1"/>
      <c r="KQT53" s="1"/>
      <c r="KQU53" s="1"/>
      <c r="KQV53" s="1"/>
      <c r="KQW53" s="1"/>
      <c r="KQX53" s="1"/>
      <c r="KQY53" s="1"/>
      <c r="KQZ53" s="1"/>
      <c r="KRA53" s="1"/>
      <c r="KRB53" s="1"/>
      <c r="KRC53" s="1"/>
      <c r="KRD53" s="1"/>
      <c r="KRE53" s="1"/>
      <c r="KRF53" s="1"/>
      <c r="KRG53" s="1"/>
      <c r="KRH53" s="1"/>
      <c r="KRI53" s="1"/>
      <c r="KRJ53" s="1"/>
      <c r="KRK53" s="1"/>
      <c r="KRL53" s="1"/>
      <c r="KRM53" s="1"/>
      <c r="KRN53" s="1"/>
      <c r="KRO53" s="1"/>
      <c r="KRP53" s="1"/>
      <c r="KRQ53" s="1"/>
      <c r="KRR53" s="1"/>
      <c r="KRS53" s="1"/>
      <c r="KRT53" s="1"/>
      <c r="KRU53" s="1"/>
      <c r="KRV53" s="1"/>
      <c r="KRW53" s="1"/>
      <c r="KRX53" s="1"/>
      <c r="KRY53" s="1"/>
      <c r="KRZ53" s="1"/>
      <c r="KSA53" s="1"/>
      <c r="KSB53" s="1"/>
      <c r="KSC53" s="1"/>
      <c r="KSD53" s="1"/>
      <c r="KSE53" s="1"/>
      <c r="KSF53" s="1"/>
      <c r="KSG53" s="1"/>
      <c r="KSH53" s="1"/>
      <c r="KSI53" s="1"/>
      <c r="KSJ53" s="1"/>
      <c r="KSK53" s="1"/>
      <c r="KSL53" s="1"/>
      <c r="KSM53" s="1"/>
      <c r="KSN53" s="1"/>
      <c r="KSO53" s="1"/>
      <c r="KSP53" s="1"/>
      <c r="KSQ53" s="1"/>
      <c r="KSR53" s="1"/>
      <c r="KSS53" s="1"/>
      <c r="KST53" s="1"/>
      <c r="KSU53" s="1"/>
      <c r="KSV53" s="1"/>
      <c r="KSW53" s="1"/>
      <c r="KSX53" s="1"/>
      <c r="KSY53" s="1"/>
      <c r="KSZ53" s="1"/>
      <c r="KTA53" s="1"/>
      <c r="KTB53" s="1"/>
      <c r="KTC53" s="1"/>
      <c r="KTD53" s="1"/>
      <c r="KTE53" s="1"/>
      <c r="KTF53" s="1"/>
      <c r="KTG53" s="1"/>
      <c r="KTH53" s="1"/>
      <c r="KTI53" s="1"/>
      <c r="KTJ53" s="1"/>
      <c r="KTK53" s="1"/>
      <c r="KTL53" s="1"/>
      <c r="KTM53" s="1"/>
      <c r="KTN53" s="1"/>
      <c r="KTO53" s="1"/>
      <c r="KTP53" s="1"/>
      <c r="KTQ53" s="1"/>
      <c r="KTR53" s="1"/>
      <c r="KTS53" s="1"/>
      <c r="KTT53" s="1"/>
      <c r="KTU53" s="1"/>
      <c r="KTV53" s="1"/>
      <c r="KTW53" s="1"/>
      <c r="KTX53" s="1"/>
      <c r="KTY53" s="1"/>
      <c r="KTZ53" s="1"/>
      <c r="KUA53" s="1"/>
      <c r="KUB53" s="1"/>
      <c r="KUC53" s="1"/>
      <c r="KUD53" s="1"/>
      <c r="KUE53" s="1"/>
      <c r="KUF53" s="1"/>
      <c r="KUG53" s="1"/>
      <c r="KUH53" s="1"/>
      <c r="KUI53" s="1"/>
      <c r="KUJ53" s="1"/>
      <c r="KUK53" s="1"/>
      <c r="KUL53" s="1"/>
      <c r="KUM53" s="1"/>
      <c r="KUN53" s="1"/>
      <c r="KUO53" s="1"/>
      <c r="KUP53" s="1"/>
      <c r="KUQ53" s="1"/>
      <c r="KUR53" s="1"/>
      <c r="KUS53" s="1"/>
      <c r="KUT53" s="1"/>
      <c r="KUU53" s="1"/>
      <c r="KUV53" s="1"/>
      <c r="KUW53" s="1"/>
      <c r="KUX53" s="1"/>
      <c r="KUY53" s="1"/>
      <c r="KUZ53" s="1"/>
      <c r="KVA53" s="1"/>
      <c r="KVB53" s="1"/>
      <c r="KVC53" s="1"/>
      <c r="KVD53" s="1"/>
      <c r="KVE53" s="1"/>
      <c r="KVF53" s="1"/>
      <c r="KVG53" s="1"/>
      <c r="KVH53" s="1"/>
      <c r="KVI53" s="1"/>
      <c r="KVJ53" s="1"/>
      <c r="KVK53" s="1"/>
      <c r="KVL53" s="1"/>
      <c r="KVM53" s="1"/>
      <c r="KVN53" s="1"/>
      <c r="KVO53" s="1"/>
      <c r="KVP53" s="1"/>
      <c r="KVQ53" s="1"/>
      <c r="KVR53" s="1"/>
      <c r="KVS53" s="1"/>
      <c r="KVT53" s="1"/>
      <c r="KVU53" s="1"/>
      <c r="KVV53" s="1"/>
      <c r="KVW53" s="1"/>
      <c r="KVX53" s="1"/>
      <c r="KVY53" s="1"/>
      <c r="KVZ53" s="1"/>
      <c r="KWA53" s="1"/>
      <c r="KWB53" s="1"/>
      <c r="KWC53" s="1"/>
      <c r="KWD53" s="1"/>
      <c r="KWE53" s="1"/>
      <c r="KWF53" s="1"/>
      <c r="KWG53" s="1"/>
      <c r="KWH53" s="1"/>
      <c r="KWI53" s="1"/>
      <c r="KWJ53" s="1"/>
      <c r="KWK53" s="1"/>
      <c r="KWL53" s="1"/>
      <c r="KWM53" s="1"/>
      <c r="KWN53" s="1"/>
      <c r="KWO53" s="1"/>
      <c r="KWP53" s="1"/>
      <c r="KWQ53" s="1"/>
      <c r="KWR53" s="1"/>
      <c r="KWS53" s="1"/>
      <c r="KWT53" s="1"/>
      <c r="KWU53" s="1"/>
      <c r="KWV53" s="1"/>
      <c r="KWW53" s="1"/>
      <c r="KWX53" s="1"/>
      <c r="KWY53" s="1"/>
      <c r="KWZ53" s="1"/>
      <c r="KXA53" s="1"/>
      <c r="KXB53" s="1"/>
      <c r="KXC53" s="1"/>
      <c r="KXD53" s="1"/>
      <c r="KXE53" s="1"/>
      <c r="KXF53" s="1"/>
      <c r="KXG53" s="1"/>
      <c r="KXH53" s="1"/>
      <c r="KXI53" s="1"/>
      <c r="KXJ53" s="1"/>
      <c r="KXK53" s="1"/>
      <c r="KXL53" s="1"/>
      <c r="KXM53" s="1"/>
      <c r="KXN53" s="1"/>
      <c r="KXO53" s="1"/>
      <c r="KXP53" s="1"/>
      <c r="KXQ53" s="1"/>
      <c r="KXR53" s="1"/>
      <c r="KXS53" s="1"/>
      <c r="KXT53" s="1"/>
      <c r="KXU53" s="1"/>
      <c r="KXV53" s="1"/>
      <c r="KXW53" s="1"/>
      <c r="KXX53" s="1"/>
      <c r="KXY53" s="1"/>
      <c r="KXZ53" s="1"/>
      <c r="KYA53" s="1"/>
      <c r="KYB53" s="1"/>
      <c r="KYC53" s="1"/>
      <c r="KYD53" s="1"/>
      <c r="KYE53" s="1"/>
      <c r="KYF53" s="1"/>
      <c r="KYG53" s="1"/>
      <c r="KYH53" s="1"/>
      <c r="KYI53" s="1"/>
      <c r="KYJ53" s="1"/>
      <c r="KYK53" s="1"/>
      <c r="KYL53" s="1"/>
      <c r="KYM53" s="1"/>
      <c r="KYN53" s="1"/>
      <c r="KYO53" s="1"/>
      <c r="KYP53" s="1"/>
      <c r="KYQ53" s="1"/>
      <c r="KYR53" s="1"/>
      <c r="KYS53" s="1"/>
      <c r="KYT53" s="1"/>
      <c r="KYU53" s="1"/>
      <c r="KYV53" s="1"/>
      <c r="KYW53" s="1"/>
      <c r="KYX53" s="1"/>
      <c r="KYY53" s="1"/>
      <c r="KYZ53" s="1"/>
      <c r="KZA53" s="1"/>
      <c r="KZB53" s="1"/>
      <c r="KZC53" s="1"/>
      <c r="KZD53" s="1"/>
      <c r="KZE53" s="1"/>
      <c r="KZF53" s="1"/>
      <c r="KZG53" s="1"/>
      <c r="KZH53" s="1"/>
      <c r="KZI53" s="1"/>
      <c r="KZJ53" s="1"/>
      <c r="KZK53" s="1"/>
      <c r="KZL53" s="1"/>
      <c r="KZM53" s="1"/>
      <c r="KZN53" s="1"/>
      <c r="KZO53" s="1"/>
      <c r="KZP53" s="1"/>
      <c r="KZQ53" s="1"/>
      <c r="KZR53" s="1"/>
      <c r="KZS53" s="1"/>
      <c r="KZT53" s="1"/>
      <c r="KZU53" s="1"/>
      <c r="KZV53" s="1"/>
      <c r="KZW53" s="1"/>
      <c r="KZX53" s="1"/>
      <c r="KZY53" s="1"/>
      <c r="KZZ53" s="1"/>
      <c r="LAA53" s="1"/>
      <c r="LAB53" s="1"/>
      <c r="LAC53" s="1"/>
      <c r="LAD53" s="1"/>
      <c r="LAE53" s="1"/>
      <c r="LAF53" s="1"/>
      <c r="LAG53" s="1"/>
      <c r="LAH53" s="1"/>
      <c r="LAI53" s="1"/>
      <c r="LAJ53" s="1"/>
      <c r="LAK53" s="1"/>
      <c r="LAL53" s="1"/>
      <c r="LAM53" s="1"/>
      <c r="LAN53" s="1"/>
      <c r="LAO53" s="1"/>
      <c r="LAP53" s="1"/>
      <c r="LAQ53" s="1"/>
      <c r="LAR53" s="1"/>
      <c r="LAS53" s="1"/>
      <c r="LAT53" s="1"/>
      <c r="LAU53" s="1"/>
      <c r="LAV53" s="1"/>
      <c r="LAW53" s="1"/>
      <c r="LAX53" s="1"/>
      <c r="LAY53" s="1"/>
      <c r="LAZ53" s="1"/>
      <c r="LBA53" s="1"/>
      <c r="LBB53" s="1"/>
      <c r="LBC53" s="1"/>
      <c r="LBD53" s="1"/>
      <c r="LBE53" s="1"/>
      <c r="LBF53" s="1"/>
      <c r="LBG53" s="1"/>
      <c r="LBH53" s="1"/>
      <c r="LBI53" s="1"/>
      <c r="LBJ53" s="1"/>
      <c r="LBK53" s="1"/>
      <c r="LBL53" s="1"/>
      <c r="LBM53" s="1"/>
      <c r="LBN53" s="1"/>
      <c r="LBO53" s="1"/>
      <c r="LBP53" s="1"/>
      <c r="LBQ53" s="1"/>
      <c r="LBR53" s="1"/>
      <c r="LBS53" s="1"/>
      <c r="LBT53" s="1"/>
      <c r="LBU53" s="1"/>
      <c r="LBV53" s="1"/>
      <c r="LBW53" s="1"/>
      <c r="LBX53" s="1"/>
      <c r="LBY53" s="1"/>
      <c r="LBZ53" s="1"/>
      <c r="LCA53" s="1"/>
      <c r="LCB53" s="1"/>
      <c r="LCC53" s="1"/>
      <c r="LCD53" s="1"/>
      <c r="LCE53" s="1"/>
      <c r="LCF53" s="1"/>
      <c r="LCG53" s="1"/>
      <c r="LCH53" s="1"/>
      <c r="LCI53" s="1"/>
      <c r="LCJ53" s="1"/>
      <c r="LCK53" s="1"/>
      <c r="LCL53" s="1"/>
      <c r="LCM53" s="1"/>
      <c r="LCN53" s="1"/>
      <c r="LCO53" s="1"/>
      <c r="LCP53" s="1"/>
      <c r="LCQ53" s="1"/>
      <c r="LCR53" s="1"/>
      <c r="LCS53" s="1"/>
      <c r="LCT53" s="1"/>
      <c r="LCU53" s="1"/>
      <c r="LCV53" s="1"/>
      <c r="LCW53" s="1"/>
      <c r="LCX53" s="1"/>
      <c r="LCY53" s="1"/>
      <c r="LCZ53" s="1"/>
      <c r="LDA53" s="1"/>
      <c r="LDB53" s="1"/>
      <c r="LDC53" s="1"/>
      <c r="LDD53" s="1"/>
      <c r="LDE53" s="1"/>
      <c r="LDF53" s="1"/>
      <c r="LDG53" s="1"/>
      <c r="LDH53" s="1"/>
      <c r="LDI53" s="1"/>
      <c r="LDJ53" s="1"/>
      <c r="LDK53" s="1"/>
      <c r="LDL53" s="1"/>
      <c r="LDM53" s="1"/>
      <c r="LDN53" s="1"/>
      <c r="LDO53" s="1"/>
      <c r="LDP53" s="1"/>
      <c r="LDQ53" s="1"/>
      <c r="LDR53" s="1"/>
      <c r="LDS53" s="1"/>
      <c r="LDT53" s="1"/>
      <c r="LDU53" s="1"/>
      <c r="LDV53" s="1"/>
      <c r="LDW53" s="1"/>
      <c r="LDX53" s="1"/>
      <c r="LDY53" s="1"/>
      <c r="LDZ53" s="1"/>
      <c r="LEA53" s="1"/>
      <c r="LEB53" s="1"/>
      <c r="LEC53" s="1"/>
      <c r="LED53" s="1"/>
      <c r="LEE53" s="1"/>
      <c r="LEF53" s="1"/>
      <c r="LEG53" s="1"/>
      <c r="LEH53" s="1"/>
      <c r="LEI53" s="1"/>
      <c r="LEJ53" s="1"/>
      <c r="LEK53" s="1"/>
      <c r="LEL53" s="1"/>
      <c r="LEM53" s="1"/>
      <c r="LEN53" s="1"/>
      <c r="LEO53" s="1"/>
      <c r="LEP53" s="1"/>
      <c r="LEQ53" s="1"/>
      <c r="LER53" s="1"/>
      <c r="LES53" s="1"/>
      <c r="LET53" s="1"/>
      <c r="LEU53" s="1"/>
      <c r="LEV53" s="1"/>
      <c r="LEW53" s="1"/>
      <c r="LEX53" s="1"/>
      <c r="LEY53" s="1"/>
      <c r="LEZ53" s="1"/>
      <c r="LFA53" s="1"/>
      <c r="LFB53" s="1"/>
      <c r="LFC53" s="1"/>
      <c r="LFD53" s="1"/>
      <c r="LFE53" s="1"/>
      <c r="LFF53" s="1"/>
      <c r="LFG53" s="1"/>
      <c r="LFH53" s="1"/>
      <c r="LFI53" s="1"/>
      <c r="LFJ53" s="1"/>
      <c r="LFK53" s="1"/>
      <c r="LFL53" s="1"/>
      <c r="LFM53" s="1"/>
      <c r="LFN53" s="1"/>
      <c r="LFO53" s="1"/>
      <c r="LFP53" s="1"/>
      <c r="LFQ53" s="1"/>
      <c r="LFR53" s="1"/>
      <c r="LFS53" s="1"/>
      <c r="LFT53" s="1"/>
      <c r="LFU53" s="1"/>
      <c r="LFV53" s="1"/>
      <c r="LFW53" s="1"/>
      <c r="LFX53" s="1"/>
      <c r="LFY53" s="1"/>
      <c r="LFZ53" s="1"/>
      <c r="LGA53" s="1"/>
      <c r="LGB53" s="1"/>
      <c r="LGC53" s="1"/>
      <c r="LGD53" s="1"/>
      <c r="LGE53" s="1"/>
      <c r="LGF53" s="1"/>
      <c r="LGG53" s="1"/>
      <c r="LGH53" s="1"/>
      <c r="LGI53" s="1"/>
      <c r="LGJ53" s="1"/>
      <c r="LGK53" s="1"/>
      <c r="LGL53" s="1"/>
      <c r="LGM53" s="1"/>
      <c r="LGN53" s="1"/>
      <c r="LGO53" s="1"/>
      <c r="LGP53" s="1"/>
      <c r="LGQ53" s="1"/>
      <c r="LGR53" s="1"/>
      <c r="LGS53" s="1"/>
      <c r="LGT53" s="1"/>
      <c r="LGU53" s="1"/>
      <c r="LGV53" s="1"/>
      <c r="LGW53" s="1"/>
      <c r="LGX53" s="1"/>
      <c r="LGY53" s="1"/>
      <c r="LGZ53" s="1"/>
      <c r="LHA53" s="1"/>
      <c r="LHB53" s="1"/>
      <c r="LHC53" s="1"/>
      <c r="LHD53" s="1"/>
      <c r="LHE53" s="1"/>
      <c r="LHF53" s="1"/>
      <c r="LHG53" s="1"/>
      <c r="LHH53" s="1"/>
      <c r="LHI53" s="1"/>
      <c r="LHJ53" s="1"/>
      <c r="LHK53" s="1"/>
      <c r="LHL53" s="1"/>
      <c r="LHM53" s="1"/>
      <c r="LHN53" s="1"/>
      <c r="LHO53" s="1"/>
      <c r="LHP53" s="1"/>
      <c r="LHQ53" s="1"/>
      <c r="LHR53" s="1"/>
      <c r="LHS53" s="1"/>
      <c r="LHT53" s="1"/>
      <c r="LHU53" s="1"/>
      <c r="LHV53" s="1"/>
      <c r="LHW53" s="1"/>
      <c r="LHX53" s="1"/>
      <c r="LHY53" s="1"/>
      <c r="LHZ53" s="1"/>
      <c r="LIA53" s="1"/>
      <c r="LIB53" s="1"/>
      <c r="LIC53" s="1"/>
      <c r="LID53" s="1"/>
      <c r="LIE53" s="1"/>
      <c r="LIF53" s="1"/>
      <c r="LIG53" s="1"/>
      <c r="LIH53" s="1"/>
      <c r="LII53" s="1"/>
      <c r="LIJ53" s="1"/>
      <c r="LIK53" s="1"/>
      <c r="LIL53" s="1"/>
      <c r="LIM53" s="1"/>
      <c r="LIN53" s="1"/>
      <c r="LIO53" s="1"/>
      <c r="LIP53" s="1"/>
      <c r="LIQ53" s="1"/>
      <c r="LIR53" s="1"/>
      <c r="LIS53" s="1"/>
      <c r="LIT53" s="1"/>
      <c r="LIU53" s="1"/>
      <c r="LIV53" s="1"/>
      <c r="LIW53" s="1"/>
      <c r="LIX53" s="1"/>
      <c r="LIY53" s="1"/>
      <c r="LIZ53" s="1"/>
      <c r="LJA53" s="1"/>
      <c r="LJB53" s="1"/>
      <c r="LJC53" s="1"/>
      <c r="LJD53" s="1"/>
      <c r="LJE53" s="1"/>
      <c r="LJF53" s="1"/>
      <c r="LJG53" s="1"/>
      <c r="LJH53" s="1"/>
      <c r="LJI53" s="1"/>
      <c r="LJJ53" s="1"/>
      <c r="LJK53" s="1"/>
      <c r="LJL53" s="1"/>
      <c r="LJM53" s="1"/>
      <c r="LJN53" s="1"/>
      <c r="LJO53" s="1"/>
      <c r="LJP53" s="1"/>
      <c r="LJQ53" s="1"/>
      <c r="LJR53" s="1"/>
      <c r="LJS53" s="1"/>
      <c r="LJT53" s="1"/>
      <c r="LJU53" s="1"/>
      <c r="LJV53" s="1"/>
      <c r="LJW53" s="1"/>
      <c r="LJX53" s="1"/>
      <c r="LJY53" s="1"/>
      <c r="LJZ53" s="1"/>
      <c r="LKA53" s="1"/>
      <c r="LKB53" s="1"/>
      <c r="LKC53" s="1"/>
      <c r="LKD53" s="1"/>
      <c r="LKE53" s="1"/>
      <c r="LKF53" s="1"/>
      <c r="LKG53" s="1"/>
      <c r="LKH53" s="1"/>
      <c r="LKI53" s="1"/>
      <c r="LKJ53" s="1"/>
      <c r="LKK53" s="1"/>
      <c r="LKL53" s="1"/>
      <c r="LKM53" s="1"/>
      <c r="LKN53" s="1"/>
      <c r="LKO53" s="1"/>
      <c r="LKP53" s="1"/>
      <c r="LKQ53" s="1"/>
      <c r="LKR53" s="1"/>
      <c r="LKS53" s="1"/>
      <c r="LKT53" s="1"/>
      <c r="LKU53" s="1"/>
      <c r="LKV53" s="1"/>
      <c r="LKW53" s="1"/>
      <c r="LKX53" s="1"/>
      <c r="LKY53" s="1"/>
      <c r="LKZ53" s="1"/>
      <c r="LLA53" s="1"/>
      <c r="LLB53" s="1"/>
      <c r="LLC53" s="1"/>
      <c r="LLD53" s="1"/>
      <c r="LLE53" s="1"/>
      <c r="LLF53" s="1"/>
      <c r="LLG53" s="1"/>
      <c r="LLH53" s="1"/>
      <c r="LLI53" s="1"/>
      <c r="LLJ53" s="1"/>
      <c r="LLK53" s="1"/>
      <c r="LLL53" s="1"/>
      <c r="LLM53" s="1"/>
      <c r="LLN53" s="1"/>
      <c r="LLO53" s="1"/>
      <c r="LLP53" s="1"/>
      <c r="LLQ53" s="1"/>
      <c r="LLR53" s="1"/>
      <c r="LLS53" s="1"/>
      <c r="LLT53" s="1"/>
      <c r="LLU53" s="1"/>
      <c r="LLV53" s="1"/>
      <c r="LLW53" s="1"/>
      <c r="LLX53" s="1"/>
      <c r="LLY53" s="1"/>
      <c r="LLZ53" s="1"/>
      <c r="LMA53" s="1"/>
      <c r="LMB53" s="1"/>
      <c r="LMC53" s="1"/>
      <c r="LMD53" s="1"/>
      <c r="LME53" s="1"/>
      <c r="LMF53" s="1"/>
      <c r="LMG53" s="1"/>
      <c r="LMH53" s="1"/>
      <c r="LMI53" s="1"/>
      <c r="LMJ53" s="1"/>
      <c r="LMK53" s="1"/>
      <c r="LML53" s="1"/>
      <c r="LMM53" s="1"/>
      <c r="LMN53" s="1"/>
      <c r="LMO53" s="1"/>
      <c r="LMP53" s="1"/>
      <c r="LMQ53" s="1"/>
      <c r="LMR53" s="1"/>
      <c r="LMS53" s="1"/>
      <c r="LMT53" s="1"/>
      <c r="LMU53" s="1"/>
      <c r="LMV53" s="1"/>
      <c r="LMW53" s="1"/>
      <c r="LMX53" s="1"/>
      <c r="LMY53" s="1"/>
      <c r="LMZ53" s="1"/>
      <c r="LNA53" s="1"/>
      <c r="LNB53" s="1"/>
      <c r="LNC53" s="1"/>
      <c r="LND53" s="1"/>
      <c r="LNE53" s="1"/>
      <c r="LNF53" s="1"/>
      <c r="LNG53" s="1"/>
      <c r="LNH53" s="1"/>
      <c r="LNI53" s="1"/>
      <c r="LNJ53" s="1"/>
      <c r="LNK53" s="1"/>
      <c r="LNL53" s="1"/>
      <c r="LNM53" s="1"/>
      <c r="LNN53" s="1"/>
      <c r="LNO53" s="1"/>
      <c r="LNP53" s="1"/>
      <c r="LNQ53" s="1"/>
      <c r="LNR53" s="1"/>
      <c r="LNS53" s="1"/>
      <c r="LNT53" s="1"/>
      <c r="LNU53" s="1"/>
      <c r="LNV53" s="1"/>
      <c r="LNW53" s="1"/>
      <c r="LNX53" s="1"/>
      <c r="LNY53" s="1"/>
      <c r="LNZ53" s="1"/>
      <c r="LOA53" s="1"/>
      <c r="LOB53" s="1"/>
      <c r="LOC53" s="1"/>
      <c r="LOD53" s="1"/>
      <c r="LOE53" s="1"/>
      <c r="LOF53" s="1"/>
      <c r="LOG53" s="1"/>
      <c r="LOH53" s="1"/>
      <c r="LOI53" s="1"/>
      <c r="LOJ53" s="1"/>
      <c r="LOK53" s="1"/>
      <c r="LOL53" s="1"/>
      <c r="LOM53" s="1"/>
      <c r="LON53" s="1"/>
      <c r="LOO53" s="1"/>
      <c r="LOP53" s="1"/>
      <c r="LOQ53" s="1"/>
      <c r="LOR53" s="1"/>
      <c r="LOS53" s="1"/>
      <c r="LOT53" s="1"/>
      <c r="LOU53" s="1"/>
      <c r="LOV53" s="1"/>
      <c r="LOW53" s="1"/>
      <c r="LOX53" s="1"/>
      <c r="LOY53" s="1"/>
      <c r="LOZ53" s="1"/>
      <c r="LPA53" s="1"/>
      <c r="LPB53" s="1"/>
      <c r="LPC53" s="1"/>
      <c r="LPD53" s="1"/>
      <c r="LPE53" s="1"/>
      <c r="LPF53" s="1"/>
      <c r="LPG53" s="1"/>
      <c r="LPH53" s="1"/>
      <c r="LPI53" s="1"/>
      <c r="LPJ53" s="1"/>
      <c r="LPK53" s="1"/>
      <c r="LPL53" s="1"/>
      <c r="LPM53" s="1"/>
      <c r="LPN53" s="1"/>
      <c r="LPO53" s="1"/>
      <c r="LPP53" s="1"/>
      <c r="LPQ53" s="1"/>
      <c r="LPR53" s="1"/>
      <c r="LPS53" s="1"/>
      <c r="LPT53" s="1"/>
      <c r="LPU53" s="1"/>
      <c r="LPV53" s="1"/>
      <c r="LPW53" s="1"/>
      <c r="LPX53" s="1"/>
      <c r="LPY53" s="1"/>
      <c r="LPZ53" s="1"/>
      <c r="LQA53" s="1"/>
      <c r="LQB53" s="1"/>
      <c r="LQC53" s="1"/>
      <c r="LQD53" s="1"/>
      <c r="LQE53" s="1"/>
      <c r="LQF53" s="1"/>
      <c r="LQG53" s="1"/>
      <c r="LQH53" s="1"/>
      <c r="LQI53" s="1"/>
      <c r="LQJ53" s="1"/>
      <c r="LQK53" s="1"/>
      <c r="LQL53" s="1"/>
      <c r="LQM53" s="1"/>
      <c r="LQN53" s="1"/>
      <c r="LQO53" s="1"/>
      <c r="LQP53" s="1"/>
      <c r="LQQ53" s="1"/>
      <c r="LQR53" s="1"/>
      <c r="LQS53" s="1"/>
      <c r="LQT53" s="1"/>
      <c r="LQU53" s="1"/>
      <c r="LQV53" s="1"/>
      <c r="LQW53" s="1"/>
      <c r="LQX53" s="1"/>
      <c r="LQY53" s="1"/>
      <c r="LQZ53" s="1"/>
      <c r="LRA53" s="1"/>
      <c r="LRB53" s="1"/>
      <c r="LRC53" s="1"/>
      <c r="LRD53" s="1"/>
      <c r="LRE53" s="1"/>
      <c r="LRF53" s="1"/>
      <c r="LRG53" s="1"/>
      <c r="LRH53" s="1"/>
      <c r="LRI53" s="1"/>
      <c r="LRJ53" s="1"/>
      <c r="LRK53" s="1"/>
      <c r="LRL53" s="1"/>
      <c r="LRM53" s="1"/>
      <c r="LRN53" s="1"/>
      <c r="LRO53" s="1"/>
      <c r="LRP53" s="1"/>
      <c r="LRQ53" s="1"/>
      <c r="LRR53" s="1"/>
      <c r="LRS53" s="1"/>
      <c r="LRT53" s="1"/>
      <c r="LRU53" s="1"/>
      <c r="LRV53" s="1"/>
      <c r="LRW53" s="1"/>
      <c r="LRX53" s="1"/>
      <c r="LRY53" s="1"/>
      <c r="LRZ53" s="1"/>
      <c r="LSA53" s="1"/>
      <c r="LSB53" s="1"/>
      <c r="LSC53" s="1"/>
      <c r="LSD53" s="1"/>
      <c r="LSE53" s="1"/>
      <c r="LSF53" s="1"/>
      <c r="LSG53" s="1"/>
      <c r="LSH53" s="1"/>
      <c r="LSI53" s="1"/>
      <c r="LSJ53" s="1"/>
      <c r="LSK53" s="1"/>
      <c r="LSL53" s="1"/>
      <c r="LSM53" s="1"/>
      <c r="LSN53" s="1"/>
      <c r="LSO53" s="1"/>
      <c r="LSP53" s="1"/>
      <c r="LSQ53" s="1"/>
      <c r="LSR53" s="1"/>
      <c r="LSS53" s="1"/>
      <c r="LST53" s="1"/>
      <c r="LSU53" s="1"/>
      <c r="LSV53" s="1"/>
      <c r="LSW53" s="1"/>
      <c r="LSX53" s="1"/>
      <c r="LSY53" s="1"/>
      <c r="LSZ53" s="1"/>
      <c r="LTA53" s="1"/>
      <c r="LTB53" s="1"/>
      <c r="LTC53" s="1"/>
      <c r="LTD53" s="1"/>
      <c r="LTE53" s="1"/>
      <c r="LTF53" s="1"/>
      <c r="LTG53" s="1"/>
      <c r="LTH53" s="1"/>
      <c r="LTI53" s="1"/>
      <c r="LTJ53" s="1"/>
      <c r="LTK53" s="1"/>
      <c r="LTL53" s="1"/>
      <c r="LTM53" s="1"/>
      <c r="LTN53" s="1"/>
      <c r="LTO53" s="1"/>
      <c r="LTP53" s="1"/>
      <c r="LTQ53" s="1"/>
      <c r="LTR53" s="1"/>
      <c r="LTS53" s="1"/>
      <c r="LTT53" s="1"/>
      <c r="LTU53" s="1"/>
      <c r="LTV53" s="1"/>
      <c r="LTW53" s="1"/>
      <c r="LTX53" s="1"/>
      <c r="LTY53" s="1"/>
      <c r="LTZ53" s="1"/>
      <c r="LUA53" s="1"/>
      <c r="LUB53" s="1"/>
      <c r="LUC53" s="1"/>
      <c r="LUD53" s="1"/>
      <c r="LUE53" s="1"/>
      <c r="LUF53" s="1"/>
      <c r="LUG53" s="1"/>
      <c r="LUH53" s="1"/>
      <c r="LUI53" s="1"/>
      <c r="LUJ53" s="1"/>
      <c r="LUK53" s="1"/>
      <c r="LUL53" s="1"/>
      <c r="LUM53" s="1"/>
      <c r="LUN53" s="1"/>
      <c r="LUO53" s="1"/>
      <c r="LUP53" s="1"/>
      <c r="LUQ53" s="1"/>
      <c r="LUR53" s="1"/>
      <c r="LUS53" s="1"/>
      <c r="LUT53" s="1"/>
      <c r="LUU53" s="1"/>
      <c r="LUV53" s="1"/>
      <c r="LUW53" s="1"/>
      <c r="LUX53" s="1"/>
      <c r="LUY53" s="1"/>
      <c r="LUZ53" s="1"/>
      <c r="LVA53" s="1"/>
      <c r="LVB53" s="1"/>
      <c r="LVC53" s="1"/>
      <c r="LVD53" s="1"/>
      <c r="LVE53" s="1"/>
      <c r="LVF53" s="1"/>
      <c r="LVG53" s="1"/>
      <c r="LVH53" s="1"/>
      <c r="LVI53" s="1"/>
      <c r="LVJ53" s="1"/>
      <c r="LVK53" s="1"/>
      <c r="LVL53" s="1"/>
      <c r="LVM53" s="1"/>
      <c r="LVN53" s="1"/>
      <c r="LVO53" s="1"/>
      <c r="LVP53" s="1"/>
      <c r="LVQ53" s="1"/>
      <c r="LVR53" s="1"/>
      <c r="LVS53" s="1"/>
      <c r="LVT53" s="1"/>
      <c r="LVU53" s="1"/>
      <c r="LVV53" s="1"/>
      <c r="LVW53" s="1"/>
      <c r="LVX53" s="1"/>
      <c r="LVY53" s="1"/>
      <c r="LVZ53" s="1"/>
      <c r="LWA53" s="1"/>
      <c r="LWB53" s="1"/>
      <c r="LWC53" s="1"/>
      <c r="LWD53" s="1"/>
      <c r="LWE53" s="1"/>
      <c r="LWF53" s="1"/>
      <c r="LWG53" s="1"/>
      <c r="LWH53" s="1"/>
      <c r="LWI53" s="1"/>
      <c r="LWJ53" s="1"/>
      <c r="LWK53" s="1"/>
      <c r="LWL53" s="1"/>
      <c r="LWM53" s="1"/>
      <c r="LWN53" s="1"/>
      <c r="LWO53" s="1"/>
      <c r="LWP53" s="1"/>
      <c r="LWQ53" s="1"/>
      <c r="LWR53" s="1"/>
      <c r="LWS53" s="1"/>
      <c r="LWT53" s="1"/>
      <c r="LWU53" s="1"/>
      <c r="LWV53" s="1"/>
      <c r="LWW53" s="1"/>
      <c r="LWX53" s="1"/>
      <c r="LWY53" s="1"/>
      <c r="LWZ53" s="1"/>
      <c r="LXA53" s="1"/>
      <c r="LXB53" s="1"/>
      <c r="LXC53" s="1"/>
      <c r="LXD53" s="1"/>
      <c r="LXE53" s="1"/>
      <c r="LXF53" s="1"/>
      <c r="LXG53" s="1"/>
      <c r="LXH53" s="1"/>
      <c r="LXI53" s="1"/>
      <c r="LXJ53" s="1"/>
      <c r="LXK53" s="1"/>
      <c r="LXL53" s="1"/>
      <c r="LXM53" s="1"/>
      <c r="LXN53" s="1"/>
      <c r="LXO53" s="1"/>
      <c r="LXP53" s="1"/>
      <c r="LXQ53" s="1"/>
      <c r="LXR53" s="1"/>
      <c r="LXS53" s="1"/>
      <c r="LXT53" s="1"/>
      <c r="LXU53" s="1"/>
      <c r="LXV53" s="1"/>
      <c r="LXW53" s="1"/>
      <c r="LXX53" s="1"/>
      <c r="LXY53" s="1"/>
      <c r="LXZ53" s="1"/>
      <c r="LYA53" s="1"/>
      <c r="LYB53" s="1"/>
      <c r="LYC53" s="1"/>
      <c r="LYD53" s="1"/>
      <c r="LYE53" s="1"/>
      <c r="LYF53" s="1"/>
      <c r="LYG53" s="1"/>
      <c r="LYH53" s="1"/>
      <c r="LYI53" s="1"/>
      <c r="LYJ53" s="1"/>
      <c r="LYK53" s="1"/>
      <c r="LYL53" s="1"/>
      <c r="LYM53" s="1"/>
      <c r="LYN53" s="1"/>
      <c r="LYO53" s="1"/>
      <c r="LYP53" s="1"/>
      <c r="LYQ53" s="1"/>
      <c r="LYR53" s="1"/>
      <c r="LYS53" s="1"/>
      <c r="LYT53" s="1"/>
      <c r="LYU53" s="1"/>
      <c r="LYV53" s="1"/>
      <c r="LYW53" s="1"/>
      <c r="LYX53" s="1"/>
      <c r="LYY53" s="1"/>
      <c r="LYZ53" s="1"/>
      <c r="LZA53" s="1"/>
      <c r="LZB53" s="1"/>
      <c r="LZC53" s="1"/>
      <c r="LZD53" s="1"/>
      <c r="LZE53" s="1"/>
      <c r="LZF53" s="1"/>
      <c r="LZG53" s="1"/>
      <c r="LZH53" s="1"/>
      <c r="LZI53" s="1"/>
      <c r="LZJ53" s="1"/>
      <c r="LZK53" s="1"/>
      <c r="LZL53" s="1"/>
      <c r="LZM53" s="1"/>
      <c r="LZN53" s="1"/>
      <c r="LZO53" s="1"/>
      <c r="LZP53" s="1"/>
      <c r="LZQ53" s="1"/>
      <c r="LZR53" s="1"/>
      <c r="LZS53" s="1"/>
      <c r="LZT53" s="1"/>
      <c r="LZU53" s="1"/>
      <c r="LZV53" s="1"/>
      <c r="LZW53" s="1"/>
      <c r="LZX53" s="1"/>
      <c r="LZY53" s="1"/>
      <c r="LZZ53" s="1"/>
      <c r="MAA53" s="1"/>
      <c r="MAB53" s="1"/>
      <c r="MAC53" s="1"/>
      <c r="MAD53" s="1"/>
      <c r="MAE53" s="1"/>
      <c r="MAF53" s="1"/>
      <c r="MAG53" s="1"/>
      <c r="MAH53" s="1"/>
      <c r="MAI53" s="1"/>
      <c r="MAJ53" s="1"/>
      <c r="MAK53" s="1"/>
      <c r="MAL53" s="1"/>
      <c r="MAM53" s="1"/>
      <c r="MAN53" s="1"/>
      <c r="MAO53" s="1"/>
      <c r="MAP53" s="1"/>
      <c r="MAQ53" s="1"/>
      <c r="MAR53" s="1"/>
      <c r="MAS53" s="1"/>
      <c r="MAT53" s="1"/>
      <c r="MAU53" s="1"/>
      <c r="MAV53" s="1"/>
      <c r="MAW53" s="1"/>
      <c r="MAX53" s="1"/>
      <c r="MAY53" s="1"/>
      <c r="MAZ53" s="1"/>
      <c r="MBA53" s="1"/>
      <c r="MBB53" s="1"/>
      <c r="MBC53" s="1"/>
      <c r="MBD53" s="1"/>
      <c r="MBE53" s="1"/>
      <c r="MBF53" s="1"/>
      <c r="MBG53" s="1"/>
      <c r="MBH53" s="1"/>
      <c r="MBI53" s="1"/>
      <c r="MBJ53" s="1"/>
      <c r="MBK53" s="1"/>
      <c r="MBL53" s="1"/>
      <c r="MBM53" s="1"/>
      <c r="MBN53" s="1"/>
      <c r="MBO53" s="1"/>
      <c r="MBP53" s="1"/>
      <c r="MBQ53" s="1"/>
      <c r="MBR53" s="1"/>
      <c r="MBS53" s="1"/>
      <c r="MBT53" s="1"/>
      <c r="MBU53" s="1"/>
      <c r="MBV53" s="1"/>
      <c r="MBW53" s="1"/>
      <c r="MBX53" s="1"/>
      <c r="MBY53" s="1"/>
      <c r="MBZ53" s="1"/>
      <c r="MCA53" s="1"/>
      <c r="MCB53" s="1"/>
      <c r="MCC53" s="1"/>
      <c r="MCD53" s="1"/>
      <c r="MCE53" s="1"/>
      <c r="MCF53" s="1"/>
      <c r="MCG53" s="1"/>
      <c r="MCH53" s="1"/>
      <c r="MCI53" s="1"/>
      <c r="MCJ53" s="1"/>
      <c r="MCK53" s="1"/>
      <c r="MCL53" s="1"/>
      <c r="MCM53" s="1"/>
      <c r="MCN53" s="1"/>
      <c r="MCO53" s="1"/>
      <c r="MCP53" s="1"/>
      <c r="MCQ53" s="1"/>
      <c r="MCR53" s="1"/>
      <c r="MCS53" s="1"/>
      <c r="MCT53" s="1"/>
      <c r="MCU53" s="1"/>
      <c r="MCV53" s="1"/>
      <c r="MCW53" s="1"/>
      <c r="MCX53" s="1"/>
      <c r="MCY53" s="1"/>
      <c r="MCZ53" s="1"/>
      <c r="MDA53" s="1"/>
      <c r="MDB53" s="1"/>
      <c r="MDC53" s="1"/>
      <c r="MDD53" s="1"/>
      <c r="MDE53" s="1"/>
      <c r="MDF53" s="1"/>
      <c r="MDG53" s="1"/>
      <c r="MDH53" s="1"/>
      <c r="MDI53" s="1"/>
      <c r="MDJ53" s="1"/>
      <c r="MDK53" s="1"/>
      <c r="MDL53" s="1"/>
      <c r="MDM53" s="1"/>
      <c r="MDN53" s="1"/>
      <c r="MDO53" s="1"/>
      <c r="MDP53" s="1"/>
      <c r="MDQ53" s="1"/>
      <c r="MDR53" s="1"/>
      <c r="MDS53" s="1"/>
      <c r="MDT53" s="1"/>
      <c r="MDU53" s="1"/>
      <c r="MDV53" s="1"/>
      <c r="MDW53" s="1"/>
      <c r="MDX53" s="1"/>
      <c r="MDY53" s="1"/>
      <c r="MDZ53" s="1"/>
      <c r="MEA53" s="1"/>
      <c r="MEB53" s="1"/>
      <c r="MEC53" s="1"/>
      <c r="MED53" s="1"/>
      <c r="MEE53" s="1"/>
      <c r="MEF53" s="1"/>
      <c r="MEG53" s="1"/>
      <c r="MEH53" s="1"/>
      <c r="MEI53" s="1"/>
      <c r="MEJ53" s="1"/>
      <c r="MEK53" s="1"/>
      <c r="MEL53" s="1"/>
      <c r="MEM53" s="1"/>
      <c r="MEN53" s="1"/>
      <c r="MEO53" s="1"/>
      <c r="MEP53" s="1"/>
      <c r="MEQ53" s="1"/>
      <c r="MER53" s="1"/>
      <c r="MES53" s="1"/>
      <c r="MET53" s="1"/>
      <c r="MEU53" s="1"/>
      <c r="MEV53" s="1"/>
      <c r="MEW53" s="1"/>
      <c r="MEX53" s="1"/>
      <c r="MEY53" s="1"/>
      <c r="MEZ53" s="1"/>
      <c r="MFA53" s="1"/>
      <c r="MFB53" s="1"/>
      <c r="MFC53" s="1"/>
      <c r="MFD53" s="1"/>
      <c r="MFE53" s="1"/>
      <c r="MFF53" s="1"/>
      <c r="MFG53" s="1"/>
      <c r="MFH53" s="1"/>
      <c r="MFI53" s="1"/>
      <c r="MFJ53" s="1"/>
      <c r="MFK53" s="1"/>
      <c r="MFL53" s="1"/>
      <c r="MFM53" s="1"/>
      <c r="MFN53" s="1"/>
      <c r="MFO53" s="1"/>
      <c r="MFP53" s="1"/>
      <c r="MFQ53" s="1"/>
      <c r="MFR53" s="1"/>
      <c r="MFS53" s="1"/>
      <c r="MFT53" s="1"/>
      <c r="MFU53" s="1"/>
      <c r="MFV53" s="1"/>
      <c r="MFW53" s="1"/>
      <c r="MFX53" s="1"/>
      <c r="MFY53" s="1"/>
      <c r="MFZ53" s="1"/>
      <c r="MGA53" s="1"/>
      <c r="MGB53" s="1"/>
      <c r="MGC53" s="1"/>
      <c r="MGD53" s="1"/>
      <c r="MGE53" s="1"/>
      <c r="MGF53" s="1"/>
      <c r="MGG53" s="1"/>
      <c r="MGH53" s="1"/>
      <c r="MGI53" s="1"/>
      <c r="MGJ53" s="1"/>
      <c r="MGK53" s="1"/>
      <c r="MGL53" s="1"/>
      <c r="MGM53" s="1"/>
      <c r="MGN53" s="1"/>
      <c r="MGO53" s="1"/>
      <c r="MGP53" s="1"/>
      <c r="MGQ53" s="1"/>
      <c r="MGR53" s="1"/>
      <c r="MGS53" s="1"/>
      <c r="MGT53" s="1"/>
      <c r="MGU53" s="1"/>
      <c r="MGV53" s="1"/>
      <c r="MGW53" s="1"/>
      <c r="MGX53" s="1"/>
      <c r="MGY53" s="1"/>
      <c r="MGZ53" s="1"/>
      <c r="MHA53" s="1"/>
      <c r="MHB53" s="1"/>
      <c r="MHC53" s="1"/>
      <c r="MHD53" s="1"/>
      <c r="MHE53" s="1"/>
      <c r="MHF53" s="1"/>
      <c r="MHG53" s="1"/>
      <c r="MHH53" s="1"/>
      <c r="MHI53" s="1"/>
      <c r="MHJ53" s="1"/>
      <c r="MHK53" s="1"/>
      <c r="MHL53" s="1"/>
      <c r="MHM53" s="1"/>
      <c r="MHN53" s="1"/>
      <c r="MHO53" s="1"/>
      <c r="MHP53" s="1"/>
      <c r="MHQ53" s="1"/>
      <c r="MHR53" s="1"/>
      <c r="MHS53" s="1"/>
      <c r="MHT53" s="1"/>
      <c r="MHU53" s="1"/>
      <c r="MHV53" s="1"/>
      <c r="MHW53" s="1"/>
      <c r="MHX53" s="1"/>
      <c r="MHY53" s="1"/>
      <c r="MHZ53" s="1"/>
      <c r="MIA53" s="1"/>
      <c r="MIB53" s="1"/>
      <c r="MIC53" s="1"/>
      <c r="MID53" s="1"/>
      <c r="MIE53" s="1"/>
      <c r="MIF53" s="1"/>
      <c r="MIG53" s="1"/>
      <c r="MIH53" s="1"/>
      <c r="MII53" s="1"/>
      <c r="MIJ53" s="1"/>
      <c r="MIK53" s="1"/>
      <c r="MIL53" s="1"/>
      <c r="MIM53" s="1"/>
      <c r="MIN53" s="1"/>
      <c r="MIO53" s="1"/>
      <c r="MIP53" s="1"/>
      <c r="MIQ53" s="1"/>
      <c r="MIR53" s="1"/>
      <c r="MIS53" s="1"/>
      <c r="MIT53" s="1"/>
      <c r="MIU53" s="1"/>
      <c r="MIV53" s="1"/>
      <c r="MIW53" s="1"/>
      <c r="MIX53" s="1"/>
      <c r="MIY53" s="1"/>
      <c r="MIZ53" s="1"/>
      <c r="MJA53" s="1"/>
      <c r="MJB53" s="1"/>
      <c r="MJC53" s="1"/>
      <c r="MJD53" s="1"/>
      <c r="MJE53" s="1"/>
      <c r="MJF53" s="1"/>
      <c r="MJG53" s="1"/>
      <c r="MJH53" s="1"/>
      <c r="MJI53" s="1"/>
      <c r="MJJ53" s="1"/>
      <c r="MJK53" s="1"/>
      <c r="MJL53" s="1"/>
      <c r="MJM53" s="1"/>
      <c r="MJN53" s="1"/>
      <c r="MJO53" s="1"/>
      <c r="MJP53" s="1"/>
      <c r="MJQ53" s="1"/>
      <c r="MJR53" s="1"/>
      <c r="MJS53" s="1"/>
      <c r="MJT53" s="1"/>
      <c r="MJU53" s="1"/>
      <c r="MJV53" s="1"/>
      <c r="MJW53" s="1"/>
      <c r="MJX53" s="1"/>
      <c r="MJY53" s="1"/>
      <c r="MJZ53" s="1"/>
      <c r="MKA53" s="1"/>
      <c r="MKB53" s="1"/>
      <c r="MKC53" s="1"/>
      <c r="MKD53" s="1"/>
      <c r="MKE53" s="1"/>
      <c r="MKF53" s="1"/>
      <c r="MKG53" s="1"/>
      <c r="MKH53" s="1"/>
      <c r="MKI53" s="1"/>
      <c r="MKJ53" s="1"/>
      <c r="MKK53" s="1"/>
      <c r="MKL53" s="1"/>
      <c r="MKM53" s="1"/>
      <c r="MKN53" s="1"/>
      <c r="MKO53" s="1"/>
      <c r="MKP53" s="1"/>
      <c r="MKQ53" s="1"/>
      <c r="MKR53" s="1"/>
      <c r="MKS53" s="1"/>
      <c r="MKT53" s="1"/>
      <c r="MKU53" s="1"/>
      <c r="MKV53" s="1"/>
      <c r="MKW53" s="1"/>
      <c r="MKX53" s="1"/>
      <c r="MKY53" s="1"/>
      <c r="MKZ53" s="1"/>
      <c r="MLA53" s="1"/>
      <c r="MLB53" s="1"/>
      <c r="MLC53" s="1"/>
      <c r="MLD53" s="1"/>
      <c r="MLE53" s="1"/>
      <c r="MLF53" s="1"/>
      <c r="MLG53" s="1"/>
      <c r="MLH53" s="1"/>
      <c r="MLI53" s="1"/>
      <c r="MLJ53" s="1"/>
      <c r="MLK53" s="1"/>
      <c r="MLL53" s="1"/>
      <c r="MLM53" s="1"/>
      <c r="MLN53" s="1"/>
      <c r="MLO53" s="1"/>
      <c r="MLP53" s="1"/>
      <c r="MLQ53" s="1"/>
      <c r="MLR53" s="1"/>
      <c r="MLS53" s="1"/>
      <c r="MLT53" s="1"/>
      <c r="MLU53" s="1"/>
      <c r="MLV53" s="1"/>
      <c r="MLW53" s="1"/>
      <c r="MLX53" s="1"/>
      <c r="MLY53" s="1"/>
      <c r="MLZ53" s="1"/>
      <c r="MMA53" s="1"/>
      <c r="MMB53" s="1"/>
      <c r="MMC53" s="1"/>
      <c r="MMD53" s="1"/>
      <c r="MME53" s="1"/>
      <c r="MMF53" s="1"/>
      <c r="MMG53" s="1"/>
      <c r="MMH53" s="1"/>
      <c r="MMI53" s="1"/>
      <c r="MMJ53" s="1"/>
      <c r="MMK53" s="1"/>
      <c r="MML53" s="1"/>
      <c r="MMM53" s="1"/>
      <c r="MMN53" s="1"/>
      <c r="MMO53" s="1"/>
      <c r="MMP53" s="1"/>
      <c r="MMQ53" s="1"/>
      <c r="MMR53" s="1"/>
      <c r="MMS53" s="1"/>
      <c r="MMT53" s="1"/>
      <c r="MMU53" s="1"/>
      <c r="MMV53" s="1"/>
      <c r="MMW53" s="1"/>
      <c r="MMX53" s="1"/>
      <c r="MMY53" s="1"/>
      <c r="MMZ53" s="1"/>
      <c r="MNA53" s="1"/>
      <c r="MNB53" s="1"/>
      <c r="MNC53" s="1"/>
      <c r="MND53" s="1"/>
      <c r="MNE53" s="1"/>
      <c r="MNF53" s="1"/>
      <c r="MNG53" s="1"/>
      <c r="MNH53" s="1"/>
      <c r="MNI53" s="1"/>
      <c r="MNJ53" s="1"/>
      <c r="MNK53" s="1"/>
      <c r="MNL53" s="1"/>
      <c r="MNM53" s="1"/>
      <c r="MNN53" s="1"/>
      <c r="MNO53" s="1"/>
      <c r="MNP53" s="1"/>
      <c r="MNQ53" s="1"/>
      <c r="MNR53" s="1"/>
      <c r="MNS53" s="1"/>
      <c r="MNT53" s="1"/>
      <c r="MNU53" s="1"/>
      <c r="MNV53" s="1"/>
      <c r="MNW53" s="1"/>
      <c r="MNX53" s="1"/>
      <c r="MNY53" s="1"/>
      <c r="MNZ53" s="1"/>
      <c r="MOA53" s="1"/>
      <c r="MOB53" s="1"/>
      <c r="MOC53" s="1"/>
      <c r="MOD53" s="1"/>
      <c r="MOE53" s="1"/>
      <c r="MOF53" s="1"/>
      <c r="MOG53" s="1"/>
      <c r="MOH53" s="1"/>
      <c r="MOI53" s="1"/>
      <c r="MOJ53" s="1"/>
      <c r="MOK53" s="1"/>
      <c r="MOL53" s="1"/>
      <c r="MOM53" s="1"/>
      <c r="MON53" s="1"/>
      <c r="MOO53" s="1"/>
      <c r="MOP53" s="1"/>
      <c r="MOQ53" s="1"/>
      <c r="MOR53" s="1"/>
      <c r="MOS53" s="1"/>
      <c r="MOT53" s="1"/>
      <c r="MOU53" s="1"/>
      <c r="MOV53" s="1"/>
      <c r="MOW53" s="1"/>
      <c r="MOX53" s="1"/>
      <c r="MOY53" s="1"/>
      <c r="MOZ53" s="1"/>
      <c r="MPA53" s="1"/>
      <c r="MPB53" s="1"/>
      <c r="MPC53" s="1"/>
      <c r="MPD53" s="1"/>
      <c r="MPE53" s="1"/>
      <c r="MPF53" s="1"/>
      <c r="MPG53" s="1"/>
      <c r="MPH53" s="1"/>
      <c r="MPI53" s="1"/>
      <c r="MPJ53" s="1"/>
      <c r="MPK53" s="1"/>
      <c r="MPL53" s="1"/>
      <c r="MPM53" s="1"/>
      <c r="MPN53" s="1"/>
      <c r="MPO53" s="1"/>
      <c r="MPP53" s="1"/>
      <c r="MPQ53" s="1"/>
      <c r="MPR53" s="1"/>
      <c r="MPS53" s="1"/>
      <c r="MPT53" s="1"/>
      <c r="MPU53" s="1"/>
      <c r="MPV53" s="1"/>
      <c r="MPW53" s="1"/>
      <c r="MPX53" s="1"/>
      <c r="MPY53" s="1"/>
      <c r="MPZ53" s="1"/>
      <c r="MQA53" s="1"/>
      <c r="MQB53" s="1"/>
      <c r="MQC53" s="1"/>
      <c r="MQD53" s="1"/>
      <c r="MQE53" s="1"/>
      <c r="MQF53" s="1"/>
      <c r="MQG53" s="1"/>
      <c r="MQH53" s="1"/>
      <c r="MQI53" s="1"/>
      <c r="MQJ53" s="1"/>
      <c r="MQK53" s="1"/>
      <c r="MQL53" s="1"/>
      <c r="MQM53" s="1"/>
      <c r="MQN53" s="1"/>
      <c r="MQO53" s="1"/>
      <c r="MQP53" s="1"/>
      <c r="MQQ53" s="1"/>
      <c r="MQR53" s="1"/>
      <c r="MQS53" s="1"/>
      <c r="MQT53" s="1"/>
      <c r="MQU53" s="1"/>
      <c r="MQV53" s="1"/>
      <c r="MQW53" s="1"/>
      <c r="MQX53" s="1"/>
      <c r="MQY53" s="1"/>
      <c r="MQZ53" s="1"/>
      <c r="MRA53" s="1"/>
      <c r="MRB53" s="1"/>
      <c r="MRC53" s="1"/>
      <c r="MRD53" s="1"/>
      <c r="MRE53" s="1"/>
      <c r="MRF53" s="1"/>
      <c r="MRG53" s="1"/>
      <c r="MRH53" s="1"/>
      <c r="MRI53" s="1"/>
      <c r="MRJ53" s="1"/>
      <c r="MRK53" s="1"/>
      <c r="MRL53" s="1"/>
      <c r="MRM53" s="1"/>
      <c r="MRN53" s="1"/>
      <c r="MRO53" s="1"/>
      <c r="MRP53" s="1"/>
      <c r="MRQ53" s="1"/>
      <c r="MRR53" s="1"/>
      <c r="MRS53" s="1"/>
      <c r="MRT53" s="1"/>
      <c r="MRU53" s="1"/>
      <c r="MRV53" s="1"/>
      <c r="MRW53" s="1"/>
      <c r="MRX53" s="1"/>
      <c r="MRY53" s="1"/>
      <c r="MRZ53" s="1"/>
      <c r="MSA53" s="1"/>
      <c r="MSB53" s="1"/>
      <c r="MSC53" s="1"/>
      <c r="MSD53" s="1"/>
      <c r="MSE53" s="1"/>
      <c r="MSF53" s="1"/>
      <c r="MSG53" s="1"/>
      <c r="MSH53" s="1"/>
      <c r="MSI53" s="1"/>
      <c r="MSJ53" s="1"/>
      <c r="MSK53" s="1"/>
      <c r="MSL53" s="1"/>
      <c r="MSM53" s="1"/>
      <c r="MSN53" s="1"/>
      <c r="MSO53" s="1"/>
      <c r="MSP53" s="1"/>
      <c r="MSQ53" s="1"/>
      <c r="MSR53" s="1"/>
      <c r="MSS53" s="1"/>
      <c r="MST53" s="1"/>
      <c r="MSU53" s="1"/>
      <c r="MSV53" s="1"/>
      <c r="MSW53" s="1"/>
      <c r="MSX53" s="1"/>
      <c r="MSY53" s="1"/>
      <c r="MSZ53" s="1"/>
      <c r="MTA53" s="1"/>
      <c r="MTB53" s="1"/>
      <c r="MTC53" s="1"/>
      <c r="MTD53" s="1"/>
      <c r="MTE53" s="1"/>
      <c r="MTF53" s="1"/>
      <c r="MTG53" s="1"/>
      <c r="MTH53" s="1"/>
      <c r="MTI53" s="1"/>
      <c r="MTJ53" s="1"/>
      <c r="MTK53" s="1"/>
      <c r="MTL53" s="1"/>
      <c r="MTM53" s="1"/>
      <c r="MTN53" s="1"/>
      <c r="MTO53" s="1"/>
      <c r="MTP53" s="1"/>
      <c r="MTQ53" s="1"/>
      <c r="MTR53" s="1"/>
      <c r="MTS53" s="1"/>
      <c r="MTT53" s="1"/>
      <c r="MTU53" s="1"/>
      <c r="MTV53" s="1"/>
      <c r="MTW53" s="1"/>
      <c r="MTX53" s="1"/>
      <c r="MTY53" s="1"/>
      <c r="MTZ53" s="1"/>
      <c r="MUA53" s="1"/>
      <c r="MUB53" s="1"/>
      <c r="MUC53" s="1"/>
      <c r="MUD53" s="1"/>
      <c r="MUE53" s="1"/>
      <c r="MUF53" s="1"/>
      <c r="MUG53" s="1"/>
      <c r="MUH53" s="1"/>
      <c r="MUI53" s="1"/>
      <c r="MUJ53" s="1"/>
      <c r="MUK53" s="1"/>
      <c r="MUL53" s="1"/>
      <c r="MUM53" s="1"/>
      <c r="MUN53" s="1"/>
      <c r="MUO53" s="1"/>
      <c r="MUP53" s="1"/>
      <c r="MUQ53" s="1"/>
      <c r="MUR53" s="1"/>
      <c r="MUS53" s="1"/>
      <c r="MUT53" s="1"/>
      <c r="MUU53" s="1"/>
      <c r="MUV53" s="1"/>
      <c r="MUW53" s="1"/>
      <c r="MUX53" s="1"/>
      <c r="MUY53" s="1"/>
      <c r="MUZ53" s="1"/>
      <c r="MVA53" s="1"/>
      <c r="MVB53" s="1"/>
      <c r="MVC53" s="1"/>
      <c r="MVD53" s="1"/>
      <c r="MVE53" s="1"/>
      <c r="MVF53" s="1"/>
      <c r="MVG53" s="1"/>
      <c r="MVH53" s="1"/>
      <c r="MVI53" s="1"/>
      <c r="MVJ53" s="1"/>
      <c r="MVK53" s="1"/>
      <c r="MVL53" s="1"/>
      <c r="MVM53" s="1"/>
      <c r="MVN53" s="1"/>
      <c r="MVO53" s="1"/>
      <c r="MVP53" s="1"/>
      <c r="MVQ53" s="1"/>
      <c r="MVR53" s="1"/>
      <c r="MVS53" s="1"/>
      <c r="MVT53" s="1"/>
      <c r="MVU53" s="1"/>
      <c r="MVV53" s="1"/>
      <c r="MVW53" s="1"/>
      <c r="MVX53" s="1"/>
      <c r="MVY53" s="1"/>
      <c r="MVZ53" s="1"/>
      <c r="MWA53" s="1"/>
      <c r="MWB53" s="1"/>
      <c r="MWC53" s="1"/>
      <c r="MWD53" s="1"/>
      <c r="MWE53" s="1"/>
      <c r="MWF53" s="1"/>
      <c r="MWG53" s="1"/>
      <c r="MWH53" s="1"/>
      <c r="MWI53" s="1"/>
      <c r="MWJ53" s="1"/>
      <c r="MWK53" s="1"/>
      <c r="MWL53" s="1"/>
      <c r="MWM53" s="1"/>
      <c r="MWN53" s="1"/>
      <c r="MWO53" s="1"/>
      <c r="MWP53" s="1"/>
      <c r="MWQ53" s="1"/>
      <c r="MWR53" s="1"/>
      <c r="MWS53" s="1"/>
      <c r="MWT53" s="1"/>
      <c r="MWU53" s="1"/>
      <c r="MWV53" s="1"/>
      <c r="MWW53" s="1"/>
      <c r="MWX53" s="1"/>
      <c r="MWY53" s="1"/>
      <c r="MWZ53" s="1"/>
      <c r="MXA53" s="1"/>
      <c r="MXB53" s="1"/>
      <c r="MXC53" s="1"/>
      <c r="MXD53" s="1"/>
      <c r="MXE53" s="1"/>
      <c r="MXF53" s="1"/>
      <c r="MXG53" s="1"/>
      <c r="MXH53" s="1"/>
      <c r="MXI53" s="1"/>
      <c r="MXJ53" s="1"/>
      <c r="MXK53" s="1"/>
      <c r="MXL53" s="1"/>
      <c r="MXM53" s="1"/>
      <c r="MXN53" s="1"/>
      <c r="MXO53" s="1"/>
      <c r="MXP53" s="1"/>
      <c r="MXQ53" s="1"/>
      <c r="MXR53" s="1"/>
      <c r="MXS53" s="1"/>
      <c r="MXT53" s="1"/>
      <c r="MXU53" s="1"/>
      <c r="MXV53" s="1"/>
      <c r="MXW53" s="1"/>
      <c r="MXX53" s="1"/>
      <c r="MXY53" s="1"/>
      <c r="MXZ53" s="1"/>
      <c r="MYA53" s="1"/>
      <c r="MYB53" s="1"/>
      <c r="MYC53" s="1"/>
      <c r="MYD53" s="1"/>
      <c r="MYE53" s="1"/>
      <c r="MYF53" s="1"/>
      <c r="MYG53" s="1"/>
      <c r="MYH53" s="1"/>
      <c r="MYI53" s="1"/>
      <c r="MYJ53" s="1"/>
      <c r="MYK53" s="1"/>
      <c r="MYL53" s="1"/>
      <c r="MYM53" s="1"/>
      <c r="MYN53" s="1"/>
      <c r="MYO53" s="1"/>
      <c r="MYP53" s="1"/>
      <c r="MYQ53" s="1"/>
      <c r="MYR53" s="1"/>
      <c r="MYS53" s="1"/>
      <c r="MYT53" s="1"/>
      <c r="MYU53" s="1"/>
      <c r="MYV53" s="1"/>
      <c r="MYW53" s="1"/>
      <c r="MYX53" s="1"/>
      <c r="MYY53" s="1"/>
      <c r="MYZ53" s="1"/>
      <c r="MZA53" s="1"/>
      <c r="MZB53" s="1"/>
      <c r="MZC53" s="1"/>
      <c r="MZD53" s="1"/>
      <c r="MZE53" s="1"/>
      <c r="MZF53" s="1"/>
      <c r="MZG53" s="1"/>
      <c r="MZH53" s="1"/>
      <c r="MZI53" s="1"/>
      <c r="MZJ53" s="1"/>
      <c r="MZK53" s="1"/>
      <c r="MZL53" s="1"/>
      <c r="MZM53" s="1"/>
      <c r="MZN53" s="1"/>
      <c r="MZO53" s="1"/>
      <c r="MZP53" s="1"/>
      <c r="MZQ53" s="1"/>
      <c r="MZR53" s="1"/>
      <c r="MZS53" s="1"/>
      <c r="MZT53" s="1"/>
      <c r="MZU53" s="1"/>
      <c r="MZV53" s="1"/>
      <c r="MZW53" s="1"/>
      <c r="MZX53" s="1"/>
      <c r="MZY53" s="1"/>
      <c r="MZZ53" s="1"/>
      <c r="NAA53" s="1"/>
      <c r="NAB53" s="1"/>
      <c r="NAC53" s="1"/>
      <c r="NAD53" s="1"/>
      <c r="NAE53" s="1"/>
      <c r="NAF53" s="1"/>
      <c r="NAG53" s="1"/>
      <c r="NAH53" s="1"/>
      <c r="NAI53" s="1"/>
      <c r="NAJ53" s="1"/>
      <c r="NAK53" s="1"/>
      <c r="NAL53" s="1"/>
      <c r="NAM53" s="1"/>
      <c r="NAN53" s="1"/>
      <c r="NAO53" s="1"/>
      <c r="NAP53" s="1"/>
      <c r="NAQ53" s="1"/>
      <c r="NAR53" s="1"/>
      <c r="NAS53" s="1"/>
      <c r="NAT53" s="1"/>
      <c r="NAU53" s="1"/>
      <c r="NAV53" s="1"/>
      <c r="NAW53" s="1"/>
      <c r="NAX53" s="1"/>
      <c r="NAY53" s="1"/>
      <c r="NAZ53" s="1"/>
      <c r="NBA53" s="1"/>
      <c r="NBB53" s="1"/>
      <c r="NBC53" s="1"/>
      <c r="NBD53" s="1"/>
      <c r="NBE53" s="1"/>
      <c r="NBF53" s="1"/>
      <c r="NBG53" s="1"/>
      <c r="NBH53" s="1"/>
      <c r="NBI53" s="1"/>
      <c r="NBJ53" s="1"/>
      <c r="NBK53" s="1"/>
      <c r="NBL53" s="1"/>
      <c r="NBM53" s="1"/>
      <c r="NBN53" s="1"/>
      <c r="NBO53" s="1"/>
      <c r="NBP53" s="1"/>
      <c r="NBQ53" s="1"/>
      <c r="NBR53" s="1"/>
      <c r="NBS53" s="1"/>
      <c r="NBT53" s="1"/>
      <c r="NBU53" s="1"/>
      <c r="NBV53" s="1"/>
      <c r="NBW53" s="1"/>
      <c r="NBX53" s="1"/>
      <c r="NBY53" s="1"/>
      <c r="NBZ53" s="1"/>
      <c r="NCA53" s="1"/>
      <c r="NCB53" s="1"/>
      <c r="NCC53" s="1"/>
      <c r="NCD53" s="1"/>
      <c r="NCE53" s="1"/>
      <c r="NCF53" s="1"/>
      <c r="NCG53" s="1"/>
      <c r="NCH53" s="1"/>
      <c r="NCI53" s="1"/>
      <c r="NCJ53" s="1"/>
      <c r="NCK53" s="1"/>
      <c r="NCL53" s="1"/>
      <c r="NCM53" s="1"/>
      <c r="NCN53" s="1"/>
      <c r="NCO53" s="1"/>
      <c r="NCP53" s="1"/>
      <c r="NCQ53" s="1"/>
      <c r="NCR53" s="1"/>
      <c r="NCS53" s="1"/>
      <c r="NCT53" s="1"/>
      <c r="NCU53" s="1"/>
      <c r="NCV53" s="1"/>
      <c r="NCW53" s="1"/>
      <c r="NCX53" s="1"/>
      <c r="NCY53" s="1"/>
      <c r="NCZ53" s="1"/>
      <c r="NDA53" s="1"/>
      <c r="NDB53" s="1"/>
      <c r="NDC53" s="1"/>
      <c r="NDD53" s="1"/>
      <c r="NDE53" s="1"/>
      <c r="NDF53" s="1"/>
      <c r="NDG53" s="1"/>
      <c r="NDH53" s="1"/>
      <c r="NDI53" s="1"/>
      <c r="NDJ53" s="1"/>
      <c r="NDK53" s="1"/>
      <c r="NDL53" s="1"/>
      <c r="NDM53" s="1"/>
      <c r="NDN53" s="1"/>
      <c r="NDO53" s="1"/>
      <c r="NDP53" s="1"/>
      <c r="NDQ53" s="1"/>
      <c r="NDR53" s="1"/>
      <c r="NDS53" s="1"/>
      <c r="NDT53" s="1"/>
      <c r="NDU53" s="1"/>
      <c r="NDV53" s="1"/>
      <c r="NDW53" s="1"/>
      <c r="NDX53" s="1"/>
      <c r="NDY53" s="1"/>
      <c r="NDZ53" s="1"/>
      <c r="NEA53" s="1"/>
      <c r="NEB53" s="1"/>
      <c r="NEC53" s="1"/>
      <c r="NED53" s="1"/>
      <c r="NEE53" s="1"/>
      <c r="NEF53" s="1"/>
      <c r="NEG53" s="1"/>
      <c r="NEH53" s="1"/>
      <c r="NEI53" s="1"/>
      <c r="NEJ53" s="1"/>
      <c r="NEK53" s="1"/>
      <c r="NEL53" s="1"/>
      <c r="NEM53" s="1"/>
      <c r="NEN53" s="1"/>
      <c r="NEO53" s="1"/>
      <c r="NEP53" s="1"/>
      <c r="NEQ53" s="1"/>
      <c r="NER53" s="1"/>
      <c r="NES53" s="1"/>
      <c r="NET53" s="1"/>
      <c r="NEU53" s="1"/>
      <c r="NEV53" s="1"/>
      <c r="NEW53" s="1"/>
      <c r="NEX53" s="1"/>
      <c r="NEY53" s="1"/>
      <c r="NEZ53" s="1"/>
      <c r="NFA53" s="1"/>
      <c r="NFB53" s="1"/>
      <c r="NFC53" s="1"/>
      <c r="NFD53" s="1"/>
      <c r="NFE53" s="1"/>
      <c r="NFF53" s="1"/>
      <c r="NFG53" s="1"/>
      <c r="NFH53" s="1"/>
      <c r="NFI53" s="1"/>
      <c r="NFJ53" s="1"/>
      <c r="NFK53" s="1"/>
      <c r="NFL53" s="1"/>
      <c r="NFM53" s="1"/>
      <c r="NFN53" s="1"/>
      <c r="NFO53" s="1"/>
      <c r="NFP53" s="1"/>
      <c r="NFQ53" s="1"/>
      <c r="NFR53" s="1"/>
      <c r="NFS53" s="1"/>
      <c r="NFT53" s="1"/>
      <c r="NFU53" s="1"/>
      <c r="NFV53" s="1"/>
      <c r="NFW53" s="1"/>
      <c r="NFX53" s="1"/>
      <c r="NFY53" s="1"/>
      <c r="NFZ53" s="1"/>
      <c r="NGA53" s="1"/>
      <c r="NGB53" s="1"/>
      <c r="NGC53" s="1"/>
      <c r="NGD53" s="1"/>
      <c r="NGE53" s="1"/>
      <c r="NGF53" s="1"/>
      <c r="NGG53" s="1"/>
      <c r="NGH53" s="1"/>
      <c r="NGI53" s="1"/>
      <c r="NGJ53" s="1"/>
      <c r="NGK53" s="1"/>
      <c r="NGL53" s="1"/>
      <c r="NGM53" s="1"/>
      <c r="NGN53" s="1"/>
      <c r="NGO53" s="1"/>
      <c r="NGP53" s="1"/>
      <c r="NGQ53" s="1"/>
      <c r="NGR53" s="1"/>
      <c r="NGS53" s="1"/>
      <c r="NGT53" s="1"/>
      <c r="NGU53" s="1"/>
      <c r="NGV53" s="1"/>
      <c r="NGW53" s="1"/>
      <c r="NGX53" s="1"/>
      <c r="NGY53" s="1"/>
      <c r="NGZ53" s="1"/>
      <c r="NHA53" s="1"/>
      <c r="NHB53" s="1"/>
      <c r="NHC53" s="1"/>
      <c r="NHD53" s="1"/>
      <c r="NHE53" s="1"/>
      <c r="NHF53" s="1"/>
      <c r="NHG53" s="1"/>
      <c r="NHH53" s="1"/>
      <c r="NHI53" s="1"/>
      <c r="NHJ53" s="1"/>
      <c r="NHK53" s="1"/>
      <c r="NHL53" s="1"/>
      <c r="NHM53" s="1"/>
      <c r="NHN53" s="1"/>
      <c r="NHO53" s="1"/>
      <c r="NHP53" s="1"/>
      <c r="NHQ53" s="1"/>
      <c r="NHR53" s="1"/>
      <c r="NHS53" s="1"/>
      <c r="NHT53" s="1"/>
      <c r="NHU53" s="1"/>
      <c r="NHV53" s="1"/>
      <c r="NHW53" s="1"/>
      <c r="NHX53" s="1"/>
      <c r="NHY53" s="1"/>
      <c r="NHZ53" s="1"/>
      <c r="NIA53" s="1"/>
      <c r="NIB53" s="1"/>
      <c r="NIC53" s="1"/>
      <c r="NID53" s="1"/>
      <c r="NIE53" s="1"/>
      <c r="NIF53" s="1"/>
      <c r="NIG53" s="1"/>
      <c r="NIH53" s="1"/>
      <c r="NII53" s="1"/>
      <c r="NIJ53" s="1"/>
      <c r="NIK53" s="1"/>
      <c r="NIL53" s="1"/>
      <c r="NIM53" s="1"/>
      <c r="NIN53" s="1"/>
      <c r="NIO53" s="1"/>
      <c r="NIP53" s="1"/>
      <c r="NIQ53" s="1"/>
      <c r="NIR53" s="1"/>
      <c r="NIS53" s="1"/>
      <c r="NIT53" s="1"/>
      <c r="NIU53" s="1"/>
      <c r="NIV53" s="1"/>
      <c r="NIW53" s="1"/>
      <c r="NIX53" s="1"/>
      <c r="NIY53" s="1"/>
      <c r="NIZ53" s="1"/>
      <c r="NJA53" s="1"/>
      <c r="NJB53" s="1"/>
      <c r="NJC53" s="1"/>
      <c r="NJD53" s="1"/>
      <c r="NJE53" s="1"/>
      <c r="NJF53" s="1"/>
      <c r="NJG53" s="1"/>
      <c r="NJH53" s="1"/>
      <c r="NJI53" s="1"/>
      <c r="NJJ53" s="1"/>
      <c r="NJK53" s="1"/>
      <c r="NJL53" s="1"/>
      <c r="NJM53" s="1"/>
      <c r="NJN53" s="1"/>
      <c r="NJO53" s="1"/>
      <c r="NJP53" s="1"/>
      <c r="NJQ53" s="1"/>
      <c r="NJR53" s="1"/>
      <c r="NJS53" s="1"/>
      <c r="NJT53" s="1"/>
      <c r="NJU53" s="1"/>
      <c r="NJV53" s="1"/>
      <c r="NJW53" s="1"/>
      <c r="NJX53" s="1"/>
      <c r="NJY53" s="1"/>
      <c r="NJZ53" s="1"/>
      <c r="NKA53" s="1"/>
      <c r="NKB53" s="1"/>
      <c r="NKC53" s="1"/>
      <c r="NKD53" s="1"/>
      <c r="NKE53" s="1"/>
      <c r="NKF53" s="1"/>
      <c r="NKG53" s="1"/>
      <c r="NKH53" s="1"/>
      <c r="NKI53" s="1"/>
      <c r="NKJ53" s="1"/>
      <c r="NKK53" s="1"/>
      <c r="NKL53" s="1"/>
      <c r="NKM53" s="1"/>
      <c r="NKN53" s="1"/>
      <c r="NKO53" s="1"/>
      <c r="NKP53" s="1"/>
      <c r="NKQ53" s="1"/>
      <c r="NKR53" s="1"/>
      <c r="NKS53" s="1"/>
      <c r="NKT53" s="1"/>
      <c r="NKU53" s="1"/>
      <c r="NKV53" s="1"/>
      <c r="NKW53" s="1"/>
      <c r="NKX53" s="1"/>
      <c r="NKY53" s="1"/>
      <c r="NKZ53" s="1"/>
      <c r="NLA53" s="1"/>
      <c r="NLB53" s="1"/>
      <c r="NLC53" s="1"/>
      <c r="NLD53" s="1"/>
      <c r="NLE53" s="1"/>
      <c r="NLF53" s="1"/>
      <c r="NLG53" s="1"/>
      <c r="NLH53" s="1"/>
      <c r="NLI53" s="1"/>
      <c r="NLJ53" s="1"/>
      <c r="NLK53" s="1"/>
      <c r="NLL53" s="1"/>
      <c r="NLM53" s="1"/>
      <c r="NLN53" s="1"/>
      <c r="NLO53" s="1"/>
      <c r="NLP53" s="1"/>
      <c r="NLQ53" s="1"/>
      <c r="NLR53" s="1"/>
      <c r="NLS53" s="1"/>
      <c r="NLT53" s="1"/>
      <c r="NLU53" s="1"/>
      <c r="NLV53" s="1"/>
      <c r="NLW53" s="1"/>
      <c r="NLX53" s="1"/>
      <c r="NLY53" s="1"/>
      <c r="NLZ53" s="1"/>
      <c r="NMA53" s="1"/>
      <c r="NMB53" s="1"/>
      <c r="NMC53" s="1"/>
      <c r="NMD53" s="1"/>
      <c r="NME53" s="1"/>
      <c r="NMF53" s="1"/>
      <c r="NMG53" s="1"/>
      <c r="NMH53" s="1"/>
      <c r="NMI53" s="1"/>
      <c r="NMJ53" s="1"/>
      <c r="NMK53" s="1"/>
      <c r="NML53" s="1"/>
      <c r="NMM53" s="1"/>
      <c r="NMN53" s="1"/>
      <c r="NMO53" s="1"/>
      <c r="NMP53" s="1"/>
      <c r="NMQ53" s="1"/>
      <c r="NMR53" s="1"/>
      <c r="NMS53" s="1"/>
      <c r="NMT53" s="1"/>
      <c r="NMU53" s="1"/>
      <c r="NMV53" s="1"/>
      <c r="NMW53" s="1"/>
      <c r="NMX53" s="1"/>
      <c r="NMY53" s="1"/>
      <c r="NMZ53" s="1"/>
      <c r="NNA53" s="1"/>
      <c r="NNB53" s="1"/>
      <c r="NNC53" s="1"/>
      <c r="NND53" s="1"/>
      <c r="NNE53" s="1"/>
      <c r="NNF53" s="1"/>
      <c r="NNG53" s="1"/>
      <c r="NNH53" s="1"/>
      <c r="NNI53" s="1"/>
      <c r="NNJ53" s="1"/>
      <c r="NNK53" s="1"/>
      <c r="NNL53" s="1"/>
      <c r="NNM53" s="1"/>
      <c r="NNN53" s="1"/>
      <c r="NNO53" s="1"/>
      <c r="NNP53" s="1"/>
      <c r="NNQ53" s="1"/>
      <c r="NNR53" s="1"/>
      <c r="NNS53" s="1"/>
      <c r="NNT53" s="1"/>
      <c r="NNU53" s="1"/>
      <c r="NNV53" s="1"/>
      <c r="NNW53" s="1"/>
      <c r="NNX53" s="1"/>
      <c r="NNY53" s="1"/>
      <c r="NNZ53" s="1"/>
      <c r="NOA53" s="1"/>
      <c r="NOB53" s="1"/>
      <c r="NOC53" s="1"/>
      <c r="NOD53" s="1"/>
      <c r="NOE53" s="1"/>
      <c r="NOF53" s="1"/>
      <c r="NOG53" s="1"/>
      <c r="NOH53" s="1"/>
      <c r="NOI53" s="1"/>
      <c r="NOJ53" s="1"/>
      <c r="NOK53" s="1"/>
      <c r="NOL53" s="1"/>
      <c r="NOM53" s="1"/>
      <c r="NON53" s="1"/>
      <c r="NOO53" s="1"/>
      <c r="NOP53" s="1"/>
      <c r="NOQ53" s="1"/>
      <c r="NOR53" s="1"/>
      <c r="NOS53" s="1"/>
      <c r="NOT53" s="1"/>
      <c r="NOU53" s="1"/>
      <c r="NOV53" s="1"/>
      <c r="NOW53" s="1"/>
      <c r="NOX53" s="1"/>
      <c r="NOY53" s="1"/>
      <c r="NOZ53" s="1"/>
      <c r="NPA53" s="1"/>
      <c r="NPB53" s="1"/>
      <c r="NPC53" s="1"/>
      <c r="NPD53" s="1"/>
      <c r="NPE53" s="1"/>
      <c r="NPF53" s="1"/>
      <c r="NPG53" s="1"/>
      <c r="NPH53" s="1"/>
      <c r="NPI53" s="1"/>
      <c r="NPJ53" s="1"/>
      <c r="NPK53" s="1"/>
      <c r="NPL53" s="1"/>
      <c r="NPM53" s="1"/>
      <c r="NPN53" s="1"/>
      <c r="NPO53" s="1"/>
      <c r="NPP53" s="1"/>
      <c r="NPQ53" s="1"/>
      <c r="NPR53" s="1"/>
      <c r="NPS53" s="1"/>
      <c r="NPT53" s="1"/>
      <c r="NPU53" s="1"/>
      <c r="NPV53" s="1"/>
      <c r="NPW53" s="1"/>
      <c r="NPX53" s="1"/>
      <c r="NPY53" s="1"/>
      <c r="NPZ53" s="1"/>
      <c r="NQA53" s="1"/>
      <c r="NQB53" s="1"/>
      <c r="NQC53" s="1"/>
      <c r="NQD53" s="1"/>
      <c r="NQE53" s="1"/>
      <c r="NQF53" s="1"/>
      <c r="NQG53" s="1"/>
      <c r="NQH53" s="1"/>
      <c r="NQI53" s="1"/>
      <c r="NQJ53" s="1"/>
      <c r="NQK53" s="1"/>
      <c r="NQL53" s="1"/>
      <c r="NQM53" s="1"/>
      <c r="NQN53" s="1"/>
      <c r="NQO53" s="1"/>
      <c r="NQP53" s="1"/>
      <c r="NQQ53" s="1"/>
      <c r="NQR53" s="1"/>
      <c r="NQS53" s="1"/>
      <c r="NQT53" s="1"/>
      <c r="NQU53" s="1"/>
      <c r="NQV53" s="1"/>
      <c r="NQW53" s="1"/>
      <c r="NQX53" s="1"/>
      <c r="NQY53" s="1"/>
      <c r="NQZ53" s="1"/>
      <c r="NRA53" s="1"/>
      <c r="NRB53" s="1"/>
      <c r="NRC53" s="1"/>
      <c r="NRD53" s="1"/>
      <c r="NRE53" s="1"/>
      <c r="NRF53" s="1"/>
      <c r="NRG53" s="1"/>
      <c r="NRH53" s="1"/>
      <c r="NRI53" s="1"/>
      <c r="NRJ53" s="1"/>
      <c r="NRK53" s="1"/>
      <c r="NRL53" s="1"/>
      <c r="NRM53" s="1"/>
      <c r="NRN53" s="1"/>
      <c r="NRO53" s="1"/>
      <c r="NRP53" s="1"/>
      <c r="NRQ53" s="1"/>
      <c r="NRR53" s="1"/>
      <c r="NRS53" s="1"/>
      <c r="NRT53" s="1"/>
      <c r="NRU53" s="1"/>
      <c r="NRV53" s="1"/>
      <c r="NRW53" s="1"/>
      <c r="NRX53" s="1"/>
      <c r="NRY53" s="1"/>
      <c r="NRZ53" s="1"/>
      <c r="NSA53" s="1"/>
      <c r="NSB53" s="1"/>
      <c r="NSC53" s="1"/>
      <c r="NSD53" s="1"/>
      <c r="NSE53" s="1"/>
      <c r="NSF53" s="1"/>
      <c r="NSG53" s="1"/>
      <c r="NSH53" s="1"/>
      <c r="NSI53" s="1"/>
      <c r="NSJ53" s="1"/>
      <c r="NSK53" s="1"/>
      <c r="NSL53" s="1"/>
      <c r="NSM53" s="1"/>
      <c r="NSN53" s="1"/>
      <c r="NSO53" s="1"/>
      <c r="NSP53" s="1"/>
      <c r="NSQ53" s="1"/>
      <c r="NSR53" s="1"/>
      <c r="NSS53" s="1"/>
      <c r="NST53" s="1"/>
      <c r="NSU53" s="1"/>
      <c r="NSV53" s="1"/>
      <c r="NSW53" s="1"/>
      <c r="NSX53" s="1"/>
      <c r="NSY53" s="1"/>
      <c r="NSZ53" s="1"/>
      <c r="NTA53" s="1"/>
      <c r="NTB53" s="1"/>
      <c r="NTC53" s="1"/>
      <c r="NTD53" s="1"/>
      <c r="NTE53" s="1"/>
      <c r="NTF53" s="1"/>
      <c r="NTG53" s="1"/>
      <c r="NTH53" s="1"/>
      <c r="NTI53" s="1"/>
      <c r="NTJ53" s="1"/>
      <c r="NTK53" s="1"/>
      <c r="NTL53" s="1"/>
      <c r="NTM53" s="1"/>
      <c r="NTN53" s="1"/>
      <c r="NTO53" s="1"/>
      <c r="NTP53" s="1"/>
      <c r="NTQ53" s="1"/>
      <c r="NTR53" s="1"/>
      <c r="NTS53" s="1"/>
      <c r="NTT53" s="1"/>
      <c r="NTU53" s="1"/>
      <c r="NTV53" s="1"/>
      <c r="NTW53" s="1"/>
      <c r="NTX53" s="1"/>
      <c r="NTY53" s="1"/>
      <c r="NTZ53" s="1"/>
      <c r="NUA53" s="1"/>
      <c r="NUB53" s="1"/>
      <c r="NUC53" s="1"/>
      <c r="NUD53" s="1"/>
      <c r="NUE53" s="1"/>
      <c r="NUF53" s="1"/>
      <c r="NUG53" s="1"/>
      <c r="NUH53" s="1"/>
      <c r="NUI53" s="1"/>
      <c r="NUJ53" s="1"/>
      <c r="NUK53" s="1"/>
      <c r="NUL53" s="1"/>
      <c r="NUM53" s="1"/>
      <c r="NUN53" s="1"/>
      <c r="NUO53" s="1"/>
      <c r="NUP53" s="1"/>
      <c r="NUQ53" s="1"/>
      <c r="NUR53" s="1"/>
      <c r="NUS53" s="1"/>
      <c r="NUT53" s="1"/>
      <c r="NUU53" s="1"/>
      <c r="NUV53" s="1"/>
      <c r="NUW53" s="1"/>
      <c r="NUX53" s="1"/>
      <c r="NUY53" s="1"/>
      <c r="NUZ53" s="1"/>
      <c r="NVA53" s="1"/>
      <c r="NVB53" s="1"/>
      <c r="NVC53" s="1"/>
      <c r="NVD53" s="1"/>
      <c r="NVE53" s="1"/>
      <c r="NVF53" s="1"/>
      <c r="NVG53" s="1"/>
      <c r="NVH53" s="1"/>
      <c r="NVI53" s="1"/>
      <c r="NVJ53" s="1"/>
      <c r="NVK53" s="1"/>
      <c r="NVL53" s="1"/>
      <c r="NVM53" s="1"/>
      <c r="NVN53" s="1"/>
      <c r="NVO53" s="1"/>
      <c r="NVP53" s="1"/>
      <c r="NVQ53" s="1"/>
      <c r="NVR53" s="1"/>
      <c r="NVS53" s="1"/>
      <c r="NVT53" s="1"/>
      <c r="NVU53" s="1"/>
      <c r="NVV53" s="1"/>
      <c r="NVW53" s="1"/>
      <c r="NVX53" s="1"/>
      <c r="NVY53" s="1"/>
      <c r="NVZ53" s="1"/>
      <c r="NWA53" s="1"/>
      <c r="NWB53" s="1"/>
      <c r="NWC53" s="1"/>
      <c r="NWD53" s="1"/>
      <c r="NWE53" s="1"/>
      <c r="NWF53" s="1"/>
      <c r="NWG53" s="1"/>
      <c r="NWH53" s="1"/>
      <c r="NWI53" s="1"/>
      <c r="NWJ53" s="1"/>
      <c r="NWK53" s="1"/>
      <c r="NWL53" s="1"/>
      <c r="NWM53" s="1"/>
      <c r="NWN53" s="1"/>
      <c r="NWO53" s="1"/>
      <c r="NWP53" s="1"/>
      <c r="NWQ53" s="1"/>
      <c r="NWR53" s="1"/>
      <c r="NWS53" s="1"/>
      <c r="NWT53" s="1"/>
      <c r="NWU53" s="1"/>
      <c r="NWV53" s="1"/>
      <c r="NWW53" s="1"/>
      <c r="NWX53" s="1"/>
      <c r="NWY53" s="1"/>
      <c r="NWZ53" s="1"/>
      <c r="NXA53" s="1"/>
      <c r="NXB53" s="1"/>
      <c r="NXC53" s="1"/>
      <c r="NXD53" s="1"/>
      <c r="NXE53" s="1"/>
      <c r="NXF53" s="1"/>
      <c r="NXG53" s="1"/>
      <c r="NXH53" s="1"/>
      <c r="NXI53" s="1"/>
      <c r="NXJ53" s="1"/>
      <c r="NXK53" s="1"/>
      <c r="NXL53" s="1"/>
      <c r="NXM53" s="1"/>
      <c r="NXN53" s="1"/>
      <c r="NXO53" s="1"/>
      <c r="NXP53" s="1"/>
      <c r="NXQ53" s="1"/>
      <c r="NXR53" s="1"/>
      <c r="NXS53" s="1"/>
      <c r="NXT53" s="1"/>
      <c r="NXU53" s="1"/>
      <c r="NXV53" s="1"/>
      <c r="NXW53" s="1"/>
      <c r="NXX53" s="1"/>
      <c r="NXY53" s="1"/>
      <c r="NXZ53" s="1"/>
      <c r="NYA53" s="1"/>
      <c r="NYB53" s="1"/>
      <c r="NYC53" s="1"/>
      <c r="NYD53" s="1"/>
      <c r="NYE53" s="1"/>
      <c r="NYF53" s="1"/>
      <c r="NYG53" s="1"/>
      <c r="NYH53" s="1"/>
      <c r="NYI53" s="1"/>
      <c r="NYJ53" s="1"/>
      <c r="NYK53" s="1"/>
      <c r="NYL53" s="1"/>
      <c r="NYM53" s="1"/>
      <c r="NYN53" s="1"/>
      <c r="NYO53" s="1"/>
      <c r="NYP53" s="1"/>
      <c r="NYQ53" s="1"/>
      <c r="NYR53" s="1"/>
      <c r="NYS53" s="1"/>
      <c r="NYT53" s="1"/>
      <c r="NYU53" s="1"/>
      <c r="NYV53" s="1"/>
      <c r="NYW53" s="1"/>
      <c r="NYX53" s="1"/>
      <c r="NYY53" s="1"/>
      <c r="NYZ53" s="1"/>
      <c r="NZA53" s="1"/>
      <c r="NZB53" s="1"/>
      <c r="NZC53" s="1"/>
      <c r="NZD53" s="1"/>
      <c r="NZE53" s="1"/>
      <c r="NZF53" s="1"/>
      <c r="NZG53" s="1"/>
      <c r="NZH53" s="1"/>
      <c r="NZI53" s="1"/>
      <c r="NZJ53" s="1"/>
      <c r="NZK53" s="1"/>
      <c r="NZL53" s="1"/>
      <c r="NZM53" s="1"/>
      <c r="NZN53" s="1"/>
      <c r="NZO53" s="1"/>
      <c r="NZP53" s="1"/>
      <c r="NZQ53" s="1"/>
      <c r="NZR53" s="1"/>
      <c r="NZS53" s="1"/>
      <c r="NZT53" s="1"/>
      <c r="NZU53" s="1"/>
      <c r="NZV53" s="1"/>
      <c r="NZW53" s="1"/>
      <c r="NZX53" s="1"/>
      <c r="NZY53" s="1"/>
      <c r="NZZ53" s="1"/>
      <c r="OAA53" s="1"/>
      <c r="OAB53" s="1"/>
      <c r="OAC53" s="1"/>
      <c r="OAD53" s="1"/>
      <c r="OAE53" s="1"/>
      <c r="OAF53" s="1"/>
      <c r="OAG53" s="1"/>
      <c r="OAH53" s="1"/>
      <c r="OAI53" s="1"/>
      <c r="OAJ53" s="1"/>
      <c r="OAK53" s="1"/>
      <c r="OAL53" s="1"/>
      <c r="OAM53" s="1"/>
      <c r="OAN53" s="1"/>
      <c r="OAO53" s="1"/>
      <c r="OAP53" s="1"/>
      <c r="OAQ53" s="1"/>
      <c r="OAR53" s="1"/>
      <c r="OAS53" s="1"/>
      <c r="OAT53" s="1"/>
      <c r="OAU53" s="1"/>
      <c r="OAV53" s="1"/>
      <c r="OAW53" s="1"/>
      <c r="OAX53" s="1"/>
      <c r="OAY53" s="1"/>
      <c r="OAZ53" s="1"/>
      <c r="OBA53" s="1"/>
      <c r="OBB53" s="1"/>
      <c r="OBC53" s="1"/>
      <c r="OBD53" s="1"/>
      <c r="OBE53" s="1"/>
      <c r="OBF53" s="1"/>
      <c r="OBG53" s="1"/>
      <c r="OBH53" s="1"/>
      <c r="OBI53" s="1"/>
      <c r="OBJ53" s="1"/>
      <c r="OBK53" s="1"/>
      <c r="OBL53" s="1"/>
      <c r="OBM53" s="1"/>
      <c r="OBN53" s="1"/>
      <c r="OBO53" s="1"/>
      <c r="OBP53" s="1"/>
      <c r="OBQ53" s="1"/>
      <c r="OBR53" s="1"/>
      <c r="OBS53" s="1"/>
      <c r="OBT53" s="1"/>
      <c r="OBU53" s="1"/>
      <c r="OBV53" s="1"/>
      <c r="OBW53" s="1"/>
      <c r="OBX53" s="1"/>
      <c r="OBY53" s="1"/>
      <c r="OBZ53" s="1"/>
      <c r="OCA53" s="1"/>
      <c r="OCB53" s="1"/>
      <c r="OCC53" s="1"/>
      <c r="OCD53" s="1"/>
      <c r="OCE53" s="1"/>
      <c r="OCF53" s="1"/>
      <c r="OCG53" s="1"/>
      <c r="OCH53" s="1"/>
      <c r="OCI53" s="1"/>
      <c r="OCJ53" s="1"/>
      <c r="OCK53" s="1"/>
      <c r="OCL53" s="1"/>
      <c r="OCM53" s="1"/>
      <c r="OCN53" s="1"/>
      <c r="OCO53" s="1"/>
      <c r="OCP53" s="1"/>
      <c r="OCQ53" s="1"/>
      <c r="OCR53" s="1"/>
      <c r="OCS53" s="1"/>
      <c r="OCT53" s="1"/>
      <c r="OCU53" s="1"/>
      <c r="OCV53" s="1"/>
      <c r="OCW53" s="1"/>
      <c r="OCX53" s="1"/>
      <c r="OCY53" s="1"/>
      <c r="OCZ53" s="1"/>
      <c r="ODA53" s="1"/>
      <c r="ODB53" s="1"/>
      <c r="ODC53" s="1"/>
      <c r="ODD53" s="1"/>
      <c r="ODE53" s="1"/>
      <c r="ODF53" s="1"/>
      <c r="ODG53" s="1"/>
      <c r="ODH53" s="1"/>
      <c r="ODI53" s="1"/>
      <c r="ODJ53" s="1"/>
      <c r="ODK53" s="1"/>
      <c r="ODL53" s="1"/>
      <c r="ODM53" s="1"/>
      <c r="ODN53" s="1"/>
      <c r="ODO53" s="1"/>
      <c r="ODP53" s="1"/>
      <c r="ODQ53" s="1"/>
      <c r="ODR53" s="1"/>
      <c r="ODS53" s="1"/>
      <c r="ODT53" s="1"/>
      <c r="ODU53" s="1"/>
      <c r="ODV53" s="1"/>
      <c r="ODW53" s="1"/>
      <c r="ODX53" s="1"/>
      <c r="ODY53" s="1"/>
      <c r="ODZ53" s="1"/>
      <c r="OEA53" s="1"/>
      <c r="OEB53" s="1"/>
      <c r="OEC53" s="1"/>
      <c r="OED53" s="1"/>
      <c r="OEE53" s="1"/>
      <c r="OEF53" s="1"/>
      <c r="OEG53" s="1"/>
      <c r="OEH53" s="1"/>
      <c r="OEI53" s="1"/>
      <c r="OEJ53" s="1"/>
      <c r="OEK53" s="1"/>
      <c r="OEL53" s="1"/>
      <c r="OEM53" s="1"/>
      <c r="OEN53" s="1"/>
      <c r="OEO53" s="1"/>
      <c r="OEP53" s="1"/>
      <c r="OEQ53" s="1"/>
      <c r="OER53" s="1"/>
      <c r="OES53" s="1"/>
      <c r="OET53" s="1"/>
      <c r="OEU53" s="1"/>
      <c r="OEV53" s="1"/>
      <c r="OEW53" s="1"/>
      <c r="OEX53" s="1"/>
      <c r="OEY53" s="1"/>
      <c r="OEZ53" s="1"/>
      <c r="OFA53" s="1"/>
      <c r="OFB53" s="1"/>
      <c r="OFC53" s="1"/>
      <c r="OFD53" s="1"/>
      <c r="OFE53" s="1"/>
      <c r="OFF53" s="1"/>
      <c r="OFG53" s="1"/>
      <c r="OFH53" s="1"/>
      <c r="OFI53" s="1"/>
      <c r="OFJ53" s="1"/>
      <c r="OFK53" s="1"/>
      <c r="OFL53" s="1"/>
      <c r="OFM53" s="1"/>
      <c r="OFN53" s="1"/>
      <c r="OFO53" s="1"/>
      <c r="OFP53" s="1"/>
      <c r="OFQ53" s="1"/>
      <c r="OFR53" s="1"/>
      <c r="OFS53" s="1"/>
      <c r="OFT53" s="1"/>
      <c r="OFU53" s="1"/>
      <c r="OFV53" s="1"/>
      <c r="OFW53" s="1"/>
      <c r="OFX53" s="1"/>
      <c r="OFY53" s="1"/>
      <c r="OFZ53" s="1"/>
      <c r="OGA53" s="1"/>
      <c r="OGB53" s="1"/>
      <c r="OGC53" s="1"/>
      <c r="OGD53" s="1"/>
      <c r="OGE53" s="1"/>
      <c r="OGF53" s="1"/>
      <c r="OGG53" s="1"/>
      <c r="OGH53" s="1"/>
      <c r="OGI53" s="1"/>
      <c r="OGJ53" s="1"/>
      <c r="OGK53" s="1"/>
      <c r="OGL53" s="1"/>
      <c r="OGM53" s="1"/>
      <c r="OGN53" s="1"/>
      <c r="OGO53" s="1"/>
      <c r="OGP53" s="1"/>
      <c r="OGQ53" s="1"/>
      <c r="OGR53" s="1"/>
      <c r="OGS53" s="1"/>
      <c r="OGT53" s="1"/>
      <c r="OGU53" s="1"/>
      <c r="OGV53" s="1"/>
      <c r="OGW53" s="1"/>
      <c r="OGX53" s="1"/>
      <c r="OGY53" s="1"/>
      <c r="OGZ53" s="1"/>
      <c r="OHA53" s="1"/>
      <c r="OHB53" s="1"/>
      <c r="OHC53" s="1"/>
      <c r="OHD53" s="1"/>
      <c r="OHE53" s="1"/>
      <c r="OHF53" s="1"/>
      <c r="OHG53" s="1"/>
      <c r="OHH53" s="1"/>
      <c r="OHI53" s="1"/>
      <c r="OHJ53" s="1"/>
      <c r="OHK53" s="1"/>
      <c r="OHL53" s="1"/>
      <c r="OHM53" s="1"/>
      <c r="OHN53" s="1"/>
      <c r="OHO53" s="1"/>
      <c r="OHP53" s="1"/>
      <c r="OHQ53" s="1"/>
      <c r="OHR53" s="1"/>
      <c r="OHS53" s="1"/>
      <c r="OHT53" s="1"/>
      <c r="OHU53" s="1"/>
      <c r="OHV53" s="1"/>
      <c r="OHW53" s="1"/>
      <c r="OHX53" s="1"/>
      <c r="OHY53" s="1"/>
      <c r="OHZ53" s="1"/>
      <c r="OIA53" s="1"/>
      <c r="OIB53" s="1"/>
      <c r="OIC53" s="1"/>
      <c r="OID53" s="1"/>
      <c r="OIE53" s="1"/>
      <c r="OIF53" s="1"/>
      <c r="OIG53" s="1"/>
      <c r="OIH53" s="1"/>
      <c r="OII53" s="1"/>
      <c r="OIJ53" s="1"/>
      <c r="OIK53" s="1"/>
      <c r="OIL53" s="1"/>
      <c r="OIM53" s="1"/>
      <c r="OIN53" s="1"/>
      <c r="OIO53" s="1"/>
      <c r="OIP53" s="1"/>
      <c r="OIQ53" s="1"/>
      <c r="OIR53" s="1"/>
      <c r="OIS53" s="1"/>
      <c r="OIT53" s="1"/>
      <c r="OIU53" s="1"/>
      <c r="OIV53" s="1"/>
      <c r="OIW53" s="1"/>
      <c r="OIX53" s="1"/>
      <c r="OIY53" s="1"/>
      <c r="OIZ53" s="1"/>
      <c r="OJA53" s="1"/>
      <c r="OJB53" s="1"/>
      <c r="OJC53" s="1"/>
      <c r="OJD53" s="1"/>
      <c r="OJE53" s="1"/>
      <c r="OJF53" s="1"/>
      <c r="OJG53" s="1"/>
      <c r="OJH53" s="1"/>
      <c r="OJI53" s="1"/>
      <c r="OJJ53" s="1"/>
      <c r="OJK53" s="1"/>
      <c r="OJL53" s="1"/>
      <c r="OJM53" s="1"/>
      <c r="OJN53" s="1"/>
      <c r="OJO53" s="1"/>
      <c r="OJP53" s="1"/>
      <c r="OJQ53" s="1"/>
      <c r="OJR53" s="1"/>
      <c r="OJS53" s="1"/>
      <c r="OJT53" s="1"/>
      <c r="OJU53" s="1"/>
      <c r="OJV53" s="1"/>
      <c r="OJW53" s="1"/>
      <c r="OJX53" s="1"/>
      <c r="OJY53" s="1"/>
      <c r="OJZ53" s="1"/>
      <c r="OKA53" s="1"/>
      <c r="OKB53" s="1"/>
      <c r="OKC53" s="1"/>
      <c r="OKD53" s="1"/>
      <c r="OKE53" s="1"/>
      <c r="OKF53" s="1"/>
      <c r="OKG53" s="1"/>
      <c r="OKH53" s="1"/>
      <c r="OKI53" s="1"/>
      <c r="OKJ53" s="1"/>
      <c r="OKK53" s="1"/>
      <c r="OKL53" s="1"/>
      <c r="OKM53" s="1"/>
      <c r="OKN53" s="1"/>
      <c r="OKO53" s="1"/>
      <c r="OKP53" s="1"/>
      <c r="OKQ53" s="1"/>
      <c r="OKR53" s="1"/>
      <c r="OKS53" s="1"/>
      <c r="OKT53" s="1"/>
      <c r="OKU53" s="1"/>
      <c r="OKV53" s="1"/>
      <c r="OKW53" s="1"/>
      <c r="OKX53" s="1"/>
      <c r="OKY53" s="1"/>
      <c r="OKZ53" s="1"/>
      <c r="OLA53" s="1"/>
      <c r="OLB53" s="1"/>
      <c r="OLC53" s="1"/>
      <c r="OLD53" s="1"/>
      <c r="OLE53" s="1"/>
      <c r="OLF53" s="1"/>
      <c r="OLG53" s="1"/>
      <c r="OLH53" s="1"/>
      <c r="OLI53" s="1"/>
      <c r="OLJ53" s="1"/>
      <c r="OLK53" s="1"/>
      <c r="OLL53" s="1"/>
      <c r="OLM53" s="1"/>
      <c r="OLN53" s="1"/>
      <c r="OLO53" s="1"/>
      <c r="OLP53" s="1"/>
      <c r="OLQ53" s="1"/>
      <c r="OLR53" s="1"/>
      <c r="OLS53" s="1"/>
      <c r="OLT53" s="1"/>
      <c r="OLU53" s="1"/>
      <c r="OLV53" s="1"/>
      <c r="OLW53" s="1"/>
      <c r="OLX53" s="1"/>
      <c r="OLY53" s="1"/>
      <c r="OLZ53" s="1"/>
      <c r="OMA53" s="1"/>
      <c r="OMB53" s="1"/>
      <c r="OMC53" s="1"/>
      <c r="OMD53" s="1"/>
      <c r="OME53" s="1"/>
      <c r="OMF53" s="1"/>
      <c r="OMG53" s="1"/>
      <c r="OMH53" s="1"/>
      <c r="OMI53" s="1"/>
      <c r="OMJ53" s="1"/>
      <c r="OMK53" s="1"/>
      <c r="OML53" s="1"/>
      <c r="OMM53" s="1"/>
      <c r="OMN53" s="1"/>
      <c r="OMO53" s="1"/>
      <c r="OMP53" s="1"/>
      <c r="OMQ53" s="1"/>
      <c r="OMR53" s="1"/>
      <c r="OMS53" s="1"/>
      <c r="OMT53" s="1"/>
      <c r="OMU53" s="1"/>
      <c r="OMV53" s="1"/>
      <c r="OMW53" s="1"/>
      <c r="OMX53" s="1"/>
      <c r="OMY53" s="1"/>
      <c r="OMZ53" s="1"/>
      <c r="ONA53" s="1"/>
      <c r="ONB53" s="1"/>
      <c r="ONC53" s="1"/>
      <c r="OND53" s="1"/>
      <c r="ONE53" s="1"/>
      <c r="ONF53" s="1"/>
      <c r="ONG53" s="1"/>
      <c r="ONH53" s="1"/>
      <c r="ONI53" s="1"/>
      <c r="ONJ53" s="1"/>
      <c r="ONK53" s="1"/>
      <c r="ONL53" s="1"/>
      <c r="ONM53" s="1"/>
      <c r="ONN53" s="1"/>
      <c r="ONO53" s="1"/>
      <c r="ONP53" s="1"/>
      <c r="ONQ53" s="1"/>
      <c r="ONR53" s="1"/>
      <c r="ONS53" s="1"/>
      <c r="ONT53" s="1"/>
      <c r="ONU53" s="1"/>
      <c r="ONV53" s="1"/>
      <c r="ONW53" s="1"/>
      <c r="ONX53" s="1"/>
      <c r="ONY53" s="1"/>
      <c r="ONZ53" s="1"/>
      <c r="OOA53" s="1"/>
      <c r="OOB53" s="1"/>
      <c r="OOC53" s="1"/>
      <c r="OOD53" s="1"/>
      <c r="OOE53" s="1"/>
      <c r="OOF53" s="1"/>
      <c r="OOG53" s="1"/>
      <c r="OOH53" s="1"/>
      <c r="OOI53" s="1"/>
      <c r="OOJ53" s="1"/>
      <c r="OOK53" s="1"/>
      <c r="OOL53" s="1"/>
      <c r="OOM53" s="1"/>
      <c r="OON53" s="1"/>
      <c r="OOO53" s="1"/>
      <c r="OOP53" s="1"/>
      <c r="OOQ53" s="1"/>
      <c r="OOR53" s="1"/>
      <c r="OOS53" s="1"/>
      <c r="OOT53" s="1"/>
      <c r="OOU53" s="1"/>
      <c r="OOV53" s="1"/>
      <c r="OOW53" s="1"/>
      <c r="OOX53" s="1"/>
      <c r="OOY53" s="1"/>
      <c r="OOZ53" s="1"/>
      <c r="OPA53" s="1"/>
      <c r="OPB53" s="1"/>
      <c r="OPC53" s="1"/>
      <c r="OPD53" s="1"/>
      <c r="OPE53" s="1"/>
      <c r="OPF53" s="1"/>
      <c r="OPG53" s="1"/>
      <c r="OPH53" s="1"/>
      <c r="OPI53" s="1"/>
      <c r="OPJ53" s="1"/>
      <c r="OPK53" s="1"/>
      <c r="OPL53" s="1"/>
      <c r="OPM53" s="1"/>
      <c r="OPN53" s="1"/>
      <c r="OPO53" s="1"/>
      <c r="OPP53" s="1"/>
      <c r="OPQ53" s="1"/>
      <c r="OPR53" s="1"/>
      <c r="OPS53" s="1"/>
      <c r="OPT53" s="1"/>
      <c r="OPU53" s="1"/>
      <c r="OPV53" s="1"/>
      <c r="OPW53" s="1"/>
      <c r="OPX53" s="1"/>
      <c r="OPY53" s="1"/>
      <c r="OPZ53" s="1"/>
      <c r="OQA53" s="1"/>
      <c r="OQB53" s="1"/>
      <c r="OQC53" s="1"/>
      <c r="OQD53" s="1"/>
      <c r="OQE53" s="1"/>
      <c r="OQF53" s="1"/>
      <c r="OQG53" s="1"/>
      <c r="OQH53" s="1"/>
      <c r="OQI53" s="1"/>
      <c r="OQJ53" s="1"/>
      <c r="OQK53" s="1"/>
      <c r="OQL53" s="1"/>
      <c r="OQM53" s="1"/>
      <c r="OQN53" s="1"/>
      <c r="OQO53" s="1"/>
      <c r="OQP53" s="1"/>
      <c r="OQQ53" s="1"/>
      <c r="OQR53" s="1"/>
      <c r="OQS53" s="1"/>
      <c r="OQT53" s="1"/>
      <c r="OQU53" s="1"/>
      <c r="OQV53" s="1"/>
      <c r="OQW53" s="1"/>
      <c r="OQX53" s="1"/>
      <c r="OQY53" s="1"/>
      <c r="OQZ53" s="1"/>
      <c r="ORA53" s="1"/>
      <c r="ORB53" s="1"/>
      <c r="ORC53" s="1"/>
      <c r="ORD53" s="1"/>
      <c r="ORE53" s="1"/>
      <c r="ORF53" s="1"/>
      <c r="ORG53" s="1"/>
      <c r="ORH53" s="1"/>
      <c r="ORI53" s="1"/>
      <c r="ORJ53" s="1"/>
      <c r="ORK53" s="1"/>
      <c r="ORL53" s="1"/>
      <c r="ORM53" s="1"/>
      <c r="ORN53" s="1"/>
      <c r="ORO53" s="1"/>
      <c r="ORP53" s="1"/>
      <c r="ORQ53" s="1"/>
      <c r="ORR53" s="1"/>
      <c r="ORS53" s="1"/>
      <c r="ORT53" s="1"/>
      <c r="ORU53" s="1"/>
      <c r="ORV53" s="1"/>
      <c r="ORW53" s="1"/>
      <c r="ORX53" s="1"/>
      <c r="ORY53" s="1"/>
      <c r="ORZ53" s="1"/>
      <c r="OSA53" s="1"/>
      <c r="OSB53" s="1"/>
      <c r="OSC53" s="1"/>
      <c r="OSD53" s="1"/>
      <c r="OSE53" s="1"/>
      <c r="OSF53" s="1"/>
      <c r="OSG53" s="1"/>
      <c r="OSH53" s="1"/>
      <c r="OSI53" s="1"/>
      <c r="OSJ53" s="1"/>
      <c r="OSK53" s="1"/>
      <c r="OSL53" s="1"/>
      <c r="OSM53" s="1"/>
      <c r="OSN53" s="1"/>
      <c r="OSO53" s="1"/>
      <c r="OSP53" s="1"/>
      <c r="OSQ53" s="1"/>
      <c r="OSR53" s="1"/>
      <c r="OSS53" s="1"/>
      <c r="OST53" s="1"/>
      <c r="OSU53" s="1"/>
      <c r="OSV53" s="1"/>
      <c r="OSW53" s="1"/>
      <c r="OSX53" s="1"/>
      <c r="OSY53" s="1"/>
      <c r="OSZ53" s="1"/>
      <c r="OTA53" s="1"/>
      <c r="OTB53" s="1"/>
      <c r="OTC53" s="1"/>
      <c r="OTD53" s="1"/>
      <c r="OTE53" s="1"/>
      <c r="OTF53" s="1"/>
      <c r="OTG53" s="1"/>
      <c r="OTH53" s="1"/>
      <c r="OTI53" s="1"/>
      <c r="OTJ53" s="1"/>
      <c r="OTK53" s="1"/>
      <c r="OTL53" s="1"/>
      <c r="OTM53" s="1"/>
      <c r="OTN53" s="1"/>
      <c r="OTO53" s="1"/>
      <c r="OTP53" s="1"/>
      <c r="OTQ53" s="1"/>
      <c r="OTR53" s="1"/>
      <c r="OTS53" s="1"/>
      <c r="OTT53" s="1"/>
      <c r="OTU53" s="1"/>
      <c r="OTV53" s="1"/>
      <c r="OTW53" s="1"/>
      <c r="OTX53" s="1"/>
      <c r="OTY53" s="1"/>
      <c r="OTZ53" s="1"/>
      <c r="OUA53" s="1"/>
      <c r="OUB53" s="1"/>
      <c r="OUC53" s="1"/>
      <c r="OUD53" s="1"/>
      <c r="OUE53" s="1"/>
      <c r="OUF53" s="1"/>
      <c r="OUG53" s="1"/>
      <c r="OUH53" s="1"/>
      <c r="OUI53" s="1"/>
      <c r="OUJ53" s="1"/>
      <c r="OUK53" s="1"/>
      <c r="OUL53" s="1"/>
      <c r="OUM53" s="1"/>
      <c r="OUN53" s="1"/>
      <c r="OUO53" s="1"/>
      <c r="OUP53" s="1"/>
      <c r="OUQ53" s="1"/>
      <c r="OUR53" s="1"/>
      <c r="OUS53" s="1"/>
      <c r="OUT53" s="1"/>
      <c r="OUU53" s="1"/>
      <c r="OUV53" s="1"/>
      <c r="OUW53" s="1"/>
      <c r="OUX53" s="1"/>
      <c r="OUY53" s="1"/>
      <c r="OUZ53" s="1"/>
      <c r="OVA53" s="1"/>
      <c r="OVB53" s="1"/>
      <c r="OVC53" s="1"/>
      <c r="OVD53" s="1"/>
      <c r="OVE53" s="1"/>
      <c r="OVF53" s="1"/>
      <c r="OVG53" s="1"/>
      <c r="OVH53" s="1"/>
      <c r="OVI53" s="1"/>
      <c r="OVJ53" s="1"/>
      <c r="OVK53" s="1"/>
      <c r="OVL53" s="1"/>
      <c r="OVM53" s="1"/>
      <c r="OVN53" s="1"/>
      <c r="OVO53" s="1"/>
      <c r="OVP53" s="1"/>
      <c r="OVQ53" s="1"/>
      <c r="OVR53" s="1"/>
      <c r="OVS53" s="1"/>
      <c r="OVT53" s="1"/>
      <c r="OVU53" s="1"/>
      <c r="OVV53" s="1"/>
      <c r="OVW53" s="1"/>
      <c r="OVX53" s="1"/>
      <c r="OVY53" s="1"/>
      <c r="OVZ53" s="1"/>
      <c r="OWA53" s="1"/>
      <c r="OWB53" s="1"/>
      <c r="OWC53" s="1"/>
      <c r="OWD53" s="1"/>
      <c r="OWE53" s="1"/>
      <c r="OWF53" s="1"/>
      <c r="OWG53" s="1"/>
      <c r="OWH53" s="1"/>
      <c r="OWI53" s="1"/>
      <c r="OWJ53" s="1"/>
      <c r="OWK53" s="1"/>
      <c r="OWL53" s="1"/>
      <c r="OWM53" s="1"/>
      <c r="OWN53" s="1"/>
      <c r="OWO53" s="1"/>
      <c r="OWP53" s="1"/>
      <c r="OWQ53" s="1"/>
      <c r="OWR53" s="1"/>
      <c r="OWS53" s="1"/>
      <c r="OWT53" s="1"/>
      <c r="OWU53" s="1"/>
      <c r="OWV53" s="1"/>
      <c r="OWW53" s="1"/>
      <c r="OWX53" s="1"/>
      <c r="OWY53" s="1"/>
      <c r="OWZ53" s="1"/>
      <c r="OXA53" s="1"/>
      <c r="OXB53" s="1"/>
      <c r="OXC53" s="1"/>
      <c r="OXD53" s="1"/>
      <c r="OXE53" s="1"/>
      <c r="OXF53" s="1"/>
      <c r="OXG53" s="1"/>
      <c r="OXH53" s="1"/>
      <c r="OXI53" s="1"/>
      <c r="OXJ53" s="1"/>
      <c r="OXK53" s="1"/>
      <c r="OXL53" s="1"/>
      <c r="OXM53" s="1"/>
      <c r="OXN53" s="1"/>
      <c r="OXO53" s="1"/>
      <c r="OXP53" s="1"/>
      <c r="OXQ53" s="1"/>
      <c r="OXR53" s="1"/>
      <c r="OXS53" s="1"/>
      <c r="OXT53" s="1"/>
      <c r="OXU53" s="1"/>
      <c r="OXV53" s="1"/>
      <c r="OXW53" s="1"/>
      <c r="OXX53" s="1"/>
      <c r="OXY53" s="1"/>
      <c r="OXZ53" s="1"/>
      <c r="OYA53" s="1"/>
      <c r="OYB53" s="1"/>
      <c r="OYC53" s="1"/>
      <c r="OYD53" s="1"/>
      <c r="OYE53" s="1"/>
      <c r="OYF53" s="1"/>
      <c r="OYG53" s="1"/>
      <c r="OYH53" s="1"/>
      <c r="OYI53" s="1"/>
      <c r="OYJ53" s="1"/>
      <c r="OYK53" s="1"/>
      <c r="OYL53" s="1"/>
      <c r="OYM53" s="1"/>
      <c r="OYN53" s="1"/>
      <c r="OYO53" s="1"/>
      <c r="OYP53" s="1"/>
      <c r="OYQ53" s="1"/>
      <c r="OYR53" s="1"/>
      <c r="OYS53" s="1"/>
      <c r="OYT53" s="1"/>
      <c r="OYU53" s="1"/>
      <c r="OYV53" s="1"/>
      <c r="OYW53" s="1"/>
      <c r="OYX53" s="1"/>
      <c r="OYY53" s="1"/>
      <c r="OYZ53" s="1"/>
      <c r="OZA53" s="1"/>
      <c r="OZB53" s="1"/>
      <c r="OZC53" s="1"/>
      <c r="OZD53" s="1"/>
      <c r="OZE53" s="1"/>
      <c r="OZF53" s="1"/>
      <c r="OZG53" s="1"/>
      <c r="OZH53" s="1"/>
      <c r="OZI53" s="1"/>
      <c r="OZJ53" s="1"/>
      <c r="OZK53" s="1"/>
      <c r="OZL53" s="1"/>
      <c r="OZM53" s="1"/>
      <c r="OZN53" s="1"/>
      <c r="OZO53" s="1"/>
      <c r="OZP53" s="1"/>
      <c r="OZQ53" s="1"/>
      <c r="OZR53" s="1"/>
      <c r="OZS53" s="1"/>
      <c r="OZT53" s="1"/>
      <c r="OZU53" s="1"/>
      <c r="OZV53" s="1"/>
      <c r="OZW53" s="1"/>
      <c r="OZX53" s="1"/>
      <c r="OZY53" s="1"/>
      <c r="OZZ53" s="1"/>
      <c r="PAA53" s="1"/>
      <c r="PAB53" s="1"/>
      <c r="PAC53" s="1"/>
      <c r="PAD53" s="1"/>
      <c r="PAE53" s="1"/>
      <c r="PAF53" s="1"/>
      <c r="PAG53" s="1"/>
      <c r="PAH53" s="1"/>
      <c r="PAI53" s="1"/>
      <c r="PAJ53" s="1"/>
      <c r="PAK53" s="1"/>
      <c r="PAL53" s="1"/>
      <c r="PAM53" s="1"/>
      <c r="PAN53" s="1"/>
      <c r="PAO53" s="1"/>
      <c r="PAP53" s="1"/>
      <c r="PAQ53" s="1"/>
      <c r="PAR53" s="1"/>
      <c r="PAS53" s="1"/>
      <c r="PAT53" s="1"/>
      <c r="PAU53" s="1"/>
      <c r="PAV53" s="1"/>
      <c r="PAW53" s="1"/>
      <c r="PAX53" s="1"/>
      <c r="PAY53" s="1"/>
      <c r="PAZ53" s="1"/>
      <c r="PBA53" s="1"/>
      <c r="PBB53" s="1"/>
      <c r="PBC53" s="1"/>
      <c r="PBD53" s="1"/>
      <c r="PBE53" s="1"/>
      <c r="PBF53" s="1"/>
      <c r="PBG53" s="1"/>
      <c r="PBH53" s="1"/>
      <c r="PBI53" s="1"/>
      <c r="PBJ53" s="1"/>
      <c r="PBK53" s="1"/>
      <c r="PBL53" s="1"/>
      <c r="PBM53" s="1"/>
      <c r="PBN53" s="1"/>
      <c r="PBO53" s="1"/>
      <c r="PBP53" s="1"/>
      <c r="PBQ53" s="1"/>
      <c r="PBR53" s="1"/>
      <c r="PBS53" s="1"/>
      <c r="PBT53" s="1"/>
      <c r="PBU53" s="1"/>
      <c r="PBV53" s="1"/>
      <c r="PBW53" s="1"/>
      <c r="PBX53" s="1"/>
      <c r="PBY53" s="1"/>
      <c r="PBZ53" s="1"/>
      <c r="PCA53" s="1"/>
      <c r="PCB53" s="1"/>
      <c r="PCC53" s="1"/>
      <c r="PCD53" s="1"/>
      <c r="PCE53" s="1"/>
      <c r="PCF53" s="1"/>
      <c r="PCG53" s="1"/>
      <c r="PCH53" s="1"/>
      <c r="PCI53" s="1"/>
      <c r="PCJ53" s="1"/>
      <c r="PCK53" s="1"/>
      <c r="PCL53" s="1"/>
      <c r="PCM53" s="1"/>
      <c r="PCN53" s="1"/>
      <c r="PCO53" s="1"/>
      <c r="PCP53" s="1"/>
      <c r="PCQ53" s="1"/>
      <c r="PCR53" s="1"/>
      <c r="PCS53" s="1"/>
      <c r="PCT53" s="1"/>
      <c r="PCU53" s="1"/>
      <c r="PCV53" s="1"/>
      <c r="PCW53" s="1"/>
      <c r="PCX53" s="1"/>
      <c r="PCY53" s="1"/>
      <c r="PCZ53" s="1"/>
      <c r="PDA53" s="1"/>
      <c r="PDB53" s="1"/>
      <c r="PDC53" s="1"/>
      <c r="PDD53" s="1"/>
      <c r="PDE53" s="1"/>
      <c r="PDF53" s="1"/>
      <c r="PDG53" s="1"/>
      <c r="PDH53" s="1"/>
      <c r="PDI53" s="1"/>
      <c r="PDJ53" s="1"/>
      <c r="PDK53" s="1"/>
      <c r="PDL53" s="1"/>
      <c r="PDM53" s="1"/>
      <c r="PDN53" s="1"/>
      <c r="PDO53" s="1"/>
      <c r="PDP53" s="1"/>
      <c r="PDQ53" s="1"/>
      <c r="PDR53" s="1"/>
      <c r="PDS53" s="1"/>
      <c r="PDT53" s="1"/>
      <c r="PDU53" s="1"/>
      <c r="PDV53" s="1"/>
      <c r="PDW53" s="1"/>
      <c r="PDX53" s="1"/>
      <c r="PDY53" s="1"/>
      <c r="PDZ53" s="1"/>
      <c r="PEA53" s="1"/>
      <c r="PEB53" s="1"/>
      <c r="PEC53" s="1"/>
      <c r="PED53" s="1"/>
      <c r="PEE53" s="1"/>
      <c r="PEF53" s="1"/>
      <c r="PEG53" s="1"/>
      <c r="PEH53" s="1"/>
      <c r="PEI53" s="1"/>
      <c r="PEJ53" s="1"/>
      <c r="PEK53" s="1"/>
      <c r="PEL53" s="1"/>
      <c r="PEM53" s="1"/>
      <c r="PEN53" s="1"/>
      <c r="PEO53" s="1"/>
      <c r="PEP53" s="1"/>
      <c r="PEQ53" s="1"/>
      <c r="PER53" s="1"/>
      <c r="PES53" s="1"/>
      <c r="PET53" s="1"/>
      <c r="PEU53" s="1"/>
      <c r="PEV53" s="1"/>
      <c r="PEW53" s="1"/>
      <c r="PEX53" s="1"/>
      <c r="PEY53" s="1"/>
      <c r="PEZ53" s="1"/>
      <c r="PFA53" s="1"/>
      <c r="PFB53" s="1"/>
      <c r="PFC53" s="1"/>
      <c r="PFD53" s="1"/>
      <c r="PFE53" s="1"/>
      <c r="PFF53" s="1"/>
      <c r="PFG53" s="1"/>
      <c r="PFH53" s="1"/>
      <c r="PFI53" s="1"/>
      <c r="PFJ53" s="1"/>
      <c r="PFK53" s="1"/>
      <c r="PFL53" s="1"/>
      <c r="PFM53" s="1"/>
      <c r="PFN53" s="1"/>
      <c r="PFO53" s="1"/>
      <c r="PFP53" s="1"/>
      <c r="PFQ53" s="1"/>
      <c r="PFR53" s="1"/>
      <c r="PFS53" s="1"/>
      <c r="PFT53" s="1"/>
      <c r="PFU53" s="1"/>
      <c r="PFV53" s="1"/>
      <c r="PFW53" s="1"/>
      <c r="PFX53" s="1"/>
      <c r="PFY53" s="1"/>
      <c r="PFZ53" s="1"/>
      <c r="PGA53" s="1"/>
      <c r="PGB53" s="1"/>
      <c r="PGC53" s="1"/>
      <c r="PGD53" s="1"/>
      <c r="PGE53" s="1"/>
      <c r="PGF53" s="1"/>
      <c r="PGG53" s="1"/>
      <c r="PGH53" s="1"/>
      <c r="PGI53" s="1"/>
      <c r="PGJ53" s="1"/>
      <c r="PGK53" s="1"/>
      <c r="PGL53" s="1"/>
      <c r="PGM53" s="1"/>
      <c r="PGN53" s="1"/>
      <c r="PGO53" s="1"/>
      <c r="PGP53" s="1"/>
      <c r="PGQ53" s="1"/>
      <c r="PGR53" s="1"/>
      <c r="PGS53" s="1"/>
      <c r="PGT53" s="1"/>
      <c r="PGU53" s="1"/>
      <c r="PGV53" s="1"/>
      <c r="PGW53" s="1"/>
      <c r="PGX53" s="1"/>
      <c r="PGY53" s="1"/>
      <c r="PGZ53" s="1"/>
      <c r="PHA53" s="1"/>
      <c r="PHB53" s="1"/>
      <c r="PHC53" s="1"/>
      <c r="PHD53" s="1"/>
      <c r="PHE53" s="1"/>
      <c r="PHF53" s="1"/>
      <c r="PHG53" s="1"/>
      <c r="PHH53" s="1"/>
      <c r="PHI53" s="1"/>
      <c r="PHJ53" s="1"/>
      <c r="PHK53" s="1"/>
      <c r="PHL53" s="1"/>
      <c r="PHM53" s="1"/>
      <c r="PHN53" s="1"/>
      <c r="PHO53" s="1"/>
      <c r="PHP53" s="1"/>
      <c r="PHQ53" s="1"/>
      <c r="PHR53" s="1"/>
      <c r="PHS53" s="1"/>
      <c r="PHT53" s="1"/>
      <c r="PHU53" s="1"/>
      <c r="PHV53" s="1"/>
      <c r="PHW53" s="1"/>
      <c r="PHX53" s="1"/>
      <c r="PHY53" s="1"/>
      <c r="PHZ53" s="1"/>
      <c r="PIA53" s="1"/>
      <c r="PIB53" s="1"/>
      <c r="PIC53" s="1"/>
      <c r="PID53" s="1"/>
      <c r="PIE53" s="1"/>
      <c r="PIF53" s="1"/>
      <c r="PIG53" s="1"/>
      <c r="PIH53" s="1"/>
      <c r="PII53" s="1"/>
      <c r="PIJ53" s="1"/>
      <c r="PIK53" s="1"/>
      <c r="PIL53" s="1"/>
      <c r="PIM53" s="1"/>
      <c r="PIN53" s="1"/>
      <c r="PIO53" s="1"/>
      <c r="PIP53" s="1"/>
      <c r="PIQ53" s="1"/>
      <c r="PIR53" s="1"/>
      <c r="PIS53" s="1"/>
      <c r="PIT53" s="1"/>
      <c r="PIU53" s="1"/>
      <c r="PIV53" s="1"/>
      <c r="PIW53" s="1"/>
      <c r="PIX53" s="1"/>
      <c r="PIY53" s="1"/>
      <c r="PIZ53" s="1"/>
      <c r="PJA53" s="1"/>
      <c r="PJB53" s="1"/>
      <c r="PJC53" s="1"/>
      <c r="PJD53" s="1"/>
      <c r="PJE53" s="1"/>
      <c r="PJF53" s="1"/>
      <c r="PJG53" s="1"/>
      <c r="PJH53" s="1"/>
      <c r="PJI53" s="1"/>
      <c r="PJJ53" s="1"/>
      <c r="PJK53" s="1"/>
      <c r="PJL53" s="1"/>
      <c r="PJM53" s="1"/>
      <c r="PJN53" s="1"/>
      <c r="PJO53" s="1"/>
      <c r="PJP53" s="1"/>
      <c r="PJQ53" s="1"/>
      <c r="PJR53" s="1"/>
      <c r="PJS53" s="1"/>
      <c r="PJT53" s="1"/>
      <c r="PJU53" s="1"/>
      <c r="PJV53" s="1"/>
      <c r="PJW53" s="1"/>
      <c r="PJX53" s="1"/>
      <c r="PJY53" s="1"/>
      <c r="PJZ53" s="1"/>
      <c r="PKA53" s="1"/>
      <c r="PKB53" s="1"/>
      <c r="PKC53" s="1"/>
      <c r="PKD53" s="1"/>
      <c r="PKE53" s="1"/>
      <c r="PKF53" s="1"/>
      <c r="PKG53" s="1"/>
      <c r="PKH53" s="1"/>
      <c r="PKI53" s="1"/>
      <c r="PKJ53" s="1"/>
      <c r="PKK53" s="1"/>
      <c r="PKL53" s="1"/>
      <c r="PKM53" s="1"/>
      <c r="PKN53" s="1"/>
      <c r="PKO53" s="1"/>
      <c r="PKP53" s="1"/>
      <c r="PKQ53" s="1"/>
      <c r="PKR53" s="1"/>
      <c r="PKS53" s="1"/>
      <c r="PKT53" s="1"/>
      <c r="PKU53" s="1"/>
      <c r="PKV53" s="1"/>
      <c r="PKW53" s="1"/>
      <c r="PKX53" s="1"/>
      <c r="PKY53" s="1"/>
      <c r="PKZ53" s="1"/>
      <c r="PLA53" s="1"/>
      <c r="PLB53" s="1"/>
      <c r="PLC53" s="1"/>
      <c r="PLD53" s="1"/>
      <c r="PLE53" s="1"/>
      <c r="PLF53" s="1"/>
      <c r="PLG53" s="1"/>
      <c r="PLH53" s="1"/>
      <c r="PLI53" s="1"/>
      <c r="PLJ53" s="1"/>
      <c r="PLK53" s="1"/>
      <c r="PLL53" s="1"/>
      <c r="PLM53" s="1"/>
      <c r="PLN53" s="1"/>
      <c r="PLO53" s="1"/>
      <c r="PLP53" s="1"/>
      <c r="PLQ53" s="1"/>
      <c r="PLR53" s="1"/>
      <c r="PLS53" s="1"/>
      <c r="PLT53" s="1"/>
      <c r="PLU53" s="1"/>
      <c r="PLV53" s="1"/>
      <c r="PLW53" s="1"/>
      <c r="PLX53" s="1"/>
      <c r="PLY53" s="1"/>
      <c r="PLZ53" s="1"/>
      <c r="PMA53" s="1"/>
      <c r="PMB53" s="1"/>
      <c r="PMC53" s="1"/>
      <c r="PMD53" s="1"/>
      <c r="PME53" s="1"/>
      <c r="PMF53" s="1"/>
      <c r="PMG53" s="1"/>
      <c r="PMH53" s="1"/>
      <c r="PMI53" s="1"/>
      <c r="PMJ53" s="1"/>
      <c r="PMK53" s="1"/>
      <c r="PML53" s="1"/>
      <c r="PMM53" s="1"/>
      <c r="PMN53" s="1"/>
      <c r="PMO53" s="1"/>
      <c r="PMP53" s="1"/>
      <c r="PMQ53" s="1"/>
      <c r="PMR53" s="1"/>
      <c r="PMS53" s="1"/>
      <c r="PMT53" s="1"/>
      <c r="PMU53" s="1"/>
      <c r="PMV53" s="1"/>
      <c r="PMW53" s="1"/>
      <c r="PMX53" s="1"/>
      <c r="PMY53" s="1"/>
      <c r="PMZ53" s="1"/>
      <c r="PNA53" s="1"/>
      <c r="PNB53" s="1"/>
      <c r="PNC53" s="1"/>
      <c r="PND53" s="1"/>
      <c r="PNE53" s="1"/>
      <c r="PNF53" s="1"/>
      <c r="PNG53" s="1"/>
      <c r="PNH53" s="1"/>
      <c r="PNI53" s="1"/>
      <c r="PNJ53" s="1"/>
      <c r="PNK53" s="1"/>
      <c r="PNL53" s="1"/>
      <c r="PNM53" s="1"/>
      <c r="PNN53" s="1"/>
      <c r="PNO53" s="1"/>
      <c r="PNP53" s="1"/>
      <c r="PNQ53" s="1"/>
      <c r="PNR53" s="1"/>
      <c r="PNS53" s="1"/>
      <c r="PNT53" s="1"/>
      <c r="PNU53" s="1"/>
      <c r="PNV53" s="1"/>
      <c r="PNW53" s="1"/>
      <c r="PNX53" s="1"/>
      <c r="PNY53" s="1"/>
      <c r="PNZ53" s="1"/>
      <c r="POA53" s="1"/>
      <c r="POB53" s="1"/>
      <c r="POC53" s="1"/>
      <c r="POD53" s="1"/>
      <c r="POE53" s="1"/>
      <c r="POF53" s="1"/>
      <c r="POG53" s="1"/>
      <c r="POH53" s="1"/>
      <c r="POI53" s="1"/>
      <c r="POJ53" s="1"/>
      <c r="POK53" s="1"/>
      <c r="POL53" s="1"/>
      <c r="POM53" s="1"/>
      <c r="PON53" s="1"/>
      <c r="POO53" s="1"/>
      <c r="POP53" s="1"/>
      <c r="POQ53" s="1"/>
      <c r="POR53" s="1"/>
      <c r="POS53" s="1"/>
      <c r="POT53" s="1"/>
      <c r="POU53" s="1"/>
      <c r="POV53" s="1"/>
      <c r="POW53" s="1"/>
      <c r="POX53" s="1"/>
      <c r="POY53" s="1"/>
      <c r="POZ53" s="1"/>
      <c r="PPA53" s="1"/>
      <c r="PPB53" s="1"/>
      <c r="PPC53" s="1"/>
      <c r="PPD53" s="1"/>
      <c r="PPE53" s="1"/>
      <c r="PPF53" s="1"/>
      <c r="PPG53" s="1"/>
      <c r="PPH53" s="1"/>
      <c r="PPI53" s="1"/>
      <c r="PPJ53" s="1"/>
      <c r="PPK53" s="1"/>
      <c r="PPL53" s="1"/>
      <c r="PPM53" s="1"/>
      <c r="PPN53" s="1"/>
      <c r="PPO53" s="1"/>
      <c r="PPP53" s="1"/>
      <c r="PPQ53" s="1"/>
      <c r="PPR53" s="1"/>
      <c r="PPS53" s="1"/>
      <c r="PPT53" s="1"/>
      <c r="PPU53" s="1"/>
      <c r="PPV53" s="1"/>
      <c r="PPW53" s="1"/>
      <c r="PPX53" s="1"/>
      <c r="PPY53" s="1"/>
      <c r="PPZ53" s="1"/>
      <c r="PQA53" s="1"/>
      <c r="PQB53" s="1"/>
      <c r="PQC53" s="1"/>
      <c r="PQD53" s="1"/>
      <c r="PQE53" s="1"/>
      <c r="PQF53" s="1"/>
      <c r="PQG53" s="1"/>
      <c r="PQH53" s="1"/>
      <c r="PQI53" s="1"/>
      <c r="PQJ53" s="1"/>
      <c r="PQK53" s="1"/>
      <c r="PQL53" s="1"/>
      <c r="PQM53" s="1"/>
      <c r="PQN53" s="1"/>
      <c r="PQO53" s="1"/>
      <c r="PQP53" s="1"/>
      <c r="PQQ53" s="1"/>
      <c r="PQR53" s="1"/>
      <c r="PQS53" s="1"/>
      <c r="PQT53" s="1"/>
      <c r="PQU53" s="1"/>
      <c r="PQV53" s="1"/>
      <c r="PQW53" s="1"/>
      <c r="PQX53" s="1"/>
      <c r="PQY53" s="1"/>
      <c r="PQZ53" s="1"/>
      <c r="PRA53" s="1"/>
      <c r="PRB53" s="1"/>
      <c r="PRC53" s="1"/>
      <c r="PRD53" s="1"/>
      <c r="PRE53" s="1"/>
      <c r="PRF53" s="1"/>
      <c r="PRG53" s="1"/>
      <c r="PRH53" s="1"/>
      <c r="PRI53" s="1"/>
      <c r="PRJ53" s="1"/>
      <c r="PRK53" s="1"/>
      <c r="PRL53" s="1"/>
      <c r="PRM53" s="1"/>
      <c r="PRN53" s="1"/>
      <c r="PRO53" s="1"/>
      <c r="PRP53" s="1"/>
      <c r="PRQ53" s="1"/>
      <c r="PRR53" s="1"/>
      <c r="PRS53" s="1"/>
      <c r="PRT53" s="1"/>
      <c r="PRU53" s="1"/>
      <c r="PRV53" s="1"/>
      <c r="PRW53" s="1"/>
      <c r="PRX53" s="1"/>
      <c r="PRY53" s="1"/>
      <c r="PRZ53" s="1"/>
      <c r="PSA53" s="1"/>
      <c r="PSB53" s="1"/>
      <c r="PSC53" s="1"/>
      <c r="PSD53" s="1"/>
      <c r="PSE53" s="1"/>
      <c r="PSF53" s="1"/>
      <c r="PSG53" s="1"/>
      <c r="PSH53" s="1"/>
      <c r="PSI53" s="1"/>
      <c r="PSJ53" s="1"/>
      <c r="PSK53" s="1"/>
      <c r="PSL53" s="1"/>
      <c r="PSM53" s="1"/>
      <c r="PSN53" s="1"/>
      <c r="PSO53" s="1"/>
      <c r="PSP53" s="1"/>
      <c r="PSQ53" s="1"/>
      <c r="PSR53" s="1"/>
      <c r="PSS53" s="1"/>
      <c r="PST53" s="1"/>
      <c r="PSU53" s="1"/>
      <c r="PSV53" s="1"/>
      <c r="PSW53" s="1"/>
      <c r="PSX53" s="1"/>
      <c r="PSY53" s="1"/>
      <c r="PSZ53" s="1"/>
      <c r="PTA53" s="1"/>
      <c r="PTB53" s="1"/>
      <c r="PTC53" s="1"/>
      <c r="PTD53" s="1"/>
      <c r="PTE53" s="1"/>
      <c r="PTF53" s="1"/>
      <c r="PTG53" s="1"/>
      <c r="PTH53" s="1"/>
      <c r="PTI53" s="1"/>
      <c r="PTJ53" s="1"/>
      <c r="PTK53" s="1"/>
      <c r="PTL53" s="1"/>
      <c r="PTM53" s="1"/>
      <c r="PTN53" s="1"/>
      <c r="PTO53" s="1"/>
      <c r="PTP53" s="1"/>
      <c r="PTQ53" s="1"/>
      <c r="PTR53" s="1"/>
      <c r="PTS53" s="1"/>
      <c r="PTT53" s="1"/>
      <c r="PTU53" s="1"/>
      <c r="PTV53" s="1"/>
      <c r="PTW53" s="1"/>
      <c r="PTX53" s="1"/>
      <c r="PTY53" s="1"/>
      <c r="PTZ53" s="1"/>
      <c r="PUA53" s="1"/>
      <c r="PUB53" s="1"/>
      <c r="PUC53" s="1"/>
      <c r="PUD53" s="1"/>
      <c r="PUE53" s="1"/>
      <c r="PUF53" s="1"/>
      <c r="PUG53" s="1"/>
      <c r="PUH53" s="1"/>
      <c r="PUI53" s="1"/>
      <c r="PUJ53" s="1"/>
      <c r="PUK53" s="1"/>
      <c r="PUL53" s="1"/>
      <c r="PUM53" s="1"/>
      <c r="PUN53" s="1"/>
      <c r="PUO53" s="1"/>
      <c r="PUP53" s="1"/>
      <c r="PUQ53" s="1"/>
      <c r="PUR53" s="1"/>
      <c r="PUS53" s="1"/>
      <c r="PUT53" s="1"/>
      <c r="PUU53" s="1"/>
      <c r="PUV53" s="1"/>
      <c r="PUW53" s="1"/>
      <c r="PUX53" s="1"/>
      <c r="PUY53" s="1"/>
      <c r="PUZ53" s="1"/>
      <c r="PVA53" s="1"/>
      <c r="PVB53" s="1"/>
      <c r="PVC53" s="1"/>
      <c r="PVD53" s="1"/>
      <c r="PVE53" s="1"/>
      <c r="PVF53" s="1"/>
      <c r="PVG53" s="1"/>
      <c r="PVH53" s="1"/>
      <c r="PVI53" s="1"/>
      <c r="PVJ53" s="1"/>
      <c r="PVK53" s="1"/>
      <c r="PVL53" s="1"/>
      <c r="PVM53" s="1"/>
      <c r="PVN53" s="1"/>
      <c r="PVO53" s="1"/>
      <c r="PVP53" s="1"/>
      <c r="PVQ53" s="1"/>
      <c r="PVR53" s="1"/>
      <c r="PVS53" s="1"/>
      <c r="PVT53" s="1"/>
      <c r="PVU53" s="1"/>
      <c r="PVV53" s="1"/>
      <c r="PVW53" s="1"/>
      <c r="PVX53" s="1"/>
      <c r="PVY53" s="1"/>
      <c r="PVZ53" s="1"/>
      <c r="PWA53" s="1"/>
      <c r="PWB53" s="1"/>
      <c r="PWC53" s="1"/>
      <c r="PWD53" s="1"/>
      <c r="PWE53" s="1"/>
      <c r="PWF53" s="1"/>
      <c r="PWG53" s="1"/>
      <c r="PWH53" s="1"/>
      <c r="PWI53" s="1"/>
      <c r="PWJ53" s="1"/>
      <c r="PWK53" s="1"/>
      <c r="PWL53" s="1"/>
      <c r="PWM53" s="1"/>
      <c r="PWN53" s="1"/>
      <c r="PWO53" s="1"/>
      <c r="PWP53" s="1"/>
      <c r="PWQ53" s="1"/>
      <c r="PWR53" s="1"/>
      <c r="PWS53" s="1"/>
      <c r="PWT53" s="1"/>
      <c r="PWU53" s="1"/>
      <c r="PWV53" s="1"/>
      <c r="PWW53" s="1"/>
      <c r="PWX53" s="1"/>
      <c r="PWY53" s="1"/>
      <c r="PWZ53" s="1"/>
      <c r="PXA53" s="1"/>
      <c r="PXB53" s="1"/>
      <c r="PXC53" s="1"/>
      <c r="PXD53" s="1"/>
      <c r="PXE53" s="1"/>
      <c r="PXF53" s="1"/>
      <c r="PXG53" s="1"/>
      <c r="PXH53" s="1"/>
      <c r="PXI53" s="1"/>
      <c r="PXJ53" s="1"/>
      <c r="PXK53" s="1"/>
      <c r="PXL53" s="1"/>
      <c r="PXM53" s="1"/>
      <c r="PXN53" s="1"/>
      <c r="PXO53" s="1"/>
      <c r="PXP53" s="1"/>
      <c r="PXQ53" s="1"/>
      <c r="PXR53" s="1"/>
      <c r="PXS53" s="1"/>
      <c r="PXT53" s="1"/>
      <c r="PXU53" s="1"/>
      <c r="PXV53" s="1"/>
      <c r="PXW53" s="1"/>
      <c r="PXX53" s="1"/>
      <c r="PXY53" s="1"/>
      <c r="PXZ53" s="1"/>
      <c r="PYA53" s="1"/>
      <c r="PYB53" s="1"/>
      <c r="PYC53" s="1"/>
      <c r="PYD53" s="1"/>
      <c r="PYE53" s="1"/>
      <c r="PYF53" s="1"/>
      <c r="PYG53" s="1"/>
      <c r="PYH53" s="1"/>
      <c r="PYI53" s="1"/>
      <c r="PYJ53" s="1"/>
      <c r="PYK53" s="1"/>
      <c r="PYL53" s="1"/>
      <c r="PYM53" s="1"/>
      <c r="PYN53" s="1"/>
      <c r="PYO53" s="1"/>
      <c r="PYP53" s="1"/>
      <c r="PYQ53" s="1"/>
      <c r="PYR53" s="1"/>
      <c r="PYS53" s="1"/>
      <c r="PYT53" s="1"/>
      <c r="PYU53" s="1"/>
      <c r="PYV53" s="1"/>
      <c r="PYW53" s="1"/>
      <c r="PYX53" s="1"/>
      <c r="PYY53" s="1"/>
      <c r="PYZ53" s="1"/>
      <c r="PZA53" s="1"/>
      <c r="PZB53" s="1"/>
      <c r="PZC53" s="1"/>
      <c r="PZD53" s="1"/>
      <c r="PZE53" s="1"/>
      <c r="PZF53" s="1"/>
      <c r="PZG53" s="1"/>
      <c r="PZH53" s="1"/>
      <c r="PZI53" s="1"/>
      <c r="PZJ53" s="1"/>
      <c r="PZK53" s="1"/>
      <c r="PZL53" s="1"/>
      <c r="PZM53" s="1"/>
      <c r="PZN53" s="1"/>
      <c r="PZO53" s="1"/>
      <c r="PZP53" s="1"/>
      <c r="PZQ53" s="1"/>
      <c r="PZR53" s="1"/>
      <c r="PZS53" s="1"/>
      <c r="PZT53" s="1"/>
      <c r="PZU53" s="1"/>
      <c r="PZV53" s="1"/>
      <c r="PZW53" s="1"/>
      <c r="PZX53" s="1"/>
      <c r="PZY53" s="1"/>
      <c r="PZZ53" s="1"/>
      <c r="QAA53" s="1"/>
      <c r="QAB53" s="1"/>
      <c r="QAC53" s="1"/>
      <c r="QAD53" s="1"/>
      <c r="QAE53" s="1"/>
      <c r="QAF53" s="1"/>
      <c r="QAG53" s="1"/>
      <c r="QAH53" s="1"/>
      <c r="QAI53" s="1"/>
      <c r="QAJ53" s="1"/>
      <c r="QAK53" s="1"/>
      <c r="QAL53" s="1"/>
      <c r="QAM53" s="1"/>
      <c r="QAN53" s="1"/>
      <c r="QAO53" s="1"/>
      <c r="QAP53" s="1"/>
      <c r="QAQ53" s="1"/>
      <c r="QAR53" s="1"/>
      <c r="QAS53" s="1"/>
      <c r="QAT53" s="1"/>
      <c r="QAU53" s="1"/>
      <c r="QAV53" s="1"/>
      <c r="QAW53" s="1"/>
      <c r="QAX53" s="1"/>
      <c r="QAY53" s="1"/>
      <c r="QAZ53" s="1"/>
      <c r="QBA53" s="1"/>
      <c r="QBB53" s="1"/>
      <c r="QBC53" s="1"/>
      <c r="QBD53" s="1"/>
      <c r="QBE53" s="1"/>
      <c r="QBF53" s="1"/>
      <c r="QBG53" s="1"/>
      <c r="QBH53" s="1"/>
      <c r="QBI53" s="1"/>
      <c r="QBJ53" s="1"/>
      <c r="QBK53" s="1"/>
      <c r="QBL53" s="1"/>
      <c r="QBM53" s="1"/>
      <c r="QBN53" s="1"/>
      <c r="QBO53" s="1"/>
      <c r="QBP53" s="1"/>
      <c r="QBQ53" s="1"/>
      <c r="QBR53" s="1"/>
      <c r="QBS53" s="1"/>
      <c r="QBT53" s="1"/>
      <c r="QBU53" s="1"/>
      <c r="QBV53" s="1"/>
      <c r="QBW53" s="1"/>
      <c r="QBX53" s="1"/>
      <c r="QBY53" s="1"/>
      <c r="QBZ53" s="1"/>
      <c r="QCA53" s="1"/>
      <c r="QCB53" s="1"/>
      <c r="QCC53" s="1"/>
      <c r="QCD53" s="1"/>
      <c r="QCE53" s="1"/>
      <c r="QCF53" s="1"/>
      <c r="QCG53" s="1"/>
      <c r="QCH53" s="1"/>
      <c r="QCI53" s="1"/>
      <c r="QCJ53" s="1"/>
      <c r="QCK53" s="1"/>
      <c r="QCL53" s="1"/>
      <c r="QCM53" s="1"/>
      <c r="QCN53" s="1"/>
      <c r="QCO53" s="1"/>
      <c r="QCP53" s="1"/>
      <c r="QCQ53" s="1"/>
      <c r="QCR53" s="1"/>
      <c r="QCS53" s="1"/>
      <c r="QCT53" s="1"/>
      <c r="QCU53" s="1"/>
      <c r="QCV53" s="1"/>
      <c r="QCW53" s="1"/>
      <c r="QCX53" s="1"/>
      <c r="QCY53" s="1"/>
      <c r="QCZ53" s="1"/>
      <c r="QDA53" s="1"/>
      <c r="QDB53" s="1"/>
      <c r="QDC53" s="1"/>
      <c r="QDD53" s="1"/>
      <c r="QDE53" s="1"/>
      <c r="QDF53" s="1"/>
      <c r="QDG53" s="1"/>
      <c r="QDH53" s="1"/>
      <c r="QDI53" s="1"/>
      <c r="QDJ53" s="1"/>
      <c r="QDK53" s="1"/>
      <c r="QDL53" s="1"/>
      <c r="QDM53" s="1"/>
      <c r="QDN53" s="1"/>
      <c r="QDO53" s="1"/>
      <c r="QDP53" s="1"/>
      <c r="QDQ53" s="1"/>
      <c r="QDR53" s="1"/>
      <c r="QDS53" s="1"/>
      <c r="QDT53" s="1"/>
      <c r="QDU53" s="1"/>
      <c r="QDV53" s="1"/>
      <c r="QDW53" s="1"/>
      <c r="QDX53" s="1"/>
      <c r="QDY53" s="1"/>
      <c r="QDZ53" s="1"/>
      <c r="QEA53" s="1"/>
      <c r="QEB53" s="1"/>
      <c r="QEC53" s="1"/>
      <c r="QED53" s="1"/>
      <c r="QEE53" s="1"/>
      <c r="QEF53" s="1"/>
      <c r="QEG53" s="1"/>
      <c r="QEH53" s="1"/>
      <c r="QEI53" s="1"/>
      <c r="QEJ53" s="1"/>
      <c r="QEK53" s="1"/>
      <c r="QEL53" s="1"/>
      <c r="QEM53" s="1"/>
      <c r="QEN53" s="1"/>
      <c r="QEO53" s="1"/>
      <c r="QEP53" s="1"/>
      <c r="QEQ53" s="1"/>
      <c r="QER53" s="1"/>
      <c r="QES53" s="1"/>
      <c r="QET53" s="1"/>
      <c r="QEU53" s="1"/>
      <c r="QEV53" s="1"/>
      <c r="QEW53" s="1"/>
      <c r="QEX53" s="1"/>
      <c r="QEY53" s="1"/>
      <c r="QEZ53" s="1"/>
      <c r="QFA53" s="1"/>
      <c r="QFB53" s="1"/>
      <c r="QFC53" s="1"/>
      <c r="QFD53" s="1"/>
      <c r="QFE53" s="1"/>
      <c r="QFF53" s="1"/>
      <c r="QFG53" s="1"/>
      <c r="QFH53" s="1"/>
      <c r="QFI53" s="1"/>
      <c r="QFJ53" s="1"/>
      <c r="QFK53" s="1"/>
      <c r="QFL53" s="1"/>
      <c r="QFM53" s="1"/>
      <c r="QFN53" s="1"/>
      <c r="QFO53" s="1"/>
      <c r="QFP53" s="1"/>
      <c r="QFQ53" s="1"/>
      <c r="QFR53" s="1"/>
      <c r="QFS53" s="1"/>
      <c r="QFT53" s="1"/>
      <c r="QFU53" s="1"/>
      <c r="QFV53" s="1"/>
      <c r="QFW53" s="1"/>
      <c r="QFX53" s="1"/>
      <c r="QFY53" s="1"/>
      <c r="QFZ53" s="1"/>
      <c r="QGA53" s="1"/>
      <c r="QGB53" s="1"/>
      <c r="QGC53" s="1"/>
      <c r="QGD53" s="1"/>
      <c r="QGE53" s="1"/>
      <c r="QGF53" s="1"/>
      <c r="QGG53" s="1"/>
      <c r="QGH53" s="1"/>
      <c r="QGI53" s="1"/>
      <c r="QGJ53" s="1"/>
      <c r="QGK53" s="1"/>
      <c r="QGL53" s="1"/>
      <c r="QGM53" s="1"/>
      <c r="QGN53" s="1"/>
      <c r="QGO53" s="1"/>
      <c r="QGP53" s="1"/>
      <c r="QGQ53" s="1"/>
      <c r="QGR53" s="1"/>
      <c r="QGS53" s="1"/>
      <c r="QGT53" s="1"/>
      <c r="QGU53" s="1"/>
      <c r="QGV53" s="1"/>
      <c r="QGW53" s="1"/>
      <c r="QGX53" s="1"/>
      <c r="QGY53" s="1"/>
      <c r="QGZ53" s="1"/>
      <c r="QHA53" s="1"/>
      <c r="QHB53" s="1"/>
      <c r="QHC53" s="1"/>
      <c r="QHD53" s="1"/>
      <c r="QHE53" s="1"/>
      <c r="QHF53" s="1"/>
      <c r="QHG53" s="1"/>
      <c r="QHH53" s="1"/>
      <c r="QHI53" s="1"/>
      <c r="QHJ53" s="1"/>
      <c r="QHK53" s="1"/>
      <c r="QHL53" s="1"/>
      <c r="QHM53" s="1"/>
      <c r="QHN53" s="1"/>
      <c r="QHO53" s="1"/>
      <c r="QHP53" s="1"/>
      <c r="QHQ53" s="1"/>
      <c r="QHR53" s="1"/>
      <c r="QHS53" s="1"/>
      <c r="QHT53" s="1"/>
      <c r="QHU53" s="1"/>
      <c r="QHV53" s="1"/>
      <c r="QHW53" s="1"/>
      <c r="QHX53" s="1"/>
      <c r="QHY53" s="1"/>
      <c r="QHZ53" s="1"/>
      <c r="QIA53" s="1"/>
      <c r="QIB53" s="1"/>
      <c r="QIC53" s="1"/>
      <c r="QID53" s="1"/>
      <c r="QIE53" s="1"/>
      <c r="QIF53" s="1"/>
      <c r="QIG53" s="1"/>
      <c r="QIH53" s="1"/>
      <c r="QII53" s="1"/>
      <c r="QIJ53" s="1"/>
      <c r="QIK53" s="1"/>
      <c r="QIL53" s="1"/>
      <c r="QIM53" s="1"/>
      <c r="QIN53" s="1"/>
      <c r="QIO53" s="1"/>
      <c r="QIP53" s="1"/>
      <c r="QIQ53" s="1"/>
      <c r="QIR53" s="1"/>
      <c r="QIS53" s="1"/>
      <c r="QIT53" s="1"/>
      <c r="QIU53" s="1"/>
      <c r="QIV53" s="1"/>
      <c r="QIW53" s="1"/>
      <c r="QIX53" s="1"/>
      <c r="QIY53" s="1"/>
      <c r="QIZ53" s="1"/>
      <c r="QJA53" s="1"/>
      <c r="QJB53" s="1"/>
      <c r="QJC53" s="1"/>
      <c r="QJD53" s="1"/>
      <c r="QJE53" s="1"/>
      <c r="QJF53" s="1"/>
      <c r="QJG53" s="1"/>
      <c r="QJH53" s="1"/>
      <c r="QJI53" s="1"/>
      <c r="QJJ53" s="1"/>
      <c r="QJK53" s="1"/>
      <c r="QJL53" s="1"/>
      <c r="QJM53" s="1"/>
      <c r="QJN53" s="1"/>
      <c r="QJO53" s="1"/>
      <c r="QJP53" s="1"/>
      <c r="QJQ53" s="1"/>
      <c r="QJR53" s="1"/>
      <c r="QJS53" s="1"/>
      <c r="QJT53" s="1"/>
      <c r="QJU53" s="1"/>
      <c r="QJV53" s="1"/>
      <c r="QJW53" s="1"/>
      <c r="QJX53" s="1"/>
      <c r="QJY53" s="1"/>
      <c r="QJZ53" s="1"/>
      <c r="QKA53" s="1"/>
      <c r="QKB53" s="1"/>
      <c r="QKC53" s="1"/>
      <c r="QKD53" s="1"/>
      <c r="QKE53" s="1"/>
      <c r="QKF53" s="1"/>
      <c r="QKG53" s="1"/>
      <c r="QKH53" s="1"/>
      <c r="QKI53" s="1"/>
      <c r="QKJ53" s="1"/>
      <c r="QKK53" s="1"/>
      <c r="QKL53" s="1"/>
      <c r="QKM53" s="1"/>
      <c r="QKN53" s="1"/>
      <c r="QKO53" s="1"/>
      <c r="QKP53" s="1"/>
      <c r="QKQ53" s="1"/>
      <c r="QKR53" s="1"/>
      <c r="QKS53" s="1"/>
      <c r="QKT53" s="1"/>
      <c r="QKU53" s="1"/>
      <c r="QKV53" s="1"/>
      <c r="QKW53" s="1"/>
      <c r="QKX53" s="1"/>
      <c r="QKY53" s="1"/>
      <c r="QKZ53" s="1"/>
      <c r="QLA53" s="1"/>
      <c r="QLB53" s="1"/>
      <c r="QLC53" s="1"/>
      <c r="QLD53" s="1"/>
      <c r="QLE53" s="1"/>
      <c r="QLF53" s="1"/>
      <c r="QLG53" s="1"/>
      <c r="QLH53" s="1"/>
      <c r="QLI53" s="1"/>
      <c r="QLJ53" s="1"/>
      <c r="QLK53" s="1"/>
      <c r="QLL53" s="1"/>
      <c r="QLM53" s="1"/>
      <c r="QLN53" s="1"/>
      <c r="QLO53" s="1"/>
      <c r="QLP53" s="1"/>
      <c r="QLQ53" s="1"/>
      <c r="QLR53" s="1"/>
      <c r="QLS53" s="1"/>
      <c r="QLT53" s="1"/>
      <c r="QLU53" s="1"/>
      <c r="QLV53" s="1"/>
      <c r="QLW53" s="1"/>
      <c r="QLX53" s="1"/>
      <c r="QLY53" s="1"/>
      <c r="QLZ53" s="1"/>
      <c r="QMA53" s="1"/>
      <c r="QMB53" s="1"/>
      <c r="QMC53" s="1"/>
      <c r="QMD53" s="1"/>
      <c r="QME53" s="1"/>
      <c r="QMF53" s="1"/>
      <c r="QMG53" s="1"/>
      <c r="QMH53" s="1"/>
      <c r="QMI53" s="1"/>
      <c r="QMJ53" s="1"/>
      <c r="QMK53" s="1"/>
      <c r="QML53" s="1"/>
      <c r="QMM53" s="1"/>
      <c r="QMN53" s="1"/>
      <c r="QMO53" s="1"/>
      <c r="QMP53" s="1"/>
      <c r="QMQ53" s="1"/>
      <c r="QMR53" s="1"/>
      <c r="QMS53" s="1"/>
      <c r="QMT53" s="1"/>
      <c r="QMU53" s="1"/>
      <c r="QMV53" s="1"/>
      <c r="QMW53" s="1"/>
      <c r="QMX53" s="1"/>
      <c r="QMY53" s="1"/>
      <c r="QMZ53" s="1"/>
      <c r="QNA53" s="1"/>
      <c r="QNB53" s="1"/>
      <c r="QNC53" s="1"/>
      <c r="QND53" s="1"/>
      <c r="QNE53" s="1"/>
      <c r="QNF53" s="1"/>
      <c r="QNG53" s="1"/>
      <c r="QNH53" s="1"/>
      <c r="QNI53" s="1"/>
      <c r="QNJ53" s="1"/>
      <c r="QNK53" s="1"/>
      <c r="QNL53" s="1"/>
      <c r="QNM53" s="1"/>
      <c r="QNN53" s="1"/>
      <c r="QNO53" s="1"/>
      <c r="QNP53" s="1"/>
      <c r="QNQ53" s="1"/>
      <c r="QNR53" s="1"/>
      <c r="QNS53" s="1"/>
      <c r="QNT53" s="1"/>
      <c r="QNU53" s="1"/>
      <c r="QNV53" s="1"/>
      <c r="QNW53" s="1"/>
      <c r="QNX53" s="1"/>
      <c r="QNY53" s="1"/>
      <c r="QNZ53" s="1"/>
      <c r="QOA53" s="1"/>
      <c r="QOB53" s="1"/>
      <c r="QOC53" s="1"/>
      <c r="QOD53" s="1"/>
      <c r="QOE53" s="1"/>
      <c r="QOF53" s="1"/>
      <c r="QOG53" s="1"/>
      <c r="QOH53" s="1"/>
      <c r="QOI53" s="1"/>
      <c r="QOJ53" s="1"/>
      <c r="QOK53" s="1"/>
      <c r="QOL53" s="1"/>
      <c r="QOM53" s="1"/>
      <c r="QON53" s="1"/>
      <c r="QOO53" s="1"/>
      <c r="QOP53" s="1"/>
      <c r="QOQ53" s="1"/>
      <c r="QOR53" s="1"/>
      <c r="QOS53" s="1"/>
      <c r="QOT53" s="1"/>
      <c r="QOU53" s="1"/>
      <c r="QOV53" s="1"/>
      <c r="QOW53" s="1"/>
      <c r="QOX53" s="1"/>
      <c r="QOY53" s="1"/>
      <c r="QOZ53" s="1"/>
      <c r="QPA53" s="1"/>
      <c r="QPB53" s="1"/>
      <c r="QPC53" s="1"/>
      <c r="QPD53" s="1"/>
      <c r="QPE53" s="1"/>
      <c r="QPF53" s="1"/>
      <c r="QPG53" s="1"/>
      <c r="QPH53" s="1"/>
      <c r="QPI53" s="1"/>
      <c r="QPJ53" s="1"/>
      <c r="QPK53" s="1"/>
      <c r="QPL53" s="1"/>
      <c r="QPM53" s="1"/>
      <c r="QPN53" s="1"/>
      <c r="QPO53" s="1"/>
      <c r="QPP53" s="1"/>
      <c r="QPQ53" s="1"/>
      <c r="QPR53" s="1"/>
      <c r="QPS53" s="1"/>
      <c r="QPT53" s="1"/>
      <c r="QPU53" s="1"/>
      <c r="QPV53" s="1"/>
      <c r="QPW53" s="1"/>
      <c r="QPX53" s="1"/>
      <c r="QPY53" s="1"/>
      <c r="QPZ53" s="1"/>
      <c r="QQA53" s="1"/>
      <c r="QQB53" s="1"/>
      <c r="QQC53" s="1"/>
      <c r="QQD53" s="1"/>
      <c r="QQE53" s="1"/>
      <c r="QQF53" s="1"/>
      <c r="QQG53" s="1"/>
      <c r="QQH53" s="1"/>
      <c r="QQI53" s="1"/>
      <c r="QQJ53" s="1"/>
      <c r="QQK53" s="1"/>
      <c r="QQL53" s="1"/>
      <c r="QQM53" s="1"/>
      <c r="QQN53" s="1"/>
      <c r="QQO53" s="1"/>
      <c r="QQP53" s="1"/>
      <c r="QQQ53" s="1"/>
      <c r="QQR53" s="1"/>
      <c r="QQS53" s="1"/>
      <c r="QQT53" s="1"/>
      <c r="QQU53" s="1"/>
      <c r="QQV53" s="1"/>
      <c r="QQW53" s="1"/>
      <c r="QQX53" s="1"/>
      <c r="QQY53" s="1"/>
      <c r="QQZ53" s="1"/>
      <c r="QRA53" s="1"/>
      <c r="QRB53" s="1"/>
      <c r="QRC53" s="1"/>
      <c r="QRD53" s="1"/>
      <c r="QRE53" s="1"/>
      <c r="QRF53" s="1"/>
      <c r="QRG53" s="1"/>
      <c r="QRH53" s="1"/>
      <c r="QRI53" s="1"/>
      <c r="QRJ53" s="1"/>
      <c r="QRK53" s="1"/>
      <c r="QRL53" s="1"/>
      <c r="QRM53" s="1"/>
      <c r="QRN53" s="1"/>
      <c r="QRO53" s="1"/>
      <c r="QRP53" s="1"/>
      <c r="QRQ53" s="1"/>
      <c r="QRR53" s="1"/>
      <c r="QRS53" s="1"/>
      <c r="QRT53" s="1"/>
      <c r="QRU53" s="1"/>
      <c r="QRV53" s="1"/>
      <c r="QRW53" s="1"/>
      <c r="QRX53" s="1"/>
      <c r="QRY53" s="1"/>
      <c r="QRZ53" s="1"/>
      <c r="QSA53" s="1"/>
      <c r="QSB53" s="1"/>
      <c r="QSC53" s="1"/>
      <c r="QSD53" s="1"/>
      <c r="QSE53" s="1"/>
      <c r="QSF53" s="1"/>
      <c r="QSG53" s="1"/>
      <c r="QSH53" s="1"/>
      <c r="QSI53" s="1"/>
      <c r="QSJ53" s="1"/>
      <c r="QSK53" s="1"/>
      <c r="QSL53" s="1"/>
      <c r="QSM53" s="1"/>
      <c r="QSN53" s="1"/>
      <c r="QSO53" s="1"/>
      <c r="QSP53" s="1"/>
      <c r="QSQ53" s="1"/>
      <c r="QSR53" s="1"/>
      <c r="QSS53" s="1"/>
      <c r="QST53" s="1"/>
      <c r="QSU53" s="1"/>
      <c r="QSV53" s="1"/>
      <c r="QSW53" s="1"/>
      <c r="QSX53" s="1"/>
      <c r="QSY53" s="1"/>
      <c r="QSZ53" s="1"/>
      <c r="QTA53" s="1"/>
      <c r="QTB53" s="1"/>
      <c r="QTC53" s="1"/>
      <c r="QTD53" s="1"/>
      <c r="QTE53" s="1"/>
      <c r="QTF53" s="1"/>
      <c r="QTG53" s="1"/>
      <c r="QTH53" s="1"/>
      <c r="QTI53" s="1"/>
      <c r="QTJ53" s="1"/>
      <c r="QTK53" s="1"/>
      <c r="QTL53" s="1"/>
      <c r="QTM53" s="1"/>
      <c r="QTN53" s="1"/>
      <c r="QTO53" s="1"/>
      <c r="QTP53" s="1"/>
      <c r="QTQ53" s="1"/>
      <c r="QTR53" s="1"/>
      <c r="QTS53" s="1"/>
      <c r="QTT53" s="1"/>
      <c r="QTU53" s="1"/>
      <c r="QTV53" s="1"/>
      <c r="QTW53" s="1"/>
      <c r="QTX53" s="1"/>
      <c r="QTY53" s="1"/>
      <c r="QTZ53" s="1"/>
      <c r="QUA53" s="1"/>
      <c r="QUB53" s="1"/>
      <c r="QUC53" s="1"/>
      <c r="QUD53" s="1"/>
      <c r="QUE53" s="1"/>
      <c r="QUF53" s="1"/>
      <c r="QUG53" s="1"/>
      <c r="QUH53" s="1"/>
      <c r="QUI53" s="1"/>
      <c r="QUJ53" s="1"/>
      <c r="QUK53" s="1"/>
      <c r="QUL53" s="1"/>
      <c r="QUM53" s="1"/>
      <c r="QUN53" s="1"/>
      <c r="QUO53" s="1"/>
      <c r="QUP53" s="1"/>
      <c r="QUQ53" s="1"/>
      <c r="QUR53" s="1"/>
      <c r="QUS53" s="1"/>
      <c r="QUT53" s="1"/>
      <c r="QUU53" s="1"/>
      <c r="QUV53" s="1"/>
      <c r="QUW53" s="1"/>
      <c r="QUX53" s="1"/>
      <c r="QUY53" s="1"/>
      <c r="QUZ53" s="1"/>
      <c r="QVA53" s="1"/>
      <c r="QVB53" s="1"/>
      <c r="QVC53" s="1"/>
      <c r="QVD53" s="1"/>
      <c r="QVE53" s="1"/>
      <c r="QVF53" s="1"/>
      <c r="QVG53" s="1"/>
      <c r="QVH53" s="1"/>
      <c r="QVI53" s="1"/>
      <c r="QVJ53" s="1"/>
      <c r="QVK53" s="1"/>
      <c r="QVL53" s="1"/>
      <c r="QVM53" s="1"/>
      <c r="QVN53" s="1"/>
      <c r="QVO53" s="1"/>
      <c r="QVP53" s="1"/>
      <c r="QVQ53" s="1"/>
      <c r="QVR53" s="1"/>
      <c r="QVS53" s="1"/>
      <c r="QVT53" s="1"/>
      <c r="QVU53" s="1"/>
      <c r="QVV53" s="1"/>
      <c r="QVW53" s="1"/>
      <c r="QVX53" s="1"/>
      <c r="QVY53" s="1"/>
      <c r="QVZ53" s="1"/>
      <c r="QWA53" s="1"/>
      <c r="QWB53" s="1"/>
      <c r="QWC53" s="1"/>
      <c r="QWD53" s="1"/>
      <c r="QWE53" s="1"/>
      <c r="QWF53" s="1"/>
      <c r="QWG53" s="1"/>
      <c r="QWH53" s="1"/>
      <c r="QWI53" s="1"/>
      <c r="QWJ53" s="1"/>
      <c r="QWK53" s="1"/>
      <c r="QWL53" s="1"/>
      <c r="QWM53" s="1"/>
      <c r="QWN53" s="1"/>
      <c r="QWO53" s="1"/>
      <c r="QWP53" s="1"/>
      <c r="QWQ53" s="1"/>
      <c r="QWR53" s="1"/>
      <c r="QWS53" s="1"/>
      <c r="QWT53" s="1"/>
      <c r="QWU53" s="1"/>
      <c r="QWV53" s="1"/>
      <c r="QWW53" s="1"/>
      <c r="QWX53" s="1"/>
      <c r="QWY53" s="1"/>
      <c r="QWZ53" s="1"/>
      <c r="QXA53" s="1"/>
      <c r="QXB53" s="1"/>
      <c r="QXC53" s="1"/>
      <c r="QXD53" s="1"/>
      <c r="QXE53" s="1"/>
      <c r="QXF53" s="1"/>
      <c r="QXG53" s="1"/>
      <c r="QXH53" s="1"/>
      <c r="QXI53" s="1"/>
      <c r="QXJ53" s="1"/>
      <c r="QXK53" s="1"/>
      <c r="QXL53" s="1"/>
      <c r="QXM53" s="1"/>
      <c r="QXN53" s="1"/>
      <c r="QXO53" s="1"/>
      <c r="QXP53" s="1"/>
      <c r="QXQ53" s="1"/>
      <c r="QXR53" s="1"/>
      <c r="QXS53" s="1"/>
      <c r="QXT53" s="1"/>
      <c r="QXU53" s="1"/>
      <c r="QXV53" s="1"/>
      <c r="QXW53" s="1"/>
      <c r="QXX53" s="1"/>
      <c r="QXY53" s="1"/>
      <c r="QXZ53" s="1"/>
      <c r="QYA53" s="1"/>
      <c r="QYB53" s="1"/>
      <c r="QYC53" s="1"/>
      <c r="QYD53" s="1"/>
      <c r="QYE53" s="1"/>
      <c r="QYF53" s="1"/>
      <c r="QYG53" s="1"/>
      <c r="QYH53" s="1"/>
      <c r="QYI53" s="1"/>
      <c r="QYJ53" s="1"/>
      <c r="QYK53" s="1"/>
      <c r="QYL53" s="1"/>
      <c r="QYM53" s="1"/>
      <c r="QYN53" s="1"/>
      <c r="QYO53" s="1"/>
      <c r="QYP53" s="1"/>
      <c r="QYQ53" s="1"/>
      <c r="QYR53" s="1"/>
      <c r="QYS53" s="1"/>
      <c r="QYT53" s="1"/>
      <c r="QYU53" s="1"/>
      <c r="QYV53" s="1"/>
      <c r="QYW53" s="1"/>
      <c r="QYX53" s="1"/>
      <c r="QYY53" s="1"/>
      <c r="QYZ53" s="1"/>
      <c r="QZA53" s="1"/>
      <c r="QZB53" s="1"/>
      <c r="QZC53" s="1"/>
      <c r="QZD53" s="1"/>
      <c r="QZE53" s="1"/>
      <c r="QZF53" s="1"/>
      <c r="QZG53" s="1"/>
      <c r="QZH53" s="1"/>
      <c r="QZI53" s="1"/>
      <c r="QZJ53" s="1"/>
      <c r="QZK53" s="1"/>
      <c r="QZL53" s="1"/>
      <c r="QZM53" s="1"/>
      <c r="QZN53" s="1"/>
      <c r="QZO53" s="1"/>
      <c r="QZP53" s="1"/>
      <c r="QZQ53" s="1"/>
      <c r="QZR53" s="1"/>
      <c r="QZS53" s="1"/>
      <c r="QZT53" s="1"/>
      <c r="QZU53" s="1"/>
      <c r="QZV53" s="1"/>
      <c r="QZW53" s="1"/>
      <c r="QZX53" s="1"/>
      <c r="QZY53" s="1"/>
      <c r="QZZ53" s="1"/>
      <c r="RAA53" s="1"/>
      <c r="RAB53" s="1"/>
      <c r="RAC53" s="1"/>
      <c r="RAD53" s="1"/>
      <c r="RAE53" s="1"/>
      <c r="RAF53" s="1"/>
      <c r="RAG53" s="1"/>
      <c r="RAH53" s="1"/>
      <c r="RAI53" s="1"/>
      <c r="RAJ53" s="1"/>
      <c r="RAK53" s="1"/>
      <c r="RAL53" s="1"/>
      <c r="RAM53" s="1"/>
      <c r="RAN53" s="1"/>
      <c r="RAO53" s="1"/>
      <c r="RAP53" s="1"/>
      <c r="RAQ53" s="1"/>
      <c r="RAR53" s="1"/>
      <c r="RAS53" s="1"/>
      <c r="RAT53" s="1"/>
      <c r="RAU53" s="1"/>
      <c r="RAV53" s="1"/>
      <c r="RAW53" s="1"/>
      <c r="RAX53" s="1"/>
      <c r="RAY53" s="1"/>
      <c r="RAZ53" s="1"/>
      <c r="RBA53" s="1"/>
      <c r="RBB53" s="1"/>
      <c r="RBC53" s="1"/>
      <c r="RBD53" s="1"/>
      <c r="RBE53" s="1"/>
      <c r="RBF53" s="1"/>
      <c r="RBG53" s="1"/>
      <c r="RBH53" s="1"/>
      <c r="RBI53" s="1"/>
      <c r="RBJ53" s="1"/>
      <c r="RBK53" s="1"/>
      <c r="RBL53" s="1"/>
      <c r="RBM53" s="1"/>
      <c r="RBN53" s="1"/>
      <c r="RBO53" s="1"/>
      <c r="RBP53" s="1"/>
      <c r="RBQ53" s="1"/>
      <c r="RBR53" s="1"/>
      <c r="RBS53" s="1"/>
      <c r="RBT53" s="1"/>
      <c r="RBU53" s="1"/>
      <c r="RBV53" s="1"/>
      <c r="RBW53" s="1"/>
      <c r="RBX53" s="1"/>
      <c r="RBY53" s="1"/>
      <c r="RBZ53" s="1"/>
      <c r="RCA53" s="1"/>
      <c r="RCB53" s="1"/>
      <c r="RCC53" s="1"/>
      <c r="RCD53" s="1"/>
      <c r="RCE53" s="1"/>
      <c r="RCF53" s="1"/>
      <c r="RCG53" s="1"/>
      <c r="RCH53" s="1"/>
      <c r="RCI53" s="1"/>
      <c r="RCJ53" s="1"/>
      <c r="RCK53" s="1"/>
      <c r="RCL53" s="1"/>
      <c r="RCM53" s="1"/>
      <c r="RCN53" s="1"/>
      <c r="RCO53" s="1"/>
      <c r="RCP53" s="1"/>
      <c r="RCQ53" s="1"/>
      <c r="RCR53" s="1"/>
      <c r="RCS53" s="1"/>
      <c r="RCT53" s="1"/>
      <c r="RCU53" s="1"/>
      <c r="RCV53" s="1"/>
      <c r="RCW53" s="1"/>
      <c r="RCX53" s="1"/>
      <c r="RCY53" s="1"/>
      <c r="RCZ53" s="1"/>
      <c r="RDA53" s="1"/>
      <c r="RDB53" s="1"/>
      <c r="RDC53" s="1"/>
      <c r="RDD53" s="1"/>
      <c r="RDE53" s="1"/>
      <c r="RDF53" s="1"/>
      <c r="RDG53" s="1"/>
      <c r="RDH53" s="1"/>
      <c r="RDI53" s="1"/>
      <c r="RDJ53" s="1"/>
      <c r="RDK53" s="1"/>
      <c r="RDL53" s="1"/>
      <c r="RDM53" s="1"/>
      <c r="RDN53" s="1"/>
      <c r="RDO53" s="1"/>
      <c r="RDP53" s="1"/>
      <c r="RDQ53" s="1"/>
      <c r="RDR53" s="1"/>
      <c r="RDS53" s="1"/>
      <c r="RDT53" s="1"/>
      <c r="RDU53" s="1"/>
      <c r="RDV53" s="1"/>
      <c r="RDW53" s="1"/>
      <c r="RDX53" s="1"/>
      <c r="RDY53" s="1"/>
      <c r="RDZ53" s="1"/>
      <c r="REA53" s="1"/>
      <c r="REB53" s="1"/>
      <c r="REC53" s="1"/>
      <c r="RED53" s="1"/>
      <c r="REE53" s="1"/>
      <c r="REF53" s="1"/>
      <c r="REG53" s="1"/>
      <c r="REH53" s="1"/>
      <c r="REI53" s="1"/>
      <c r="REJ53" s="1"/>
      <c r="REK53" s="1"/>
      <c r="REL53" s="1"/>
      <c r="REM53" s="1"/>
      <c r="REN53" s="1"/>
      <c r="REO53" s="1"/>
      <c r="REP53" s="1"/>
      <c r="REQ53" s="1"/>
      <c r="RER53" s="1"/>
      <c r="RES53" s="1"/>
      <c r="RET53" s="1"/>
      <c r="REU53" s="1"/>
      <c r="REV53" s="1"/>
      <c r="REW53" s="1"/>
      <c r="REX53" s="1"/>
      <c r="REY53" s="1"/>
      <c r="REZ53" s="1"/>
      <c r="RFA53" s="1"/>
      <c r="RFB53" s="1"/>
      <c r="RFC53" s="1"/>
      <c r="RFD53" s="1"/>
      <c r="RFE53" s="1"/>
      <c r="RFF53" s="1"/>
      <c r="RFG53" s="1"/>
      <c r="RFH53" s="1"/>
      <c r="RFI53" s="1"/>
      <c r="RFJ53" s="1"/>
      <c r="RFK53" s="1"/>
      <c r="RFL53" s="1"/>
      <c r="RFM53" s="1"/>
      <c r="RFN53" s="1"/>
      <c r="RFO53" s="1"/>
      <c r="RFP53" s="1"/>
      <c r="RFQ53" s="1"/>
      <c r="RFR53" s="1"/>
      <c r="RFS53" s="1"/>
      <c r="RFT53" s="1"/>
      <c r="RFU53" s="1"/>
      <c r="RFV53" s="1"/>
      <c r="RFW53" s="1"/>
      <c r="RFX53" s="1"/>
      <c r="RFY53" s="1"/>
      <c r="RFZ53" s="1"/>
      <c r="RGA53" s="1"/>
      <c r="RGB53" s="1"/>
      <c r="RGC53" s="1"/>
      <c r="RGD53" s="1"/>
      <c r="RGE53" s="1"/>
      <c r="RGF53" s="1"/>
      <c r="RGG53" s="1"/>
      <c r="RGH53" s="1"/>
      <c r="RGI53" s="1"/>
      <c r="RGJ53" s="1"/>
      <c r="RGK53" s="1"/>
      <c r="RGL53" s="1"/>
      <c r="RGM53" s="1"/>
      <c r="RGN53" s="1"/>
      <c r="RGO53" s="1"/>
      <c r="RGP53" s="1"/>
      <c r="RGQ53" s="1"/>
      <c r="RGR53" s="1"/>
      <c r="RGS53" s="1"/>
      <c r="RGT53" s="1"/>
      <c r="RGU53" s="1"/>
      <c r="RGV53" s="1"/>
      <c r="RGW53" s="1"/>
      <c r="RGX53" s="1"/>
      <c r="RGY53" s="1"/>
      <c r="RGZ53" s="1"/>
      <c r="RHA53" s="1"/>
      <c r="RHB53" s="1"/>
      <c r="RHC53" s="1"/>
      <c r="RHD53" s="1"/>
      <c r="RHE53" s="1"/>
      <c r="RHF53" s="1"/>
      <c r="RHG53" s="1"/>
      <c r="RHH53" s="1"/>
      <c r="RHI53" s="1"/>
      <c r="RHJ53" s="1"/>
      <c r="RHK53" s="1"/>
      <c r="RHL53" s="1"/>
      <c r="RHM53" s="1"/>
      <c r="RHN53" s="1"/>
      <c r="RHO53" s="1"/>
      <c r="RHP53" s="1"/>
      <c r="RHQ53" s="1"/>
      <c r="RHR53" s="1"/>
      <c r="RHS53" s="1"/>
      <c r="RHT53" s="1"/>
      <c r="RHU53" s="1"/>
      <c r="RHV53" s="1"/>
      <c r="RHW53" s="1"/>
      <c r="RHX53" s="1"/>
      <c r="RHY53" s="1"/>
      <c r="RHZ53" s="1"/>
      <c r="RIA53" s="1"/>
      <c r="RIB53" s="1"/>
      <c r="RIC53" s="1"/>
      <c r="RID53" s="1"/>
      <c r="RIE53" s="1"/>
      <c r="RIF53" s="1"/>
      <c r="RIG53" s="1"/>
      <c r="RIH53" s="1"/>
      <c r="RII53" s="1"/>
      <c r="RIJ53" s="1"/>
      <c r="RIK53" s="1"/>
      <c r="RIL53" s="1"/>
      <c r="RIM53" s="1"/>
      <c r="RIN53" s="1"/>
      <c r="RIO53" s="1"/>
      <c r="RIP53" s="1"/>
      <c r="RIQ53" s="1"/>
      <c r="RIR53" s="1"/>
      <c r="RIS53" s="1"/>
      <c r="RIT53" s="1"/>
      <c r="RIU53" s="1"/>
      <c r="RIV53" s="1"/>
      <c r="RIW53" s="1"/>
      <c r="RIX53" s="1"/>
      <c r="RIY53" s="1"/>
      <c r="RIZ53" s="1"/>
      <c r="RJA53" s="1"/>
      <c r="RJB53" s="1"/>
      <c r="RJC53" s="1"/>
      <c r="RJD53" s="1"/>
      <c r="RJE53" s="1"/>
      <c r="RJF53" s="1"/>
      <c r="RJG53" s="1"/>
      <c r="RJH53" s="1"/>
      <c r="RJI53" s="1"/>
      <c r="RJJ53" s="1"/>
      <c r="RJK53" s="1"/>
      <c r="RJL53" s="1"/>
      <c r="RJM53" s="1"/>
      <c r="RJN53" s="1"/>
      <c r="RJO53" s="1"/>
      <c r="RJP53" s="1"/>
      <c r="RJQ53" s="1"/>
      <c r="RJR53" s="1"/>
      <c r="RJS53" s="1"/>
      <c r="RJT53" s="1"/>
      <c r="RJU53" s="1"/>
      <c r="RJV53" s="1"/>
      <c r="RJW53" s="1"/>
      <c r="RJX53" s="1"/>
      <c r="RJY53" s="1"/>
      <c r="RJZ53" s="1"/>
      <c r="RKA53" s="1"/>
      <c r="RKB53" s="1"/>
      <c r="RKC53" s="1"/>
      <c r="RKD53" s="1"/>
      <c r="RKE53" s="1"/>
      <c r="RKF53" s="1"/>
      <c r="RKG53" s="1"/>
      <c r="RKH53" s="1"/>
      <c r="RKI53" s="1"/>
      <c r="RKJ53" s="1"/>
      <c r="RKK53" s="1"/>
      <c r="RKL53" s="1"/>
      <c r="RKM53" s="1"/>
      <c r="RKN53" s="1"/>
      <c r="RKO53" s="1"/>
      <c r="RKP53" s="1"/>
      <c r="RKQ53" s="1"/>
      <c r="RKR53" s="1"/>
      <c r="RKS53" s="1"/>
      <c r="RKT53" s="1"/>
      <c r="RKU53" s="1"/>
      <c r="RKV53" s="1"/>
      <c r="RKW53" s="1"/>
      <c r="RKX53" s="1"/>
      <c r="RKY53" s="1"/>
      <c r="RKZ53" s="1"/>
      <c r="RLA53" s="1"/>
      <c r="RLB53" s="1"/>
      <c r="RLC53" s="1"/>
      <c r="RLD53" s="1"/>
      <c r="RLE53" s="1"/>
      <c r="RLF53" s="1"/>
      <c r="RLG53" s="1"/>
      <c r="RLH53" s="1"/>
      <c r="RLI53" s="1"/>
      <c r="RLJ53" s="1"/>
      <c r="RLK53" s="1"/>
      <c r="RLL53" s="1"/>
      <c r="RLM53" s="1"/>
      <c r="RLN53" s="1"/>
      <c r="RLO53" s="1"/>
      <c r="RLP53" s="1"/>
      <c r="RLQ53" s="1"/>
      <c r="RLR53" s="1"/>
      <c r="RLS53" s="1"/>
      <c r="RLT53" s="1"/>
      <c r="RLU53" s="1"/>
      <c r="RLV53" s="1"/>
      <c r="RLW53" s="1"/>
      <c r="RLX53" s="1"/>
      <c r="RLY53" s="1"/>
      <c r="RLZ53" s="1"/>
      <c r="RMA53" s="1"/>
      <c r="RMB53" s="1"/>
      <c r="RMC53" s="1"/>
      <c r="RMD53" s="1"/>
      <c r="RME53" s="1"/>
      <c r="RMF53" s="1"/>
      <c r="RMG53" s="1"/>
      <c r="RMH53" s="1"/>
      <c r="RMI53" s="1"/>
      <c r="RMJ53" s="1"/>
      <c r="RMK53" s="1"/>
      <c r="RML53" s="1"/>
      <c r="RMM53" s="1"/>
      <c r="RMN53" s="1"/>
      <c r="RMO53" s="1"/>
      <c r="RMP53" s="1"/>
      <c r="RMQ53" s="1"/>
      <c r="RMR53" s="1"/>
      <c r="RMS53" s="1"/>
      <c r="RMT53" s="1"/>
      <c r="RMU53" s="1"/>
      <c r="RMV53" s="1"/>
      <c r="RMW53" s="1"/>
      <c r="RMX53" s="1"/>
      <c r="RMY53" s="1"/>
      <c r="RMZ53" s="1"/>
      <c r="RNA53" s="1"/>
      <c r="RNB53" s="1"/>
      <c r="RNC53" s="1"/>
      <c r="RND53" s="1"/>
      <c r="RNE53" s="1"/>
      <c r="RNF53" s="1"/>
      <c r="RNG53" s="1"/>
      <c r="RNH53" s="1"/>
      <c r="RNI53" s="1"/>
      <c r="RNJ53" s="1"/>
      <c r="RNK53" s="1"/>
      <c r="RNL53" s="1"/>
      <c r="RNM53" s="1"/>
      <c r="RNN53" s="1"/>
      <c r="RNO53" s="1"/>
      <c r="RNP53" s="1"/>
      <c r="RNQ53" s="1"/>
      <c r="RNR53" s="1"/>
      <c r="RNS53" s="1"/>
      <c r="RNT53" s="1"/>
      <c r="RNU53" s="1"/>
      <c r="RNV53" s="1"/>
      <c r="RNW53" s="1"/>
      <c r="RNX53" s="1"/>
      <c r="RNY53" s="1"/>
      <c r="RNZ53" s="1"/>
      <c r="ROA53" s="1"/>
      <c r="ROB53" s="1"/>
      <c r="ROC53" s="1"/>
      <c r="ROD53" s="1"/>
      <c r="ROE53" s="1"/>
      <c r="ROF53" s="1"/>
      <c r="ROG53" s="1"/>
      <c r="ROH53" s="1"/>
      <c r="ROI53" s="1"/>
      <c r="ROJ53" s="1"/>
      <c r="ROK53" s="1"/>
      <c r="ROL53" s="1"/>
      <c r="ROM53" s="1"/>
      <c r="RON53" s="1"/>
      <c r="ROO53" s="1"/>
      <c r="ROP53" s="1"/>
      <c r="ROQ53" s="1"/>
      <c r="ROR53" s="1"/>
      <c r="ROS53" s="1"/>
      <c r="ROT53" s="1"/>
      <c r="ROU53" s="1"/>
      <c r="ROV53" s="1"/>
      <c r="ROW53" s="1"/>
      <c r="ROX53" s="1"/>
      <c r="ROY53" s="1"/>
      <c r="ROZ53" s="1"/>
      <c r="RPA53" s="1"/>
      <c r="RPB53" s="1"/>
      <c r="RPC53" s="1"/>
      <c r="RPD53" s="1"/>
      <c r="RPE53" s="1"/>
      <c r="RPF53" s="1"/>
      <c r="RPG53" s="1"/>
      <c r="RPH53" s="1"/>
      <c r="RPI53" s="1"/>
      <c r="RPJ53" s="1"/>
      <c r="RPK53" s="1"/>
      <c r="RPL53" s="1"/>
      <c r="RPM53" s="1"/>
      <c r="RPN53" s="1"/>
      <c r="RPO53" s="1"/>
      <c r="RPP53" s="1"/>
      <c r="RPQ53" s="1"/>
      <c r="RPR53" s="1"/>
      <c r="RPS53" s="1"/>
      <c r="RPT53" s="1"/>
      <c r="RPU53" s="1"/>
      <c r="RPV53" s="1"/>
      <c r="RPW53" s="1"/>
      <c r="RPX53" s="1"/>
      <c r="RPY53" s="1"/>
      <c r="RPZ53" s="1"/>
      <c r="RQA53" s="1"/>
      <c r="RQB53" s="1"/>
      <c r="RQC53" s="1"/>
      <c r="RQD53" s="1"/>
      <c r="RQE53" s="1"/>
      <c r="RQF53" s="1"/>
      <c r="RQG53" s="1"/>
      <c r="RQH53" s="1"/>
      <c r="RQI53" s="1"/>
      <c r="RQJ53" s="1"/>
      <c r="RQK53" s="1"/>
      <c r="RQL53" s="1"/>
      <c r="RQM53" s="1"/>
      <c r="RQN53" s="1"/>
      <c r="RQO53" s="1"/>
      <c r="RQP53" s="1"/>
      <c r="RQQ53" s="1"/>
      <c r="RQR53" s="1"/>
      <c r="RQS53" s="1"/>
      <c r="RQT53" s="1"/>
      <c r="RQU53" s="1"/>
      <c r="RQV53" s="1"/>
      <c r="RQW53" s="1"/>
      <c r="RQX53" s="1"/>
      <c r="RQY53" s="1"/>
      <c r="RQZ53" s="1"/>
      <c r="RRA53" s="1"/>
      <c r="RRB53" s="1"/>
      <c r="RRC53" s="1"/>
      <c r="RRD53" s="1"/>
      <c r="RRE53" s="1"/>
      <c r="RRF53" s="1"/>
      <c r="RRG53" s="1"/>
      <c r="RRH53" s="1"/>
      <c r="RRI53" s="1"/>
      <c r="RRJ53" s="1"/>
      <c r="RRK53" s="1"/>
      <c r="RRL53" s="1"/>
      <c r="RRM53" s="1"/>
      <c r="RRN53" s="1"/>
      <c r="RRO53" s="1"/>
      <c r="RRP53" s="1"/>
      <c r="RRQ53" s="1"/>
      <c r="RRR53" s="1"/>
      <c r="RRS53" s="1"/>
      <c r="RRT53" s="1"/>
      <c r="RRU53" s="1"/>
      <c r="RRV53" s="1"/>
      <c r="RRW53" s="1"/>
      <c r="RRX53" s="1"/>
      <c r="RRY53" s="1"/>
      <c r="RRZ53" s="1"/>
      <c r="RSA53" s="1"/>
      <c r="RSB53" s="1"/>
      <c r="RSC53" s="1"/>
      <c r="RSD53" s="1"/>
      <c r="RSE53" s="1"/>
      <c r="RSF53" s="1"/>
      <c r="RSG53" s="1"/>
      <c r="RSH53" s="1"/>
      <c r="RSI53" s="1"/>
      <c r="RSJ53" s="1"/>
      <c r="RSK53" s="1"/>
      <c r="RSL53" s="1"/>
      <c r="RSM53" s="1"/>
      <c r="RSN53" s="1"/>
      <c r="RSO53" s="1"/>
      <c r="RSP53" s="1"/>
      <c r="RSQ53" s="1"/>
      <c r="RSR53" s="1"/>
      <c r="RSS53" s="1"/>
      <c r="RST53" s="1"/>
      <c r="RSU53" s="1"/>
      <c r="RSV53" s="1"/>
      <c r="RSW53" s="1"/>
      <c r="RSX53" s="1"/>
      <c r="RSY53" s="1"/>
      <c r="RSZ53" s="1"/>
      <c r="RTA53" s="1"/>
      <c r="RTB53" s="1"/>
      <c r="RTC53" s="1"/>
      <c r="RTD53" s="1"/>
      <c r="RTE53" s="1"/>
      <c r="RTF53" s="1"/>
      <c r="RTG53" s="1"/>
      <c r="RTH53" s="1"/>
      <c r="RTI53" s="1"/>
      <c r="RTJ53" s="1"/>
      <c r="RTK53" s="1"/>
      <c r="RTL53" s="1"/>
      <c r="RTM53" s="1"/>
      <c r="RTN53" s="1"/>
      <c r="RTO53" s="1"/>
      <c r="RTP53" s="1"/>
      <c r="RTQ53" s="1"/>
      <c r="RTR53" s="1"/>
      <c r="RTS53" s="1"/>
      <c r="RTT53" s="1"/>
      <c r="RTU53" s="1"/>
      <c r="RTV53" s="1"/>
      <c r="RTW53" s="1"/>
      <c r="RTX53" s="1"/>
      <c r="RTY53" s="1"/>
      <c r="RTZ53" s="1"/>
      <c r="RUA53" s="1"/>
      <c r="RUB53" s="1"/>
      <c r="RUC53" s="1"/>
      <c r="RUD53" s="1"/>
      <c r="RUE53" s="1"/>
      <c r="RUF53" s="1"/>
      <c r="RUG53" s="1"/>
      <c r="RUH53" s="1"/>
      <c r="RUI53" s="1"/>
      <c r="RUJ53" s="1"/>
      <c r="RUK53" s="1"/>
      <c r="RUL53" s="1"/>
      <c r="RUM53" s="1"/>
      <c r="RUN53" s="1"/>
      <c r="RUO53" s="1"/>
      <c r="RUP53" s="1"/>
      <c r="RUQ53" s="1"/>
      <c r="RUR53" s="1"/>
      <c r="RUS53" s="1"/>
      <c r="RUT53" s="1"/>
      <c r="RUU53" s="1"/>
      <c r="RUV53" s="1"/>
      <c r="RUW53" s="1"/>
      <c r="RUX53" s="1"/>
      <c r="RUY53" s="1"/>
      <c r="RUZ53" s="1"/>
      <c r="RVA53" s="1"/>
      <c r="RVB53" s="1"/>
      <c r="RVC53" s="1"/>
      <c r="RVD53" s="1"/>
      <c r="RVE53" s="1"/>
      <c r="RVF53" s="1"/>
      <c r="RVG53" s="1"/>
      <c r="RVH53" s="1"/>
      <c r="RVI53" s="1"/>
      <c r="RVJ53" s="1"/>
      <c r="RVK53" s="1"/>
      <c r="RVL53" s="1"/>
      <c r="RVM53" s="1"/>
      <c r="RVN53" s="1"/>
      <c r="RVO53" s="1"/>
      <c r="RVP53" s="1"/>
      <c r="RVQ53" s="1"/>
      <c r="RVR53" s="1"/>
      <c r="RVS53" s="1"/>
      <c r="RVT53" s="1"/>
      <c r="RVU53" s="1"/>
      <c r="RVV53" s="1"/>
      <c r="RVW53" s="1"/>
      <c r="RVX53" s="1"/>
      <c r="RVY53" s="1"/>
      <c r="RVZ53" s="1"/>
      <c r="RWA53" s="1"/>
      <c r="RWB53" s="1"/>
      <c r="RWC53" s="1"/>
      <c r="RWD53" s="1"/>
      <c r="RWE53" s="1"/>
      <c r="RWF53" s="1"/>
      <c r="RWG53" s="1"/>
      <c r="RWH53" s="1"/>
      <c r="RWI53" s="1"/>
      <c r="RWJ53" s="1"/>
      <c r="RWK53" s="1"/>
      <c r="RWL53" s="1"/>
      <c r="RWM53" s="1"/>
      <c r="RWN53" s="1"/>
      <c r="RWO53" s="1"/>
      <c r="RWP53" s="1"/>
      <c r="RWQ53" s="1"/>
      <c r="RWR53" s="1"/>
      <c r="RWS53" s="1"/>
      <c r="RWT53" s="1"/>
      <c r="RWU53" s="1"/>
      <c r="RWV53" s="1"/>
      <c r="RWW53" s="1"/>
      <c r="RWX53" s="1"/>
      <c r="RWY53" s="1"/>
      <c r="RWZ53" s="1"/>
      <c r="RXA53" s="1"/>
      <c r="RXB53" s="1"/>
      <c r="RXC53" s="1"/>
      <c r="RXD53" s="1"/>
      <c r="RXE53" s="1"/>
      <c r="RXF53" s="1"/>
      <c r="RXG53" s="1"/>
      <c r="RXH53" s="1"/>
      <c r="RXI53" s="1"/>
      <c r="RXJ53" s="1"/>
      <c r="RXK53" s="1"/>
      <c r="RXL53" s="1"/>
      <c r="RXM53" s="1"/>
      <c r="RXN53" s="1"/>
      <c r="RXO53" s="1"/>
      <c r="RXP53" s="1"/>
      <c r="RXQ53" s="1"/>
      <c r="RXR53" s="1"/>
      <c r="RXS53" s="1"/>
      <c r="RXT53" s="1"/>
      <c r="RXU53" s="1"/>
      <c r="RXV53" s="1"/>
      <c r="RXW53" s="1"/>
      <c r="RXX53" s="1"/>
      <c r="RXY53" s="1"/>
      <c r="RXZ53" s="1"/>
      <c r="RYA53" s="1"/>
      <c r="RYB53" s="1"/>
      <c r="RYC53" s="1"/>
      <c r="RYD53" s="1"/>
      <c r="RYE53" s="1"/>
      <c r="RYF53" s="1"/>
      <c r="RYG53" s="1"/>
      <c r="RYH53" s="1"/>
      <c r="RYI53" s="1"/>
      <c r="RYJ53" s="1"/>
      <c r="RYK53" s="1"/>
      <c r="RYL53" s="1"/>
      <c r="RYM53" s="1"/>
      <c r="RYN53" s="1"/>
      <c r="RYO53" s="1"/>
      <c r="RYP53" s="1"/>
      <c r="RYQ53" s="1"/>
      <c r="RYR53" s="1"/>
      <c r="RYS53" s="1"/>
      <c r="RYT53" s="1"/>
      <c r="RYU53" s="1"/>
      <c r="RYV53" s="1"/>
      <c r="RYW53" s="1"/>
      <c r="RYX53" s="1"/>
      <c r="RYY53" s="1"/>
      <c r="RYZ53" s="1"/>
      <c r="RZA53" s="1"/>
      <c r="RZB53" s="1"/>
      <c r="RZC53" s="1"/>
      <c r="RZD53" s="1"/>
      <c r="RZE53" s="1"/>
      <c r="RZF53" s="1"/>
      <c r="RZG53" s="1"/>
      <c r="RZH53" s="1"/>
      <c r="RZI53" s="1"/>
      <c r="RZJ53" s="1"/>
      <c r="RZK53" s="1"/>
      <c r="RZL53" s="1"/>
      <c r="RZM53" s="1"/>
      <c r="RZN53" s="1"/>
      <c r="RZO53" s="1"/>
      <c r="RZP53" s="1"/>
      <c r="RZQ53" s="1"/>
      <c r="RZR53" s="1"/>
      <c r="RZS53" s="1"/>
      <c r="RZT53" s="1"/>
      <c r="RZU53" s="1"/>
      <c r="RZV53" s="1"/>
      <c r="RZW53" s="1"/>
      <c r="RZX53" s="1"/>
      <c r="RZY53" s="1"/>
      <c r="RZZ53" s="1"/>
      <c r="SAA53" s="1"/>
      <c r="SAB53" s="1"/>
      <c r="SAC53" s="1"/>
      <c r="SAD53" s="1"/>
      <c r="SAE53" s="1"/>
      <c r="SAF53" s="1"/>
      <c r="SAG53" s="1"/>
      <c r="SAH53" s="1"/>
      <c r="SAI53" s="1"/>
      <c r="SAJ53" s="1"/>
      <c r="SAK53" s="1"/>
      <c r="SAL53" s="1"/>
      <c r="SAM53" s="1"/>
      <c r="SAN53" s="1"/>
      <c r="SAO53" s="1"/>
      <c r="SAP53" s="1"/>
      <c r="SAQ53" s="1"/>
      <c r="SAR53" s="1"/>
      <c r="SAS53" s="1"/>
      <c r="SAT53" s="1"/>
      <c r="SAU53" s="1"/>
      <c r="SAV53" s="1"/>
      <c r="SAW53" s="1"/>
      <c r="SAX53" s="1"/>
      <c r="SAY53" s="1"/>
      <c r="SAZ53" s="1"/>
      <c r="SBA53" s="1"/>
      <c r="SBB53" s="1"/>
      <c r="SBC53" s="1"/>
      <c r="SBD53" s="1"/>
      <c r="SBE53" s="1"/>
      <c r="SBF53" s="1"/>
      <c r="SBG53" s="1"/>
      <c r="SBH53" s="1"/>
      <c r="SBI53" s="1"/>
      <c r="SBJ53" s="1"/>
      <c r="SBK53" s="1"/>
      <c r="SBL53" s="1"/>
      <c r="SBM53" s="1"/>
      <c r="SBN53" s="1"/>
      <c r="SBO53" s="1"/>
      <c r="SBP53" s="1"/>
      <c r="SBQ53" s="1"/>
      <c r="SBR53" s="1"/>
      <c r="SBS53" s="1"/>
      <c r="SBT53" s="1"/>
      <c r="SBU53" s="1"/>
      <c r="SBV53" s="1"/>
      <c r="SBW53" s="1"/>
      <c r="SBX53" s="1"/>
      <c r="SBY53" s="1"/>
      <c r="SBZ53" s="1"/>
      <c r="SCA53" s="1"/>
      <c r="SCB53" s="1"/>
      <c r="SCC53" s="1"/>
      <c r="SCD53" s="1"/>
      <c r="SCE53" s="1"/>
      <c r="SCF53" s="1"/>
      <c r="SCG53" s="1"/>
      <c r="SCH53" s="1"/>
      <c r="SCI53" s="1"/>
      <c r="SCJ53" s="1"/>
      <c r="SCK53" s="1"/>
      <c r="SCL53" s="1"/>
      <c r="SCM53" s="1"/>
      <c r="SCN53" s="1"/>
      <c r="SCO53" s="1"/>
      <c r="SCP53" s="1"/>
      <c r="SCQ53" s="1"/>
      <c r="SCR53" s="1"/>
      <c r="SCS53" s="1"/>
      <c r="SCT53" s="1"/>
      <c r="SCU53" s="1"/>
      <c r="SCV53" s="1"/>
      <c r="SCW53" s="1"/>
      <c r="SCX53" s="1"/>
      <c r="SCY53" s="1"/>
      <c r="SCZ53" s="1"/>
      <c r="SDA53" s="1"/>
      <c r="SDB53" s="1"/>
      <c r="SDC53" s="1"/>
      <c r="SDD53" s="1"/>
      <c r="SDE53" s="1"/>
      <c r="SDF53" s="1"/>
      <c r="SDG53" s="1"/>
      <c r="SDH53" s="1"/>
      <c r="SDI53" s="1"/>
      <c r="SDJ53" s="1"/>
      <c r="SDK53" s="1"/>
      <c r="SDL53" s="1"/>
      <c r="SDM53" s="1"/>
      <c r="SDN53" s="1"/>
      <c r="SDO53" s="1"/>
      <c r="SDP53" s="1"/>
      <c r="SDQ53" s="1"/>
      <c r="SDR53" s="1"/>
      <c r="SDS53" s="1"/>
      <c r="SDT53" s="1"/>
      <c r="SDU53" s="1"/>
      <c r="SDV53" s="1"/>
      <c r="SDW53" s="1"/>
      <c r="SDX53" s="1"/>
      <c r="SDY53" s="1"/>
      <c r="SDZ53" s="1"/>
      <c r="SEA53" s="1"/>
      <c r="SEB53" s="1"/>
      <c r="SEC53" s="1"/>
      <c r="SED53" s="1"/>
      <c r="SEE53" s="1"/>
      <c r="SEF53" s="1"/>
      <c r="SEG53" s="1"/>
      <c r="SEH53" s="1"/>
      <c r="SEI53" s="1"/>
      <c r="SEJ53" s="1"/>
      <c r="SEK53" s="1"/>
      <c r="SEL53" s="1"/>
      <c r="SEM53" s="1"/>
      <c r="SEN53" s="1"/>
      <c r="SEO53" s="1"/>
      <c r="SEP53" s="1"/>
      <c r="SEQ53" s="1"/>
      <c r="SER53" s="1"/>
      <c r="SES53" s="1"/>
      <c r="SET53" s="1"/>
      <c r="SEU53" s="1"/>
      <c r="SEV53" s="1"/>
      <c r="SEW53" s="1"/>
      <c r="SEX53" s="1"/>
      <c r="SEY53" s="1"/>
      <c r="SEZ53" s="1"/>
      <c r="SFA53" s="1"/>
      <c r="SFB53" s="1"/>
      <c r="SFC53" s="1"/>
      <c r="SFD53" s="1"/>
      <c r="SFE53" s="1"/>
      <c r="SFF53" s="1"/>
      <c r="SFG53" s="1"/>
      <c r="SFH53" s="1"/>
      <c r="SFI53" s="1"/>
      <c r="SFJ53" s="1"/>
      <c r="SFK53" s="1"/>
      <c r="SFL53" s="1"/>
      <c r="SFM53" s="1"/>
      <c r="SFN53" s="1"/>
      <c r="SFO53" s="1"/>
      <c r="SFP53" s="1"/>
      <c r="SFQ53" s="1"/>
      <c r="SFR53" s="1"/>
      <c r="SFS53" s="1"/>
      <c r="SFT53" s="1"/>
      <c r="SFU53" s="1"/>
      <c r="SFV53" s="1"/>
      <c r="SFW53" s="1"/>
      <c r="SFX53" s="1"/>
      <c r="SFY53" s="1"/>
      <c r="SFZ53" s="1"/>
      <c r="SGA53" s="1"/>
      <c r="SGB53" s="1"/>
      <c r="SGC53" s="1"/>
      <c r="SGD53" s="1"/>
      <c r="SGE53" s="1"/>
      <c r="SGF53" s="1"/>
      <c r="SGG53" s="1"/>
      <c r="SGH53" s="1"/>
      <c r="SGI53" s="1"/>
      <c r="SGJ53" s="1"/>
      <c r="SGK53" s="1"/>
      <c r="SGL53" s="1"/>
      <c r="SGM53" s="1"/>
      <c r="SGN53" s="1"/>
      <c r="SGO53" s="1"/>
      <c r="SGP53" s="1"/>
      <c r="SGQ53" s="1"/>
      <c r="SGR53" s="1"/>
      <c r="SGS53" s="1"/>
      <c r="SGT53" s="1"/>
      <c r="SGU53" s="1"/>
      <c r="SGV53" s="1"/>
      <c r="SGW53" s="1"/>
      <c r="SGX53" s="1"/>
      <c r="SGY53" s="1"/>
      <c r="SGZ53" s="1"/>
      <c r="SHA53" s="1"/>
      <c r="SHB53" s="1"/>
      <c r="SHC53" s="1"/>
      <c r="SHD53" s="1"/>
      <c r="SHE53" s="1"/>
      <c r="SHF53" s="1"/>
      <c r="SHG53" s="1"/>
      <c r="SHH53" s="1"/>
      <c r="SHI53" s="1"/>
      <c r="SHJ53" s="1"/>
      <c r="SHK53" s="1"/>
      <c r="SHL53" s="1"/>
      <c r="SHM53" s="1"/>
      <c r="SHN53" s="1"/>
      <c r="SHO53" s="1"/>
      <c r="SHP53" s="1"/>
      <c r="SHQ53" s="1"/>
      <c r="SHR53" s="1"/>
      <c r="SHS53" s="1"/>
      <c r="SHT53" s="1"/>
      <c r="SHU53" s="1"/>
      <c r="SHV53" s="1"/>
      <c r="SHW53" s="1"/>
      <c r="SHX53" s="1"/>
      <c r="SHY53" s="1"/>
      <c r="SHZ53" s="1"/>
      <c r="SIA53" s="1"/>
      <c r="SIB53" s="1"/>
      <c r="SIC53" s="1"/>
      <c r="SID53" s="1"/>
      <c r="SIE53" s="1"/>
      <c r="SIF53" s="1"/>
      <c r="SIG53" s="1"/>
      <c r="SIH53" s="1"/>
      <c r="SII53" s="1"/>
      <c r="SIJ53" s="1"/>
      <c r="SIK53" s="1"/>
      <c r="SIL53" s="1"/>
      <c r="SIM53" s="1"/>
      <c r="SIN53" s="1"/>
      <c r="SIO53" s="1"/>
      <c r="SIP53" s="1"/>
      <c r="SIQ53" s="1"/>
      <c r="SIR53" s="1"/>
      <c r="SIS53" s="1"/>
      <c r="SIT53" s="1"/>
      <c r="SIU53" s="1"/>
      <c r="SIV53" s="1"/>
      <c r="SIW53" s="1"/>
      <c r="SIX53" s="1"/>
      <c r="SIY53" s="1"/>
      <c r="SIZ53" s="1"/>
      <c r="SJA53" s="1"/>
      <c r="SJB53" s="1"/>
      <c r="SJC53" s="1"/>
      <c r="SJD53" s="1"/>
      <c r="SJE53" s="1"/>
      <c r="SJF53" s="1"/>
      <c r="SJG53" s="1"/>
      <c r="SJH53" s="1"/>
      <c r="SJI53" s="1"/>
      <c r="SJJ53" s="1"/>
      <c r="SJK53" s="1"/>
      <c r="SJL53" s="1"/>
      <c r="SJM53" s="1"/>
      <c r="SJN53" s="1"/>
      <c r="SJO53" s="1"/>
      <c r="SJP53" s="1"/>
      <c r="SJQ53" s="1"/>
      <c r="SJR53" s="1"/>
      <c r="SJS53" s="1"/>
      <c r="SJT53" s="1"/>
      <c r="SJU53" s="1"/>
      <c r="SJV53" s="1"/>
      <c r="SJW53" s="1"/>
      <c r="SJX53" s="1"/>
      <c r="SJY53" s="1"/>
      <c r="SJZ53" s="1"/>
      <c r="SKA53" s="1"/>
      <c r="SKB53" s="1"/>
      <c r="SKC53" s="1"/>
      <c r="SKD53" s="1"/>
      <c r="SKE53" s="1"/>
      <c r="SKF53" s="1"/>
      <c r="SKG53" s="1"/>
      <c r="SKH53" s="1"/>
      <c r="SKI53" s="1"/>
      <c r="SKJ53" s="1"/>
      <c r="SKK53" s="1"/>
      <c r="SKL53" s="1"/>
      <c r="SKM53" s="1"/>
      <c r="SKN53" s="1"/>
      <c r="SKO53" s="1"/>
      <c r="SKP53" s="1"/>
      <c r="SKQ53" s="1"/>
      <c r="SKR53" s="1"/>
      <c r="SKS53" s="1"/>
      <c r="SKT53" s="1"/>
      <c r="SKU53" s="1"/>
      <c r="SKV53" s="1"/>
      <c r="SKW53" s="1"/>
      <c r="SKX53" s="1"/>
      <c r="SKY53" s="1"/>
      <c r="SKZ53" s="1"/>
      <c r="SLA53" s="1"/>
      <c r="SLB53" s="1"/>
      <c r="SLC53" s="1"/>
      <c r="SLD53" s="1"/>
      <c r="SLE53" s="1"/>
      <c r="SLF53" s="1"/>
      <c r="SLG53" s="1"/>
      <c r="SLH53" s="1"/>
      <c r="SLI53" s="1"/>
      <c r="SLJ53" s="1"/>
      <c r="SLK53" s="1"/>
      <c r="SLL53" s="1"/>
      <c r="SLM53" s="1"/>
      <c r="SLN53" s="1"/>
      <c r="SLO53" s="1"/>
      <c r="SLP53" s="1"/>
      <c r="SLQ53" s="1"/>
      <c r="SLR53" s="1"/>
      <c r="SLS53" s="1"/>
      <c r="SLT53" s="1"/>
      <c r="SLU53" s="1"/>
      <c r="SLV53" s="1"/>
      <c r="SLW53" s="1"/>
      <c r="SLX53" s="1"/>
      <c r="SLY53" s="1"/>
      <c r="SLZ53" s="1"/>
      <c r="SMA53" s="1"/>
      <c r="SMB53" s="1"/>
      <c r="SMC53" s="1"/>
      <c r="SMD53" s="1"/>
      <c r="SME53" s="1"/>
      <c r="SMF53" s="1"/>
      <c r="SMG53" s="1"/>
      <c r="SMH53" s="1"/>
      <c r="SMI53" s="1"/>
      <c r="SMJ53" s="1"/>
      <c r="SMK53" s="1"/>
      <c r="SML53" s="1"/>
      <c r="SMM53" s="1"/>
      <c r="SMN53" s="1"/>
      <c r="SMO53" s="1"/>
      <c r="SMP53" s="1"/>
      <c r="SMQ53" s="1"/>
      <c r="SMR53" s="1"/>
      <c r="SMS53" s="1"/>
      <c r="SMT53" s="1"/>
      <c r="SMU53" s="1"/>
      <c r="SMV53" s="1"/>
      <c r="SMW53" s="1"/>
      <c r="SMX53" s="1"/>
      <c r="SMY53" s="1"/>
      <c r="SMZ53" s="1"/>
      <c r="SNA53" s="1"/>
      <c r="SNB53" s="1"/>
      <c r="SNC53" s="1"/>
      <c r="SND53" s="1"/>
      <c r="SNE53" s="1"/>
      <c r="SNF53" s="1"/>
      <c r="SNG53" s="1"/>
      <c r="SNH53" s="1"/>
      <c r="SNI53" s="1"/>
      <c r="SNJ53" s="1"/>
      <c r="SNK53" s="1"/>
      <c r="SNL53" s="1"/>
      <c r="SNM53" s="1"/>
      <c r="SNN53" s="1"/>
      <c r="SNO53" s="1"/>
      <c r="SNP53" s="1"/>
      <c r="SNQ53" s="1"/>
      <c r="SNR53" s="1"/>
      <c r="SNS53" s="1"/>
      <c r="SNT53" s="1"/>
      <c r="SNU53" s="1"/>
      <c r="SNV53" s="1"/>
      <c r="SNW53" s="1"/>
      <c r="SNX53" s="1"/>
      <c r="SNY53" s="1"/>
      <c r="SNZ53" s="1"/>
      <c r="SOA53" s="1"/>
      <c r="SOB53" s="1"/>
      <c r="SOC53" s="1"/>
      <c r="SOD53" s="1"/>
      <c r="SOE53" s="1"/>
      <c r="SOF53" s="1"/>
      <c r="SOG53" s="1"/>
      <c r="SOH53" s="1"/>
      <c r="SOI53" s="1"/>
      <c r="SOJ53" s="1"/>
      <c r="SOK53" s="1"/>
      <c r="SOL53" s="1"/>
      <c r="SOM53" s="1"/>
      <c r="SON53" s="1"/>
      <c r="SOO53" s="1"/>
      <c r="SOP53" s="1"/>
      <c r="SOQ53" s="1"/>
      <c r="SOR53" s="1"/>
      <c r="SOS53" s="1"/>
      <c r="SOT53" s="1"/>
      <c r="SOU53" s="1"/>
      <c r="SOV53" s="1"/>
      <c r="SOW53" s="1"/>
      <c r="SOX53" s="1"/>
      <c r="SOY53" s="1"/>
      <c r="SOZ53" s="1"/>
      <c r="SPA53" s="1"/>
      <c r="SPB53" s="1"/>
      <c r="SPC53" s="1"/>
      <c r="SPD53" s="1"/>
      <c r="SPE53" s="1"/>
      <c r="SPF53" s="1"/>
      <c r="SPG53" s="1"/>
      <c r="SPH53" s="1"/>
      <c r="SPI53" s="1"/>
      <c r="SPJ53" s="1"/>
      <c r="SPK53" s="1"/>
      <c r="SPL53" s="1"/>
      <c r="SPM53" s="1"/>
      <c r="SPN53" s="1"/>
      <c r="SPO53" s="1"/>
      <c r="SPP53" s="1"/>
      <c r="SPQ53" s="1"/>
      <c r="SPR53" s="1"/>
      <c r="SPS53" s="1"/>
      <c r="SPT53" s="1"/>
      <c r="SPU53" s="1"/>
      <c r="SPV53" s="1"/>
      <c r="SPW53" s="1"/>
      <c r="SPX53" s="1"/>
      <c r="SPY53" s="1"/>
      <c r="SPZ53" s="1"/>
      <c r="SQA53" s="1"/>
      <c r="SQB53" s="1"/>
      <c r="SQC53" s="1"/>
      <c r="SQD53" s="1"/>
      <c r="SQE53" s="1"/>
      <c r="SQF53" s="1"/>
      <c r="SQG53" s="1"/>
      <c r="SQH53" s="1"/>
      <c r="SQI53" s="1"/>
      <c r="SQJ53" s="1"/>
      <c r="SQK53" s="1"/>
      <c r="SQL53" s="1"/>
      <c r="SQM53" s="1"/>
      <c r="SQN53" s="1"/>
      <c r="SQO53" s="1"/>
      <c r="SQP53" s="1"/>
      <c r="SQQ53" s="1"/>
      <c r="SQR53" s="1"/>
      <c r="SQS53" s="1"/>
      <c r="SQT53" s="1"/>
      <c r="SQU53" s="1"/>
      <c r="SQV53" s="1"/>
      <c r="SQW53" s="1"/>
      <c r="SQX53" s="1"/>
      <c r="SQY53" s="1"/>
      <c r="SQZ53" s="1"/>
      <c r="SRA53" s="1"/>
      <c r="SRB53" s="1"/>
      <c r="SRC53" s="1"/>
      <c r="SRD53" s="1"/>
      <c r="SRE53" s="1"/>
      <c r="SRF53" s="1"/>
      <c r="SRG53" s="1"/>
      <c r="SRH53" s="1"/>
      <c r="SRI53" s="1"/>
      <c r="SRJ53" s="1"/>
      <c r="SRK53" s="1"/>
      <c r="SRL53" s="1"/>
      <c r="SRM53" s="1"/>
      <c r="SRN53" s="1"/>
      <c r="SRO53" s="1"/>
      <c r="SRP53" s="1"/>
      <c r="SRQ53" s="1"/>
      <c r="SRR53" s="1"/>
      <c r="SRS53" s="1"/>
      <c r="SRT53" s="1"/>
      <c r="SRU53" s="1"/>
      <c r="SRV53" s="1"/>
      <c r="SRW53" s="1"/>
      <c r="SRX53" s="1"/>
      <c r="SRY53" s="1"/>
      <c r="SRZ53" s="1"/>
      <c r="SSA53" s="1"/>
      <c r="SSB53" s="1"/>
      <c r="SSC53" s="1"/>
      <c r="SSD53" s="1"/>
      <c r="SSE53" s="1"/>
      <c r="SSF53" s="1"/>
      <c r="SSG53" s="1"/>
      <c r="SSH53" s="1"/>
      <c r="SSI53" s="1"/>
      <c r="SSJ53" s="1"/>
      <c r="SSK53" s="1"/>
      <c r="SSL53" s="1"/>
      <c r="SSM53" s="1"/>
      <c r="SSN53" s="1"/>
      <c r="SSO53" s="1"/>
      <c r="SSP53" s="1"/>
      <c r="SSQ53" s="1"/>
      <c r="SSR53" s="1"/>
      <c r="SSS53" s="1"/>
      <c r="SST53" s="1"/>
      <c r="SSU53" s="1"/>
      <c r="SSV53" s="1"/>
      <c r="SSW53" s="1"/>
      <c r="SSX53" s="1"/>
      <c r="SSY53" s="1"/>
      <c r="SSZ53" s="1"/>
      <c r="STA53" s="1"/>
      <c r="STB53" s="1"/>
      <c r="STC53" s="1"/>
      <c r="STD53" s="1"/>
      <c r="STE53" s="1"/>
      <c r="STF53" s="1"/>
      <c r="STG53" s="1"/>
      <c r="STH53" s="1"/>
      <c r="STI53" s="1"/>
      <c r="STJ53" s="1"/>
      <c r="STK53" s="1"/>
      <c r="STL53" s="1"/>
      <c r="STM53" s="1"/>
      <c r="STN53" s="1"/>
      <c r="STO53" s="1"/>
      <c r="STP53" s="1"/>
      <c r="STQ53" s="1"/>
      <c r="STR53" s="1"/>
      <c r="STS53" s="1"/>
      <c r="STT53" s="1"/>
      <c r="STU53" s="1"/>
      <c r="STV53" s="1"/>
      <c r="STW53" s="1"/>
      <c r="STX53" s="1"/>
      <c r="STY53" s="1"/>
      <c r="STZ53" s="1"/>
      <c r="SUA53" s="1"/>
      <c r="SUB53" s="1"/>
      <c r="SUC53" s="1"/>
      <c r="SUD53" s="1"/>
      <c r="SUE53" s="1"/>
      <c r="SUF53" s="1"/>
      <c r="SUG53" s="1"/>
      <c r="SUH53" s="1"/>
      <c r="SUI53" s="1"/>
      <c r="SUJ53" s="1"/>
      <c r="SUK53" s="1"/>
      <c r="SUL53" s="1"/>
      <c r="SUM53" s="1"/>
      <c r="SUN53" s="1"/>
      <c r="SUO53" s="1"/>
      <c r="SUP53" s="1"/>
      <c r="SUQ53" s="1"/>
      <c r="SUR53" s="1"/>
      <c r="SUS53" s="1"/>
      <c r="SUT53" s="1"/>
      <c r="SUU53" s="1"/>
      <c r="SUV53" s="1"/>
      <c r="SUW53" s="1"/>
      <c r="SUX53" s="1"/>
      <c r="SUY53" s="1"/>
      <c r="SUZ53" s="1"/>
      <c r="SVA53" s="1"/>
      <c r="SVB53" s="1"/>
      <c r="SVC53" s="1"/>
      <c r="SVD53" s="1"/>
      <c r="SVE53" s="1"/>
      <c r="SVF53" s="1"/>
      <c r="SVG53" s="1"/>
      <c r="SVH53" s="1"/>
      <c r="SVI53" s="1"/>
      <c r="SVJ53" s="1"/>
      <c r="SVK53" s="1"/>
      <c r="SVL53" s="1"/>
      <c r="SVM53" s="1"/>
      <c r="SVN53" s="1"/>
      <c r="SVO53" s="1"/>
      <c r="SVP53" s="1"/>
      <c r="SVQ53" s="1"/>
      <c r="SVR53" s="1"/>
      <c r="SVS53" s="1"/>
      <c r="SVT53" s="1"/>
      <c r="SVU53" s="1"/>
      <c r="SVV53" s="1"/>
      <c r="SVW53" s="1"/>
      <c r="SVX53" s="1"/>
      <c r="SVY53" s="1"/>
      <c r="SVZ53" s="1"/>
      <c r="SWA53" s="1"/>
      <c r="SWB53" s="1"/>
      <c r="SWC53" s="1"/>
      <c r="SWD53" s="1"/>
      <c r="SWE53" s="1"/>
      <c r="SWF53" s="1"/>
      <c r="SWG53" s="1"/>
      <c r="SWH53" s="1"/>
      <c r="SWI53" s="1"/>
      <c r="SWJ53" s="1"/>
      <c r="SWK53" s="1"/>
      <c r="SWL53" s="1"/>
      <c r="SWM53" s="1"/>
      <c r="SWN53" s="1"/>
      <c r="SWO53" s="1"/>
      <c r="SWP53" s="1"/>
      <c r="SWQ53" s="1"/>
      <c r="SWR53" s="1"/>
      <c r="SWS53" s="1"/>
      <c r="SWT53" s="1"/>
      <c r="SWU53" s="1"/>
      <c r="SWV53" s="1"/>
      <c r="SWW53" s="1"/>
      <c r="SWX53" s="1"/>
      <c r="SWY53" s="1"/>
      <c r="SWZ53" s="1"/>
      <c r="SXA53" s="1"/>
      <c r="SXB53" s="1"/>
      <c r="SXC53" s="1"/>
      <c r="SXD53" s="1"/>
      <c r="SXE53" s="1"/>
      <c r="SXF53" s="1"/>
      <c r="SXG53" s="1"/>
      <c r="SXH53" s="1"/>
      <c r="SXI53" s="1"/>
      <c r="SXJ53" s="1"/>
      <c r="SXK53" s="1"/>
      <c r="SXL53" s="1"/>
      <c r="SXM53" s="1"/>
      <c r="SXN53" s="1"/>
      <c r="SXO53" s="1"/>
      <c r="SXP53" s="1"/>
      <c r="SXQ53" s="1"/>
      <c r="SXR53" s="1"/>
      <c r="SXS53" s="1"/>
      <c r="SXT53" s="1"/>
      <c r="SXU53" s="1"/>
      <c r="SXV53" s="1"/>
      <c r="SXW53" s="1"/>
      <c r="SXX53" s="1"/>
      <c r="SXY53" s="1"/>
      <c r="SXZ53" s="1"/>
      <c r="SYA53" s="1"/>
      <c r="SYB53" s="1"/>
      <c r="SYC53" s="1"/>
      <c r="SYD53" s="1"/>
      <c r="SYE53" s="1"/>
      <c r="SYF53" s="1"/>
      <c r="SYG53" s="1"/>
      <c r="SYH53" s="1"/>
      <c r="SYI53" s="1"/>
      <c r="SYJ53" s="1"/>
      <c r="SYK53" s="1"/>
      <c r="SYL53" s="1"/>
      <c r="SYM53" s="1"/>
      <c r="SYN53" s="1"/>
      <c r="SYO53" s="1"/>
      <c r="SYP53" s="1"/>
      <c r="SYQ53" s="1"/>
      <c r="SYR53" s="1"/>
      <c r="SYS53" s="1"/>
      <c r="SYT53" s="1"/>
      <c r="SYU53" s="1"/>
      <c r="SYV53" s="1"/>
      <c r="SYW53" s="1"/>
      <c r="SYX53" s="1"/>
      <c r="SYY53" s="1"/>
      <c r="SYZ53" s="1"/>
      <c r="SZA53" s="1"/>
      <c r="SZB53" s="1"/>
      <c r="SZC53" s="1"/>
      <c r="SZD53" s="1"/>
      <c r="SZE53" s="1"/>
      <c r="SZF53" s="1"/>
      <c r="SZG53" s="1"/>
      <c r="SZH53" s="1"/>
      <c r="SZI53" s="1"/>
      <c r="SZJ53" s="1"/>
      <c r="SZK53" s="1"/>
      <c r="SZL53" s="1"/>
      <c r="SZM53" s="1"/>
      <c r="SZN53" s="1"/>
      <c r="SZO53" s="1"/>
      <c r="SZP53" s="1"/>
      <c r="SZQ53" s="1"/>
      <c r="SZR53" s="1"/>
      <c r="SZS53" s="1"/>
      <c r="SZT53" s="1"/>
      <c r="SZU53" s="1"/>
      <c r="SZV53" s="1"/>
      <c r="SZW53" s="1"/>
      <c r="SZX53" s="1"/>
      <c r="SZY53" s="1"/>
      <c r="SZZ53" s="1"/>
      <c r="TAA53" s="1"/>
      <c r="TAB53" s="1"/>
      <c r="TAC53" s="1"/>
      <c r="TAD53" s="1"/>
      <c r="TAE53" s="1"/>
      <c r="TAF53" s="1"/>
      <c r="TAG53" s="1"/>
      <c r="TAH53" s="1"/>
      <c r="TAI53" s="1"/>
      <c r="TAJ53" s="1"/>
      <c r="TAK53" s="1"/>
      <c r="TAL53" s="1"/>
      <c r="TAM53" s="1"/>
      <c r="TAN53" s="1"/>
      <c r="TAO53" s="1"/>
      <c r="TAP53" s="1"/>
      <c r="TAQ53" s="1"/>
      <c r="TAR53" s="1"/>
      <c r="TAS53" s="1"/>
      <c r="TAT53" s="1"/>
      <c r="TAU53" s="1"/>
      <c r="TAV53" s="1"/>
      <c r="TAW53" s="1"/>
      <c r="TAX53" s="1"/>
      <c r="TAY53" s="1"/>
      <c r="TAZ53" s="1"/>
      <c r="TBA53" s="1"/>
      <c r="TBB53" s="1"/>
      <c r="TBC53" s="1"/>
      <c r="TBD53" s="1"/>
      <c r="TBE53" s="1"/>
      <c r="TBF53" s="1"/>
      <c r="TBG53" s="1"/>
      <c r="TBH53" s="1"/>
      <c r="TBI53" s="1"/>
      <c r="TBJ53" s="1"/>
      <c r="TBK53" s="1"/>
      <c r="TBL53" s="1"/>
      <c r="TBM53" s="1"/>
      <c r="TBN53" s="1"/>
      <c r="TBO53" s="1"/>
      <c r="TBP53" s="1"/>
      <c r="TBQ53" s="1"/>
      <c r="TBR53" s="1"/>
      <c r="TBS53" s="1"/>
      <c r="TBT53" s="1"/>
      <c r="TBU53" s="1"/>
      <c r="TBV53" s="1"/>
      <c r="TBW53" s="1"/>
      <c r="TBX53" s="1"/>
      <c r="TBY53" s="1"/>
      <c r="TBZ53" s="1"/>
      <c r="TCA53" s="1"/>
      <c r="TCB53" s="1"/>
      <c r="TCC53" s="1"/>
      <c r="TCD53" s="1"/>
      <c r="TCE53" s="1"/>
      <c r="TCF53" s="1"/>
      <c r="TCG53" s="1"/>
      <c r="TCH53" s="1"/>
      <c r="TCI53" s="1"/>
      <c r="TCJ53" s="1"/>
      <c r="TCK53" s="1"/>
      <c r="TCL53" s="1"/>
      <c r="TCM53" s="1"/>
      <c r="TCN53" s="1"/>
      <c r="TCO53" s="1"/>
      <c r="TCP53" s="1"/>
      <c r="TCQ53" s="1"/>
      <c r="TCR53" s="1"/>
      <c r="TCS53" s="1"/>
      <c r="TCT53" s="1"/>
      <c r="TCU53" s="1"/>
      <c r="TCV53" s="1"/>
      <c r="TCW53" s="1"/>
      <c r="TCX53" s="1"/>
      <c r="TCY53" s="1"/>
      <c r="TCZ53" s="1"/>
      <c r="TDA53" s="1"/>
      <c r="TDB53" s="1"/>
      <c r="TDC53" s="1"/>
      <c r="TDD53" s="1"/>
      <c r="TDE53" s="1"/>
      <c r="TDF53" s="1"/>
      <c r="TDG53" s="1"/>
      <c r="TDH53" s="1"/>
      <c r="TDI53" s="1"/>
      <c r="TDJ53" s="1"/>
      <c r="TDK53" s="1"/>
      <c r="TDL53" s="1"/>
      <c r="TDM53" s="1"/>
      <c r="TDN53" s="1"/>
      <c r="TDO53" s="1"/>
      <c r="TDP53" s="1"/>
      <c r="TDQ53" s="1"/>
      <c r="TDR53" s="1"/>
      <c r="TDS53" s="1"/>
      <c r="TDT53" s="1"/>
      <c r="TDU53" s="1"/>
      <c r="TDV53" s="1"/>
      <c r="TDW53" s="1"/>
      <c r="TDX53" s="1"/>
      <c r="TDY53" s="1"/>
      <c r="TDZ53" s="1"/>
      <c r="TEA53" s="1"/>
      <c r="TEB53" s="1"/>
      <c r="TEC53" s="1"/>
      <c r="TED53" s="1"/>
      <c r="TEE53" s="1"/>
      <c r="TEF53" s="1"/>
      <c r="TEG53" s="1"/>
      <c r="TEH53" s="1"/>
      <c r="TEI53" s="1"/>
      <c r="TEJ53" s="1"/>
      <c r="TEK53" s="1"/>
      <c r="TEL53" s="1"/>
      <c r="TEM53" s="1"/>
      <c r="TEN53" s="1"/>
      <c r="TEO53" s="1"/>
      <c r="TEP53" s="1"/>
      <c r="TEQ53" s="1"/>
      <c r="TER53" s="1"/>
      <c r="TES53" s="1"/>
      <c r="TET53" s="1"/>
      <c r="TEU53" s="1"/>
      <c r="TEV53" s="1"/>
      <c r="TEW53" s="1"/>
      <c r="TEX53" s="1"/>
      <c r="TEY53" s="1"/>
      <c r="TEZ53" s="1"/>
      <c r="TFA53" s="1"/>
      <c r="TFB53" s="1"/>
      <c r="TFC53" s="1"/>
      <c r="TFD53" s="1"/>
      <c r="TFE53" s="1"/>
      <c r="TFF53" s="1"/>
      <c r="TFG53" s="1"/>
      <c r="TFH53" s="1"/>
      <c r="TFI53" s="1"/>
      <c r="TFJ53" s="1"/>
      <c r="TFK53" s="1"/>
      <c r="TFL53" s="1"/>
      <c r="TFM53" s="1"/>
      <c r="TFN53" s="1"/>
      <c r="TFO53" s="1"/>
      <c r="TFP53" s="1"/>
      <c r="TFQ53" s="1"/>
      <c r="TFR53" s="1"/>
      <c r="TFS53" s="1"/>
      <c r="TFT53" s="1"/>
      <c r="TFU53" s="1"/>
      <c r="TFV53" s="1"/>
      <c r="TFW53" s="1"/>
      <c r="TFX53" s="1"/>
      <c r="TFY53" s="1"/>
      <c r="TFZ53" s="1"/>
      <c r="TGA53" s="1"/>
      <c r="TGB53" s="1"/>
      <c r="TGC53" s="1"/>
      <c r="TGD53" s="1"/>
      <c r="TGE53" s="1"/>
      <c r="TGF53" s="1"/>
      <c r="TGG53" s="1"/>
      <c r="TGH53" s="1"/>
      <c r="TGI53" s="1"/>
      <c r="TGJ53" s="1"/>
      <c r="TGK53" s="1"/>
      <c r="TGL53" s="1"/>
      <c r="TGM53" s="1"/>
      <c r="TGN53" s="1"/>
      <c r="TGO53" s="1"/>
      <c r="TGP53" s="1"/>
      <c r="TGQ53" s="1"/>
      <c r="TGR53" s="1"/>
      <c r="TGS53" s="1"/>
      <c r="TGT53" s="1"/>
      <c r="TGU53" s="1"/>
      <c r="TGV53" s="1"/>
      <c r="TGW53" s="1"/>
      <c r="TGX53" s="1"/>
      <c r="TGY53" s="1"/>
      <c r="TGZ53" s="1"/>
      <c r="THA53" s="1"/>
      <c r="THB53" s="1"/>
      <c r="THC53" s="1"/>
      <c r="THD53" s="1"/>
      <c r="THE53" s="1"/>
      <c r="THF53" s="1"/>
      <c r="THG53" s="1"/>
      <c r="THH53" s="1"/>
      <c r="THI53" s="1"/>
      <c r="THJ53" s="1"/>
      <c r="THK53" s="1"/>
      <c r="THL53" s="1"/>
      <c r="THM53" s="1"/>
      <c r="THN53" s="1"/>
      <c r="THO53" s="1"/>
      <c r="THP53" s="1"/>
      <c r="THQ53" s="1"/>
      <c r="THR53" s="1"/>
      <c r="THS53" s="1"/>
      <c r="THT53" s="1"/>
      <c r="THU53" s="1"/>
      <c r="THV53" s="1"/>
      <c r="THW53" s="1"/>
      <c r="THX53" s="1"/>
      <c r="THY53" s="1"/>
      <c r="THZ53" s="1"/>
      <c r="TIA53" s="1"/>
      <c r="TIB53" s="1"/>
      <c r="TIC53" s="1"/>
      <c r="TID53" s="1"/>
      <c r="TIE53" s="1"/>
      <c r="TIF53" s="1"/>
      <c r="TIG53" s="1"/>
      <c r="TIH53" s="1"/>
      <c r="TII53" s="1"/>
      <c r="TIJ53" s="1"/>
      <c r="TIK53" s="1"/>
      <c r="TIL53" s="1"/>
      <c r="TIM53" s="1"/>
      <c r="TIN53" s="1"/>
      <c r="TIO53" s="1"/>
      <c r="TIP53" s="1"/>
      <c r="TIQ53" s="1"/>
      <c r="TIR53" s="1"/>
      <c r="TIS53" s="1"/>
      <c r="TIT53" s="1"/>
      <c r="TIU53" s="1"/>
      <c r="TIV53" s="1"/>
      <c r="TIW53" s="1"/>
      <c r="TIX53" s="1"/>
      <c r="TIY53" s="1"/>
      <c r="TIZ53" s="1"/>
      <c r="TJA53" s="1"/>
      <c r="TJB53" s="1"/>
      <c r="TJC53" s="1"/>
      <c r="TJD53" s="1"/>
      <c r="TJE53" s="1"/>
      <c r="TJF53" s="1"/>
      <c r="TJG53" s="1"/>
      <c r="TJH53" s="1"/>
      <c r="TJI53" s="1"/>
      <c r="TJJ53" s="1"/>
      <c r="TJK53" s="1"/>
      <c r="TJL53" s="1"/>
      <c r="TJM53" s="1"/>
      <c r="TJN53" s="1"/>
      <c r="TJO53" s="1"/>
      <c r="TJP53" s="1"/>
      <c r="TJQ53" s="1"/>
      <c r="TJR53" s="1"/>
      <c r="TJS53" s="1"/>
      <c r="TJT53" s="1"/>
      <c r="TJU53" s="1"/>
      <c r="TJV53" s="1"/>
      <c r="TJW53" s="1"/>
      <c r="TJX53" s="1"/>
      <c r="TJY53" s="1"/>
      <c r="TJZ53" s="1"/>
      <c r="TKA53" s="1"/>
      <c r="TKB53" s="1"/>
      <c r="TKC53" s="1"/>
      <c r="TKD53" s="1"/>
      <c r="TKE53" s="1"/>
      <c r="TKF53" s="1"/>
      <c r="TKG53" s="1"/>
      <c r="TKH53" s="1"/>
      <c r="TKI53" s="1"/>
      <c r="TKJ53" s="1"/>
      <c r="TKK53" s="1"/>
      <c r="TKL53" s="1"/>
      <c r="TKM53" s="1"/>
      <c r="TKN53" s="1"/>
      <c r="TKO53" s="1"/>
      <c r="TKP53" s="1"/>
      <c r="TKQ53" s="1"/>
      <c r="TKR53" s="1"/>
      <c r="TKS53" s="1"/>
      <c r="TKT53" s="1"/>
      <c r="TKU53" s="1"/>
      <c r="TKV53" s="1"/>
      <c r="TKW53" s="1"/>
      <c r="TKX53" s="1"/>
      <c r="TKY53" s="1"/>
      <c r="TKZ53" s="1"/>
      <c r="TLA53" s="1"/>
      <c r="TLB53" s="1"/>
      <c r="TLC53" s="1"/>
      <c r="TLD53" s="1"/>
      <c r="TLE53" s="1"/>
      <c r="TLF53" s="1"/>
      <c r="TLG53" s="1"/>
      <c r="TLH53" s="1"/>
      <c r="TLI53" s="1"/>
      <c r="TLJ53" s="1"/>
      <c r="TLK53" s="1"/>
      <c r="TLL53" s="1"/>
      <c r="TLM53" s="1"/>
      <c r="TLN53" s="1"/>
      <c r="TLO53" s="1"/>
      <c r="TLP53" s="1"/>
      <c r="TLQ53" s="1"/>
      <c r="TLR53" s="1"/>
      <c r="TLS53" s="1"/>
      <c r="TLT53" s="1"/>
      <c r="TLU53" s="1"/>
      <c r="TLV53" s="1"/>
      <c r="TLW53" s="1"/>
      <c r="TLX53" s="1"/>
      <c r="TLY53" s="1"/>
      <c r="TLZ53" s="1"/>
      <c r="TMA53" s="1"/>
      <c r="TMB53" s="1"/>
      <c r="TMC53" s="1"/>
      <c r="TMD53" s="1"/>
      <c r="TME53" s="1"/>
      <c r="TMF53" s="1"/>
      <c r="TMG53" s="1"/>
      <c r="TMH53" s="1"/>
      <c r="TMI53" s="1"/>
      <c r="TMJ53" s="1"/>
      <c r="TMK53" s="1"/>
      <c r="TML53" s="1"/>
      <c r="TMM53" s="1"/>
      <c r="TMN53" s="1"/>
      <c r="TMO53" s="1"/>
      <c r="TMP53" s="1"/>
      <c r="TMQ53" s="1"/>
      <c r="TMR53" s="1"/>
      <c r="TMS53" s="1"/>
      <c r="TMT53" s="1"/>
      <c r="TMU53" s="1"/>
      <c r="TMV53" s="1"/>
      <c r="TMW53" s="1"/>
      <c r="TMX53" s="1"/>
      <c r="TMY53" s="1"/>
      <c r="TMZ53" s="1"/>
      <c r="TNA53" s="1"/>
      <c r="TNB53" s="1"/>
      <c r="TNC53" s="1"/>
      <c r="TND53" s="1"/>
      <c r="TNE53" s="1"/>
      <c r="TNF53" s="1"/>
      <c r="TNG53" s="1"/>
      <c r="TNH53" s="1"/>
      <c r="TNI53" s="1"/>
      <c r="TNJ53" s="1"/>
      <c r="TNK53" s="1"/>
      <c r="TNL53" s="1"/>
      <c r="TNM53" s="1"/>
      <c r="TNN53" s="1"/>
      <c r="TNO53" s="1"/>
      <c r="TNP53" s="1"/>
      <c r="TNQ53" s="1"/>
      <c r="TNR53" s="1"/>
      <c r="TNS53" s="1"/>
      <c r="TNT53" s="1"/>
      <c r="TNU53" s="1"/>
      <c r="TNV53" s="1"/>
      <c r="TNW53" s="1"/>
      <c r="TNX53" s="1"/>
      <c r="TNY53" s="1"/>
      <c r="TNZ53" s="1"/>
      <c r="TOA53" s="1"/>
      <c r="TOB53" s="1"/>
      <c r="TOC53" s="1"/>
      <c r="TOD53" s="1"/>
      <c r="TOE53" s="1"/>
      <c r="TOF53" s="1"/>
      <c r="TOG53" s="1"/>
      <c r="TOH53" s="1"/>
      <c r="TOI53" s="1"/>
      <c r="TOJ53" s="1"/>
      <c r="TOK53" s="1"/>
      <c r="TOL53" s="1"/>
      <c r="TOM53" s="1"/>
      <c r="TON53" s="1"/>
      <c r="TOO53" s="1"/>
      <c r="TOP53" s="1"/>
      <c r="TOQ53" s="1"/>
      <c r="TOR53" s="1"/>
      <c r="TOS53" s="1"/>
      <c r="TOT53" s="1"/>
      <c r="TOU53" s="1"/>
      <c r="TOV53" s="1"/>
      <c r="TOW53" s="1"/>
      <c r="TOX53" s="1"/>
      <c r="TOY53" s="1"/>
      <c r="TOZ53" s="1"/>
      <c r="TPA53" s="1"/>
      <c r="TPB53" s="1"/>
      <c r="TPC53" s="1"/>
      <c r="TPD53" s="1"/>
      <c r="TPE53" s="1"/>
      <c r="TPF53" s="1"/>
      <c r="TPG53" s="1"/>
      <c r="TPH53" s="1"/>
      <c r="TPI53" s="1"/>
      <c r="TPJ53" s="1"/>
      <c r="TPK53" s="1"/>
      <c r="TPL53" s="1"/>
      <c r="TPM53" s="1"/>
      <c r="TPN53" s="1"/>
      <c r="TPO53" s="1"/>
      <c r="TPP53" s="1"/>
      <c r="TPQ53" s="1"/>
      <c r="TPR53" s="1"/>
      <c r="TPS53" s="1"/>
      <c r="TPT53" s="1"/>
      <c r="TPU53" s="1"/>
      <c r="TPV53" s="1"/>
      <c r="TPW53" s="1"/>
      <c r="TPX53" s="1"/>
      <c r="TPY53" s="1"/>
      <c r="TPZ53" s="1"/>
      <c r="TQA53" s="1"/>
      <c r="TQB53" s="1"/>
      <c r="TQC53" s="1"/>
      <c r="TQD53" s="1"/>
      <c r="TQE53" s="1"/>
      <c r="TQF53" s="1"/>
      <c r="TQG53" s="1"/>
      <c r="TQH53" s="1"/>
      <c r="TQI53" s="1"/>
      <c r="TQJ53" s="1"/>
      <c r="TQK53" s="1"/>
      <c r="TQL53" s="1"/>
      <c r="TQM53" s="1"/>
      <c r="TQN53" s="1"/>
      <c r="TQO53" s="1"/>
      <c r="TQP53" s="1"/>
      <c r="TQQ53" s="1"/>
      <c r="TQR53" s="1"/>
      <c r="TQS53" s="1"/>
      <c r="TQT53" s="1"/>
      <c r="TQU53" s="1"/>
      <c r="TQV53" s="1"/>
      <c r="TQW53" s="1"/>
      <c r="TQX53" s="1"/>
      <c r="TQY53" s="1"/>
      <c r="TQZ53" s="1"/>
      <c r="TRA53" s="1"/>
      <c r="TRB53" s="1"/>
      <c r="TRC53" s="1"/>
      <c r="TRD53" s="1"/>
      <c r="TRE53" s="1"/>
      <c r="TRF53" s="1"/>
      <c r="TRG53" s="1"/>
      <c r="TRH53" s="1"/>
      <c r="TRI53" s="1"/>
      <c r="TRJ53" s="1"/>
      <c r="TRK53" s="1"/>
      <c r="TRL53" s="1"/>
      <c r="TRM53" s="1"/>
      <c r="TRN53" s="1"/>
      <c r="TRO53" s="1"/>
      <c r="TRP53" s="1"/>
      <c r="TRQ53" s="1"/>
      <c r="TRR53" s="1"/>
      <c r="TRS53" s="1"/>
      <c r="TRT53" s="1"/>
      <c r="TRU53" s="1"/>
      <c r="TRV53" s="1"/>
      <c r="TRW53" s="1"/>
      <c r="TRX53" s="1"/>
      <c r="TRY53" s="1"/>
      <c r="TRZ53" s="1"/>
      <c r="TSA53" s="1"/>
      <c r="TSB53" s="1"/>
      <c r="TSC53" s="1"/>
      <c r="TSD53" s="1"/>
      <c r="TSE53" s="1"/>
      <c r="TSF53" s="1"/>
      <c r="TSG53" s="1"/>
      <c r="TSH53" s="1"/>
      <c r="TSI53" s="1"/>
      <c r="TSJ53" s="1"/>
      <c r="TSK53" s="1"/>
      <c r="TSL53" s="1"/>
      <c r="TSM53" s="1"/>
      <c r="TSN53" s="1"/>
      <c r="TSO53" s="1"/>
      <c r="TSP53" s="1"/>
      <c r="TSQ53" s="1"/>
      <c r="TSR53" s="1"/>
      <c r="TSS53" s="1"/>
      <c r="TST53" s="1"/>
      <c r="TSU53" s="1"/>
      <c r="TSV53" s="1"/>
      <c r="TSW53" s="1"/>
      <c r="TSX53" s="1"/>
      <c r="TSY53" s="1"/>
      <c r="TSZ53" s="1"/>
      <c r="TTA53" s="1"/>
      <c r="TTB53" s="1"/>
      <c r="TTC53" s="1"/>
      <c r="TTD53" s="1"/>
      <c r="TTE53" s="1"/>
      <c r="TTF53" s="1"/>
      <c r="TTG53" s="1"/>
      <c r="TTH53" s="1"/>
      <c r="TTI53" s="1"/>
      <c r="TTJ53" s="1"/>
      <c r="TTK53" s="1"/>
      <c r="TTL53" s="1"/>
      <c r="TTM53" s="1"/>
      <c r="TTN53" s="1"/>
      <c r="TTO53" s="1"/>
      <c r="TTP53" s="1"/>
      <c r="TTQ53" s="1"/>
      <c r="TTR53" s="1"/>
      <c r="TTS53" s="1"/>
      <c r="TTT53" s="1"/>
      <c r="TTU53" s="1"/>
      <c r="TTV53" s="1"/>
      <c r="TTW53" s="1"/>
      <c r="TTX53" s="1"/>
      <c r="TTY53" s="1"/>
      <c r="TTZ53" s="1"/>
      <c r="TUA53" s="1"/>
      <c r="TUB53" s="1"/>
      <c r="TUC53" s="1"/>
      <c r="TUD53" s="1"/>
      <c r="TUE53" s="1"/>
      <c r="TUF53" s="1"/>
      <c r="TUG53" s="1"/>
      <c r="TUH53" s="1"/>
      <c r="TUI53" s="1"/>
      <c r="TUJ53" s="1"/>
      <c r="TUK53" s="1"/>
      <c r="TUL53" s="1"/>
      <c r="TUM53" s="1"/>
      <c r="TUN53" s="1"/>
      <c r="TUO53" s="1"/>
      <c r="TUP53" s="1"/>
      <c r="TUQ53" s="1"/>
      <c r="TUR53" s="1"/>
      <c r="TUS53" s="1"/>
      <c r="TUT53" s="1"/>
      <c r="TUU53" s="1"/>
      <c r="TUV53" s="1"/>
      <c r="TUW53" s="1"/>
      <c r="TUX53" s="1"/>
      <c r="TUY53" s="1"/>
      <c r="TUZ53" s="1"/>
      <c r="TVA53" s="1"/>
      <c r="TVB53" s="1"/>
      <c r="TVC53" s="1"/>
      <c r="TVD53" s="1"/>
      <c r="TVE53" s="1"/>
      <c r="TVF53" s="1"/>
      <c r="TVG53" s="1"/>
      <c r="TVH53" s="1"/>
      <c r="TVI53" s="1"/>
      <c r="TVJ53" s="1"/>
      <c r="TVK53" s="1"/>
      <c r="TVL53" s="1"/>
      <c r="TVM53" s="1"/>
      <c r="TVN53" s="1"/>
      <c r="TVO53" s="1"/>
      <c r="TVP53" s="1"/>
      <c r="TVQ53" s="1"/>
      <c r="TVR53" s="1"/>
      <c r="TVS53" s="1"/>
      <c r="TVT53" s="1"/>
      <c r="TVU53" s="1"/>
      <c r="TVV53" s="1"/>
      <c r="TVW53" s="1"/>
      <c r="TVX53" s="1"/>
      <c r="TVY53" s="1"/>
      <c r="TVZ53" s="1"/>
      <c r="TWA53" s="1"/>
      <c r="TWB53" s="1"/>
      <c r="TWC53" s="1"/>
      <c r="TWD53" s="1"/>
      <c r="TWE53" s="1"/>
      <c r="TWF53" s="1"/>
      <c r="TWG53" s="1"/>
      <c r="TWH53" s="1"/>
      <c r="TWI53" s="1"/>
      <c r="TWJ53" s="1"/>
      <c r="TWK53" s="1"/>
      <c r="TWL53" s="1"/>
      <c r="TWM53" s="1"/>
      <c r="TWN53" s="1"/>
      <c r="TWO53" s="1"/>
      <c r="TWP53" s="1"/>
      <c r="TWQ53" s="1"/>
      <c r="TWR53" s="1"/>
      <c r="TWS53" s="1"/>
      <c r="TWT53" s="1"/>
      <c r="TWU53" s="1"/>
      <c r="TWV53" s="1"/>
      <c r="TWW53" s="1"/>
      <c r="TWX53" s="1"/>
      <c r="TWY53" s="1"/>
      <c r="TWZ53" s="1"/>
      <c r="TXA53" s="1"/>
      <c r="TXB53" s="1"/>
      <c r="TXC53" s="1"/>
      <c r="TXD53" s="1"/>
      <c r="TXE53" s="1"/>
      <c r="TXF53" s="1"/>
      <c r="TXG53" s="1"/>
      <c r="TXH53" s="1"/>
      <c r="TXI53" s="1"/>
      <c r="TXJ53" s="1"/>
      <c r="TXK53" s="1"/>
      <c r="TXL53" s="1"/>
      <c r="TXM53" s="1"/>
      <c r="TXN53" s="1"/>
      <c r="TXO53" s="1"/>
      <c r="TXP53" s="1"/>
      <c r="TXQ53" s="1"/>
      <c r="TXR53" s="1"/>
      <c r="TXS53" s="1"/>
      <c r="TXT53" s="1"/>
      <c r="TXU53" s="1"/>
      <c r="TXV53" s="1"/>
      <c r="TXW53" s="1"/>
      <c r="TXX53" s="1"/>
      <c r="TXY53" s="1"/>
      <c r="TXZ53" s="1"/>
      <c r="TYA53" s="1"/>
      <c r="TYB53" s="1"/>
      <c r="TYC53" s="1"/>
      <c r="TYD53" s="1"/>
      <c r="TYE53" s="1"/>
      <c r="TYF53" s="1"/>
      <c r="TYG53" s="1"/>
      <c r="TYH53" s="1"/>
      <c r="TYI53" s="1"/>
      <c r="TYJ53" s="1"/>
      <c r="TYK53" s="1"/>
      <c r="TYL53" s="1"/>
      <c r="TYM53" s="1"/>
      <c r="TYN53" s="1"/>
      <c r="TYO53" s="1"/>
      <c r="TYP53" s="1"/>
      <c r="TYQ53" s="1"/>
      <c r="TYR53" s="1"/>
      <c r="TYS53" s="1"/>
      <c r="TYT53" s="1"/>
      <c r="TYU53" s="1"/>
      <c r="TYV53" s="1"/>
      <c r="TYW53" s="1"/>
      <c r="TYX53" s="1"/>
      <c r="TYY53" s="1"/>
      <c r="TYZ53" s="1"/>
      <c r="TZA53" s="1"/>
      <c r="TZB53" s="1"/>
      <c r="TZC53" s="1"/>
      <c r="TZD53" s="1"/>
      <c r="TZE53" s="1"/>
      <c r="TZF53" s="1"/>
      <c r="TZG53" s="1"/>
      <c r="TZH53" s="1"/>
      <c r="TZI53" s="1"/>
      <c r="TZJ53" s="1"/>
      <c r="TZK53" s="1"/>
      <c r="TZL53" s="1"/>
      <c r="TZM53" s="1"/>
      <c r="TZN53" s="1"/>
      <c r="TZO53" s="1"/>
      <c r="TZP53" s="1"/>
      <c r="TZQ53" s="1"/>
      <c r="TZR53" s="1"/>
      <c r="TZS53" s="1"/>
      <c r="TZT53" s="1"/>
      <c r="TZU53" s="1"/>
      <c r="TZV53" s="1"/>
      <c r="TZW53" s="1"/>
      <c r="TZX53" s="1"/>
      <c r="TZY53" s="1"/>
      <c r="TZZ53" s="1"/>
      <c r="UAA53" s="1"/>
      <c r="UAB53" s="1"/>
      <c r="UAC53" s="1"/>
      <c r="UAD53" s="1"/>
      <c r="UAE53" s="1"/>
      <c r="UAF53" s="1"/>
      <c r="UAG53" s="1"/>
      <c r="UAH53" s="1"/>
      <c r="UAI53" s="1"/>
      <c r="UAJ53" s="1"/>
      <c r="UAK53" s="1"/>
      <c r="UAL53" s="1"/>
      <c r="UAM53" s="1"/>
      <c r="UAN53" s="1"/>
      <c r="UAO53" s="1"/>
      <c r="UAP53" s="1"/>
      <c r="UAQ53" s="1"/>
      <c r="UAR53" s="1"/>
      <c r="UAS53" s="1"/>
      <c r="UAT53" s="1"/>
      <c r="UAU53" s="1"/>
      <c r="UAV53" s="1"/>
      <c r="UAW53" s="1"/>
      <c r="UAX53" s="1"/>
      <c r="UAY53" s="1"/>
      <c r="UAZ53" s="1"/>
      <c r="UBA53" s="1"/>
      <c r="UBB53" s="1"/>
      <c r="UBC53" s="1"/>
      <c r="UBD53" s="1"/>
      <c r="UBE53" s="1"/>
      <c r="UBF53" s="1"/>
      <c r="UBG53" s="1"/>
      <c r="UBH53" s="1"/>
      <c r="UBI53" s="1"/>
      <c r="UBJ53" s="1"/>
      <c r="UBK53" s="1"/>
      <c r="UBL53" s="1"/>
      <c r="UBM53" s="1"/>
      <c r="UBN53" s="1"/>
      <c r="UBO53" s="1"/>
      <c r="UBP53" s="1"/>
      <c r="UBQ53" s="1"/>
      <c r="UBR53" s="1"/>
      <c r="UBS53" s="1"/>
      <c r="UBT53" s="1"/>
      <c r="UBU53" s="1"/>
      <c r="UBV53" s="1"/>
      <c r="UBW53" s="1"/>
      <c r="UBX53" s="1"/>
      <c r="UBY53" s="1"/>
      <c r="UBZ53" s="1"/>
      <c r="UCA53" s="1"/>
      <c r="UCB53" s="1"/>
      <c r="UCC53" s="1"/>
      <c r="UCD53" s="1"/>
      <c r="UCE53" s="1"/>
      <c r="UCF53" s="1"/>
      <c r="UCG53" s="1"/>
      <c r="UCH53" s="1"/>
      <c r="UCI53" s="1"/>
      <c r="UCJ53" s="1"/>
      <c r="UCK53" s="1"/>
      <c r="UCL53" s="1"/>
      <c r="UCM53" s="1"/>
      <c r="UCN53" s="1"/>
      <c r="UCO53" s="1"/>
      <c r="UCP53" s="1"/>
      <c r="UCQ53" s="1"/>
      <c r="UCR53" s="1"/>
      <c r="UCS53" s="1"/>
      <c r="UCT53" s="1"/>
      <c r="UCU53" s="1"/>
      <c r="UCV53" s="1"/>
      <c r="UCW53" s="1"/>
      <c r="UCX53" s="1"/>
      <c r="UCY53" s="1"/>
      <c r="UCZ53" s="1"/>
      <c r="UDA53" s="1"/>
      <c r="UDB53" s="1"/>
      <c r="UDC53" s="1"/>
      <c r="UDD53" s="1"/>
      <c r="UDE53" s="1"/>
      <c r="UDF53" s="1"/>
      <c r="UDG53" s="1"/>
      <c r="UDH53" s="1"/>
      <c r="UDI53" s="1"/>
      <c r="UDJ53" s="1"/>
      <c r="UDK53" s="1"/>
      <c r="UDL53" s="1"/>
      <c r="UDM53" s="1"/>
      <c r="UDN53" s="1"/>
      <c r="UDO53" s="1"/>
      <c r="UDP53" s="1"/>
      <c r="UDQ53" s="1"/>
      <c r="UDR53" s="1"/>
      <c r="UDS53" s="1"/>
      <c r="UDT53" s="1"/>
      <c r="UDU53" s="1"/>
      <c r="UDV53" s="1"/>
      <c r="UDW53" s="1"/>
      <c r="UDX53" s="1"/>
      <c r="UDY53" s="1"/>
      <c r="UDZ53" s="1"/>
      <c r="UEA53" s="1"/>
      <c r="UEB53" s="1"/>
      <c r="UEC53" s="1"/>
      <c r="UED53" s="1"/>
      <c r="UEE53" s="1"/>
      <c r="UEF53" s="1"/>
      <c r="UEG53" s="1"/>
      <c r="UEH53" s="1"/>
      <c r="UEI53" s="1"/>
      <c r="UEJ53" s="1"/>
      <c r="UEK53" s="1"/>
      <c r="UEL53" s="1"/>
      <c r="UEM53" s="1"/>
      <c r="UEN53" s="1"/>
      <c r="UEO53" s="1"/>
      <c r="UEP53" s="1"/>
      <c r="UEQ53" s="1"/>
      <c r="UER53" s="1"/>
      <c r="UES53" s="1"/>
      <c r="UET53" s="1"/>
      <c r="UEU53" s="1"/>
      <c r="UEV53" s="1"/>
      <c r="UEW53" s="1"/>
      <c r="UEX53" s="1"/>
      <c r="UEY53" s="1"/>
      <c r="UEZ53" s="1"/>
      <c r="UFA53" s="1"/>
      <c r="UFB53" s="1"/>
      <c r="UFC53" s="1"/>
      <c r="UFD53" s="1"/>
      <c r="UFE53" s="1"/>
      <c r="UFF53" s="1"/>
      <c r="UFG53" s="1"/>
      <c r="UFH53" s="1"/>
      <c r="UFI53" s="1"/>
      <c r="UFJ53" s="1"/>
      <c r="UFK53" s="1"/>
      <c r="UFL53" s="1"/>
      <c r="UFM53" s="1"/>
      <c r="UFN53" s="1"/>
      <c r="UFO53" s="1"/>
      <c r="UFP53" s="1"/>
      <c r="UFQ53" s="1"/>
      <c r="UFR53" s="1"/>
      <c r="UFS53" s="1"/>
      <c r="UFT53" s="1"/>
      <c r="UFU53" s="1"/>
      <c r="UFV53" s="1"/>
      <c r="UFW53" s="1"/>
      <c r="UFX53" s="1"/>
      <c r="UFY53" s="1"/>
      <c r="UFZ53" s="1"/>
      <c r="UGA53" s="1"/>
      <c r="UGB53" s="1"/>
      <c r="UGC53" s="1"/>
      <c r="UGD53" s="1"/>
      <c r="UGE53" s="1"/>
      <c r="UGF53" s="1"/>
      <c r="UGG53" s="1"/>
      <c r="UGH53" s="1"/>
      <c r="UGI53" s="1"/>
      <c r="UGJ53" s="1"/>
      <c r="UGK53" s="1"/>
      <c r="UGL53" s="1"/>
      <c r="UGM53" s="1"/>
      <c r="UGN53" s="1"/>
      <c r="UGO53" s="1"/>
      <c r="UGP53" s="1"/>
      <c r="UGQ53" s="1"/>
      <c r="UGR53" s="1"/>
      <c r="UGS53" s="1"/>
      <c r="UGT53" s="1"/>
      <c r="UGU53" s="1"/>
      <c r="UGV53" s="1"/>
      <c r="UGW53" s="1"/>
      <c r="UGX53" s="1"/>
      <c r="UGY53" s="1"/>
      <c r="UGZ53" s="1"/>
      <c r="UHA53" s="1"/>
      <c r="UHB53" s="1"/>
      <c r="UHC53" s="1"/>
      <c r="UHD53" s="1"/>
      <c r="UHE53" s="1"/>
      <c r="UHF53" s="1"/>
      <c r="UHG53" s="1"/>
      <c r="UHH53" s="1"/>
      <c r="UHI53" s="1"/>
      <c r="UHJ53" s="1"/>
      <c r="UHK53" s="1"/>
      <c r="UHL53" s="1"/>
      <c r="UHM53" s="1"/>
      <c r="UHN53" s="1"/>
      <c r="UHO53" s="1"/>
      <c r="UHP53" s="1"/>
      <c r="UHQ53" s="1"/>
      <c r="UHR53" s="1"/>
      <c r="UHS53" s="1"/>
      <c r="UHT53" s="1"/>
      <c r="UHU53" s="1"/>
      <c r="UHV53" s="1"/>
      <c r="UHW53" s="1"/>
      <c r="UHX53" s="1"/>
      <c r="UHY53" s="1"/>
      <c r="UHZ53" s="1"/>
      <c r="UIA53" s="1"/>
      <c r="UIB53" s="1"/>
      <c r="UIC53" s="1"/>
      <c r="UID53" s="1"/>
      <c r="UIE53" s="1"/>
      <c r="UIF53" s="1"/>
      <c r="UIG53" s="1"/>
      <c r="UIH53" s="1"/>
      <c r="UII53" s="1"/>
      <c r="UIJ53" s="1"/>
      <c r="UIK53" s="1"/>
      <c r="UIL53" s="1"/>
      <c r="UIM53" s="1"/>
      <c r="UIN53" s="1"/>
      <c r="UIO53" s="1"/>
      <c r="UIP53" s="1"/>
      <c r="UIQ53" s="1"/>
      <c r="UIR53" s="1"/>
      <c r="UIS53" s="1"/>
      <c r="UIT53" s="1"/>
      <c r="UIU53" s="1"/>
      <c r="UIV53" s="1"/>
      <c r="UIW53" s="1"/>
      <c r="UIX53" s="1"/>
      <c r="UIY53" s="1"/>
      <c r="UIZ53" s="1"/>
      <c r="UJA53" s="1"/>
      <c r="UJB53" s="1"/>
      <c r="UJC53" s="1"/>
      <c r="UJD53" s="1"/>
      <c r="UJE53" s="1"/>
      <c r="UJF53" s="1"/>
      <c r="UJG53" s="1"/>
      <c r="UJH53" s="1"/>
      <c r="UJI53" s="1"/>
      <c r="UJJ53" s="1"/>
      <c r="UJK53" s="1"/>
      <c r="UJL53" s="1"/>
      <c r="UJM53" s="1"/>
      <c r="UJN53" s="1"/>
      <c r="UJO53" s="1"/>
      <c r="UJP53" s="1"/>
      <c r="UJQ53" s="1"/>
      <c r="UJR53" s="1"/>
      <c r="UJS53" s="1"/>
      <c r="UJT53" s="1"/>
      <c r="UJU53" s="1"/>
      <c r="UJV53" s="1"/>
      <c r="UJW53" s="1"/>
      <c r="UJX53" s="1"/>
      <c r="UJY53" s="1"/>
      <c r="UJZ53" s="1"/>
      <c r="UKA53" s="1"/>
      <c r="UKB53" s="1"/>
      <c r="UKC53" s="1"/>
      <c r="UKD53" s="1"/>
      <c r="UKE53" s="1"/>
      <c r="UKF53" s="1"/>
      <c r="UKG53" s="1"/>
      <c r="UKH53" s="1"/>
      <c r="UKI53" s="1"/>
      <c r="UKJ53" s="1"/>
      <c r="UKK53" s="1"/>
      <c r="UKL53" s="1"/>
      <c r="UKM53" s="1"/>
      <c r="UKN53" s="1"/>
      <c r="UKO53" s="1"/>
      <c r="UKP53" s="1"/>
      <c r="UKQ53" s="1"/>
      <c r="UKR53" s="1"/>
      <c r="UKS53" s="1"/>
      <c r="UKT53" s="1"/>
      <c r="UKU53" s="1"/>
      <c r="UKV53" s="1"/>
      <c r="UKW53" s="1"/>
      <c r="UKX53" s="1"/>
      <c r="UKY53" s="1"/>
      <c r="UKZ53" s="1"/>
      <c r="ULA53" s="1"/>
      <c r="ULB53" s="1"/>
      <c r="ULC53" s="1"/>
      <c r="ULD53" s="1"/>
      <c r="ULE53" s="1"/>
      <c r="ULF53" s="1"/>
      <c r="ULG53" s="1"/>
      <c r="ULH53" s="1"/>
      <c r="ULI53" s="1"/>
      <c r="ULJ53" s="1"/>
      <c r="ULK53" s="1"/>
      <c r="ULL53" s="1"/>
      <c r="ULM53" s="1"/>
      <c r="ULN53" s="1"/>
      <c r="ULO53" s="1"/>
      <c r="ULP53" s="1"/>
      <c r="ULQ53" s="1"/>
      <c r="ULR53" s="1"/>
      <c r="ULS53" s="1"/>
      <c r="ULT53" s="1"/>
      <c r="ULU53" s="1"/>
      <c r="ULV53" s="1"/>
      <c r="ULW53" s="1"/>
      <c r="ULX53" s="1"/>
      <c r="ULY53" s="1"/>
      <c r="ULZ53" s="1"/>
      <c r="UMA53" s="1"/>
      <c r="UMB53" s="1"/>
      <c r="UMC53" s="1"/>
      <c r="UMD53" s="1"/>
      <c r="UME53" s="1"/>
      <c r="UMF53" s="1"/>
      <c r="UMG53" s="1"/>
      <c r="UMH53" s="1"/>
      <c r="UMI53" s="1"/>
      <c r="UMJ53" s="1"/>
      <c r="UMK53" s="1"/>
      <c r="UML53" s="1"/>
      <c r="UMM53" s="1"/>
      <c r="UMN53" s="1"/>
      <c r="UMO53" s="1"/>
      <c r="UMP53" s="1"/>
      <c r="UMQ53" s="1"/>
      <c r="UMR53" s="1"/>
      <c r="UMS53" s="1"/>
      <c r="UMT53" s="1"/>
      <c r="UMU53" s="1"/>
      <c r="UMV53" s="1"/>
      <c r="UMW53" s="1"/>
      <c r="UMX53" s="1"/>
      <c r="UMY53" s="1"/>
      <c r="UMZ53" s="1"/>
      <c r="UNA53" s="1"/>
      <c r="UNB53" s="1"/>
      <c r="UNC53" s="1"/>
      <c r="UND53" s="1"/>
      <c r="UNE53" s="1"/>
      <c r="UNF53" s="1"/>
      <c r="UNG53" s="1"/>
      <c r="UNH53" s="1"/>
      <c r="UNI53" s="1"/>
      <c r="UNJ53" s="1"/>
      <c r="UNK53" s="1"/>
      <c r="UNL53" s="1"/>
      <c r="UNM53" s="1"/>
      <c r="UNN53" s="1"/>
      <c r="UNO53" s="1"/>
      <c r="UNP53" s="1"/>
      <c r="UNQ53" s="1"/>
      <c r="UNR53" s="1"/>
      <c r="UNS53" s="1"/>
      <c r="UNT53" s="1"/>
      <c r="UNU53" s="1"/>
      <c r="UNV53" s="1"/>
      <c r="UNW53" s="1"/>
      <c r="UNX53" s="1"/>
      <c r="UNY53" s="1"/>
      <c r="UNZ53" s="1"/>
      <c r="UOA53" s="1"/>
      <c r="UOB53" s="1"/>
      <c r="UOC53" s="1"/>
      <c r="UOD53" s="1"/>
      <c r="UOE53" s="1"/>
      <c r="UOF53" s="1"/>
      <c r="UOG53" s="1"/>
      <c r="UOH53" s="1"/>
      <c r="UOI53" s="1"/>
      <c r="UOJ53" s="1"/>
      <c r="UOK53" s="1"/>
      <c r="UOL53" s="1"/>
      <c r="UOM53" s="1"/>
      <c r="UON53" s="1"/>
      <c r="UOO53" s="1"/>
      <c r="UOP53" s="1"/>
      <c r="UOQ53" s="1"/>
      <c r="UOR53" s="1"/>
      <c r="UOS53" s="1"/>
      <c r="UOT53" s="1"/>
      <c r="UOU53" s="1"/>
      <c r="UOV53" s="1"/>
      <c r="UOW53" s="1"/>
      <c r="UOX53" s="1"/>
      <c r="UOY53" s="1"/>
      <c r="UOZ53" s="1"/>
      <c r="UPA53" s="1"/>
      <c r="UPB53" s="1"/>
      <c r="UPC53" s="1"/>
      <c r="UPD53" s="1"/>
      <c r="UPE53" s="1"/>
      <c r="UPF53" s="1"/>
      <c r="UPG53" s="1"/>
      <c r="UPH53" s="1"/>
      <c r="UPI53" s="1"/>
      <c r="UPJ53" s="1"/>
      <c r="UPK53" s="1"/>
      <c r="UPL53" s="1"/>
      <c r="UPM53" s="1"/>
      <c r="UPN53" s="1"/>
      <c r="UPO53" s="1"/>
      <c r="UPP53" s="1"/>
      <c r="UPQ53" s="1"/>
      <c r="UPR53" s="1"/>
      <c r="UPS53" s="1"/>
      <c r="UPT53" s="1"/>
      <c r="UPU53" s="1"/>
      <c r="UPV53" s="1"/>
      <c r="UPW53" s="1"/>
      <c r="UPX53" s="1"/>
      <c r="UPY53" s="1"/>
      <c r="UPZ53" s="1"/>
      <c r="UQA53" s="1"/>
      <c r="UQB53" s="1"/>
      <c r="UQC53" s="1"/>
      <c r="UQD53" s="1"/>
      <c r="UQE53" s="1"/>
      <c r="UQF53" s="1"/>
      <c r="UQG53" s="1"/>
      <c r="UQH53" s="1"/>
      <c r="UQI53" s="1"/>
      <c r="UQJ53" s="1"/>
      <c r="UQK53" s="1"/>
      <c r="UQL53" s="1"/>
      <c r="UQM53" s="1"/>
      <c r="UQN53" s="1"/>
      <c r="UQO53" s="1"/>
      <c r="UQP53" s="1"/>
      <c r="UQQ53" s="1"/>
      <c r="UQR53" s="1"/>
      <c r="UQS53" s="1"/>
      <c r="UQT53" s="1"/>
      <c r="UQU53" s="1"/>
      <c r="UQV53" s="1"/>
      <c r="UQW53" s="1"/>
      <c r="UQX53" s="1"/>
      <c r="UQY53" s="1"/>
      <c r="UQZ53" s="1"/>
      <c r="URA53" s="1"/>
      <c r="URB53" s="1"/>
      <c r="URC53" s="1"/>
      <c r="URD53" s="1"/>
      <c r="URE53" s="1"/>
      <c r="URF53" s="1"/>
      <c r="URG53" s="1"/>
      <c r="URH53" s="1"/>
      <c r="URI53" s="1"/>
      <c r="URJ53" s="1"/>
      <c r="URK53" s="1"/>
      <c r="URL53" s="1"/>
      <c r="URM53" s="1"/>
      <c r="URN53" s="1"/>
      <c r="URO53" s="1"/>
      <c r="URP53" s="1"/>
      <c r="URQ53" s="1"/>
      <c r="URR53" s="1"/>
      <c r="URS53" s="1"/>
      <c r="URT53" s="1"/>
      <c r="URU53" s="1"/>
      <c r="URV53" s="1"/>
      <c r="URW53" s="1"/>
      <c r="URX53" s="1"/>
      <c r="URY53" s="1"/>
      <c r="URZ53" s="1"/>
      <c r="USA53" s="1"/>
      <c r="USB53" s="1"/>
      <c r="USC53" s="1"/>
      <c r="USD53" s="1"/>
      <c r="USE53" s="1"/>
      <c r="USF53" s="1"/>
      <c r="USG53" s="1"/>
      <c r="USH53" s="1"/>
      <c r="USI53" s="1"/>
      <c r="USJ53" s="1"/>
      <c r="USK53" s="1"/>
      <c r="USL53" s="1"/>
      <c r="USM53" s="1"/>
      <c r="USN53" s="1"/>
      <c r="USO53" s="1"/>
      <c r="USP53" s="1"/>
      <c r="USQ53" s="1"/>
      <c r="USR53" s="1"/>
      <c r="USS53" s="1"/>
      <c r="UST53" s="1"/>
      <c r="USU53" s="1"/>
      <c r="USV53" s="1"/>
      <c r="USW53" s="1"/>
      <c r="USX53" s="1"/>
      <c r="USY53" s="1"/>
      <c r="USZ53" s="1"/>
      <c r="UTA53" s="1"/>
      <c r="UTB53" s="1"/>
      <c r="UTC53" s="1"/>
      <c r="UTD53" s="1"/>
      <c r="UTE53" s="1"/>
      <c r="UTF53" s="1"/>
      <c r="UTG53" s="1"/>
      <c r="UTH53" s="1"/>
      <c r="UTI53" s="1"/>
      <c r="UTJ53" s="1"/>
      <c r="UTK53" s="1"/>
      <c r="UTL53" s="1"/>
      <c r="UTM53" s="1"/>
      <c r="UTN53" s="1"/>
      <c r="UTO53" s="1"/>
      <c r="UTP53" s="1"/>
      <c r="UTQ53" s="1"/>
      <c r="UTR53" s="1"/>
      <c r="UTS53" s="1"/>
      <c r="UTT53" s="1"/>
      <c r="UTU53" s="1"/>
      <c r="UTV53" s="1"/>
      <c r="UTW53" s="1"/>
      <c r="UTX53" s="1"/>
      <c r="UTY53" s="1"/>
      <c r="UTZ53" s="1"/>
      <c r="UUA53" s="1"/>
      <c r="UUB53" s="1"/>
      <c r="UUC53" s="1"/>
      <c r="UUD53" s="1"/>
      <c r="UUE53" s="1"/>
      <c r="UUF53" s="1"/>
      <c r="UUG53" s="1"/>
      <c r="UUH53" s="1"/>
      <c r="UUI53" s="1"/>
      <c r="UUJ53" s="1"/>
      <c r="UUK53" s="1"/>
      <c r="UUL53" s="1"/>
      <c r="UUM53" s="1"/>
      <c r="UUN53" s="1"/>
      <c r="UUO53" s="1"/>
      <c r="UUP53" s="1"/>
      <c r="UUQ53" s="1"/>
      <c r="UUR53" s="1"/>
      <c r="UUS53" s="1"/>
      <c r="UUT53" s="1"/>
      <c r="UUU53" s="1"/>
      <c r="UUV53" s="1"/>
      <c r="UUW53" s="1"/>
      <c r="UUX53" s="1"/>
      <c r="UUY53" s="1"/>
      <c r="UUZ53" s="1"/>
      <c r="UVA53" s="1"/>
      <c r="UVB53" s="1"/>
      <c r="UVC53" s="1"/>
      <c r="UVD53" s="1"/>
      <c r="UVE53" s="1"/>
      <c r="UVF53" s="1"/>
      <c r="UVG53" s="1"/>
      <c r="UVH53" s="1"/>
      <c r="UVI53" s="1"/>
      <c r="UVJ53" s="1"/>
      <c r="UVK53" s="1"/>
      <c r="UVL53" s="1"/>
      <c r="UVM53" s="1"/>
      <c r="UVN53" s="1"/>
      <c r="UVO53" s="1"/>
      <c r="UVP53" s="1"/>
      <c r="UVQ53" s="1"/>
      <c r="UVR53" s="1"/>
      <c r="UVS53" s="1"/>
      <c r="UVT53" s="1"/>
      <c r="UVU53" s="1"/>
      <c r="UVV53" s="1"/>
      <c r="UVW53" s="1"/>
      <c r="UVX53" s="1"/>
      <c r="UVY53" s="1"/>
      <c r="UVZ53" s="1"/>
      <c r="UWA53" s="1"/>
      <c r="UWB53" s="1"/>
      <c r="UWC53" s="1"/>
      <c r="UWD53" s="1"/>
      <c r="UWE53" s="1"/>
      <c r="UWF53" s="1"/>
      <c r="UWG53" s="1"/>
      <c r="UWH53" s="1"/>
      <c r="UWI53" s="1"/>
      <c r="UWJ53" s="1"/>
      <c r="UWK53" s="1"/>
      <c r="UWL53" s="1"/>
      <c r="UWM53" s="1"/>
      <c r="UWN53" s="1"/>
      <c r="UWO53" s="1"/>
      <c r="UWP53" s="1"/>
      <c r="UWQ53" s="1"/>
      <c r="UWR53" s="1"/>
      <c r="UWS53" s="1"/>
      <c r="UWT53" s="1"/>
      <c r="UWU53" s="1"/>
      <c r="UWV53" s="1"/>
      <c r="UWW53" s="1"/>
      <c r="UWX53" s="1"/>
      <c r="UWY53" s="1"/>
      <c r="UWZ53" s="1"/>
      <c r="UXA53" s="1"/>
      <c r="UXB53" s="1"/>
      <c r="UXC53" s="1"/>
      <c r="UXD53" s="1"/>
      <c r="UXE53" s="1"/>
      <c r="UXF53" s="1"/>
      <c r="UXG53" s="1"/>
      <c r="UXH53" s="1"/>
      <c r="UXI53" s="1"/>
      <c r="UXJ53" s="1"/>
      <c r="UXK53" s="1"/>
      <c r="UXL53" s="1"/>
      <c r="UXM53" s="1"/>
      <c r="UXN53" s="1"/>
      <c r="UXO53" s="1"/>
      <c r="UXP53" s="1"/>
      <c r="UXQ53" s="1"/>
      <c r="UXR53" s="1"/>
      <c r="UXS53" s="1"/>
      <c r="UXT53" s="1"/>
      <c r="UXU53" s="1"/>
      <c r="UXV53" s="1"/>
      <c r="UXW53" s="1"/>
      <c r="UXX53" s="1"/>
      <c r="UXY53" s="1"/>
      <c r="UXZ53" s="1"/>
      <c r="UYA53" s="1"/>
      <c r="UYB53" s="1"/>
      <c r="UYC53" s="1"/>
      <c r="UYD53" s="1"/>
      <c r="UYE53" s="1"/>
      <c r="UYF53" s="1"/>
      <c r="UYG53" s="1"/>
      <c r="UYH53" s="1"/>
      <c r="UYI53" s="1"/>
      <c r="UYJ53" s="1"/>
      <c r="UYK53" s="1"/>
      <c r="UYL53" s="1"/>
      <c r="UYM53" s="1"/>
      <c r="UYN53" s="1"/>
      <c r="UYO53" s="1"/>
      <c r="UYP53" s="1"/>
      <c r="UYQ53" s="1"/>
      <c r="UYR53" s="1"/>
      <c r="UYS53" s="1"/>
      <c r="UYT53" s="1"/>
      <c r="UYU53" s="1"/>
      <c r="UYV53" s="1"/>
      <c r="UYW53" s="1"/>
      <c r="UYX53" s="1"/>
      <c r="UYY53" s="1"/>
      <c r="UYZ53" s="1"/>
      <c r="UZA53" s="1"/>
      <c r="UZB53" s="1"/>
      <c r="UZC53" s="1"/>
      <c r="UZD53" s="1"/>
      <c r="UZE53" s="1"/>
      <c r="UZF53" s="1"/>
      <c r="UZG53" s="1"/>
      <c r="UZH53" s="1"/>
      <c r="UZI53" s="1"/>
      <c r="UZJ53" s="1"/>
      <c r="UZK53" s="1"/>
      <c r="UZL53" s="1"/>
      <c r="UZM53" s="1"/>
      <c r="UZN53" s="1"/>
      <c r="UZO53" s="1"/>
      <c r="UZP53" s="1"/>
      <c r="UZQ53" s="1"/>
      <c r="UZR53" s="1"/>
      <c r="UZS53" s="1"/>
      <c r="UZT53" s="1"/>
      <c r="UZU53" s="1"/>
      <c r="UZV53" s="1"/>
      <c r="UZW53" s="1"/>
      <c r="UZX53" s="1"/>
      <c r="UZY53" s="1"/>
      <c r="UZZ53" s="1"/>
      <c r="VAA53" s="1"/>
      <c r="VAB53" s="1"/>
      <c r="VAC53" s="1"/>
      <c r="VAD53" s="1"/>
      <c r="VAE53" s="1"/>
      <c r="VAF53" s="1"/>
      <c r="VAG53" s="1"/>
      <c r="VAH53" s="1"/>
      <c r="VAI53" s="1"/>
      <c r="VAJ53" s="1"/>
      <c r="VAK53" s="1"/>
      <c r="VAL53" s="1"/>
      <c r="VAM53" s="1"/>
      <c r="VAN53" s="1"/>
      <c r="VAO53" s="1"/>
      <c r="VAP53" s="1"/>
      <c r="VAQ53" s="1"/>
      <c r="VAR53" s="1"/>
      <c r="VAS53" s="1"/>
      <c r="VAT53" s="1"/>
      <c r="VAU53" s="1"/>
      <c r="VAV53" s="1"/>
      <c r="VAW53" s="1"/>
      <c r="VAX53" s="1"/>
      <c r="VAY53" s="1"/>
      <c r="VAZ53" s="1"/>
      <c r="VBA53" s="1"/>
      <c r="VBB53" s="1"/>
      <c r="VBC53" s="1"/>
      <c r="VBD53" s="1"/>
      <c r="VBE53" s="1"/>
      <c r="VBF53" s="1"/>
      <c r="VBG53" s="1"/>
      <c r="VBH53" s="1"/>
      <c r="VBI53" s="1"/>
      <c r="VBJ53" s="1"/>
      <c r="VBK53" s="1"/>
      <c r="VBL53" s="1"/>
      <c r="VBM53" s="1"/>
      <c r="VBN53" s="1"/>
      <c r="VBO53" s="1"/>
      <c r="VBP53" s="1"/>
      <c r="VBQ53" s="1"/>
      <c r="VBR53" s="1"/>
      <c r="VBS53" s="1"/>
      <c r="VBT53" s="1"/>
      <c r="VBU53" s="1"/>
      <c r="VBV53" s="1"/>
      <c r="VBW53" s="1"/>
      <c r="VBX53" s="1"/>
      <c r="VBY53" s="1"/>
      <c r="VBZ53" s="1"/>
      <c r="VCA53" s="1"/>
      <c r="VCB53" s="1"/>
      <c r="VCC53" s="1"/>
      <c r="VCD53" s="1"/>
      <c r="VCE53" s="1"/>
      <c r="VCF53" s="1"/>
      <c r="VCG53" s="1"/>
      <c r="VCH53" s="1"/>
      <c r="VCI53" s="1"/>
      <c r="VCJ53" s="1"/>
      <c r="VCK53" s="1"/>
      <c r="VCL53" s="1"/>
      <c r="VCM53" s="1"/>
      <c r="VCN53" s="1"/>
      <c r="VCO53" s="1"/>
      <c r="VCP53" s="1"/>
      <c r="VCQ53" s="1"/>
      <c r="VCR53" s="1"/>
      <c r="VCS53" s="1"/>
      <c r="VCT53" s="1"/>
      <c r="VCU53" s="1"/>
      <c r="VCV53" s="1"/>
      <c r="VCW53" s="1"/>
      <c r="VCX53" s="1"/>
      <c r="VCY53" s="1"/>
      <c r="VCZ53" s="1"/>
      <c r="VDA53" s="1"/>
      <c r="VDB53" s="1"/>
      <c r="VDC53" s="1"/>
      <c r="VDD53" s="1"/>
      <c r="VDE53" s="1"/>
      <c r="VDF53" s="1"/>
      <c r="VDG53" s="1"/>
      <c r="VDH53" s="1"/>
      <c r="VDI53" s="1"/>
      <c r="VDJ53" s="1"/>
      <c r="VDK53" s="1"/>
      <c r="VDL53" s="1"/>
      <c r="VDM53" s="1"/>
      <c r="VDN53" s="1"/>
      <c r="VDO53" s="1"/>
      <c r="VDP53" s="1"/>
      <c r="VDQ53" s="1"/>
      <c r="VDR53" s="1"/>
      <c r="VDS53" s="1"/>
      <c r="VDT53" s="1"/>
      <c r="VDU53" s="1"/>
      <c r="VDV53" s="1"/>
      <c r="VDW53" s="1"/>
      <c r="VDX53" s="1"/>
      <c r="VDY53" s="1"/>
      <c r="VDZ53" s="1"/>
      <c r="VEA53" s="1"/>
      <c r="VEB53" s="1"/>
      <c r="VEC53" s="1"/>
      <c r="VED53" s="1"/>
      <c r="VEE53" s="1"/>
      <c r="VEF53" s="1"/>
      <c r="VEG53" s="1"/>
      <c r="VEH53" s="1"/>
      <c r="VEI53" s="1"/>
      <c r="VEJ53" s="1"/>
      <c r="VEK53" s="1"/>
      <c r="VEL53" s="1"/>
      <c r="VEM53" s="1"/>
      <c r="VEN53" s="1"/>
      <c r="VEO53" s="1"/>
      <c r="VEP53" s="1"/>
      <c r="VEQ53" s="1"/>
      <c r="VER53" s="1"/>
      <c r="VES53" s="1"/>
      <c r="VET53" s="1"/>
      <c r="VEU53" s="1"/>
      <c r="VEV53" s="1"/>
      <c r="VEW53" s="1"/>
      <c r="VEX53" s="1"/>
      <c r="VEY53" s="1"/>
      <c r="VEZ53" s="1"/>
      <c r="VFA53" s="1"/>
      <c r="VFB53" s="1"/>
      <c r="VFC53" s="1"/>
      <c r="VFD53" s="1"/>
      <c r="VFE53" s="1"/>
      <c r="VFF53" s="1"/>
      <c r="VFG53" s="1"/>
      <c r="VFH53" s="1"/>
      <c r="VFI53" s="1"/>
      <c r="VFJ53" s="1"/>
      <c r="VFK53" s="1"/>
      <c r="VFL53" s="1"/>
      <c r="VFM53" s="1"/>
      <c r="VFN53" s="1"/>
      <c r="VFO53" s="1"/>
      <c r="VFP53" s="1"/>
      <c r="VFQ53" s="1"/>
      <c r="VFR53" s="1"/>
      <c r="VFS53" s="1"/>
      <c r="VFT53" s="1"/>
      <c r="VFU53" s="1"/>
      <c r="VFV53" s="1"/>
      <c r="VFW53" s="1"/>
      <c r="VFX53" s="1"/>
      <c r="VFY53" s="1"/>
      <c r="VFZ53" s="1"/>
      <c r="VGA53" s="1"/>
      <c r="VGB53" s="1"/>
      <c r="VGC53" s="1"/>
      <c r="VGD53" s="1"/>
      <c r="VGE53" s="1"/>
      <c r="VGF53" s="1"/>
      <c r="VGG53" s="1"/>
      <c r="VGH53" s="1"/>
      <c r="VGI53" s="1"/>
      <c r="VGJ53" s="1"/>
      <c r="VGK53" s="1"/>
      <c r="VGL53" s="1"/>
      <c r="VGM53" s="1"/>
      <c r="VGN53" s="1"/>
      <c r="VGO53" s="1"/>
      <c r="VGP53" s="1"/>
      <c r="VGQ53" s="1"/>
      <c r="VGR53" s="1"/>
      <c r="VGS53" s="1"/>
      <c r="VGT53" s="1"/>
      <c r="VGU53" s="1"/>
      <c r="VGV53" s="1"/>
      <c r="VGW53" s="1"/>
      <c r="VGX53" s="1"/>
      <c r="VGY53" s="1"/>
      <c r="VGZ53" s="1"/>
      <c r="VHA53" s="1"/>
      <c r="VHB53" s="1"/>
      <c r="VHC53" s="1"/>
      <c r="VHD53" s="1"/>
      <c r="VHE53" s="1"/>
      <c r="VHF53" s="1"/>
      <c r="VHG53" s="1"/>
      <c r="VHH53" s="1"/>
      <c r="VHI53" s="1"/>
      <c r="VHJ53" s="1"/>
      <c r="VHK53" s="1"/>
      <c r="VHL53" s="1"/>
      <c r="VHM53" s="1"/>
      <c r="VHN53" s="1"/>
      <c r="VHO53" s="1"/>
      <c r="VHP53" s="1"/>
      <c r="VHQ53" s="1"/>
      <c r="VHR53" s="1"/>
      <c r="VHS53" s="1"/>
      <c r="VHT53" s="1"/>
      <c r="VHU53" s="1"/>
      <c r="VHV53" s="1"/>
      <c r="VHW53" s="1"/>
      <c r="VHX53" s="1"/>
      <c r="VHY53" s="1"/>
      <c r="VHZ53" s="1"/>
      <c r="VIA53" s="1"/>
      <c r="VIB53" s="1"/>
      <c r="VIC53" s="1"/>
      <c r="VID53" s="1"/>
      <c r="VIE53" s="1"/>
      <c r="VIF53" s="1"/>
      <c r="VIG53" s="1"/>
      <c r="VIH53" s="1"/>
      <c r="VII53" s="1"/>
      <c r="VIJ53" s="1"/>
      <c r="VIK53" s="1"/>
      <c r="VIL53" s="1"/>
      <c r="VIM53" s="1"/>
      <c r="VIN53" s="1"/>
      <c r="VIO53" s="1"/>
      <c r="VIP53" s="1"/>
      <c r="VIQ53" s="1"/>
      <c r="VIR53" s="1"/>
      <c r="VIS53" s="1"/>
      <c r="VIT53" s="1"/>
      <c r="VIU53" s="1"/>
      <c r="VIV53" s="1"/>
      <c r="VIW53" s="1"/>
      <c r="VIX53" s="1"/>
      <c r="VIY53" s="1"/>
      <c r="VIZ53" s="1"/>
      <c r="VJA53" s="1"/>
      <c r="VJB53" s="1"/>
      <c r="VJC53" s="1"/>
      <c r="VJD53" s="1"/>
      <c r="VJE53" s="1"/>
      <c r="VJF53" s="1"/>
      <c r="VJG53" s="1"/>
      <c r="VJH53" s="1"/>
      <c r="VJI53" s="1"/>
      <c r="VJJ53" s="1"/>
      <c r="VJK53" s="1"/>
      <c r="VJL53" s="1"/>
      <c r="VJM53" s="1"/>
      <c r="VJN53" s="1"/>
      <c r="VJO53" s="1"/>
      <c r="VJP53" s="1"/>
      <c r="VJQ53" s="1"/>
      <c r="VJR53" s="1"/>
      <c r="VJS53" s="1"/>
      <c r="VJT53" s="1"/>
      <c r="VJU53" s="1"/>
      <c r="VJV53" s="1"/>
      <c r="VJW53" s="1"/>
      <c r="VJX53" s="1"/>
      <c r="VJY53" s="1"/>
      <c r="VJZ53" s="1"/>
      <c r="VKA53" s="1"/>
      <c r="VKB53" s="1"/>
      <c r="VKC53" s="1"/>
      <c r="VKD53" s="1"/>
      <c r="VKE53" s="1"/>
      <c r="VKF53" s="1"/>
      <c r="VKG53" s="1"/>
      <c r="VKH53" s="1"/>
      <c r="VKI53" s="1"/>
      <c r="VKJ53" s="1"/>
      <c r="VKK53" s="1"/>
      <c r="VKL53" s="1"/>
      <c r="VKM53" s="1"/>
      <c r="VKN53" s="1"/>
      <c r="VKO53" s="1"/>
      <c r="VKP53" s="1"/>
      <c r="VKQ53" s="1"/>
      <c r="VKR53" s="1"/>
      <c r="VKS53" s="1"/>
      <c r="VKT53" s="1"/>
      <c r="VKU53" s="1"/>
      <c r="VKV53" s="1"/>
      <c r="VKW53" s="1"/>
      <c r="VKX53" s="1"/>
      <c r="VKY53" s="1"/>
      <c r="VKZ53" s="1"/>
      <c r="VLA53" s="1"/>
      <c r="VLB53" s="1"/>
      <c r="VLC53" s="1"/>
      <c r="VLD53" s="1"/>
      <c r="VLE53" s="1"/>
      <c r="VLF53" s="1"/>
      <c r="VLG53" s="1"/>
      <c r="VLH53" s="1"/>
      <c r="VLI53" s="1"/>
      <c r="VLJ53" s="1"/>
      <c r="VLK53" s="1"/>
      <c r="VLL53" s="1"/>
      <c r="VLM53" s="1"/>
      <c r="VLN53" s="1"/>
      <c r="VLO53" s="1"/>
      <c r="VLP53" s="1"/>
      <c r="VLQ53" s="1"/>
      <c r="VLR53" s="1"/>
      <c r="VLS53" s="1"/>
      <c r="VLT53" s="1"/>
      <c r="VLU53" s="1"/>
      <c r="VLV53" s="1"/>
      <c r="VLW53" s="1"/>
      <c r="VLX53" s="1"/>
      <c r="VLY53" s="1"/>
      <c r="VLZ53" s="1"/>
      <c r="VMA53" s="1"/>
      <c r="VMB53" s="1"/>
      <c r="VMC53" s="1"/>
      <c r="VMD53" s="1"/>
      <c r="VME53" s="1"/>
      <c r="VMF53" s="1"/>
      <c r="VMG53" s="1"/>
      <c r="VMH53" s="1"/>
      <c r="VMI53" s="1"/>
      <c r="VMJ53" s="1"/>
      <c r="VMK53" s="1"/>
      <c r="VML53" s="1"/>
      <c r="VMM53" s="1"/>
      <c r="VMN53" s="1"/>
      <c r="VMO53" s="1"/>
      <c r="VMP53" s="1"/>
      <c r="VMQ53" s="1"/>
      <c r="VMR53" s="1"/>
      <c r="VMS53" s="1"/>
      <c r="VMT53" s="1"/>
      <c r="VMU53" s="1"/>
      <c r="VMV53" s="1"/>
      <c r="VMW53" s="1"/>
      <c r="VMX53" s="1"/>
      <c r="VMY53" s="1"/>
      <c r="VMZ53" s="1"/>
      <c r="VNA53" s="1"/>
      <c r="VNB53" s="1"/>
      <c r="VNC53" s="1"/>
      <c r="VND53" s="1"/>
      <c r="VNE53" s="1"/>
      <c r="VNF53" s="1"/>
      <c r="VNG53" s="1"/>
      <c r="VNH53" s="1"/>
      <c r="VNI53" s="1"/>
      <c r="VNJ53" s="1"/>
      <c r="VNK53" s="1"/>
      <c r="VNL53" s="1"/>
      <c r="VNM53" s="1"/>
      <c r="VNN53" s="1"/>
      <c r="VNO53" s="1"/>
      <c r="VNP53" s="1"/>
      <c r="VNQ53" s="1"/>
      <c r="VNR53" s="1"/>
      <c r="VNS53" s="1"/>
      <c r="VNT53" s="1"/>
      <c r="VNU53" s="1"/>
      <c r="VNV53" s="1"/>
      <c r="VNW53" s="1"/>
      <c r="VNX53" s="1"/>
      <c r="VNY53" s="1"/>
      <c r="VNZ53" s="1"/>
      <c r="VOA53" s="1"/>
      <c r="VOB53" s="1"/>
      <c r="VOC53" s="1"/>
      <c r="VOD53" s="1"/>
      <c r="VOE53" s="1"/>
      <c r="VOF53" s="1"/>
      <c r="VOG53" s="1"/>
      <c r="VOH53" s="1"/>
      <c r="VOI53" s="1"/>
      <c r="VOJ53" s="1"/>
      <c r="VOK53" s="1"/>
      <c r="VOL53" s="1"/>
      <c r="VOM53" s="1"/>
      <c r="VON53" s="1"/>
      <c r="VOO53" s="1"/>
      <c r="VOP53" s="1"/>
      <c r="VOQ53" s="1"/>
      <c r="VOR53" s="1"/>
      <c r="VOS53" s="1"/>
      <c r="VOT53" s="1"/>
      <c r="VOU53" s="1"/>
      <c r="VOV53" s="1"/>
      <c r="VOW53" s="1"/>
      <c r="VOX53" s="1"/>
      <c r="VOY53" s="1"/>
      <c r="VOZ53" s="1"/>
      <c r="VPA53" s="1"/>
      <c r="VPB53" s="1"/>
      <c r="VPC53" s="1"/>
      <c r="VPD53" s="1"/>
      <c r="VPE53" s="1"/>
      <c r="VPF53" s="1"/>
      <c r="VPG53" s="1"/>
      <c r="VPH53" s="1"/>
      <c r="VPI53" s="1"/>
      <c r="VPJ53" s="1"/>
      <c r="VPK53" s="1"/>
      <c r="VPL53" s="1"/>
      <c r="VPM53" s="1"/>
      <c r="VPN53" s="1"/>
      <c r="VPO53" s="1"/>
      <c r="VPP53" s="1"/>
      <c r="VPQ53" s="1"/>
      <c r="VPR53" s="1"/>
      <c r="VPS53" s="1"/>
      <c r="VPT53" s="1"/>
      <c r="VPU53" s="1"/>
      <c r="VPV53" s="1"/>
      <c r="VPW53" s="1"/>
      <c r="VPX53" s="1"/>
      <c r="VPY53" s="1"/>
      <c r="VPZ53" s="1"/>
      <c r="VQA53" s="1"/>
      <c r="VQB53" s="1"/>
      <c r="VQC53" s="1"/>
      <c r="VQD53" s="1"/>
      <c r="VQE53" s="1"/>
      <c r="VQF53" s="1"/>
      <c r="VQG53" s="1"/>
      <c r="VQH53" s="1"/>
      <c r="VQI53" s="1"/>
      <c r="VQJ53" s="1"/>
      <c r="VQK53" s="1"/>
      <c r="VQL53" s="1"/>
      <c r="VQM53" s="1"/>
      <c r="VQN53" s="1"/>
      <c r="VQO53" s="1"/>
      <c r="VQP53" s="1"/>
      <c r="VQQ53" s="1"/>
      <c r="VQR53" s="1"/>
      <c r="VQS53" s="1"/>
      <c r="VQT53" s="1"/>
      <c r="VQU53" s="1"/>
      <c r="VQV53" s="1"/>
      <c r="VQW53" s="1"/>
      <c r="VQX53" s="1"/>
      <c r="VQY53" s="1"/>
      <c r="VQZ53" s="1"/>
      <c r="VRA53" s="1"/>
      <c r="VRB53" s="1"/>
      <c r="VRC53" s="1"/>
      <c r="VRD53" s="1"/>
      <c r="VRE53" s="1"/>
      <c r="VRF53" s="1"/>
      <c r="VRG53" s="1"/>
      <c r="VRH53" s="1"/>
      <c r="VRI53" s="1"/>
      <c r="VRJ53" s="1"/>
      <c r="VRK53" s="1"/>
      <c r="VRL53" s="1"/>
      <c r="VRM53" s="1"/>
      <c r="VRN53" s="1"/>
      <c r="VRO53" s="1"/>
      <c r="VRP53" s="1"/>
      <c r="VRQ53" s="1"/>
      <c r="VRR53" s="1"/>
      <c r="VRS53" s="1"/>
      <c r="VRT53" s="1"/>
      <c r="VRU53" s="1"/>
      <c r="VRV53" s="1"/>
      <c r="VRW53" s="1"/>
      <c r="VRX53" s="1"/>
      <c r="VRY53" s="1"/>
      <c r="VRZ53" s="1"/>
      <c r="VSA53" s="1"/>
      <c r="VSB53" s="1"/>
      <c r="VSC53" s="1"/>
      <c r="VSD53" s="1"/>
      <c r="VSE53" s="1"/>
      <c r="VSF53" s="1"/>
      <c r="VSG53" s="1"/>
      <c r="VSH53" s="1"/>
      <c r="VSI53" s="1"/>
      <c r="VSJ53" s="1"/>
      <c r="VSK53" s="1"/>
      <c r="VSL53" s="1"/>
      <c r="VSM53" s="1"/>
      <c r="VSN53" s="1"/>
      <c r="VSO53" s="1"/>
      <c r="VSP53" s="1"/>
      <c r="VSQ53" s="1"/>
      <c r="VSR53" s="1"/>
      <c r="VSS53" s="1"/>
      <c r="VST53" s="1"/>
      <c r="VSU53" s="1"/>
      <c r="VSV53" s="1"/>
      <c r="VSW53" s="1"/>
      <c r="VSX53" s="1"/>
      <c r="VSY53" s="1"/>
      <c r="VSZ53" s="1"/>
      <c r="VTA53" s="1"/>
      <c r="VTB53" s="1"/>
      <c r="VTC53" s="1"/>
      <c r="VTD53" s="1"/>
      <c r="VTE53" s="1"/>
      <c r="VTF53" s="1"/>
      <c r="VTG53" s="1"/>
      <c r="VTH53" s="1"/>
      <c r="VTI53" s="1"/>
      <c r="VTJ53" s="1"/>
      <c r="VTK53" s="1"/>
      <c r="VTL53" s="1"/>
      <c r="VTM53" s="1"/>
      <c r="VTN53" s="1"/>
      <c r="VTO53" s="1"/>
      <c r="VTP53" s="1"/>
      <c r="VTQ53" s="1"/>
      <c r="VTR53" s="1"/>
      <c r="VTS53" s="1"/>
      <c r="VTT53" s="1"/>
      <c r="VTU53" s="1"/>
      <c r="VTV53" s="1"/>
      <c r="VTW53" s="1"/>
      <c r="VTX53" s="1"/>
      <c r="VTY53" s="1"/>
      <c r="VTZ53" s="1"/>
      <c r="VUA53" s="1"/>
      <c r="VUB53" s="1"/>
      <c r="VUC53" s="1"/>
      <c r="VUD53" s="1"/>
      <c r="VUE53" s="1"/>
      <c r="VUF53" s="1"/>
      <c r="VUG53" s="1"/>
      <c r="VUH53" s="1"/>
      <c r="VUI53" s="1"/>
      <c r="VUJ53" s="1"/>
      <c r="VUK53" s="1"/>
      <c r="VUL53" s="1"/>
      <c r="VUM53" s="1"/>
      <c r="VUN53" s="1"/>
      <c r="VUO53" s="1"/>
      <c r="VUP53" s="1"/>
      <c r="VUQ53" s="1"/>
      <c r="VUR53" s="1"/>
      <c r="VUS53" s="1"/>
      <c r="VUT53" s="1"/>
      <c r="VUU53" s="1"/>
      <c r="VUV53" s="1"/>
      <c r="VUW53" s="1"/>
      <c r="VUX53" s="1"/>
      <c r="VUY53" s="1"/>
      <c r="VUZ53" s="1"/>
      <c r="VVA53" s="1"/>
      <c r="VVB53" s="1"/>
      <c r="VVC53" s="1"/>
      <c r="VVD53" s="1"/>
      <c r="VVE53" s="1"/>
      <c r="VVF53" s="1"/>
      <c r="VVG53" s="1"/>
      <c r="VVH53" s="1"/>
      <c r="VVI53" s="1"/>
      <c r="VVJ53" s="1"/>
      <c r="VVK53" s="1"/>
      <c r="VVL53" s="1"/>
      <c r="VVM53" s="1"/>
      <c r="VVN53" s="1"/>
      <c r="VVO53" s="1"/>
      <c r="VVP53" s="1"/>
      <c r="VVQ53" s="1"/>
      <c r="VVR53" s="1"/>
      <c r="VVS53" s="1"/>
      <c r="VVT53" s="1"/>
      <c r="VVU53" s="1"/>
      <c r="VVV53" s="1"/>
      <c r="VVW53" s="1"/>
      <c r="VVX53" s="1"/>
      <c r="VVY53" s="1"/>
      <c r="VVZ53" s="1"/>
      <c r="VWA53" s="1"/>
      <c r="VWB53" s="1"/>
      <c r="VWC53" s="1"/>
      <c r="VWD53" s="1"/>
      <c r="VWE53" s="1"/>
      <c r="VWF53" s="1"/>
      <c r="VWG53" s="1"/>
      <c r="VWH53" s="1"/>
      <c r="VWI53" s="1"/>
      <c r="VWJ53" s="1"/>
      <c r="VWK53" s="1"/>
      <c r="VWL53" s="1"/>
      <c r="VWM53" s="1"/>
      <c r="VWN53" s="1"/>
      <c r="VWO53" s="1"/>
      <c r="VWP53" s="1"/>
      <c r="VWQ53" s="1"/>
      <c r="VWR53" s="1"/>
      <c r="VWS53" s="1"/>
      <c r="VWT53" s="1"/>
      <c r="VWU53" s="1"/>
      <c r="VWV53" s="1"/>
      <c r="VWW53" s="1"/>
      <c r="VWX53" s="1"/>
      <c r="VWY53" s="1"/>
      <c r="VWZ53" s="1"/>
      <c r="VXA53" s="1"/>
      <c r="VXB53" s="1"/>
      <c r="VXC53" s="1"/>
      <c r="VXD53" s="1"/>
      <c r="VXE53" s="1"/>
      <c r="VXF53" s="1"/>
      <c r="VXG53" s="1"/>
      <c r="VXH53" s="1"/>
      <c r="VXI53" s="1"/>
      <c r="VXJ53" s="1"/>
      <c r="VXK53" s="1"/>
      <c r="VXL53" s="1"/>
      <c r="VXM53" s="1"/>
      <c r="VXN53" s="1"/>
      <c r="VXO53" s="1"/>
      <c r="VXP53" s="1"/>
      <c r="VXQ53" s="1"/>
      <c r="VXR53" s="1"/>
      <c r="VXS53" s="1"/>
      <c r="VXT53" s="1"/>
      <c r="VXU53" s="1"/>
      <c r="VXV53" s="1"/>
      <c r="VXW53" s="1"/>
      <c r="VXX53" s="1"/>
      <c r="VXY53" s="1"/>
      <c r="VXZ53" s="1"/>
      <c r="VYA53" s="1"/>
      <c r="VYB53" s="1"/>
      <c r="VYC53" s="1"/>
      <c r="VYD53" s="1"/>
      <c r="VYE53" s="1"/>
      <c r="VYF53" s="1"/>
      <c r="VYG53" s="1"/>
      <c r="VYH53" s="1"/>
      <c r="VYI53" s="1"/>
      <c r="VYJ53" s="1"/>
      <c r="VYK53" s="1"/>
      <c r="VYL53" s="1"/>
      <c r="VYM53" s="1"/>
      <c r="VYN53" s="1"/>
      <c r="VYO53" s="1"/>
      <c r="VYP53" s="1"/>
      <c r="VYQ53" s="1"/>
      <c r="VYR53" s="1"/>
      <c r="VYS53" s="1"/>
      <c r="VYT53" s="1"/>
      <c r="VYU53" s="1"/>
      <c r="VYV53" s="1"/>
      <c r="VYW53" s="1"/>
      <c r="VYX53" s="1"/>
      <c r="VYY53" s="1"/>
      <c r="VYZ53" s="1"/>
      <c r="VZA53" s="1"/>
      <c r="VZB53" s="1"/>
      <c r="VZC53" s="1"/>
      <c r="VZD53" s="1"/>
      <c r="VZE53" s="1"/>
      <c r="VZF53" s="1"/>
      <c r="VZG53" s="1"/>
      <c r="VZH53" s="1"/>
      <c r="VZI53" s="1"/>
      <c r="VZJ53" s="1"/>
      <c r="VZK53" s="1"/>
      <c r="VZL53" s="1"/>
      <c r="VZM53" s="1"/>
      <c r="VZN53" s="1"/>
      <c r="VZO53" s="1"/>
      <c r="VZP53" s="1"/>
      <c r="VZQ53" s="1"/>
      <c r="VZR53" s="1"/>
      <c r="VZS53" s="1"/>
      <c r="VZT53" s="1"/>
      <c r="VZU53" s="1"/>
      <c r="VZV53" s="1"/>
      <c r="VZW53" s="1"/>
      <c r="VZX53" s="1"/>
      <c r="VZY53" s="1"/>
      <c r="VZZ53" s="1"/>
      <c r="WAA53" s="1"/>
      <c r="WAB53" s="1"/>
      <c r="WAC53" s="1"/>
      <c r="WAD53" s="1"/>
      <c r="WAE53" s="1"/>
      <c r="WAF53" s="1"/>
      <c r="WAG53" s="1"/>
      <c r="WAH53" s="1"/>
      <c r="WAI53" s="1"/>
      <c r="WAJ53" s="1"/>
      <c r="WAK53" s="1"/>
      <c r="WAL53" s="1"/>
      <c r="WAM53" s="1"/>
      <c r="WAN53" s="1"/>
      <c r="WAO53" s="1"/>
      <c r="WAP53" s="1"/>
      <c r="WAQ53" s="1"/>
      <c r="WAR53" s="1"/>
      <c r="WAS53" s="1"/>
      <c r="WAT53" s="1"/>
      <c r="WAU53" s="1"/>
      <c r="WAV53" s="1"/>
      <c r="WAW53" s="1"/>
      <c r="WAX53" s="1"/>
      <c r="WAY53" s="1"/>
      <c r="WAZ53" s="1"/>
      <c r="WBA53" s="1"/>
      <c r="WBB53" s="1"/>
      <c r="WBC53" s="1"/>
      <c r="WBD53" s="1"/>
      <c r="WBE53" s="1"/>
      <c r="WBF53" s="1"/>
      <c r="WBG53" s="1"/>
      <c r="WBH53" s="1"/>
      <c r="WBI53" s="1"/>
      <c r="WBJ53" s="1"/>
      <c r="WBK53" s="1"/>
      <c r="WBL53" s="1"/>
      <c r="WBM53" s="1"/>
      <c r="WBN53" s="1"/>
      <c r="WBO53" s="1"/>
      <c r="WBP53" s="1"/>
      <c r="WBQ53" s="1"/>
      <c r="WBR53" s="1"/>
      <c r="WBS53" s="1"/>
      <c r="WBT53" s="1"/>
      <c r="WBU53" s="1"/>
      <c r="WBV53" s="1"/>
      <c r="WBW53" s="1"/>
      <c r="WBX53" s="1"/>
      <c r="WBY53" s="1"/>
      <c r="WBZ53" s="1"/>
      <c r="WCA53" s="1"/>
      <c r="WCB53" s="1"/>
      <c r="WCC53" s="1"/>
      <c r="WCD53" s="1"/>
      <c r="WCE53" s="1"/>
      <c r="WCF53" s="1"/>
      <c r="WCG53" s="1"/>
      <c r="WCH53" s="1"/>
      <c r="WCI53" s="1"/>
      <c r="WCJ53" s="1"/>
      <c r="WCK53" s="1"/>
      <c r="WCL53" s="1"/>
      <c r="WCM53" s="1"/>
      <c r="WCN53" s="1"/>
      <c r="WCO53" s="1"/>
      <c r="WCP53" s="1"/>
      <c r="WCQ53" s="1"/>
      <c r="WCR53" s="1"/>
      <c r="WCS53" s="1"/>
      <c r="WCT53" s="1"/>
      <c r="WCU53" s="1"/>
      <c r="WCV53" s="1"/>
      <c r="WCW53" s="1"/>
      <c r="WCX53" s="1"/>
      <c r="WCY53" s="1"/>
      <c r="WCZ53" s="1"/>
      <c r="WDA53" s="1"/>
      <c r="WDB53" s="1"/>
      <c r="WDC53" s="1"/>
      <c r="WDD53" s="1"/>
      <c r="WDE53" s="1"/>
      <c r="WDF53" s="1"/>
      <c r="WDG53" s="1"/>
      <c r="WDH53" s="1"/>
      <c r="WDI53" s="1"/>
      <c r="WDJ53" s="1"/>
      <c r="WDK53" s="1"/>
      <c r="WDL53" s="1"/>
      <c r="WDM53" s="1"/>
      <c r="WDN53" s="1"/>
      <c r="WDO53" s="1"/>
      <c r="WDP53" s="1"/>
      <c r="WDQ53" s="1"/>
      <c r="WDR53" s="1"/>
      <c r="WDS53" s="1"/>
      <c r="WDT53" s="1"/>
      <c r="WDU53" s="1"/>
      <c r="WDV53" s="1"/>
      <c r="WDW53" s="1"/>
      <c r="WDX53" s="1"/>
      <c r="WDY53" s="1"/>
      <c r="WDZ53" s="1"/>
      <c r="WEA53" s="1"/>
      <c r="WEB53" s="1"/>
      <c r="WEC53" s="1"/>
      <c r="WED53" s="1"/>
      <c r="WEE53" s="1"/>
      <c r="WEF53" s="1"/>
      <c r="WEG53" s="1"/>
      <c r="WEH53" s="1"/>
      <c r="WEI53" s="1"/>
      <c r="WEJ53" s="1"/>
      <c r="WEK53" s="1"/>
      <c r="WEL53" s="1"/>
      <c r="WEM53" s="1"/>
      <c r="WEN53" s="1"/>
      <c r="WEO53" s="1"/>
      <c r="WEP53" s="1"/>
      <c r="WEQ53" s="1"/>
      <c r="WER53" s="1"/>
      <c r="WES53" s="1"/>
      <c r="WET53" s="1"/>
      <c r="WEU53" s="1"/>
      <c r="WEV53" s="1"/>
      <c r="WEW53" s="1"/>
      <c r="WEX53" s="1"/>
      <c r="WEY53" s="1"/>
      <c r="WEZ53" s="1"/>
      <c r="WFA53" s="1"/>
      <c r="WFB53" s="1"/>
      <c r="WFC53" s="1"/>
      <c r="WFD53" s="1"/>
      <c r="WFE53" s="1"/>
      <c r="WFF53" s="1"/>
      <c r="WFG53" s="1"/>
      <c r="WFH53" s="1"/>
      <c r="WFI53" s="1"/>
      <c r="WFJ53" s="1"/>
      <c r="WFK53" s="1"/>
      <c r="WFL53" s="1"/>
      <c r="WFM53" s="1"/>
      <c r="WFN53" s="1"/>
      <c r="WFO53" s="1"/>
      <c r="WFP53" s="1"/>
      <c r="WFQ53" s="1"/>
      <c r="WFR53" s="1"/>
      <c r="WFS53" s="1"/>
      <c r="WFT53" s="1"/>
      <c r="WFU53" s="1"/>
      <c r="WFV53" s="1"/>
      <c r="WFW53" s="1"/>
      <c r="WFX53" s="1"/>
      <c r="WFY53" s="1"/>
      <c r="WFZ53" s="1"/>
      <c r="WGA53" s="1"/>
      <c r="WGB53" s="1"/>
      <c r="WGC53" s="1"/>
      <c r="WGD53" s="1"/>
      <c r="WGE53" s="1"/>
      <c r="WGF53" s="1"/>
      <c r="WGG53" s="1"/>
      <c r="WGH53" s="1"/>
      <c r="WGI53" s="1"/>
      <c r="WGJ53" s="1"/>
      <c r="WGK53" s="1"/>
      <c r="WGL53" s="1"/>
      <c r="WGM53" s="1"/>
      <c r="WGN53" s="1"/>
      <c r="WGO53" s="1"/>
      <c r="WGP53" s="1"/>
      <c r="WGQ53" s="1"/>
      <c r="WGR53" s="1"/>
      <c r="WGS53" s="1"/>
      <c r="WGT53" s="1"/>
      <c r="WGU53" s="1"/>
      <c r="WGV53" s="1"/>
      <c r="WGW53" s="1"/>
      <c r="WGX53" s="1"/>
      <c r="WGY53" s="1"/>
      <c r="WGZ53" s="1"/>
      <c r="WHA53" s="1"/>
      <c r="WHB53" s="1"/>
      <c r="WHC53" s="1"/>
      <c r="WHD53" s="1"/>
      <c r="WHE53" s="1"/>
      <c r="WHF53" s="1"/>
      <c r="WHG53" s="1"/>
      <c r="WHH53" s="1"/>
      <c r="WHI53" s="1"/>
      <c r="WHJ53" s="1"/>
      <c r="WHK53" s="1"/>
      <c r="WHL53" s="1"/>
      <c r="WHM53" s="1"/>
      <c r="WHN53" s="1"/>
      <c r="WHO53" s="1"/>
      <c r="WHP53" s="1"/>
      <c r="WHQ53" s="1"/>
      <c r="WHR53" s="1"/>
      <c r="WHS53" s="1"/>
      <c r="WHT53" s="1"/>
      <c r="WHU53" s="1"/>
      <c r="WHV53" s="1"/>
      <c r="WHW53" s="1"/>
      <c r="WHX53" s="1"/>
      <c r="WHY53" s="1"/>
      <c r="WHZ53" s="1"/>
      <c r="WIA53" s="1"/>
      <c r="WIB53" s="1"/>
      <c r="WIC53" s="1"/>
      <c r="WID53" s="1"/>
      <c r="WIE53" s="1"/>
      <c r="WIF53" s="1"/>
      <c r="WIG53" s="1"/>
      <c r="WIH53" s="1"/>
      <c r="WII53" s="1"/>
      <c r="WIJ53" s="1"/>
      <c r="WIK53" s="1"/>
      <c r="WIL53" s="1"/>
      <c r="WIM53" s="1"/>
      <c r="WIN53" s="1"/>
      <c r="WIO53" s="1"/>
      <c r="WIP53" s="1"/>
      <c r="WIQ53" s="1"/>
      <c r="WIR53" s="1"/>
      <c r="WIS53" s="1"/>
      <c r="WIT53" s="1"/>
      <c r="WIU53" s="1"/>
      <c r="WIV53" s="1"/>
      <c r="WIW53" s="1"/>
      <c r="WIX53" s="1"/>
      <c r="WIY53" s="1"/>
      <c r="WIZ53" s="1"/>
      <c r="WJA53" s="1"/>
      <c r="WJB53" s="1"/>
      <c r="WJC53" s="1"/>
      <c r="WJD53" s="1"/>
      <c r="WJE53" s="1"/>
      <c r="WJF53" s="1"/>
      <c r="WJG53" s="1"/>
      <c r="WJH53" s="1"/>
      <c r="WJI53" s="1"/>
      <c r="WJJ53" s="1"/>
      <c r="WJK53" s="1"/>
      <c r="WJL53" s="1"/>
      <c r="WJM53" s="1"/>
      <c r="WJN53" s="1"/>
      <c r="WJO53" s="1"/>
      <c r="WJP53" s="1"/>
      <c r="WJQ53" s="1"/>
      <c r="WJR53" s="1"/>
      <c r="WJS53" s="1"/>
      <c r="WJT53" s="1"/>
      <c r="WJU53" s="1"/>
      <c r="WJV53" s="1"/>
      <c r="WJW53" s="1"/>
      <c r="WJX53" s="1"/>
      <c r="WJY53" s="1"/>
      <c r="WJZ53" s="1"/>
      <c r="WKA53" s="1"/>
      <c r="WKB53" s="1"/>
      <c r="WKC53" s="1"/>
      <c r="WKD53" s="1"/>
      <c r="WKE53" s="1"/>
      <c r="WKF53" s="1"/>
      <c r="WKG53" s="1"/>
      <c r="WKH53" s="1"/>
      <c r="WKI53" s="1"/>
      <c r="WKJ53" s="1"/>
      <c r="WKK53" s="1"/>
      <c r="WKL53" s="1"/>
      <c r="WKM53" s="1"/>
      <c r="WKN53" s="1"/>
      <c r="WKO53" s="1"/>
      <c r="WKP53" s="1"/>
      <c r="WKQ53" s="1"/>
      <c r="WKR53" s="1"/>
      <c r="WKS53" s="1"/>
      <c r="WKT53" s="1"/>
      <c r="WKU53" s="1"/>
      <c r="WKV53" s="1"/>
      <c r="WKW53" s="1"/>
      <c r="WKX53" s="1"/>
      <c r="WKY53" s="1"/>
      <c r="WKZ53" s="1"/>
      <c r="WLA53" s="1"/>
      <c r="WLB53" s="1"/>
      <c r="WLC53" s="1"/>
      <c r="WLD53" s="1"/>
      <c r="WLE53" s="1"/>
      <c r="WLF53" s="1"/>
      <c r="WLG53" s="1"/>
      <c r="WLH53" s="1"/>
      <c r="WLI53" s="1"/>
      <c r="WLJ53" s="1"/>
      <c r="WLK53" s="1"/>
      <c r="WLL53" s="1"/>
      <c r="WLM53" s="1"/>
      <c r="WLN53" s="1"/>
      <c r="WLO53" s="1"/>
      <c r="WLP53" s="1"/>
      <c r="WLQ53" s="1"/>
      <c r="WLR53" s="1"/>
      <c r="WLS53" s="1"/>
      <c r="WLT53" s="1"/>
      <c r="WLU53" s="1"/>
      <c r="WLV53" s="1"/>
      <c r="WLW53" s="1"/>
      <c r="WLX53" s="1"/>
      <c r="WLY53" s="1"/>
      <c r="WLZ53" s="1"/>
      <c r="WMA53" s="1"/>
      <c r="WMB53" s="1"/>
      <c r="WMC53" s="1"/>
      <c r="WMD53" s="1"/>
      <c r="WME53" s="1"/>
      <c r="WMF53" s="1"/>
      <c r="WMG53" s="1"/>
      <c r="WMH53" s="1"/>
      <c r="WMI53" s="1"/>
      <c r="WMJ53" s="1"/>
      <c r="WMK53" s="1"/>
      <c r="WML53" s="1"/>
      <c r="WMM53" s="1"/>
      <c r="WMN53" s="1"/>
      <c r="WMO53" s="1"/>
      <c r="WMP53" s="1"/>
      <c r="WMQ53" s="1"/>
      <c r="WMR53" s="1"/>
      <c r="WMS53" s="1"/>
      <c r="WMT53" s="1"/>
      <c r="WMU53" s="1"/>
      <c r="WMV53" s="1"/>
      <c r="WMW53" s="1"/>
      <c r="WMX53" s="1"/>
      <c r="WMY53" s="1"/>
      <c r="WMZ53" s="1"/>
      <c r="WNA53" s="1"/>
      <c r="WNB53" s="1"/>
      <c r="WNC53" s="1"/>
      <c r="WND53" s="1"/>
      <c r="WNE53" s="1"/>
      <c r="WNF53" s="1"/>
      <c r="WNG53" s="1"/>
      <c r="WNH53" s="1"/>
      <c r="WNI53" s="1"/>
      <c r="WNJ53" s="1"/>
      <c r="WNK53" s="1"/>
      <c r="WNL53" s="1"/>
      <c r="WNM53" s="1"/>
      <c r="WNN53" s="1"/>
      <c r="WNO53" s="1"/>
      <c r="WNP53" s="1"/>
      <c r="WNQ53" s="1"/>
      <c r="WNR53" s="1"/>
      <c r="WNS53" s="1"/>
      <c r="WNT53" s="1"/>
      <c r="WNU53" s="1"/>
      <c r="WNV53" s="1"/>
      <c r="WNW53" s="1"/>
      <c r="WNX53" s="1"/>
      <c r="WNY53" s="1"/>
      <c r="WNZ53" s="1"/>
      <c r="WOA53" s="1"/>
      <c r="WOB53" s="1"/>
      <c r="WOC53" s="1"/>
      <c r="WOD53" s="1"/>
      <c r="WOE53" s="1"/>
      <c r="WOF53" s="1"/>
      <c r="WOG53" s="1"/>
      <c r="WOH53" s="1"/>
      <c r="WOI53" s="1"/>
      <c r="WOJ53" s="1"/>
      <c r="WOK53" s="1"/>
      <c r="WOL53" s="1"/>
      <c r="WOM53" s="1"/>
      <c r="WON53" s="1"/>
      <c r="WOO53" s="1"/>
      <c r="WOP53" s="1"/>
      <c r="WOQ53" s="1"/>
      <c r="WOR53" s="1"/>
      <c r="WOS53" s="1"/>
      <c r="WOT53" s="1"/>
      <c r="WOU53" s="1"/>
      <c r="WOV53" s="1"/>
      <c r="WOW53" s="1"/>
      <c r="WOX53" s="1"/>
      <c r="WOY53" s="1"/>
      <c r="WOZ53" s="1"/>
      <c r="WPA53" s="1"/>
      <c r="WPB53" s="1"/>
      <c r="WPC53" s="1"/>
      <c r="WPD53" s="1"/>
      <c r="WPE53" s="1"/>
      <c r="WPF53" s="1"/>
      <c r="WPG53" s="1"/>
      <c r="WPH53" s="1"/>
      <c r="WPI53" s="1"/>
      <c r="WPJ53" s="1"/>
      <c r="WPK53" s="1"/>
      <c r="WPL53" s="1"/>
      <c r="WPM53" s="1"/>
      <c r="WPN53" s="1"/>
      <c r="WPO53" s="1"/>
      <c r="WPP53" s="1"/>
      <c r="WPQ53" s="1"/>
      <c r="WPR53" s="1"/>
      <c r="WPS53" s="1"/>
      <c r="WPT53" s="1"/>
      <c r="WPU53" s="1"/>
      <c r="WPV53" s="1"/>
      <c r="WPW53" s="1"/>
      <c r="WPX53" s="1"/>
      <c r="WPY53" s="1"/>
      <c r="WPZ53" s="1"/>
      <c r="WQA53" s="1"/>
      <c r="WQB53" s="1"/>
      <c r="WQC53" s="1"/>
      <c r="WQD53" s="1"/>
      <c r="WQE53" s="1"/>
      <c r="WQF53" s="1"/>
      <c r="WQG53" s="1"/>
      <c r="WQH53" s="1"/>
      <c r="WQI53" s="1"/>
      <c r="WQJ53" s="1"/>
      <c r="WQK53" s="1"/>
      <c r="WQL53" s="1"/>
      <c r="WQM53" s="1"/>
      <c r="WQN53" s="1"/>
      <c r="WQO53" s="1"/>
      <c r="WQP53" s="1"/>
      <c r="WQQ53" s="1"/>
      <c r="WQR53" s="1"/>
      <c r="WQS53" s="1"/>
      <c r="WQT53" s="1"/>
      <c r="WQU53" s="1"/>
      <c r="WQV53" s="1"/>
      <c r="WQW53" s="1"/>
      <c r="WQX53" s="1"/>
      <c r="WQY53" s="1"/>
      <c r="WQZ53" s="1"/>
      <c r="WRA53" s="1"/>
      <c r="WRB53" s="1"/>
      <c r="WRC53" s="1"/>
      <c r="WRD53" s="1"/>
      <c r="WRE53" s="1"/>
      <c r="WRF53" s="1"/>
      <c r="WRG53" s="1"/>
      <c r="WRH53" s="1"/>
      <c r="WRI53" s="1"/>
      <c r="WRJ53" s="1"/>
      <c r="WRK53" s="1"/>
      <c r="WRL53" s="1"/>
      <c r="WRM53" s="1"/>
      <c r="WRN53" s="1"/>
      <c r="WRO53" s="1"/>
      <c r="WRP53" s="1"/>
      <c r="WRQ53" s="1"/>
      <c r="WRR53" s="1"/>
      <c r="WRS53" s="1"/>
      <c r="WRT53" s="1"/>
      <c r="WRU53" s="1"/>
      <c r="WRV53" s="1"/>
      <c r="WRW53" s="1"/>
      <c r="WRX53" s="1"/>
      <c r="WRY53" s="1"/>
      <c r="WRZ53" s="1"/>
      <c r="WSA53" s="1"/>
      <c r="WSB53" s="1"/>
      <c r="WSC53" s="1"/>
      <c r="WSD53" s="1"/>
      <c r="WSE53" s="1"/>
      <c r="WSF53" s="1"/>
      <c r="WSG53" s="1"/>
      <c r="WSH53" s="1"/>
      <c r="WSI53" s="1"/>
      <c r="WSJ53" s="1"/>
      <c r="WSK53" s="1"/>
      <c r="WSL53" s="1"/>
      <c r="WSM53" s="1"/>
      <c r="WSN53" s="1"/>
      <c r="WSO53" s="1"/>
      <c r="WSP53" s="1"/>
      <c r="WSQ53" s="1"/>
      <c r="WSR53" s="1"/>
      <c r="WSS53" s="1"/>
      <c r="WST53" s="1"/>
      <c r="WSU53" s="1"/>
      <c r="WSV53" s="1"/>
      <c r="WSW53" s="1"/>
      <c r="WSX53" s="1"/>
      <c r="WSY53" s="1"/>
      <c r="WSZ53" s="1"/>
      <c r="WTA53" s="1"/>
      <c r="WTB53" s="1"/>
      <c r="WTC53" s="1"/>
      <c r="WTD53" s="1"/>
      <c r="WTE53" s="1"/>
      <c r="WTF53" s="1"/>
      <c r="WTG53" s="1"/>
      <c r="WTH53" s="1"/>
      <c r="WTI53" s="1"/>
      <c r="WTJ53" s="1"/>
      <c r="WTK53" s="1"/>
      <c r="WTL53" s="1"/>
      <c r="WTM53" s="1"/>
      <c r="WTN53" s="1"/>
      <c r="WTO53" s="1"/>
      <c r="WTP53" s="1"/>
      <c r="WTQ53" s="1"/>
      <c r="WTR53" s="1"/>
      <c r="WTS53" s="1"/>
      <c r="WTT53" s="1"/>
      <c r="WTU53" s="1"/>
      <c r="WTV53" s="1"/>
      <c r="WTW53" s="1"/>
      <c r="WTX53" s="1"/>
      <c r="WTY53" s="1"/>
      <c r="WTZ53" s="1"/>
      <c r="WUA53" s="1"/>
      <c r="WUB53" s="1"/>
      <c r="WUC53" s="1"/>
      <c r="WUD53" s="1"/>
      <c r="WUE53" s="1"/>
      <c r="WUF53" s="1"/>
      <c r="WUG53" s="1"/>
      <c r="WUH53" s="1"/>
      <c r="WUI53" s="1"/>
      <c r="WUJ53" s="1"/>
      <c r="WUK53" s="1"/>
      <c r="WUL53" s="1"/>
      <c r="WUM53" s="1"/>
      <c r="WUN53" s="1"/>
      <c r="WUO53" s="1"/>
      <c r="WUP53" s="1"/>
      <c r="WUQ53" s="1"/>
      <c r="WUR53" s="1"/>
      <c r="WUS53" s="1"/>
      <c r="WUT53" s="1"/>
      <c r="WUU53" s="1"/>
      <c r="WUV53" s="1"/>
      <c r="WUW53" s="1"/>
      <c r="WUX53" s="1"/>
      <c r="WUY53" s="1"/>
      <c r="WUZ53" s="1"/>
      <c r="WVA53" s="1"/>
      <c r="WVB53" s="1"/>
      <c r="WVC53" s="1"/>
      <c r="WVD53" s="1"/>
      <c r="WVE53" s="1"/>
      <c r="WVF53" s="1"/>
      <c r="WVG53" s="1"/>
      <c r="WVH53" s="1"/>
      <c r="WVI53" s="1"/>
      <c r="WVJ53" s="1"/>
      <c r="WVK53" s="1"/>
      <c r="WVL53" s="1"/>
      <c r="WVM53" s="1"/>
      <c r="WVN53" s="1"/>
      <c r="WVO53" s="1"/>
      <c r="WVP53" s="1"/>
      <c r="WVQ53" s="1"/>
      <c r="WVR53" s="1"/>
      <c r="WVS53" s="1"/>
      <c r="WVT53" s="1"/>
      <c r="WVU53" s="1"/>
      <c r="WVV53" s="1"/>
      <c r="WVW53" s="1"/>
      <c r="WVX53" s="1"/>
      <c r="WVY53" s="1"/>
      <c r="WVZ53" s="1"/>
      <c r="WWA53" s="1"/>
      <c r="WWB53" s="1"/>
      <c r="WWC53" s="1"/>
      <c r="WWD53" s="1"/>
      <c r="WWE53" s="1"/>
      <c r="WWF53" s="1"/>
      <c r="WWG53" s="1"/>
      <c r="WWH53" s="1"/>
      <c r="WWI53" s="1"/>
      <c r="WWJ53" s="1"/>
      <c r="WWK53" s="1"/>
      <c r="WWL53" s="1"/>
      <c r="WWM53" s="1"/>
      <c r="WWN53" s="1"/>
      <c r="WWO53" s="1"/>
      <c r="WWP53" s="1"/>
      <c r="WWQ53" s="1"/>
      <c r="WWR53" s="1"/>
      <c r="WWS53" s="1"/>
      <c r="WWT53" s="1"/>
      <c r="WWU53" s="1"/>
      <c r="WWV53" s="1"/>
      <c r="WWW53" s="1"/>
      <c r="WWX53" s="1"/>
      <c r="WWY53" s="1"/>
      <c r="WWZ53" s="1"/>
      <c r="WXA53" s="1"/>
      <c r="WXB53" s="1"/>
      <c r="WXC53" s="1"/>
      <c r="WXD53" s="1"/>
      <c r="WXE53" s="1"/>
      <c r="WXF53" s="1"/>
      <c r="WXG53" s="1"/>
      <c r="WXH53" s="1"/>
      <c r="WXI53" s="1"/>
      <c r="WXJ53" s="1"/>
      <c r="WXK53" s="1"/>
      <c r="WXL53" s="1"/>
      <c r="WXM53" s="1"/>
      <c r="WXN53" s="1"/>
      <c r="WXO53" s="1"/>
      <c r="WXP53" s="1"/>
      <c r="WXQ53" s="1"/>
      <c r="WXR53" s="1"/>
      <c r="WXS53" s="1"/>
      <c r="WXT53" s="1"/>
      <c r="WXU53" s="1"/>
      <c r="WXV53" s="1"/>
      <c r="WXW53" s="1"/>
      <c r="WXX53" s="1"/>
      <c r="WXY53" s="1"/>
      <c r="WXZ53" s="1"/>
      <c r="WYA53" s="1"/>
      <c r="WYB53" s="1"/>
      <c r="WYC53" s="1"/>
      <c r="WYD53" s="1"/>
      <c r="WYE53" s="1"/>
      <c r="WYF53" s="1"/>
      <c r="WYG53" s="1"/>
      <c r="WYH53" s="1"/>
      <c r="WYI53" s="1"/>
      <c r="WYJ53" s="1"/>
      <c r="WYK53" s="1"/>
      <c r="WYL53" s="1"/>
      <c r="WYM53" s="1"/>
      <c r="WYN53" s="1"/>
      <c r="WYO53" s="1"/>
      <c r="WYP53" s="1"/>
      <c r="WYQ53" s="1"/>
      <c r="WYR53" s="1"/>
      <c r="WYS53" s="1"/>
      <c r="WYT53" s="1"/>
      <c r="WYU53" s="1"/>
      <c r="WYV53" s="1"/>
      <c r="WYW53" s="1"/>
      <c r="WYX53" s="1"/>
      <c r="WYY53" s="1"/>
      <c r="WYZ53" s="1"/>
      <c r="WZA53" s="1"/>
      <c r="WZB53" s="1"/>
      <c r="WZC53" s="1"/>
      <c r="WZD53" s="1"/>
      <c r="WZE53" s="1"/>
      <c r="WZF53" s="1"/>
      <c r="WZG53" s="1"/>
      <c r="WZH53" s="1"/>
      <c r="WZI53" s="1"/>
      <c r="WZJ53" s="1"/>
      <c r="WZK53" s="1"/>
      <c r="WZL53" s="1"/>
      <c r="WZM53" s="1"/>
      <c r="WZN53" s="1"/>
      <c r="WZO53" s="1"/>
      <c r="WZP53" s="1"/>
      <c r="WZQ53" s="1"/>
      <c r="WZR53" s="1"/>
      <c r="WZS53" s="1"/>
      <c r="WZT53" s="1"/>
      <c r="WZU53" s="1"/>
      <c r="WZV53" s="1"/>
      <c r="WZW53" s="1"/>
      <c r="WZX53" s="1"/>
      <c r="WZY53" s="1"/>
      <c r="WZZ53" s="1"/>
      <c r="XAA53" s="1"/>
      <c r="XAB53" s="1"/>
      <c r="XAC53" s="1"/>
      <c r="XAD53" s="1"/>
      <c r="XAE53" s="1"/>
      <c r="XAF53" s="1"/>
      <c r="XAG53" s="1"/>
      <c r="XAH53" s="1"/>
      <c r="XAI53" s="1"/>
      <c r="XAJ53" s="1"/>
      <c r="XAK53" s="1"/>
      <c r="XAL53" s="1"/>
      <c r="XAM53" s="1"/>
      <c r="XAN53" s="1"/>
      <c r="XAO53" s="1"/>
      <c r="XAP53" s="1"/>
      <c r="XAQ53" s="1"/>
      <c r="XAR53" s="1"/>
      <c r="XAS53" s="1"/>
      <c r="XAT53" s="1"/>
      <c r="XAU53" s="1"/>
      <c r="XAV53" s="1"/>
      <c r="XAW53" s="1"/>
      <c r="XAX53" s="1"/>
      <c r="XAY53" s="1"/>
      <c r="XAZ53" s="1"/>
      <c r="XBA53" s="1"/>
      <c r="XBB53" s="1"/>
      <c r="XBC53" s="1"/>
      <c r="XBD53" s="1"/>
      <c r="XBE53" s="1"/>
      <c r="XBF53" s="1"/>
      <c r="XBG53" s="1"/>
      <c r="XBH53" s="1"/>
      <c r="XBI53" s="1"/>
      <c r="XBJ53" s="1"/>
      <c r="XBK53" s="1"/>
      <c r="XBL53" s="1"/>
      <c r="XBM53" s="1"/>
      <c r="XBN53" s="1"/>
      <c r="XBO53" s="1"/>
      <c r="XBP53" s="1"/>
      <c r="XBQ53" s="1"/>
      <c r="XBR53" s="1"/>
      <c r="XBS53" s="1"/>
      <c r="XBT53" s="1"/>
      <c r="XBU53" s="1"/>
      <c r="XBV53" s="1"/>
      <c r="XBW53" s="1"/>
      <c r="XBX53" s="1"/>
      <c r="XBY53" s="1"/>
      <c r="XBZ53" s="1"/>
      <c r="XCA53" s="1"/>
      <c r="XCB53" s="1"/>
      <c r="XCC53" s="1"/>
      <c r="XCD53" s="1"/>
      <c r="XCE53" s="1"/>
      <c r="XCF53" s="1"/>
      <c r="XCG53" s="1"/>
      <c r="XCH53" s="1"/>
      <c r="XCI53" s="1"/>
      <c r="XCJ53" s="1"/>
      <c r="XCK53" s="1"/>
      <c r="XCL53" s="1"/>
      <c r="XCM53" s="1"/>
      <c r="XCN53" s="1"/>
      <c r="XCO53" s="1"/>
      <c r="XCP53" s="1"/>
      <c r="XCQ53" s="1"/>
      <c r="XCR53" s="1"/>
      <c r="XCS53" s="1"/>
      <c r="XCT53" s="1"/>
      <c r="XCU53" s="1"/>
      <c r="XCV53" s="1"/>
      <c r="XCW53" s="1"/>
      <c r="XCX53" s="1"/>
      <c r="XCY53" s="1"/>
      <c r="XCZ53" s="1"/>
      <c r="XDA53" s="1"/>
      <c r="XDB53" s="1"/>
      <c r="XDC53" s="1"/>
      <c r="XDD53" s="1"/>
      <c r="XDE53" s="1"/>
      <c r="XDF53" s="1"/>
      <c r="XDG53" s="1"/>
      <c r="XDH53" s="1"/>
      <c r="XDI53" s="1"/>
      <c r="XDJ53" s="1"/>
      <c r="XDK53" s="1"/>
      <c r="XDL53" s="1"/>
      <c r="XDM53" s="1"/>
      <c r="XDN53" s="1"/>
      <c r="XDO53" s="1"/>
      <c r="XDP53" s="1"/>
      <c r="XDQ53" s="1"/>
      <c r="XDR53" s="1"/>
      <c r="XDS53" s="1"/>
      <c r="XDT53" s="1"/>
      <c r="XDU53" s="1"/>
      <c r="XDV53" s="1"/>
      <c r="XDW53" s="1"/>
      <c r="XDX53" s="1"/>
      <c r="XDY53" s="1"/>
      <c r="XDZ53" s="1"/>
      <c r="XEA53" s="1"/>
      <c r="XEB53" s="1"/>
      <c r="XEC53" s="1"/>
      <c r="XED53" s="1"/>
      <c r="XEE53" s="1"/>
      <c r="XEF53" s="1"/>
      <c r="XEG53" s="1"/>
      <c r="XEH53" s="1"/>
      <c r="XEI53" s="1"/>
      <c r="XEJ53" s="1"/>
      <c r="XEK53" s="1"/>
      <c r="XEL53" s="1"/>
      <c r="XEM53" s="1"/>
      <c r="XEN53" s="1"/>
      <c r="XEO53" s="1"/>
      <c r="XEP53" s="1"/>
      <c r="XEQ53" s="1"/>
      <c r="XER53" s="1"/>
      <c r="XES53" s="1"/>
      <c r="XET53" s="1"/>
      <c r="XEU53" s="1"/>
      <c r="XEV53" s="1"/>
      <c r="XEW53" s="1"/>
      <c r="XEX53" s="1"/>
      <c r="XEY53" s="1"/>
      <c r="XEZ53" s="1"/>
      <c r="XFA53" s="1"/>
      <c r="XFB53" s="1"/>
      <c r="XFC53" s="1"/>
      <c r="XFD53" s="1"/>
    </row>
    <row r="54" spans="1:16384" s="8" customFormat="1" x14ac:dyDescent="0.25">
      <c r="A54" s="21"/>
      <c r="B54" s="192"/>
      <c r="C54" s="191"/>
      <c r="D54" s="191"/>
      <c r="E54" s="191"/>
      <c r="F54" s="191"/>
      <c r="G54" s="191"/>
      <c r="H54" s="191"/>
      <c r="I54" s="191"/>
      <c r="J54" s="191"/>
      <c r="K54" s="191"/>
      <c r="L54" s="191"/>
      <c r="M54" s="191"/>
      <c r="N54" s="191"/>
      <c r="O54" s="191"/>
      <c r="P54" s="191"/>
      <c r="Q54" s="191"/>
      <c r="R54" s="191"/>
      <c r="S54" s="191"/>
      <c r="T54" s="191"/>
      <c r="U54" s="191"/>
      <c r="V54" s="191"/>
      <c r="W54" s="2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C54" s="1"/>
      <c r="ND54" s="1"/>
      <c r="NE54" s="1"/>
      <c r="NF54" s="1"/>
      <c r="NG54" s="1"/>
      <c r="NH54" s="1"/>
      <c r="NI54" s="1"/>
      <c r="NJ54" s="1"/>
      <c r="NK54" s="1"/>
      <c r="NL54" s="1"/>
      <c r="NM54" s="1"/>
      <c r="NN54" s="1"/>
      <c r="NO54" s="1"/>
      <c r="NP54" s="1"/>
      <c r="NQ54" s="1"/>
      <c r="NR54" s="1"/>
      <c r="NS54" s="1"/>
      <c r="NT54" s="1"/>
      <c r="NU54" s="1"/>
      <c r="NV54" s="1"/>
      <c r="NW54" s="1"/>
      <c r="NX54" s="1"/>
      <c r="NY54" s="1"/>
      <c r="NZ54" s="1"/>
      <c r="OA54" s="1"/>
      <c r="OB54" s="1"/>
      <c r="OC54" s="1"/>
      <c r="OD54" s="1"/>
      <c r="OE54" s="1"/>
      <c r="OF54" s="1"/>
      <c r="OG54" s="1"/>
      <c r="OH54" s="1"/>
      <c r="OI54" s="1"/>
      <c r="OJ54" s="1"/>
      <c r="OK54" s="1"/>
      <c r="OL54" s="1"/>
      <c r="OM54" s="1"/>
      <c r="ON54" s="1"/>
      <c r="OO54" s="1"/>
      <c r="OP54" s="1"/>
      <c r="OQ54" s="1"/>
      <c r="OR54" s="1"/>
      <c r="OS54" s="1"/>
      <c r="OT54" s="1"/>
      <c r="OU54" s="1"/>
      <c r="OV54" s="1"/>
      <c r="OW54" s="1"/>
      <c r="OX54" s="1"/>
      <c r="OY54" s="1"/>
      <c r="OZ54" s="1"/>
      <c r="PA54" s="1"/>
      <c r="PB54" s="1"/>
      <c r="PC54" s="1"/>
      <c r="PD54" s="1"/>
      <c r="PE54" s="1"/>
      <c r="PF54" s="1"/>
      <c r="PG54" s="1"/>
      <c r="PH54" s="1"/>
      <c r="PI54" s="1"/>
      <c r="PJ54" s="1"/>
      <c r="PK54" s="1"/>
      <c r="PL54" s="1"/>
      <c r="PM54" s="1"/>
      <c r="PN54" s="1"/>
      <c r="PO54" s="1"/>
      <c r="PP54" s="1"/>
      <c r="PQ54" s="1"/>
      <c r="PR54" s="1"/>
      <c r="PS54" s="1"/>
      <c r="PT54" s="1"/>
      <c r="PU54" s="1"/>
      <c r="PV54" s="1"/>
      <c r="PW54" s="1"/>
      <c r="PX54" s="1"/>
      <c r="PY54" s="1"/>
      <c r="PZ54" s="1"/>
      <c r="QA54" s="1"/>
      <c r="QB54" s="1"/>
      <c r="QC54" s="1"/>
      <c r="QD54" s="1"/>
      <c r="QE54" s="1"/>
      <c r="QF54" s="1"/>
      <c r="QG54" s="1"/>
      <c r="QH54" s="1"/>
      <c r="QI54" s="1"/>
      <c r="QJ54" s="1"/>
      <c r="QK54" s="1"/>
      <c r="QL54" s="1"/>
      <c r="QM54" s="1"/>
      <c r="QN54" s="1"/>
      <c r="QO54" s="1"/>
      <c r="QP54" s="1"/>
      <c r="QQ54" s="1"/>
      <c r="QR54" s="1"/>
      <c r="QS54" s="1"/>
      <c r="QT54" s="1"/>
      <c r="QU54" s="1"/>
      <c r="QV54" s="1"/>
      <c r="QW54" s="1"/>
      <c r="QX54" s="1"/>
      <c r="QY54" s="1"/>
      <c r="QZ54" s="1"/>
      <c r="RA54" s="1"/>
      <c r="RB54" s="1"/>
      <c r="RC54" s="1"/>
      <c r="RD54" s="1"/>
      <c r="RE54" s="1"/>
      <c r="RF54" s="1"/>
      <c r="RG54" s="1"/>
      <c r="RH54" s="1"/>
      <c r="RI54" s="1"/>
      <c r="RJ54" s="1"/>
      <c r="RK54" s="1"/>
      <c r="RL54" s="1"/>
      <c r="RM54" s="1"/>
      <c r="RN54" s="1"/>
      <c r="RO54" s="1"/>
      <c r="RP54" s="1"/>
      <c r="RQ54" s="1"/>
      <c r="RR54" s="1"/>
      <c r="RS54" s="1"/>
      <c r="RT54" s="1"/>
      <c r="RU54" s="1"/>
      <c r="RV54" s="1"/>
      <c r="RW54" s="1"/>
      <c r="RX54" s="1"/>
      <c r="RY54" s="1"/>
      <c r="RZ54" s="1"/>
      <c r="SA54" s="1"/>
      <c r="SB54" s="1"/>
      <c r="SC54" s="1"/>
      <c r="SD54" s="1"/>
      <c r="SE54" s="1"/>
      <c r="SF54" s="1"/>
      <c r="SG54" s="1"/>
      <c r="SH54" s="1"/>
      <c r="SI54" s="1"/>
      <c r="SJ54" s="1"/>
      <c r="SK54" s="1"/>
      <c r="SL54" s="1"/>
      <c r="SM54" s="1"/>
      <c r="SN54" s="1"/>
      <c r="SO54" s="1"/>
      <c r="SP54" s="1"/>
      <c r="SQ54" s="1"/>
      <c r="SR54" s="1"/>
      <c r="SS54" s="1"/>
      <c r="ST54" s="1"/>
      <c r="SU54" s="1"/>
      <c r="SV54" s="1"/>
      <c r="SW54" s="1"/>
      <c r="SX54" s="1"/>
      <c r="SY54" s="1"/>
      <c r="SZ54" s="1"/>
      <c r="TA54" s="1"/>
      <c r="TB54" s="1"/>
      <c r="TC54" s="1"/>
      <c r="TD54" s="1"/>
      <c r="TE54" s="1"/>
      <c r="TF54" s="1"/>
      <c r="TG54" s="1"/>
      <c r="TH54" s="1"/>
      <c r="TI54" s="1"/>
      <c r="TJ54" s="1"/>
      <c r="TK54" s="1"/>
      <c r="TL54" s="1"/>
      <c r="TM54" s="1"/>
      <c r="TN54" s="1"/>
      <c r="TO54" s="1"/>
      <c r="TP54" s="1"/>
      <c r="TQ54" s="1"/>
      <c r="TR54" s="1"/>
      <c r="TS54" s="1"/>
      <c r="TT54" s="1"/>
      <c r="TU54" s="1"/>
      <c r="TV54" s="1"/>
      <c r="TW54" s="1"/>
      <c r="TX54" s="1"/>
      <c r="TY54" s="1"/>
      <c r="TZ54" s="1"/>
      <c r="UA54" s="1"/>
      <c r="UB54" s="1"/>
      <c r="UC54" s="1"/>
      <c r="UD54" s="1"/>
      <c r="UE54" s="1"/>
      <c r="UF54" s="1"/>
      <c r="UG54" s="1"/>
      <c r="UH54" s="1"/>
      <c r="UI54" s="1"/>
      <c r="UJ54" s="1"/>
      <c r="UK54" s="1"/>
      <c r="UL54" s="1"/>
      <c r="UM54" s="1"/>
      <c r="UN54" s="1"/>
      <c r="UO54" s="1"/>
      <c r="UP54" s="1"/>
      <c r="UQ54" s="1"/>
      <c r="UR54" s="1"/>
      <c r="US54" s="1"/>
      <c r="UT54" s="1"/>
      <c r="UU54" s="1"/>
      <c r="UV54" s="1"/>
      <c r="UW54" s="1"/>
      <c r="UX54" s="1"/>
      <c r="UY54" s="1"/>
      <c r="UZ54" s="1"/>
      <c r="VA54" s="1"/>
      <c r="VB54" s="1"/>
      <c r="VC54" s="1"/>
      <c r="VD54" s="1"/>
      <c r="VE54" s="1"/>
      <c r="VF54" s="1"/>
      <c r="VG54" s="1"/>
      <c r="VH54" s="1"/>
      <c r="VI54" s="1"/>
      <c r="VJ54" s="1"/>
      <c r="VK54" s="1"/>
      <c r="VL54" s="1"/>
      <c r="VM54" s="1"/>
      <c r="VN54" s="1"/>
      <c r="VO54" s="1"/>
      <c r="VP54" s="1"/>
      <c r="VQ54" s="1"/>
      <c r="VR54" s="1"/>
      <c r="VS54" s="1"/>
      <c r="VT54" s="1"/>
      <c r="VU54" s="1"/>
      <c r="VV54" s="1"/>
      <c r="VW54" s="1"/>
      <c r="VX54" s="1"/>
      <c r="VY54" s="1"/>
      <c r="VZ54" s="1"/>
      <c r="WA54" s="1"/>
      <c r="WB54" s="1"/>
      <c r="WC54" s="1"/>
      <c r="WD54" s="1"/>
      <c r="WE54" s="1"/>
      <c r="WF54" s="1"/>
      <c r="WG54" s="1"/>
      <c r="WH54" s="1"/>
      <c r="WI54" s="1"/>
      <c r="WJ54" s="1"/>
      <c r="WK54" s="1"/>
      <c r="WL54" s="1"/>
      <c r="WM54" s="1"/>
      <c r="WN54" s="1"/>
      <c r="WO54" s="1"/>
      <c r="WP54" s="1"/>
      <c r="WQ54" s="1"/>
      <c r="WR54" s="1"/>
      <c r="WS54" s="1"/>
      <c r="WT54" s="1"/>
      <c r="WU54" s="1"/>
      <c r="WV54" s="1"/>
      <c r="WW54" s="1"/>
      <c r="WX54" s="1"/>
      <c r="WY54" s="1"/>
      <c r="WZ54" s="1"/>
      <c r="XA54" s="1"/>
      <c r="XB54" s="1"/>
      <c r="XC54" s="1"/>
      <c r="XD54" s="1"/>
      <c r="XE54" s="1"/>
      <c r="XF54" s="1"/>
      <c r="XG54" s="1"/>
      <c r="XH54" s="1"/>
      <c r="XI54" s="1"/>
      <c r="XJ54" s="1"/>
      <c r="XK54" s="1"/>
      <c r="XL54" s="1"/>
      <c r="XM54" s="1"/>
      <c r="XN54" s="1"/>
      <c r="XO54" s="1"/>
      <c r="XP54" s="1"/>
      <c r="XQ54" s="1"/>
      <c r="XR54" s="1"/>
      <c r="XS54" s="1"/>
      <c r="XT54" s="1"/>
      <c r="XU54" s="1"/>
      <c r="XV54" s="1"/>
      <c r="XW54" s="1"/>
      <c r="XX54" s="1"/>
      <c r="XY54" s="1"/>
      <c r="XZ54" s="1"/>
      <c r="YA54" s="1"/>
      <c r="YB54" s="1"/>
      <c r="YC54" s="1"/>
      <c r="YD54" s="1"/>
      <c r="YE54" s="1"/>
      <c r="YF54" s="1"/>
      <c r="YG54" s="1"/>
      <c r="YH54" s="1"/>
      <c r="YI54" s="1"/>
      <c r="YJ54" s="1"/>
      <c r="YK54" s="1"/>
      <c r="YL54" s="1"/>
      <c r="YM54" s="1"/>
      <c r="YN54" s="1"/>
      <c r="YO54" s="1"/>
      <c r="YP54" s="1"/>
      <c r="YQ54" s="1"/>
      <c r="YR54" s="1"/>
      <c r="YS54" s="1"/>
      <c r="YT54" s="1"/>
      <c r="YU54" s="1"/>
      <c r="YV54" s="1"/>
      <c r="YW54" s="1"/>
      <c r="YX54" s="1"/>
      <c r="YY54" s="1"/>
      <c r="YZ54" s="1"/>
      <c r="ZA54" s="1"/>
      <c r="ZB54" s="1"/>
      <c r="ZC54" s="1"/>
      <c r="ZD54" s="1"/>
      <c r="ZE54" s="1"/>
      <c r="ZF54" s="1"/>
      <c r="ZG54" s="1"/>
      <c r="ZH54" s="1"/>
      <c r="ZI54" s="1"/>
      <c r="ZJ54" s="1"/>
      <c r="ZK54" s="1"/>
      <c r="ZL54" s="1"/>
      <c r="ZM54" s="1"/>
      <c r="ZN54" s="1"/>
      <c r="ZO54" s="1"/>
      <c r="ZP54" s="1"/>
      <c r="ZQ54" s="1"/>
      <c r="ZR54" s="1"/>
      <c r="ZS54" s="1"/>
      <c r="ZT54" s="1"/>
      <c r="ZU54" s="1"/>
      <c r="ZV54" s="1"/>
      <c r="ZW54" s="1"/>
      <c r="ZX54" s="1"/>
      <c r="ZY54" s="1"/>
      <c r="ZZ54" s="1"/>
      <c r="AAA54" s="1"/>
      <c r="AAB54" s="1"/>
      <c r="AAC54" s="1"/>
      <c r="AAD54" s="1"/>
      <c r="AAE54" s="1"/>
      <c r="AAF54" s="1"/>
      <c r="AAG54" s="1"/>
      <c r="AAH54" s="1"/>
      <c r="AAI54" s="1"/>
      <c r="AAJ54" s="1"/>
      <c r="AAK54" s="1"/>
      <c r="AAL54" s="1"/>
      <c r="AAM54" s="1"/>
      <c r="AAN54" s="1"/>
      <c r="AAO54" s="1"/>
      <c r="AAP54" s="1"/>
      <c r="AAQ54" s="1"/>
      <c r="AAR54" s="1"/>
      <c r="AAS54" s="1"/>
      <c r="AAT54" s="1"/>
      <c r="AAU54" s="1"/>
      <c r="AAV54" s="1"/>
      <c r="AAW54" s="1"/>
      <c r="AAX54" s="1"/>
      <c r="AAY54" s="1"/>
      <c r="AAZ54" s="1"/>
      <c r="ABA54" s="1"/>
      <c r="ABB54" s="1"/>
      <c r="ABC54" s="1"/>
      <c r="ABD54" s="1"/>
      <c r="ABE54" s="1"/>
      <c r="ABF54" s="1"/>
      <c r="ABG54" s="1"/>
      <c r="ABH54" s="1"/>
      <c r="ABI54" s="1"/>
      <c r="ABJ54" s="1"/>
      <c r="ABK54" s="1"/>
      <c r="ABL54" s="1"/>
      <c r="ABM54" s="1"/>
      <c r="ABN54" s="1"/>
      <c r="ABO54" s="1"/>
      <c r="ABP54" s="1"/>
      <c r="ABQ54" s="1"/>
      <c r="ABR54" s="1"/>
      <c r="ABS54" s="1"/>
      <c r="ABT54" s="1"/>
      <c r="ABU54" s="1"/>
      <c r="ABV54" s="1"/>
      <c r="ABW54" s="1"/>
      <c r="ABX54" s="1"/>
      <c r="ABY54" s="1"/>
      <c r="ABZ54" s="1"/>
      <c r="ACA54" s="1"/>
      <c r="ACB54" s="1"/>
      <c r="ACC54" s="1"/>
      <c r="ACD54" s="1"/>
      <c r="ACE54" s="1"/>
      <c r="ACF54" s="1"/>
      <c r="ACG54" s="1"/>
      <c r="ACH54" s="1"/>
      <c r="ACI54" s="1"/>
      <c r="ACJ54" s="1"/>
      <c r="ACK54" s="1"/>
      <c r="ACL54" s="1"/>
      <c r="ACM54" s="1"/>
      <c r="ACN54" s="1"/>
      <c r="ACO54" s="1"/>
      <c r="ACP54" s="1"/>
      <c r="ACQ54" s="1"/>
      <c r="ACR54" s="1"/>
      <c r="ACS54" s="1"/>
      <c r="ACT54" s="1"/>
      <c r="ACU54" s="1"/>
      <c r="ACV54" s="1"/>
      <c r="ACW54" s="1"/>
      <c r="ACX54" s="1"/>
      <c r="ACY54" s="1"/>
      <c r="ACZ54" s="1"/>
      <c r="ADA54" s="1"/>
      <c r="ADB54" s="1"/>
      <c r="ADC54" s="1"/>
      <c r="ADD54" s="1"/>
      <c r="ADE54" s="1"/>
      <c r="ADF54" s="1"/>
      <c r="ADG54" s="1"/>
      <c r="ADH54" s="1"/>
      <c r="ADI54" s="1"/>
      <c r="ADJ54" s="1"/>
      <c r="ADK54" s="1"/>
      <c r="ADL54" s="1"/>
      <c r="ADM54" s="1"/>
      <c r="ADN54" s="1"/>
      <c r="ADO54" s="1"/>
      <c r="ADP54" s="1"/>
      <c r="ADQ54" s="1"/>
      <c r="ADR54" s="1"/>
      <c r="ADS54" s="1"/>
      <c r="ADT54" s="1"/>
      <c r="ADU54" s="1"/>
      <c r="ADV54" s="1"/>
      <c r="ADW54" s="1"/>
      <c r="ADX54" s="1"/>
      <c r="ADY54" s="1"/>
      <c r="ADZ54" s="1"/>
      <c r="AEA54" s="1"/>
      <c r="AEB54" s="1"/>
      <c r="AEC54" s="1"/>
      <c r="AED54" s="1"/>
      <c r="AEE54" s="1"/>
      <c r="AEF54" s="1"/>
      <c r="AEG54" s="1"/>
      <c r="AEH54" s="1"/>
      <c r="AEI54" s="1"/>
      <c r="AEJ54" s="1"/>
      <c r="AEK54" s="1"/>
      <c r="AEL54" s="1"/>
      <c r="AEM54" s="1"/>
      <c r="AEN54" s="1"/>
      <c r="AEO54" s="1"/>
      <c r="AEP54" s="1"/>
      <c r="AEQ54" s="1"/>
      <c r="AER54" s="1"/>
      <c r="AES54" s="1"/>
      <c r="AET54" s="1"/>
      <c r="AEU54" s="1"/>
      <c r="AEV54" s="1"/>
      <c r="AEW54" s="1"/>
      <c r="AEX54" s="1"/>
      <c r="AEY54" s="1"/>
      <c r="AEZ54" s="1"/>
      <c r="AFA54" s="1"/>
      <c r="AFB54" s="1"/>
      <c r="AFC54" s="1"/>
      <c r="AFD54" s="1"/>
      <c r="AFE54" s="1"/>
      <c r="AFF54" s="1"/>
      <c r="AFG54" s="1"/>
      <c r="AFH54" s="1"/>
      <c r="AFI54" s="1"/>
      <c r="AFJ54" s="1"/>
      <c r="AFK54" s="1"/>
      <c r="AFL54" s="1"/>
      <c r="AFM54" s="1"/>
      <c r="AFN54" s="1"/>
      <c r="AFO54" s="1"/>
      <c r="AFP54" s="1"/>
      <c r="AFQ54" s="1"/>
      <c r="AFR54" s="1"/>
      <c r="AFS54" s="1"/>
      <c r="AFT54" s="1"/>
      <c r="AFU54" s="1"/>
      <c r="AFV54" s="1"/>
      <c r="AFW54" s="1"/>
      <c r="AFX54" s="1"/>
      <c r="AFY54" s="1"/>
      <c r="AFZ54" s="1"/>
      <c r="AGA54" s="1"/>
      <c r="AGB54" s="1"/>
      <c r="AGC54" s="1"/>
      <c r="AGD54" s="1"/>
      <c r="AGE54" s="1"/>
      <c r="AGF54" s="1"/>
      <c r="AGG54" s="1"/>
      <c r="AGH54" s="1"/>
      <c r="AGI54" s="1"/>
      <c r="AGJ54" s="1"/>
      <c r="AGK54" s="1"/>
      <c r="AGL54" s="1"/>
      <c r="AGM54" s="1"/>
      <c r="AGN54" s="1"/>
      <c r="AGO54" s="1"/>
      <c r="AGP54" s="1"/>
      <c r="AGQ54" s="1"/>
      <c r="AGR54" s="1"/>
      <c r="AGS54" s="1"/>
      <c r="AGT54" s="1"/>
      <c r="AGU54" s="1"/>
      <c r="AGV54" s="1"/>
      <c r="AGW54" s="1"/>
      <c r="AGX54" s="1"/>
      <c r="AGY54" s="1"/>
      <c r="AGZ54" s="1"/>
      <c r="AHA54" s="1"/>
      <c r="AHB54" s="1"/>
      <c r="AHC54" s="1"/>
      <c r="AHD54" s="1"/>
      <c r="AHE54" s="1"/>
      <c r="AHF54" s="1"/>
      <c r="AHG54" s="1"/>
      <c r="AHH54" s="1"/>
      <c r="AHI54" s="1"/>
      <c r="AHJ54" s="1"/>
      <c r="AHK54" s="1"/>
      <c r="AHL54" s="1"/>
      <c r="AHM54" s="1"/>
      <c r="AHN54" s="1"/>
      <c r="AHO54" s="1"/>
      <c r="AHP54" s="1"/>
      <c r="AHQ54" s="1"/>
      <c r="AHR54" s="1"/>
      <c r="AHS54" s="1"/>
      <c r="AHT54" s="1"/>
      <c r="AHU54" s="1"/>
      <c r="AHV54" s="1"/>
      <c r="AHW54" s="1"/>
      <c r="AHX54" s="1"/>
      <c r="AHY54" s="1"/>
      <c r="AHZ54" s="1"/>
      <c r="AIA54" s="1"/>
      <c r="AIB54" s="1"/>
      <c r="AIC54" s="1"/>
      <c r="AID54" s="1"/>
      <c r="AIE54" s="1"/>
      <c r="AIF54" s="1"/>
      <c r="AIG54" s="1"/>
      <c r="AIH54" s="1"/>
      <c r="AII54" s="1"/>
      <c r="AIJ54" s="1"/>
      <c r="AIK54" s="1"/>
      <c r="AIL54" s="1"/>
      <c r="AIM54" s="1"/>
      <c r="AIN54" s="1"/>
      <c r="AIO54" s="1"/>
      <c r="AIP54" s="1"/>
      <c r="AIQ54" s="1"/>
      <c r="AIR54" s="1"/>
      <c r="AIS54" s="1"/>
      <c r="AIT54" s="1"/>
      <c r="AIU54" s="1"/>
      <c r="AIV54" s="1"/>
      <c r="AIW54" s="1"/>
      <c r="AIX54" s="1"/>
      <c r="AIY54" s="1"/>
      <c r="AIZ54" s="1"/>
      <c r="AJA54" s="1"/>
      <c r="AJB54" s="1"/>
      <c r="AJC54" s="1"/>
      <c r="AJD54" s="1"/>
      <c r="AJE54" s="1"/>
      <c r="AJF54" s="1"/>
      <c r="AJG54" s="1"/>
      <c r="AJH54" s="1"/>
      <c r="AJI54" s="1"/>
      <c r="AJJ54" s="1"/>
      <c r="AJK54" s="1"/>
      <c r="AJL54" s="1"/>
      <c r="AJM54" s="1"/>
      <c r="AJN54" s="1"/>
      <c r="AJO54" s="1"/>
      <c r="AJP54" s="1"/>
      <c r="AJQ54" s="1"/>
      <c r="AJR54" s="1"/>
      <c r="AJS54" s="1"/>
      <c r="AJT54" s="1"/>
      <c r="AJU54" s="1"/>
      <c r="AJV54" s="1"/>
      <c r="AJW54" s="1"/>
      <c r="AJX54" s="1"/>
      <c r="AJY54" s="1"/>
      <c r="AJZ54" s="1"/>
      <c r="AKA54" s="1"/>
      <c r="AKB54" s="1"/>
      <c r="AKC54" s="1"/>
      <c r="AKD54" s="1"/>
      <c r="AKE54" s="1"/>
      <c r="AKF54" s="1"/>
      <c r="AKG54" s="1"/>
      <c r="AKH54" s="1"/>
      <c r="AKI54" s="1"/>
      <c r="AKJ54" s="1"/>
      <c r="AKK54" s="1"/>
      <c r="AKL54" s="1"/>
      <c r="AKM54" s="1"/>
      <c r="AKN54" s="1"/>
      <c r="AKO54" s="1"/>
      <c r="AKP54" s="1"/>
      <c r="AKQ54" s="1"/>
      <c r="AKR54" s="1"/>
      <c r="AKS54" s="1"/>
      <c r="AKT54" s="1"/>
      <c r="AKU54" s="1"/>
      <c r="AKV54" s="1"/>
      <c r="AKW54" s="1"/>
      <c r="AKX54" s="1"/>
      <c r="AKY54" s="1"/>
      <c r="AKZ54" s="1"/>
      <c r="ALA54" s="1"/>
      <c r="ALB54" s="1"/>
      <c r="ALC54" s="1"/>
      <c r="ALD54" s="1"/>
      <c r="ALE54" s="1"/>
      <c r="ALF54" s="1"/>
      <c r="ALG54" s="1"/>
      <c r="ALH54" s="1"/>
      <c r="ALI54" s="1"/>
      <c r="ALJ54" s="1"/>
      <c r="ALK54" s="1"/>
      <c r="ALL54" s="1"/>
      <c r="ALM54" s="1"/>
      <c r="ALN54" s="1"/>
      <c r="ALO54" s="1"/>
      <c r="ALP54" s="1"/>
      <c r="ALQ54" s="1"/>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c r="BOB54" s="1"/>
      <c r="BOC54" s="1"/>
      <c r="BOD54" s="1"/>
      <c r="BOE54" s="1"/>
      <c r="BOF54" s="1"/>
      <c r="BOG54" s="1"/>
      <c r="BOH54" s="1"/>
      <c r="BOI54" s="1"/>
      <c r="BOJ54" s="1"/>
      <c r="BOK54" s="1"/>
      <c r="BOL54" s="1"/>
      <c r="BOM54" s="1"/>
      <c r="BON54" s="1"/>
      <c r="BOO54" s="1"/>
      <c r="BOP54" s="1"/>
      <c r="BOQ54" s="1"/>
      <c r="BOR54" s="1"/>
      <c r="BOS54" s="1"/>
      <c r="BOT54" s="1"/>
      <c r="BOU54" s="1"/>
      <c r="BOV54" s="1"/>
      <c r="BOW54" s="1"/>
      <c r="BOX54" s="1"/>
      <c r="BOY54" s="1"/>
      <c r="BOZ54" s="1"/>
      <c r="BPA54" s="1"/>
      <c r="BPB54" s="1"/>
      <c r="BPC54" s="1"/>
      <c r="BPD54" s="1"/>
      <c r="BPE54" s="1"/>
      <c r="BPF54" s="1"/>
      <c r="BPG54" s="1"/>
      <c r="BPH54" s="1"/>
      <c r="BPI54" s="1"/>
      <c r="BPJ54" s="1"/>
      <c r="BPK54" s="1"/>
      <c r="BPL54" s="1"/>
      <c r="BPM54" s="1"/>
      <c r="BPN54" s="1"/>
      <c r="BPO54" s="1"/>
      <c r="BPP54" s="1"/>
      <c r="BPQ54" s="1"/>
      <c r="BPR54" s="1"/>
      <c r="BPS54" s="1"/>
      <c r="BPT54" s="1"/>
      <c r="BPU54" s="1"/>
      <c r="BPV54" s="1"/>
      <c r="BPW54" s="1"/>
      <c r="BPX54" s="1"/>
      <c r="BPY54" s="1"/>
      <c r="BPZ54" s="1"/>
      <c r="BQA54" s="1"/>
      <c r="BQB54" s="1"/>
      <c r="BQC54" s="1"/>
      <c r="BQD54" s="1"/>
      <c r="BQE54" s="1"/>
      <c r="BQF54" s="1"/>
      <c r="BQG54" s="1"/>
      <c r="BQH54" s="1"/>
      <c r="BQI54" s="1"/>
      <c r="BQJ54" s="1"/>
      <c r="BQK54" s="1"/>
      <c r="BQL54" s="1"/>
      <c r="BQM54" s="1"/>
      <c r="BQN54" s="1"/>
      <c r="BQO54" s="1"/>
      <c r="BQP54" s="1"/>
      <c r="BQQ54" s="1"/>
      <c r="BQR54" s="1"/>
      <c r="BQS54" s="1"/>
      <c r="BQT54" s="1"/>
      <c r="BQU54" s="1"/>
      <c r="BQV54" s="1"/>
      <c r="BQW54" s="1"/>
      <c r="BQX54" s="1"/>
      <c r="BQY54" s="1"/>
      <c r="BQZ54" s="1"/>
      <c r="BRA54" s="1"/>
      <c r="BRB54" s="1"/>
      <c r="BRC54" s="1"/>
      <c r="BRD54" s="1"/>
      <c r="BRE54" s="1"/>
      <c r="BRF54" s="1"/>
      <c r="BRG54" s="1"/>
      <c r="BRH54" s="1"/>
      <c r="BRI54" s="1"/>
      <c r="BRJ54" s="1"/>
      <c r="BRK54" s="1"/>
      <c r="BRL54" s="1"/>
      <c r="BRM54" s="1"/>
      <c r="BRN54" s="1"/>
      <c r="BRO54" s="1"/>
      <c r="BRP54" s="1"/>
      <c r="BRQ54" s="1"/>
      <c r="BRR54" s="1"/>
      <c r="BRS54" s="1"/>
      <c r="BRT54" s="1"/>
      <c r="BRU54" s="1"/>
      <c r="BRV54" s="1"/>
      <c r="BRW54" s="1"/>
      <c r="BRX54" s="1"/>
      <c r="BRY54" s="1"/>
      <c r="BRZ54" s="1"/>
      <c r="BSA54" s="1"/>
      <c r="BSB54" s="1"/>
      <c r="BSC54" s="1"/>
      <c r="BSD54" s="1"/>
      <c r="BSE54" s="1"/>
      <c r="BSF54" s="1"/>
      <c r="BSG54" s="1"/>
      <c r="BSH54" s="1"/>
      <c r="BSI54" s="1"/>
      <c r="BSJ54" s="1"/>
      <c r="BSK54" s="1"/>
      <c r="BSL54" s="1"/>
      <c r="BSM54" s="1"/>
      <c r="BSN54" s="1"/>
      <c r="BSO54" s="1"/>
      <c r="BSP54" s="1"/>
      <c r="BSQ54" s="1"/>
      <c r="BSR54" s="1"/>
      <c r="BSS54" s="1"/>
      <c r="BST54" s="1"/>
      <c r="BSU54" s="1"/>
      <c r="BSV54" s="1"/>
      <c r="BSW54" s="1"/>
      <c r="BSX54" s="1"/>
      <c r="BSY54" s="1"/>
      <c r="BSZ54" s="1"/>
      <c r="BTA54" s="1"/>
      <c r="BTB54" s="1"/>
      <c r="BTC54" s="1"/>
      <c r="BTD54" s="1"/>
      <c r="BTE54" s="1"/>
      <c r="BTF54" s="1"/>
      <c r="BTG54" s="1"/>
      <c r="BTH54" s="1"/>
      <c r="BTI54" s="1"/>
      <c r="BTJ54" s="1"/>
      <c r="BTK54" s="1"/>
      <c r="BTL54" s="1"/>
      <c r="BTM54" s="1"/>
      <c r="BTN54" s="1"/>
      <c r="BTO54" s="1"/>
      <c r="BTP54" s="1"/>
      <c r="BTQ54" s="1"/>
      <c r="BTR54" s="1"/>
      <c r="BTS54" s="1"/>
      <c r="BTT54" s="1"/>
      <c r="BTU54" s="1"/>
      <c r="BTV54" s="1"/>
      <c r="BTW54" s="1"/>
      <c r="BTX54" s="1"/>
      <c r="BTY54" s="1"/>
      <c r="BTZ54" s="1"/>
      <c r="BUA54" s="1"/>
      <c r="BUB54" s="1"/>
      <c r="BUC54" s="1"/>
      <c r="BUD54" s="1"/>
      <c r="BUE54" s="1"/>
      <c r="BUF54" s="1"/>
      <c r="BUG54" s="1"/>
      <c r="BUH54" s="1"/>
      <c r="BUI54" s="1"/>
      <c r="BUJ54" s="1"/>
      <c r="BUK54" s="1"/>
      <c r="BUL54" s="1"/>
      <c r="BUM54" s="1"/>
      <c r="BUN54" s="1"/>
      <c r="BUO54" s="1"/>
      <c r="BUP54" s="1"/>
      <c r="BUQ54" s="1"/>
      <c r="BUR54" s="1"/>
      <c r="BUS54" s="1"/>
      <c r="BUT54" s="1"/>
      <c r="BUU54" s="1"/>
      <c r="BUV54" s="1"/>
      <c r="BUW54" s="1"/>
      <c r="BUX54" s="1"/>
      <c r="BUY54" s="1"/>
      <c r="BUZ54" s="1"/>
      <c r="BVA54" s="1"/>
      <c r="BVB54" s="1"/>
      <c r="BVC54" s="1"/>
      <c r="BVD54" s="1"/>
      <c r="BVE54" s="1"/>
      <c r="BVF54" s="1"/>
      <c r="BVG54" s="1"/>
      <c r="BVH54" s="1"/>
      <c r="BVI54" s="1"/>
      <c r="BVJ54" s="1"/>
      <c r="BVK54" s="1"/>
      <c r="BVL54" s="1"/>
      <c r="BVM54" s="1"/>
      <c r="BVN54" s="1"/>
      <c r="BVO54" s="1"/>
      <c r="BVP54" s="1"/>
      <c r="BVQ54" s="1"/>
      <c r="BVR54" s="1"/>
      <c r="BVS54" s="1"/>
      <c r="BVT54" s="1"/>
      <c r="BVU54" s="1"/>
      <c r="BVV54" s="1"/>
      <c r="BVW54" s="1"/>
      <c r="BVX54" s="1"/>
      <c r="BVY54" s="1"/>
      <c r="BVZ54" s="1"/>
      <c r="BWA54" s="1"/>
      <c r="BWB54" s="1"/>
      <c r="BWC54" s="1"/>
      <c r="BWD54" s="1"/>
      <c r="BWE54" s="1"/>
      <c r="BWF54" s="1"/>
      <c r="BWG54" s="1"/>
      <c r="BWH54" s="1"/>
      <c r="BWI54" s="1"/>
      <c r="BWJ54" s="1"/>
      <c r="BWK54" s="1"/>
      <c r="BWL54" s="1"/>
      <c r="BWM54" s="1"/>
      <c r="BWN54" s="1"/>
      <c r="BWO54" s="1"/>
      <c r="BWP54" s="1"/>
      <c r="BWQ54" s="1"/>
      <c r="BWR54" s="1"/>
      <c r="BWS54" s="1"/>
      <c r="BWT54" s="1"/>
      <c r="BWU54" s="1"/>
      <c r="BWV54" s="1"/>
      <c r="BWW54" s="1"/>
      <c r="BWX54" s="1"/>
      <c r="BWY54" s="1"/>
      <c r="BWZ54" s="1"/>
      <c r="BXA54" s="1"/>
      <c r="BXB54" s="1"/>
      <c r="BXC54" s="1"/>
      <c r="BXD54" s="1"/>
      <c r="BXE54" s="1"/>
      <c r="BXF54" s="1"/>
      <c r="BXG54" s="1"/>
      <c r="BXH54" s="1"/>
      <c r="BXI54" s="1"/>
      <c r="BXJ54" s="1"/>
      <c r="BXK54" s="1"/>
      <c r="BXL54" s="1"/>
      <c r="BXM54" s="1"/>
      <c r="BXN54" s="1"/>
      <c r="BXO54" s="1"/>
      <c r="BXP54" s="1"/>
      <c r="BXQ54" s="1"/>
      <c r="BXR54" s="1"/>
      <c r="BXS54" s="1"/>
      <c r="BXT54" s="1"/>
      <c r="BXU54" s="1"/>
      <c r="BXV54" s="1"/>
      <c r="BXW54" s="1"/>
      <c r="BXX54" s="1"/>
      <c r="BXY54" s="1"/>
      <c r="BXZ54" s="1"/>
      <c r="BYA54" s="1"/>
      <c r="BYB54" s="1"/>
      <c r="BYC54" s="1"/>
      <c r="BYD54" s="1"/>
      <c r="BYE54" s="1"/>
      <c r="BYF54" s="1"/>
      <c r="BYG54" s="1"/>
      <c r="BYH54" s="1"/>
      <c r="BYI54" s="1"/>
      <c r="BYJ54" s="1"/>
      <c r="BYK54" s="1"/>
      <c r="BYL54" s="1"/>
      <c r="BYM54" s="1"/>
      <c r="BYN54" s="1"/>
      <c r="BYO54" s="1"/>
      <c r="BYP54" s="1"/>
      <c r="BYQ54" s="1"/>
      <c r="BYR54" s="1"/>
      <c r="BYS54" s="1"/>
      <c r="BYT54" s="1"/>
      <c r="BYU54" s="1"/>
      <c r="BYV54" s="1"/>
      <c r="BYW54" s="1"/>
      <c r="BYX54" s="1"/>
      <c r="BYY54" s="1"/>
      <c r="BYZ54" s="1"/>
      <c r="BZA54" s="1"/>
      <c r="BZB54" s="1"/>
      <c r="BZC54" s="1"/>
      <c r="BZD54" s="1"/>
      <c r="BZE54" s="1"/>
      <c r="BZF54" s="1"/>
      <c r="BZG54" s="1"/>
      <c r="BZH54" s="1"/>
      <c r="BZI54" s="1"/>
      <c r="BZJ54" s="1"/>
      <c r="BZK54" s="1"/>
      <c r="BZL54" s="1"/>
      <c r="BZM54" s="1"/>
      <c r="BZN54" s="1"/>
      <c r="BZO54" s="1"/>
      <c r="BZP54" s="1"/>
      <c r="BZQ54" s="1"/>
      <c r="BZR54" s="1"/>
      <c r="BZS54" s="1"/>
      <c r="BZT54" s="1"/>
      <c r="BZU54" s="1"/>
      <c r="BZV54" s="1"/>
      <c r="BZW54" s="1"/>
      <c r="BZX54" s="1"/>
      <c r="BZY54" s="1"/>
      <c r="BZZ54" s="1"/>
      <c r="CAA54" s="1"/>
      <c r="CAB54" s="1"/>
      <c r="CAC54" s="1"/>
      <c r="CAD54" s="1"/>
      <c r="CAE54" s="1"/>
      <c r="CAF54" s="1"/>
      <c r="CAG54" s="1"/>
      <c r="CAH54" s="1"/>
      <c r="CAI54" s="1"/>
      <c r="CAJ54" s="1"/>
      <c r="CAK54" s="1"/>
      <c r="CAL54" s="1"/>
      <c r="CAM54" s="1"/>
      <c r="CAN54" s="1"/>
      <c r="CAO54" s="1"/>
      <c r="CAP54" s="1"/>
      <c r="CAQ54" s="1"/>
      <c r="CAR54" s="1"/>
      <c r="CAS54" s="1"/>
      <c r="CAT54" s="1"/>
      <c r="CAU54" s="1"/>
      <c r="CAV54" s="1"/>
      <c r="CAW54" s="1"/>
      <c r="CAX54" s="1"/>
      <c r="CAY54" s="1"/>
      <c r="CAZ54" s="1"/>
      <c r="CBA54" s="1"/>
      <c r="CBB54" s="1"/>
      <c r="CBC54" s="1"/>
      <c r="CBD54" s="1"/>
      <c r="CBE54" s="1"/>
      <c r="CBF54" s="1"/>
      <c r="CBG54" s="1"/>
      <c r="CBH54" s="1"/>
      <c r="CBI54" s="1"/>
      <c r="CBJ54" s="1"/>
      <c r="CBK54" s="1"/>
      <c r="CBL54" s="1"/>
      <c r="CBM54" s="1"/>
      <c r="CBN54" s="1"/>
      <c r="CBO54" s="1"/>
      <c r="CBP54" s="1"/>
      <c r="CBQ54" s="1"/>
      <c r="CBR54" s="1"/>
      <c r="CBS54" s="1"/>
      <c r="CBT54" s="1"/>
      <c r="CBU54" s="1"/>
      <c r="CBV54" s="1"/>
      <c r="CBW54" s="1"/>
      <c r="CBX54" s="1"/>
      <c r="CBY54" s="1"/>
      <c r="CBZ54" s="1"/>
      <c r="CCA54" s="1"/>
      <c r="CCB54" s="1"/>
      <c r="CCC54" s="1"/>
      <c r="CCD54" s="1"/>
      <c r="CCE54" s="1"/>
      <c r="CCF54" s="1"/>
      <c r="CCG54" s="1"/>
      <c r="CCH54" s="1"/>
      <c r="CCI54" s="1"/>
      <c r="CCJ54" s="1"/>
      <c r="CCK54" s="1"/>
      <c r="CCL54" s="1"/>
      <c r="CCM54" s="1"/>
      <c r="CCN54" s="1"/>
      <c r="CCO54" s="1"/>
      <c r="CCP54" s="1"/>
      <c r="CCQ54" s="1"/>
      <c r="CCR54" s="1"/>
      <c r="CCS54" s="1"/>
      <c r="CCT54" s="1"/>
      <c r="CCU54" s="1"/>
      <c r="CCV54" s="1"/>
      <c r="CCW54" s="1"/>
      <c r="CCX54" s="1"/>
      <c r="CCY54" s="1"/>
      <c r="CCZ54" s="1"/>
      <c r="CDA54" s="1"/>
      <c r="CDB54" s="1"/>
      <c r="CDC54" s="1"/>
      <c r="CDD54" s="1"/>
      <c r="CDE54" s="1"/>
      <c r="CDF54" s="1"/>
      <c r="CDG54" s="1"/>
      <c r="CDH54" s="1"/>
      <c r="CDI54" s="1"/>
      <c r="CDJ54" s="1"/>
      <c r="CDK54" s="1"/>
      <c r="CDL54" s="1"/>
      <c r="CDM54" s="1"/>
      <c r="CDN54" s="1"/>
      <c r="CDO54" s="1"/>
      <c r="CDP54" s="1"/>
      <c r="CDQ54" s="1"/>
      <c r="CDR54" s="1"/>
      <c r="CDS54" s="1"/>
      <c r="CDT54" s="1"/>
      <c r="CDU54" s="1"/>
      <c r="CDV54" s="1"/>
      <c r="CDW54" s="1"/>
      <c r="CDX54" s="1"/>
      <c r="CDY54" s="1"/>
      <c r="CDZ54" s="1"/>
      <c r="CEA54" s="1"/>
      <c r="CEB54" s="1"/>
      <c r="CEC54" s="1"/>
      <c r="CED54" s="1"/>
      <c r="CEE54" s="1"/>
      <c r="CEF54" s="1"/>
      <c r="CEG54" s="1"/>
      <c r="CEH54" s="1"/>
      <c r="CEI54" s="1"/>
      <c r="CEJ54" s="1"/>
      <c r="CEK54" s="1"/>
      <c r="CEL54" s="1"/>
      <c r="CEM54" s="1"/>
      <c r="CEN54" s="1"/>
      <c r="CEO54" s="1"/>
      <c r="CEP54" s="1"/>
      <c r="CEQ54" s="1"/>
      <c r="CER54" s="1"/>
      <c r="CES54" s="1"/>
      <c r="CET54" s="1"/>
      <c r="CEU54" s="1"/>
      <c r="CEV54" s="1"/>
      <c r="CEW54" s="1"/>
      <c r="CEX54" s="1"/>
      <c r="CEY54" s="1"/>
      <c r="CEZ54" s="1"/>
      <c r="CFA54" s="1"/>
      <c r="CFB54" s="1"/>
      <c r="CFC54" s="1"/>
      <c r="CFD54" s="1"/>
      <c r="CFE54" s="1"/>
      <c r="CFF54" s="1"/>
      <c r="CFG54" s="1"/>
      <c r="CFH54" s="1"/>
      <c r="CFI54" s="1"/>
      <c r="CFJ54" s="1"/>
      <c r="CFK54" s="1"/>
      <c r="CFL54" s="1"/>
      <c r="CFM54" s="1"/>
      <c r="CFN54" s="1"/>
      <c r="CFO54" s="1"/>
      <c r="CFP54" s="1"/>
      <c r="CFQ54" s="1"/>
      <c r="CFR54" s="1"/>
      <c r="CFS54" s="1"/>
      <c r="CFT54" s="1"/>
      <c r="CFU54" s="1"/>
      <c r="CFV54" s="1"/>
      <c r="CFW54" s="1"/>
      <c r="CFX54" s="1"/>
      <c r="CFY54" s="1"/>
      <c r="CFZ54" s="1"/>
      <c r="CGA54" s="1"/>
      <c r="CGB54" s="1"/>
      <c r="CGC54" s="1"/>
      <c r="CGD54" s="1"/>
      <c r="CGE54" s="1"/>
      <c r="CGF54" s="1"/>
      <c r="CGG54" s="1"/>
      <c r="CGH54" s="1"/>
      <c r="CGI54" s="1"/>
      <c r="CGJ54" s="1"/>
      <c r="CGK54" s="1"/>
      <c r="CGL54" s="1"/>
      <c r="CGM54" s="1"/>
      <c r="CGN54" s="1"/>
      <c r="CGO54" s="1"/>
      <c r="CGP54" s="1"/>
      <c r="CGQ54" s="1"/>
      <c r="CGR54" s="1"/>
      <c r="CGS54" s="1"/>
      <c r="CGT54" s="1"/>
      <c r="CGU54" s="1"/>
      <c r="CGV54" s="1"/>
      <c r="CGW54" s="1"/>
      <c r="CGX54" s="1"/>
      <c r="CGY54" s="1"/>
      <c r="CGZ54" s="1"/>
      <c r="CHA54" s="1"/>
      <c r="CHB54" s="1"/>
      <c r="CHC54" s="1"/>
      <c r="CHD54" s="1"/>
      <c r="CHE54" s="1"/>
      <c r="CHF54" s="1"/>
      <c r="CHG54" s="1"/>
      <c r="CHH54" s="1"/>
      <c r="CHI54" s="1"/>
      <c r="CHJ54" s="1"/>
      <c r="CHK54" s="1"/>
      <c r="CHL54" s="1"/>
      <c r="CHM54" s="1"/>
      <c r="CHN54" s="1"/>
      <c r="CHO54" s="1"/>
      <c r="CHP54" s="1"/>
      <c r="CHQ54" s="1"/>
      <c r="CHR54" s="1"/>
      <c r="CHS54" s="1"/>
      <c r="CHT54" s="1"/>
      <c r="CHU54" s="1"/>
      <c r="CHV54" s="1"/>
      <c r="CHW54" s="1"/>
      <c r="CHX54" s="1"/>
      <c r="CHY54" s="1"/>
      <c r="CHZ54" s="1"/>
      <c r="CIA54" s="1"/>
      <c r="CIB54" s="1"/>
      <c r="CIC54" s="1"/>
      <c r="CID54" s="1"/>
      <c r="CIE54" s="1"/>
      <c r="CIF54" s="1"/>
      <c r="CIG54" s="1"/>
      <c r="CIH54" s="1"/>
      <c r="CII54" s="1"/>
      <c r="CIJ54" s="1"/>
      <c r="CIK54" s="1"/>
      <c r="CIL54" s="1"/>
      <c r="CIM54" s="1"/>
      <c r="CIN54" s="1"/>
      <c r="CIO54" s="1"/>
      <c r="CIP54" s="1"/>
      <c r="CIQ54" s="1"/>
      <c r="CIR54" s="1"/>
      <c r="CIS54" s="1"/>
      <c r="CIT54" s="1"/>
      <c r="CIU54" s="1"/>
      <c r="CIV54" s="1"/>
      <c r="CIW54" s="1"/>
      <c r="CIX54" s="1"/>
      <c r="CIY54" s="1"/>
      <c r="CIZ54" s="1"/>
      <c r="CJA54" s="1"/>
      <c r="CJB54" s="1"/>
      <c r="CJC54" s="1"/>
      <c r="CJD54" s="1"/>
      <c r="CJE54" s="1"/>
      <c r="CJF54" s="1"/>
      <c r="CJG54" s="1"/>
      <c r="CJH54" s="1"/>
      <c r="CJI54" s="1"/>
      <c r="CJJ54" s="1"/>
      <c r="CJK54" s="1"/>
      <c r="CJL54" s="1"/>
      <c r="CJM54" s="1"/>
      <c r="CJN54" s="1"/>
      <c r="CJO54" s="1"/>
      <c r="CJP54" s="1"/>
      <c r="CJQ54" s="1"/>
      <c r="CJR54" s="1"/>
      <c r="CJS54" s="1"/>
      <c r="CJT54" s="1"/>
      <c r="CJU54" s="1"/>
      <c r="CJV54" s="1"/>
      <c r="CJW54" s="1"/>
      <c r="CJX54" s="1"/>
      <c r="CJY54" s="1"/>
      <c r="CJZ54" s="1"/>
      <c r="CKA54" s="1"/>
      <c r="CKB54" s="1"/>
      <c r="CKC54" s="1"/>
      <c r="CKD54" s="1"/>
      <c r="CKE54" s="1"/>
      <c r="CKF54" s="1"/>
      <c r="CKG54" s="1"/>
      <c r="CKH54" s="1"/>
      <c r="CKI54" s="1"/>
      <c r="CKJ54" s="1"/>
      <c r="CKK54" s="1"/>
      <c r="CKL54" s="1"/>
      <c r="CKM54" s="1"/>
      <c r="CKN54" s="1"/>
      <c r="CKO54" s="1"/>
      <c r="CKP54" s="1"/>
      <c r="CKQ54" s="1"/>
      <c r="CKR54" s="1"/>
      <c r="CKS54" s="1"/>
      <c r="CKT54" s="1"/>
      <c r="CKU54" s="1"/>
      <c r="CKV54" s="1"/>
      <c r="CKW54" s="1"/>
      <c r="CKX54" s="1"/>
      <c r="CKY54" s="1"/>
      <c r="CKZ54" s="1"/>
      <c r="CLA54" s="1"/>
      <c r="CLB54" s="1"/>
      <c r="CLC54" s="1"/>
      <c r="CLD54" s="1"/>
      <c r="CLE54" s="1"/>
      <c r="CLF54" s="1"/>
      <c r="CLG54" s="1"/>
      <c r="CLH54" s="1"/>
      <c r="CLI54" s="1"/>
      <c r="CLJ54" s="1"/>
      <c r="CLK54" s="1"/>
      <c r="CLL54" s="1"/>
      <c r="CLM54" s="1"/>
      <c r="CLN54" s="1"/>
      <c r="CLO54" s="1"/>
      <c r="CLP54" s="1"/>
      <c r="CLQ54" s="1"/>
      <c r="CLR54" s="1"/>
      <c r="CLS54" s="1"/>
      <c r="CLT54" s="1"/>
      <c r="CLU54" s="1"/>
      <c r="CLV54" s="1"/>
      <c r="CLW54" s="1"/>
      <c r="CLX54" s="1"/>
      <c r="CLY54" s="1"/>
      <c r="CLZ54" s="1"/>
      <c r="CMA54" s="1"/>
      <c r="CMB54" s="1"/>
      <c r="CMC54" s="1"/>
      <c r="CMD54" s="1"/>
      <c r="CME54" s="1"/>
      <c r="CMF54" s="1"/>
      <c r="CMG54" s="1"/>
      <c r="CMH54" s="1"/>
      <c r="CMI54" s="1"/>
      <c r="CMJ54" s="1"/>
      <c r="CMK54" s="1"/>
      <c r="CML54" s="1"/>
      <c r="CMM54" s="1"/>
      <c r="CMN54" s="1"/>
      <c r="CMO54" s="1"/>
      <c r="CMP54" s="1"/>
      <c r="CMQ54" s="1"/>
      <c r="CMR54" s="1"/>
      <c r="CMS54" s="1"/>
      <c r="CMT54" s="1"/>
      <c r="CMU54" s="1"/>
      <c r="CMV54" s="1"/>
      <c r="CMW54" s="1"/>
      <c r="CMX54" s="1"/>
      <c r="CMY54" s="1"/>
      <c r="CMZ54" s="1"/>
      <c r="CNA54" s="1"/>
      <c r="CNB54" s="1"/>
      <c r="CNC54" s="1"/>
      <c r="CND54" s="1"/>
      <c r="CNE54" s="1"/>
      <c r="CNF54" s="1"/>
      <c r="CNG54" s="1"/>
      <c r="CNH54" s="1"/>
      <c r="CNI54" s="1"/>
      <c r="CNJ54" s="1"/>
      <c r="CNK54" s="1"/>
      <c r="CNL54" s="1"/>
      <c r="CNM54" s="1"/>
      <c r="CNN54" s="1"/>
      <c r="CNO54" s="1"/>
      <c r="CNP54" s="1"/>
      <c r="CNQ54" s="1"/>
      <c r="CNR54" s="1"/>
      <c r="CNS54" s="1"/>
      <c r="CNT54" s="1"/>
      <c r="CNU54" s="1"/>
      <c r="CNV54" s="1"/>
      <c r="CNW54" s="1"/>
      <c r="CNX54" s="1"/>
      <c r="CNY54" s="1"/>
      <c r="CNZ54" s="1"/>
      <c r="COA54" s="1"/>
      <c r="COB54" s="1"/>
      <c r="COC54" s="1"/>
      <c r="COD54" s="1"/>
      <c r="COE54" s="1"/>
      <c r="COF54" s="1"/>
      <c r="COG54" s="1"/>
      <c r="COH54" s="1"/>
      <c r="COI54" s="1"/>
      <c r="COJ54" s="1"/>
      <c r="COK54" s="1"/>
      <c r="COL54" s="1"/>
      <c r="COM54" s="1"/>
      <c r="CON54" s="1"/>
      <c r="COO54" s="1"/>
      <c r="COP54" s="1"/>
      <c r="COQ54" s="1"/>
      <c r="COR54" s="1"/>
      <c r="COS54" s="1"/>
      <c r="COT54" s="1"/>
      <c r="COU54" s="1"/>
      <c r="COV54" s="1"/>
      <c r="COW54" s="1"/>
      <c r="COX54" s="1"/>
      <c r="COY54" s="1"/>
      <c r="COZ54" s="1"/>
      <c r="CPA54" s="1"/>
      <c r="CPB54" s="1"/>
      <c r="CPC54" s="1"/>
      <c r="CPD54" s="1"/>
      <c r="CPE54" s="1"/>
      <c r="CPF54" s="1"/>
      <c r="CPG54" s="1"/>
      <c r="CPH54" s="1"/>
      <c r="CPI54" s="1"/>
      <c r="CPJ54" s="1"/>
      <c r="CPK54" s="1"/>
      <c r="CPL54" s="1"/>
      <c r="CPM54" s="1"/>
      <c r="CPN54" s="1"/>
      <c r="CPO54" s="1"/>
      <c r="CPP54" s="1"/>
      <c r="CPQ54" s="1"/>
      <c r="CPR54" s="1"/>
      <c r="CPS54" s="1"/>
      <c r="CPT54" s="1"/>
      <c r="CPU54" s="1"/>
      <c r="CPV54" s="1"/>
      <c r="CPW54" s="1"/>
      <c r="CPX54" s="1"/>
      <c r="CPY54" s="1"/>
      <c r="CPZ54" s="1"/>
      <c r="CQA54" s="1"/>
      <c r="CQB54" s="1"/>
      <c r="CQC54" s="1"/>
      <c r="CQD54" s="1"/>
      <c r="CQE54" s="1"/>
      <c r="CQF54" s="1"/>
      <c r="CQG54" s="1"/>
      <c r="CQH54" s="1"/>
      <c r="CQI54" s="1"/>
      <c r="CQJ54" s="1"/>
      <c r="CQK54" s="1"/>
      <c r="CQL54" s="1"/>
      <c r="CQM54" s="1"/>
      <c r="CQN54" s="1"/>
      <c r="CQO54" s="1"/>
      <c r="CQP54" s="1"/>
      <c r="CQQ54" s="1"/>
      <c r="CQR54" s="1"/>
      <c r="CQS54" s="1"/>
      <c r="CQT54" s="1"/>
      <c r="CQU54" s="1"/>
      <c r="CQV54" s="1"/>
      <c r="CQW54" s="1"/>
      <c r="CQX54" s="1"/>
      <c r="CQY54" s="1"/>
      <c r="CQZ54" s="1"/>
      <c r="CRA54" s="1"/>
      <c r="CRB54" s="1"/>
      <c r="CRC54" s="1"/>
      <c r="CRD54" s="1"/>
      <c r="CRE54" s="1"/>
      <c r="CRF54" s="1"/>
      <c r="CRG54" s="1"/>
      <c r="CRH54" s="1"/>
      <c r="CRI54" s="1"/>
      <c r="CRJ54" s="1"/>
      <c r="CRK54" s="1"/>
      <c r="CRL54" s="1"/>
      <c r="CRM54" s="1"/>
      <c r="CRN54" s="1"/>
      <c r="CRO54" s="1"/>
      <c r="CRP54" s="1"/>
      <c r="CRQ54" s="1"/>
      <c r="CRR54" s="1"/>
      <c r="CRS54" s="1"/>
      <c r="CRT54" s="1"/>
      <c r="CRU54" s="1"/>
      <c r="CRV54" s="1"/>
      <c r="CRW54" s="1"/>
      <c r="CRX54" s="1"/>
      <c r="CRY54" s="1"/>
      <c r="CRZ54" s="1"/>
      <c r="CSA54" s="1"/>
      <c r="CSB54" s="1"/>
      <c r="CSC54" s="1"/>
      <c r="CSD54" s="1"/>
      <c r="CSE54" s="1"/>
      <c r="CSF54" s="1"/>
      <c r="CSG54" s="1"/>
      <c r="CSH54" s="1"/>
      <c r="CSI54" s="1"/>
      <c r="CSJ54" s="1"/>
      <c r="CSK54" s="1"/>
      <c r="CSL54" s="1"/>
      <c r="CSM54" s="1"/>
      <c r="CSN54" s="1"/>
      <c r="CSO54" s="1"/>
      <c r="CSP54" s="1"/>
      <c r="CSQ54" s="1"/>
      <c r="CSR54" s="1"/>
      <c r="CSS54" s="1"/>
      <c r="CST54" s="1"/>
      <c r="CSU54" s="1"/>
      <c r="CSV54" s="1"/>
      <c r="CSW54" s="1"/>
      <c r="CSX54" s="1"/>
      <c r="CSY54" s="1"/>
      <c r="CSZ54" s="1"/>
      <c r="CTA54" s="1"/>
      <c r="CTB54" s="1"/>
      <c r="CTC54" s="1"/>
      <c r="CTD54" s="1"/>
      <c r="CTE54" s="1"/>
      <c r="CTF54" s="1"/>
      <c r="CTG54" s="1"/>
      <c r="CTH54" s="1"/>
      <c r="CTI54" s="1"/>
      <c r="CTJ54" s="1"/>
      <c r="CTK54" s="1"/>
      <c r="CTL54" s="1"/>
      <c r="CTM54" s="1"/>
      <c r="CTN54" s="1"/>
      <c r="CTO54" s="1"/>
      <c r="CTP54" s="1"/>
      <c r="CTQ54" s="1"/>
      <c r="CTR54" s="1"/>
      <c r="CTS54" s="1"/>
      <c r="CTT54" s="1"/>
      <c r="CTU54" s="1"/>
      <c r="CTV54" s="1"/>
      <c r="CTW54" s="1"/>
      <c r="CTX54" s="1"/>
      <c r="CTY54" s="1"/>
      <c r="CTZ54" s="1"/>
      <c r="CUA54" s="1"/>
      <c r="CUB54" s="1"/>
      <c r="CUC54" s="1"/>
      <c r="CUD54" s="1"/>
      <c r="CUE54" s="1"/>
      <c r="CUF54" s="1"/>
      <c r="CUG54" s="1"/>
      <c r="CUH54" s="1"/>
      <c r="CUI54" s="1"/>
      <c r="CUJ54" s="1"/>
      <c r="CUK54" s="1"/>
      <c r="CUL54" s="1"/>
      <c r="CUM54" s="1"/>
      <c r="CUN54" s="1"/>
      <c r="CUO54" s="1"/>
      <c r="CUP54" s="1"/>
      <c r="CUQ54" s="1"/>
      <c r="CUR54" s="1"/>
      <c r="CUS54" s="1"/>
      <c r="CUT54" s="1"/>
      <c r="CUU54" s="1"/>
      <c r="CUV54" s="1"/>
      <c r="CUW54" s="1"/>
      <c r="CUX54" s="1"/>
      <c r="CUY54" s="1"/>
      <c r="CUZ54" s="1"/>
      <c r="CVA54" s="1"/>
      <c r="CVB54" s="1"/>
      <c r="CVC54" s="1"/>
      <c r="CVD54" s="1"/>
      <c r="CVE54" s="1"/>
      <c r="CVF54" s="1"/>
      <c r="CVG54" s="1"/>
      <c r="CVH54" s="1"/>
      <c r="CVI54" s="1"/>
      <c r="CVJ54" s="1"/>
      <c r="CVK54" s="1"/>
      <c r="CVL54" s="1"/>
      <c r="CVM54" s="1"/>
      <c r="CVN54" s="1"/>
      <c r="CVO54" s="1"/>
      <c r="CVP54" s="1"/>
      <c r="CVQ54" s="1"/>
      <c r="CVR54" s="1"/>
      <c r="CVS54" s="1"/>
      <c r="CVT54" s="1"/>
      <c r="CVU54" s="1"/>
      <c r="CVV54" s="1"/>
      <c r="CVW54" s="1"/>
      <c r="CVX54" s="1"/>
      <c r="CVY54" s="1"/>
      <c r="CVZ54" s="1"/>
      <c r="CWA54" s="1"/>
      <c r="CWB54" s="1"/>
      <c r="CWC54" s="1"/>
      <c r="CWD54" s="1"/>
      <c r="CWE54" s="1"/>
      <c r="CWF54" s="1"/>
      <c r="CWG54" s="1"/>
      <c r="CWH54" s="1"/>
      <c r="CWI54" s="1"/>
      <c r="CWJ54" s="1"/>
      <c r="CWK54" s="1"/>
      <c r="CWL54" s="1"/>
      <c r="CWM54" s="1"/>
      <c r="CWN54" s="1"/>
      <c r="CWO54" s="1"/>
      <c r="CWP54" s="1"/>
      <c r="CWQ54" s="1"/>
      <c r="CWR54" s="1"/>
      <c r="CWS54" s="1"/>
      <c r="CWT54" s="1"/>
      <c r="CWU54" s="1"/>
      <c r="CWV54" s="1"/>
      <c r="CWW54" s="1"/>
      <c r="CWX54" s="1"/>
      <c r="CWY54" s="1"/>
      <c r="CWZ54" s="1"/>
      <c r="CXA54" s="1"/>
      <c r="CXB54" s="1"/>
      <c r="CXC54" s="1"/>
      <c r="CXD54" s="1"/>
      <c r="CXE54" s="1"/>
      <c r="CXF54" s="1"/>
      <c r="CXG54" s="1"/>
      <c r="CXH54" s="1"/>
      <c r="CXI54" s="1"/>
      <c r="CXJ54" s="1"/>
      <c r="CXK54" s="1"/>
      <c r="CXL54" s="1"/>
      <c r="CXM54" s="1"/>
      <c r="CXN54" s="1"/>
      <c r="CXO54" s="1"/>
      <c r="CXP54" s="1"/>
      <c r="CXQ54" s="1"/>
      <c r="CXR54" s="1"/>
      <c r="CXS54" s="1"/>
      <c r="CXT54" s="1"/>
      <c r="CXU54" s="1"/>
      <c r="CXV54" s="1"/>
      <c r="CXW54" s="1"/>
      <c r="CXX54" s="1"/>
      <c r="CXY54" s="1"/>
      <c r="CXZ54" s="1"/>
      <c r="CYA54" s="1"/>
      <c r="CYB54" s="1"/>
      <c r="CYC54" s="1"/>
      <c r="CYD54" s="1"/>
      <c r="CYE54" s="1"/>
      <c r="CYF54" s="1"/>
      <c r="CYG54" s="1"/>
      <c r="CYH54" s="1"/>
      <c r="CYI54" s="1"/>
      <c r="CYJ54" s="1"/>
      <c r="CYK54" s="1"/>
      <c r="CYL54" s="1"/>
      <c r="CYM54" s="1"/>
      <c r="CYN54" s="1"/>
      <c r="CYO54" s="1"/>
      <c r="CYP54" s="1"/>
      <c r="CYQ54" s="1"/>
      <c r="CYR54" s="1"/>
      <c r="CYS54" s="1"/>
      <c r="CYT54" s="1"/>
      <c r="CYU54" s="1"/>
      <c r="CYV54" s="1"/>
      <c r="CYW54" s="1"/>
      <c r="CYX54" s="1"/>
      <c r="CYY54" s="1"/>
      <c r="CYZ54" s="1"/>
      <c r="CZA54" s="1"/>
      <c r="CZB54" s="1"/>
      <c r="CZC54" s="1"/>
      <c r="CZD54" s="1"/>
      <c r="CZE54" s="1"/>
      <c r="CZF54" s="1"/>
      <c r="CZG54" s="1"/>
      <c r="CZH54" s="1"/>
      <c r="CZI54" s="1"/>
      <c r="CZJ54" s="1"/>
      <c r="CZK54" s="1"/>
      <c r="CZL54" s="1"/>
      <c r="CZM54" s="1"/>
      <c r="CZN54" s="1"/>
      <c r="CZO54" s="1"/>
      <c r="CZP54" s="1"/>
      <c r="CZQ54" s="1"/>
      <c r="CZR54" s="1"/>
      <c r="CZS54" s="1"/>
      <c r="CZT54" s="1"/>
      <c r="CZU54" s="1"/>
      <c r="CZV54" s="1"/>
      <c r="CZW54" s="1"/>
      <c r="CZX54" s="1"/>
      <c r="CZY54" s="1"/>
      <c r="CZZ54" s="1"/>
      <c r="DAA54" s="1"/>
      <c r="DAB54" s="1"/>
      <c r="DAC54" s="1"/>
      <c r="DAD54" s="1"/>
      <c r="DAE54" s="1"/>
      <c r="DAF54" s="1"/>
      <c r="DAG54" s="1"/>
      <c r="DAH54" s="1"/>
      <c r="DAI54" s="1"/>
      <c r="DAJ54" s="1"/>
      <c r="DAK54" s="1"/>
      <c r="DAL54" s="1"/>
      <c r="DAM54" s="1"/>
      <c r="DAN54" s="1"/>
      <c r="DAO54" s="1"/>
      <c r="DAP54" s="1"/>
      <c r="DAQ54" s="1"/>
      <c r="DAR54" s="1"/>
      <c r="DAS54" s="1"/>
      <c r="DAT54" s="1"/>
      <c r="DAU54" s="1"/>
      <c r="DAV54" s="1"/>
      <c r="DAW54" s="1"/>
      <c r="DAX54" s="1"/>
      <c r="DAY54" s="1"/>
      <c r="DAZ54" s="1"/>
      <c r="DBA54" s="1"/>
      <c r="DBB54" s="1"/>
      <c r="DBC54" s="1"/>
      <c r="DBD54" s="1"/>
      <c r="DBE54" s="1"/>
      <c r="DBF54" s="1"/>
      <c r="DBG54" s="1"/>
      <c r="DBH54" s="1"/>
      <c r="DBI54" s="1"/>
      <c r="DBJ54" s="1"/>
      <c r="DBK54" s="1"/>
      <c r="DBL54" s="1"/>
      <c r="DBM54" s="1"/>
      <c r="DBN54" s="1"/>
      <c r="DBO54" s="1"/>
      <c r="DBP54" s="1"/>
      <c r="DBQ54" s="1"/>
      <c r="DBR54" s="1"/>
      <c r="DBS54" s="1"/>
      <c r="DBT54" s="1"/>
      <c r="DBU54" s="1"/>
      <c r="DBV54" s="1"/>
      <c r="DBW54" s="1"/>
      <c r="DBX54" s="1"/>
      <c r="DBY54" s="1"/>
      <c r="DBZ54" s="1"/>
      <c r="DCA54" s="1"/>
      <c r="DCB54" s="1"/>
      <c r="DCC54" s="1"/>
      <c r="DCD54" s="1"/>
      <c r="DCE54" s="1"/>
      <c r="DCF54" s="1"/>
      <c r="DCG54" s="1"/>
      <c r="DCH54" s="1"/>
      <c r="DCI54" s="1"/>
      <c r="DCJ54" s="1"/>
      <c r="DCK54" s="1"/>
      <c r="DCL54" s="1"/>
      <c r="DCM54" s="1"/>
      <c r="DCN54" s="1"/>
      <c r="DCO54" s="1"/>
      <c r="DCP54" s="1"/>
      <c r="DCQ54" s="1"/>
      <c r="DCR54" s="1"/>
      <c r="DCS54" s="1"/>
      <c r="DCT54" s="1"/>
      <c r="DCU54" s="1"/>
      <c r="DCV54" s="1"/>
      <c r="DCW54" s="1"/>
      <c r="DCX54" s="1"/>
      <c r="DCY54" s="1"/>
      <c r="DCZ54" s="1"/>
      <c r="DDA54" s="1"/>
      <c r="DDB54" s="1"/>
      <c r="DDC54" s="1"/>
      <c r="DDD54" s="1"/>
      <c r="DDE54" s="1"/>
      <c r="DDF54" s="1"/>
      <c r="DDG54" s="1"/>
      <c r="DDH54" s="1"/>
      <c r="DDI54" s="1"/>
      <c r="DDJ54" s="1"/>
      <c r="DDK54" s="1"/>
      <c r="DDL54" s="1"/>
      <c r="DDM54" s="1"/>
      <c r="DDN54" s="1"/>
      <c r="DDO54" s="1"/>
      <c r="DDP54" s="1"/>
      <c r="DDQ54" s="1"/>
      <c r="DDR54" s="1"/>
      <c r="DDS54" s="1"/>
      <c r="DDT54" s="1"/>
      <c r="DDU54" s="1"/>
      <c r="DDV54" s="1"/>
      <c r="DDW54" s="1"/>
      <c r="DDX54" s="1"/>
      <c r="DDY54" s="1"/>
      <c r="DDZ54" s="1"/>
      <c r="DEA54" s="1"/>
      <c r="DEB54" s="1"/>
      <c r="DEC54" s="1"/>
      <c r="DED54" s="1"/>
      <c r="DEE54" s="1"/>
      <c r="DEF54" s="1"/>
      <c r="DEG54" s="1"/>
      <c r="DEH54" s="1"/>
      <c r="DEI54" s="1"/>
      <c r="DEJ54" s="1"/>
      <c r="DEK54" s="1"/>
      <c r="DEL54" s="1"/>
      <c r="DEM54" s="1"/>
      <c r="DEN54" s="1"/>
      <c r="DEO54" s="1"/>
      <c r="DEP54" s="1"/>
      <c r="DEQ54" s="1"/>
      <c r="DER54" s="1"/>
      <c r="DES54" s="1"/>
      <c r="DET54" s="1"/>
      <c r="DEU54" s="1"/>
      <c r="DEV54" s="1"/>
      <c r="DEW54" s="1"/>
      <c r="DEX54" s="1"/>
      <c r="DEY54" s="1"/>
      <c r="DEZ54" s="1"/>
      <c r="DFA54" s="1"/>
      <c r="DFB54" s="1"/>
      <c r="DFC54" s="1"/>
      <c r="DFD54" s="1"/>
      <c r="DFE54" s="1"/>
      <c r="DFF54" s="1"/>
      <c r="DFG54" s="1"/>
      <c r="DFH54" s="1"/>
      <c r="DFI54" s="1"/>
      <c r="DFJ54" s="1"/>
      <c r="DFK54" s="1"/>
      <c r="DFL54" s="1"/>
      <c r="DFM54" s="1"/>
      <c r="DFN54" s="1"/>
      <c r="DFO54" s="1"/>
      <c r="DFP54" s="1"/>
      <c r="DFQ54" s="1"/>
      <c r="DFR54" s="1"/>
      <c r="DFS54" s="1"/>
      <c r="DFT54" s="1"/>
      <c r="DFU54" s="1"/>
      <c r="DFV54" s="1"/>
      <c r="DFW54" s="1"/>
      <c r="DFX54" s="1"/>
      <c r="DFY54" s="1"/>
      <c r="DFZ54" s="1"/>
      <c r="DGA54" s="1"/>
      <c r="DGB54" s="1"/>
      <c r="DGC54" s="1"/>
      <c r="DGD54" s="1"/>
      <c r="DGE54" s="1"/>
      <c r="DGF54" s="1"/>
      <c r="DGG54" s="1"/>
      <c r="DGH54" s="1"/>
      <c r="DGI54" s="1"/>
      <c r="DGJ54" s="1"/>
      <c r="DGK54" s="1"/>
      <c r="DGL54" s="1"/>
      <c r="DGM54" s="1"/>
      <c r="DGN54" s="1"/>
      <c r="DGO54" s="1"/>
      <c r="DGP54" s="1"/>
      <c r="DGQ54" s="1"/>
      <c r="DGR54" s="1"/>
      <c r="DGS54" s="1"/>
      <c r="DGT54" s="1"/>
      <c r="DGU54" s="1"/>
      <c r="DGV54" s="1"/>
      <c r="DGW54" s="1"/>
      <c r="DGX54" s="1"/>
      <c r="DGY54" s="1"/>
      <c r="DGZ54" s="1"/>
      <c r="DHA54" s="1"/>
      <c r="DHB54" s="1"/>
      <c r="DHC54" s="1"/>
      <c r="DHD54" s="1"/>
      <c r="DHE54" s="1"/>
      <c r="DHF54" s="1"/>
      <c r="DHG54" s="1"/>
      <c r="DHH54" s="1"/>
      <c r="DHI54" s="1"/>
      <c r="DHJ54" s="1"/>
      <c r="DHK54" s="1"/>
      <c r="DHL54" s="1"/>
      <c r="DHM54" s="1"/>
      <c r="DHN54" s="1"/>
      <c r="DHO54" s="1"/>
      <c r="DHP54" s="1"/>
      <c r="DHQ54" s="1"/>
      <c r="DHR54" s="1"/>
      <c r="DHS54" s="1"/>
      <c r="DHT54" s="1"/>
      <c r="DHU54" s="1"/>
      <c r="DHV54" s="1"/>
      <c r="DHW54" s="1"/>
      <c r="DHX54" s="1"/>
      <c r="DHY54" s="1"/>
      <c r="DHZ54" s="1"/>
      <c r="DIA54" s="1"/>
      <c r="DIB54" s="1"/>
      <c r="DIC54" s="1"/>
      <c r="DID54" s="1"/>
      <c r="DIE54" s="1"/>
      <c r="DIF54" s="1"/>
      <c r="DIG54" s="1"/>
      <c r="DIH54" s="1"/>
      <c r="DII54" s="1"/>
      <c r="DIJ54" s="1"/>
      <c r="DIK54" s="1"/>
      <c r="DIL54" s="1"/>
      <c r="DIM54" s="1"/>
      <c r="DIN54" s="1"/>
      <c r="DIO54" s="1"/>
      <c r="DIP54" s="1"/>
      <c r="DIQ54" s="1"/>
      <c r="DIR54" s="1"/>
      <c r="DIS54" s="1"/>
      <c r="DIT54" s="1"/>
      <c r="DIU54" s="1"/>
      <c r="DIV54" s="1"/>
      <c r="DIW54" s="1"/>
      <c r="DIX54" s="1"/>
      <c r="DIY54" s="1"/>
      <c r="DIZ54" s="1"/>
      <c r="DJA54" s="1"/>
      <c r="DJB54" s="1"/>
      <c r="DJC54" s="1"/>
      <c r="DJD54" s="1"/>
      <c r="DJE54" s="1"/>
      <c r="DJF54" s="1"/>
      <c r="DJG54" s="1"/>
      <c r="DJH54" s="1"/>
      <c r="DJI54" s="1"/>
      <c r="DJJ54" s="1"/>
      <c r="DJK54" s="1"/>
      <c r="DJL54" s="1"/>
      <c r="DJM54" s="1"/>
      <c r="DJN54" s="1"/>
      <c r="DJO54" s="1"/>
      <c r="DJP54" s="1"/>
      <c r="DJQ54" s="1"/>
      <c r="DJR54" s="1"/>
      <c r="DJS54" s="1"/>
      <c r="DJT54" s="1"/>
      <c r="DJU54" s="1"/>
      <c r="DJV54" s="1"/>
      <c r="DJW54" s="1"/>
      <c r="DJX54" s="1"/>
      <c r="DJY54" s="1"/>
      <c r="DJZ54" s="1"/>
      <c r="DKA54" s="1"/>
      <c r="DKB54" s="1"/>
      <c r="DKC54" s="1"/>
      <c r="DKD54" s="1"/>
      <c r="DKE54" s="1"/>
      <c r="DKF54" s="1"/>
      <c r="DKG54" s="1"/>
      <c r="DKH54" s="1"/>
      <c r="DKI54" s="1"/>
      <c r="DKJ54" s="1"/>
      <c r="DKK54" s="1"/>
      <c r="DKL54" s="1"/>
      <c r="DKM54" s="1"/>
      <c r="DKN54" s="1"/>
      <c r="DKO54" s="1"/>
      <c r="DKP54" s="1"/>
      <c r="DKQ54" s="1"/>
      <c r="DKR54" s="1"/>
      <c r="DKS54" s="1"/>
      <c r="DKT54" s="1"/>
      <c r="DKU54" s="1"/>
      <c r="DKV54" s="1"/>
      <c r="DKW54" s="1"/>
      <c r="DKX54" s="1"/>
      <c r="DKY54" s="1"/>
      <c r="DKZ54" s="1"/>
      <c r="DLA54" s="1"/>
      <c r="DLB54" s="1"/>
      <c r="DLC54" s="1"/>
      <c r="DLD54" s="1"/>
      <c r="DLE54" s="1"/>
      <c r="DLF54" s="1"/>
      <c r="DLG54" s="1"/>
      <c r="DLH54" s="1"/>
      <c r="DLI54" s="1"/>
      <c r="DLJ54" s="1"/>
      <c r="DLK54" s="1"/>
      <c r="DLL54" s="1"/>
      <c r="DLM54" s="1"/>
      <c r="DLN54" s="1"/>
      <c r="DLO54" s="1"/>
      <c r="DLP54" s="1"/>
      <c r="DLQ54" s="1"/>
      <c r="DLR54" s="1"/>
      <c r="DLS54" s="1"/>
      <c r="DLT54" s="1"/>
      <c r="DLU54" s="1"/>
      <c r="DLV54" s="1"/>
      <c r="DLW54" s="1"/>
      <c r="DLX54" s="1"/>
      <c r="DLY54" s="1"/>
      <c r="DLZ54" s="1"/>
      <c r="DMA54" s="1"/>
      <c r="DMB54" s="1"/>
      <c r="DMC54" s="1"/>
      <c r="DMD54" s="1"/>
      <c r="DME54" s="1"/>
      <c r="DMF54" s="1"/>
      <c r="DMG54" s="1"/>
      <c r="DMH54" s="1"/>
      <c r="DMI54" s="1"/>
      <c r="DMJ54" s="1"/>
      <c r="DMK54" s="1"/>
      <c r="DML54" s="1"/>
      <c r="DMM54" s="1"/>
      <c r="DMN54" s="1"/>
      <c r="DMO54" s="1"/>
      <c r="DMP54" s="1"/>
      <c r="DMQ54" s="1"/>
      <c r="DMR54" s="1"/>
      <c r="DMS54" s="1"/>
      <c r="DMT54" s="1"/>
      <c r="DMU54" s="1"/>
      <c r="DMV54" s="1"/>
      <c r="DMW54" s="1"/>
      <c r="DMX54" s="1"/>
      <c r="DMY54" s="1"/>
      <c r="DMZ54" s="1"/>
      <c r="DNA54" s="1"/>
      <c r="DNB54" s="1"/>
      <c r="DNC54" s="1"/>
      <c r="DND54" s="1"/>
      <c r="DNE54" s="1"/>
      <c r="DNF54" s="1"/>
      <c r="DNG54" s="1"/>
      <c r="DNH54" s="1"/>
      <c r="DNI54" s="1"/>
      <c r="DNJ54" s="1"/>
      <c r="DNK54" s="1"/>
      <c r="DNL54" s="1"/>
      <c r="DNM54" s="1"/>
      <c r="DNN54" s="1"/>
      <c r="DNO54" s="1"/>
      <c r="DNP54" s="1"/>
      <c r="DNQ54" s="1"/>
      <c r="DNR54" s="1"/>
      <c r="DNS54" s="1"/>
      <c r="DNT54" s="1"/>
      <c r="DNU54" s="1"/>
      <c r="DNV54" s="1"/>
      <c r="DNW54" s="1"/>
      <c r="DNX54" s="1"/>
      <c r="DNY54" s="1"/>
      <c r="DNZ54" s="1"/>
      <c r="DOA54" s="1"/>
      <c r="DOB54" s="1"/>
      <c r="DOC54" s="1"/>
      <c r="DOD54" s="1"/>
      <c r="DOE54" s="1"/>
      <c r="DOF54" s="1"/>
      <c r="DOG54" s="1"/>
      <c r="DOH54" s="1"/>
      <c r="DOI54" s="1"/>
      <c r="DOJ54" s="1"/>
      <c r="DOK54" s="1"/>
      <c r="DOL54" s="1"/>
      <c r="DOM54" s="1"/>
      <c r="DON54" s="1"/>
      <c r="DOO54" s="1"/>
      <c r="DOP54" s="1"/>
      <c r="DOQ54" s="1"/>
      <c r="DOR54" s="1"/>
      <c r="DOS54" s="1"/>
      <c r="DOT54" s="1"/>
      <c r="DOU54" s="1"/>
      <c r="DOV54" s="1"/>
      <c r="DOW54" s="1"/>
      <c r="DOX54" s="1"/>
      <c r="DOY54" s="1"/>
      <c r="DOZ54" s="1"/>
      <c r="DPA54" s="1"/>
      <c r="DPB54" s="1"/>
      <c r="DPC54" s="1"/>
      <c r="DPD54" s="1"/>
      <c r="DPE54" s="1"/>
      <c r="DPF54" s="1"/>
      <c r="DPG54" s="1"/>
      <c r="DPH54" s="1"/>
      <c r="DPI54" s="1"/>
      <c r="DPJ54" s="1"/>
      <c r="DPK54" s="1"/>
      <c r="DPL54" s="1"/>
      <c r="DPM54" s="1"/>
      <c r="DPN54" s="1"/>
      <c r="DPO54" s="1"/>
      <c r="DPP54" s="1"/>
      <c r="DPQ54" s="1"/>
      <c r="DPR54" s="1"/>
      <c r="DPS54" s="1"/>
      <c r="DPT54" s="1"/>
      <c r="DPU54" s="1"/>
      <c r="DPV54" s="1"/>
      <c r="DPW54" s="1"/>
      <c r="DPX54" s="1"/>
      <c r="DPY54" s="1"/>
      <c r="DPZ54" s="1"/>
      <c r="DQA54" s="1"/>
      <c r="DQB54" s="1"/>
      <c r="DQC54" s="1"/>
      <c r="DQD54" s="1"/>
      <c r="DQE54" s="1"/>
      <c r="DQF54" s="1"/>
      <c r="DQG54" s="1"/>
      <c r="DQH54" s="1"/>
      <c r="DQI54" s="1"/>
      <c r="DQJ54" s="1"/>
      <c r="DQK54" s="1"/>
      <c r="DQL54" s="1"/>
      <c r="DQM54" s="1"/>
      <c r="DQN54" s="1"/>
      <c r="DQO54" s="1"/>
      <c r="DQP54" s="1"/>
      <c r="DQQ54" s="1"/>
      <c r="DQR54" s="1"/>
      <c r="DQS54" s="1"/>
      <c r="DQT54" s="1"/>
      <c r="DQU54" s="1"/>
      <c r="DQV54" s="1"/>
      <c r="DQW54" s="1"/>
      <c r="DQX54" s="1"/>
      <c r="DQY54" s="1"/>
      <c r="DQZ54" s="1"/>
      <c r="DRA54" s="1"/>
      <c r="DRB54" s="1"/>
      <c r="DRC54" s="1"/>
      <c r="DRD54" s="1"/>
      <c r="DRE54" s="1"/>
      <c r="DRF54" s="1"/>
      <c r="DRG54" s="1"/>
      <c r="DRH54" s="1"/>
      <c r="DRI54" s="1"/>
      <c r="DRJ54" s="1"/>
      <c r="DRK54" s="1"/>
      <c r="DRL54" s="1"/>
      <c r="DRM54" s="1"/>
      <c r="DRN54" s="1"/>
      <c r="DRO54" s="1"/>
      <c r="DRP54" s="1"/>
      <c r="DRQ54" s="1"/>
      <c r="DRR54" s="1"/>
      <c r="DRS54" s="1"/>
      <c r="DRT54" s="1"/>
      <c r="DRU54" s="1"/>
      <c r="DRV54" s="1"/>
      <c r="DRW54" s="1"/>
      <c r="DRX54" s="1"/>
      <c r="DRY54" s="1"/>
      <c r="DRZ54" s="1"/>
      <c r="DSA54" s="1"/>
      <c r="DSB54" s="1"/>
      <c r="DSC54" s="1"/>
      <c r="DSD54" s="1"/>
      <c r="DSE54" s="1"/>
      <c r="DSF54" s="1"/>
      <c r="DSG54" s="1"/>
      <c r="DSH54" s="1"/>
      <c r="DSI54" s="1"/>
      <c r="DSJ54" s="1"/>
      <c r="DSK54" s="1"/>
      <c r="DSL54" s="1"/>
      <c r="DSM54" s="1"/>
      <c r="DSN54" s="1"/>
      <c r="DSO54" s="1"/>
      <c r="DSP54" s="1"/>
      <c r="DSQ54" s="1"/>
      <c r="DSR54" s="1"/>
      <c r="DSS54" s="1"/>
      <c r="DST54" s="1"/>
      <c r="DSU54" s="1"/>
      <c r="DSV54" s="1"/>
      <c r="DSW54" s="1"/>
      <c r="DSX54" s="1"/>
      <c r="DSY54" s="1"/>
      <c r="DSZ54" s="1"/>
      <c r="DTA54" s="1"/>
      <c r="DTB54" s="1"/>
      <c r="DTC54" s="1"/>
      <c r="DTD54" s="1"/>
      <c r="DTE54" s="1"/>
      <c r="DTF54" s="1"/>
      <c r="DTG54" s="1"/>
      <c r="DTH54" s="1"/>
      <c r="DTI54" s="1"/>
      <c r="DTJ54" s="1"/>
      <c r="DTK54" s="1"/>
      <c r="DTL54" s="1"/>
      <c r="DTM54" s="1"/>
      <c r="DTN54" s="1"/>
      <c r="DTO54" s="1"/>
      <c r="DTP54" s="1"/>
      <c r="DTQ54" s="1"/>
      <c r="DTR54" s="1"/>
      <c r="DTS54" s="1"/>
      <c r="DTT54" s="1"/>
      <c r="DTU54" s="1"/>
      <c r="DTV54" s="1"/>
      <c r="DTW54" s="1"/>
      <c r="DTX54" s="1"/>
      <c r="DTY54" s="1"/>
      <c r="DTZ54" s="1"/>
      <c r="DUA54" s="1"/>
      <c r="DUB54" s="1"/>
      <c r="DUC54" s="1"/>
      <c r="DUD54" s="1"/>
      <c r="DUE54" s="1"/>
      <c r="DUF54" s="1"/>
      <c r="DUG54" s="1"/>
      <c r="DUH54" s="1"/>
      <c r="DUI54" s="1"/>
      <c r="DUJ54" s="1"/>
      <c r="DUK54" s="1"/>
      <c r="DUL54" s="1"/>
      <c r="DUM54" s="1"/>
      <c r="DUN54" s="1"/>
      <c r="DUO54" s="1"/>
      <c r="DUP54" s="1"/>
      <c r="DUQ54" s="1"/>
      <c r="DUR54" s="1"/>
      <c r="DUS54" s="1"/>
      <c r="DUT54" s="1"/>
      <c r="DUU54" s="1"/>
      <c r="DUV54" s="1"/>
      <c r="DUW54" s="1"/>
      <c r="DUX54" s="1"/>
      <c r="DUY54" s="1"/>
      <c r="DUZ54" s="1"/>
      <c r="DVA54" s="1"/>
      <c r="DVB54" s="1"/>
      <c r="DVC54" s="1"/>
      <c r="DVD54" s="1"/>
      <c r="DVE54" s="1"/>
      <c r="DVF54" s="1"/>
      <c r="DVG54" s="1"/>
      <c r="DVH54" s="1"/>
      <c r="DVI54" s="1"/>
      <c r="DVJ54" s="1"/>
      <c r="DVK54" s="1"/>
      <c r="DVL54" s="1"/>
      <c r="DVM54" s="1"/>
      <c r="DVN54" s="1"/>
      <c r="DVO54" s="1"/>
      <c r="DVP54" s="1"/>
      <c r="DVQ54" s="1"/>
      <c r="DVR54" s="1"/>
      <c r="DVS54" s="1"/>
      <c r="DVT54" s="1"/>
      <c r="DVU54" s="1"/>
      <c r="DVV54" s="1"/>
      <c r="DVW54" s="1"/>
      <c r="DVX54" s="1"/>
      <c r="DVY54" s="1"/>
      <c r="DVZ54" s="1"/>
      <c r="DWA54" s="1"/>
      <c r="DWB54" s="1"/>
      <c r="DWC54" s="1"/>
      <c r="DWD54" s="1"/>
      <c r="DWE54" s="1"/>
      <c r="DWF54" s="1"/>
      <c r="DWG54" s="1"/>
      <c r="DWH54" s="1"/>
      <c r="DWI54" s="1"/>
      <c r="DWJ54" s="1"/>
      <c r="DWK54" s="1"/>
      <c r="DWL54" s="1"/>
      <c r="DWM54" s="1"/>
      <c r="DWN54" s="1"/>
      <c r="DWO54" s="1"/>
      <c r="DWP54" s="1"/>
      <c r="DWQ54" s="1"/>
      <c r="DWR54" s="1"/>
      <c r="DWS54" s="1"/>
      <c r="DWT54" s="1"/>
      <c r="DWU54" s="1"/>
      <c r="DWV54" s="1"/>
      <c r="DWW54" s="1"/>
      <c r="DWX54" s="1"/>
      <c r="DWY54" s="1"/>
      <c r="DWZ54" s="1"/>
      <c r="DXA54" s="1"/>
      <c r="DXB54" s="1"/>
      <c r="DXC54" s="1"/>
      <c r="DXD54" s="1"/>
      <c r="DXE54" s="1"/>
      <c r="DXF54" s="1"/>
      <c r="DXG54" s="1"/>
      <c r="DXH54" s="1"/>
      <c r="DXI54" s="1"/>
      <c r="DXJ54" s="1"/>
      <c r="DXK54" s="1"/>
      <c r="DXL54" s="1"/>
      <c r="DXM54" s="1"/>
      <c r="DXN54" s="1"/>
      <c r="DXO54" s="1"/>
      <c r="DXP54" s="1"/>
      <c r="DXQ54" s="1"/>
      <c r="DXR54" s="1"/>
      <c r="DXS54" s="1"/>
      <c r="DXT54" s="1"/>
      <c r="DXU54" s="1"/>
      <c r="DXV54" s="1"/>
      <c r="DXW54" s="1"/>
      <c r="DXX54" s="1"/>
      <c r="DXY54" s="1"/>
      <c r="DXZ54" s="1"/>
      <c r="DYA54" s="1"/>
      <c r="DYB54" s="1"/>
      <c r="DYC54" s="1"/>
      <c r="DYD54" s="1"/>
      <c r="DYE54" s="1"/>
      <c r="DYF54" s="1"/>
      <c r="DYG54" s="1"/>
      <c r="DYH54" s="1"/>
      <c r="DYI54" s="1"/>
      <c r="DYJ54" s="1"/>
      <c r="DYK54" s="1"/>
      <c r="DYL54" s="1"/>
      <c r="DYM54" s="1"/>
      <c r="DYN54" s="1"/>
      <c r="DYO54" s="1"/>
      <c r="DYP54" s="1"/>
      <c r="DYQ54" s="1"/>
      <c r="DYR54" s="1"/>
      <c r="DYS54" s="1"/>
      <c r="DYT54" s="1"/>
      <c r="DYU54" s="1"/>
      <c r="DYV54" s="1"/>
      <c r="DYW54" s="1"/>
      <c r="DYX54" s="1"/>
      <c r="DYY54" s="1"/>
      <c r="DYZ54" s="1"/>
      <c r="DZA54" s="1"/>
      <c r="DZB54" s="1"/>
      <c r="DZC54" s="1"/>
      <c r="DZD54" s="1"/>
      <c r="DZE54" s="1"/>
      <c r="DZF54" s="1"/>
      <c r="DZG54" s="1"/>
      <c r="DZH54" s="1"/>
      <c r="DZI54" s="1"/>
      <c r="DZJ54" s="1"/>
      <c r="DZK54" s="1"/>
      <c r="DZL54" s="1"/>
      <c r="DZM54" s="1"/>
      <c r="DZN54" s="1"/>
      <c r="DZO54" s="1"/>
      <c r="DZP54" s="1"/>
      <c r="DZQ54" s="1"/>
      <c r="DZR54" s="1"/>
      <c r="DZS54" s="1"/>
      <c r="DZT54" s="1"/>
      <c r="DZU54" s="1"/>
      <c r="DZV54" s="1"/>
      <c r="DZW54" s="1"/>
      <c r="DZX54" s="1"/>
      <c r="DZY54" s="1"/>
      <c r="DZZ54" s="1"/>
      <c r="EAA54" s="1"/>
      <c r="EAB54" s="1"/>
      <c r="EAC54" s="1"/>
      <c r="EAD54" s="1"/>
      <c r="EAE54" s="1"/>
      <c r="EAF54" s="1"/>
      <c r="EAG54" s="1"/>
      <c r="EAH54" s="1"/>
      <c r="EAI54" s="1"/>
      <c r="EAJ54" s="1"/>
      <c r="EAK54" s="1"/>
      <c r="EAL54" s="1"/>
      <c r="EAM54" s="1"/>
      <c r="EAN54" s="1"/>
      <c r="EAO54" s="1"/>
      <c r="EAP54" s="1"/>
      <c r="EAQ54" s="1"/>
      <c r="EAR54" s="1"/>
      <c r="EAS54" s="1"/>
      <c r="EAT54" s="1"/>
      <c r="EAU54" s="1"/>
      <c r="EAV54" s="1"/>
      <c r="EAW54" s="1"/>
      <c r="EAX54" s="1"/>
      <c r="EAY54" s="1"/>
      <c r="EAZ54" s="1"/>
      <c r="EBA54" s="1"/>
      <c r="EBB54" s="1"/>
      <c r="EBC54" s="1"/>
      <c r="EBD54" s="1"/>
      <c r="EBE54" s="1"/>
      <c r="EBF54" s="1"/>
      <c r="EBG54" s="1"/>
      <c r="EBH54" s="1"/>
      <c r="EBI54" s="1"/>
      <c r="EBJ54" s="1"/>
      <c r="EBK54" s="1"/>
      <c r="EBL54" s="1"/>
      <c r="EBM54" s="1"/>
      <c r="EBN54" s="1"/>
      <c r="EBO54" s="1"/>
      <c r="EBP54" s="1"/>
      <c r="EBQ54" s="1"/>
      <c r="EBR54" s="1"/>
      <c r="EBS54" s="1"/>
      <c r="EBT54" s="1"/>
      <c r="EBU54" s="1"/>
      <c r="EBV54" s="1"/>
      <c r="EBW54" s="1"/>
      <c r="EBX54" s="1"/>
      <c r="EBY54" s="1"/>
      <c r="EBZ54" s="1"/>
      <c r="ECA54" s="1"/>
      <c r="ECB54" s="1"/>
      <c r="ECC54" s="1"/>
      <c r="ECD54" s="1"/>
      <c r="ECE54" s="1"/>
      <c r="ECF54" s="1"/>
      <c r="ECG54" s="1"/>
      <c r="ECH54" s="1"/>
      <c r="ECI54" s="1"/>
      <c r="ECJ54" s="1"/>
      <c r="ECK54" s="1"/>
      <c r="ECL54" s="1"/>
      <c r="ECM54" s="1"/>
      <c r="ECN54" s="1"/>
      <c r="ECO54" s="1"/>
      <c r="ECP54" s="1"/>
      <c r="ECQ54" s="1"/>
      <c r="ECR54" s="1"/>
      <c r="ECS54" s="1"/>
      <c r="ECT54" s="1"/>
      <c r="ECU54" s="1"/>
      <c r="ECV54" s="1"/>
      <c r="ECW54" s="1"/>
      <c r="ECX54" s="1"/>
      <c r="ECY54" s="1"/>
      <c r="ECZ54" s="1"/>
      <c r="EDA54" s="1"/>
      <c r="EDB54" s="1"/>
      <c r="EDC54" s="1"/>
      <c r="EDD54" s="1"/>
      <c r="EDE54" s="1"/>
      <c r="EDF54" s="1"/>
      <c r="EDG54" s="1"/>
      <c r="EDH54" s="1"/>
      <c r="EDI54" s="1"/>
      <c r="EDJ54" s="1"/>
      <c r="EDK54" s="1"/>
      <c r="EDL54" s="1"/>
      <c r="EDM54" s="1"/>
      <c r="EDN54" s="1"/>
      <c r="EDO54" s="1"/>
      <c r="EDP54" s="1"/>
      <c r="EDQ54" s="1"/>
      <c r="EDR54" s="1"/>
      <c r="EDS54" s="1"/>
      <c r="EDT54" s="1"/>
      <c r="EDU54" s="1"/>
      <c r="EDV54" s="1"/>
      <c r="EDW54" s="1"/>
      <c r="EDX54" s="1"/>
      <c r="EDY54" s="1"/>
      <c r="EDZ54" s="1"/>
      <c r="EEA54" s="1"/>
      <c r="EEB54" s="1"/>
      <c r="EEC54" s="1"/>
      <c r="EED54" s="1"/>
      <c r="EEE54" s="1"/>
      <c r="EEF54" s="1"/>
      <c r="EEG54" s="1"/>
      <c r="EEH54" s="1"/>
      <c r="EEI54" s="1"/>
      <c r="EEJ54" s="1"/>
      <c r="EEK54" s="1"/>
      <c r="EEL54" s="1"/>
      <c r="EEM54" s="1"/>
      <c r="EEN54" s="1"/>
      <c r="EEO54" s="1"/>
      <c r="EEP54" s="1"/>
      <c r="EEQ54" s="1"/>
      <c r="EER54" s="1"/>
      <c r="EES54" s="1"/>
      <c r="EET54" s="1"/>
      <c r="EEU54" s="1"/>
      <c r="EEV54" s="1"/>
      <c r="EEW54" s="1"/>
      <c r="EEX54" s="1"/>
      <c r="EEY54" s="1"/>
      <c r="EEZ54" s="1"/>
      <c r="EFA54" s="1"/>
      <c r="EFB54" s="1"/>
      <c r="EFC54" s="1"/>
      <c r="EFD54" s="1"/>
      <c r="EFE54" s="1"/>
      <c r="EFF54" s="1"/>
      <c r="EFG54" s="1"/>
      <c r="EFH54" s="1"/>
      <c r="EFI54" s="1"/>
      <c r="EFJ54" s="1"/>
      <c r="EFK54" s="1"/>
      <c r="EFL54" s="1"/>
      <c r="EFM54" s="1"/>
      <c r="EFN54" s="1"/>
      <c r="EFO54" s="1"/>
      <c r="EFP54" s="1"/>
      <c r="EFQ54" s="1"/>
      <c r="EFR54" s="1"/>
      <c r="EFS54" s="1"/>
      <c r="EFT54" s="1"/>
      <c r="EFU54" s="1"/>
      <c r="EFV54" s="1"/>
      <c r="EFW54" s="1"/>
      <c r="EFX54" s="1"/>
      <c r="EFY54" s="1"/>
      <c r="EFZ54" s="1"/>
      <c r="EGA54" s="1"/>
      <c r="EGB54" s="1"/>
      <c r="EGC54" s="1"/>
      <c r="EGD54" s="1"/>
      <c r="EGE54" s="1"/>
      <c r="EGF54" s="1"/>
      <c r="EGG54" s="1"/>
      <c r="EGH54" s="1"/>
      <c r="EGI54" s="1"/>
      <c r="EGJ54" s="1"/>
      <c r="EGK54" s="1"/>
      <c r="EGL54" s="1"/>
      <c r="EGM54" s="1"/>
      <c r="EGN54" s="1"/>
      <c r="EGO54" s="1"/>
      <c r="EGP54" s="1"/>
      <c r="EGQ54" s="1"/>
      <c r="EGR54" s="1"/>
      <c r="EGS54" s="1"/>
      <c r="EGT54" s="1"/>
      <c r="EGU54" s="1"/>
      <c r="EGV54" s="1"/>
      <c r="EGW54" s="1"/>
      <c r="EGX54" s="1"/>
      <c r="EGY54" s="1"/>
      <c r="EGZ54" s="1"/>
      <c r="EHA54" s="1"/>
      <c r="EHB54" s="1"/>
      <c r="EHC54" s="1"/>
      <c r="EHD54" s="1"/>
      <c r="EHE54" s="1"/>
      <c r="EHF54" s="1"/>
      <c r="EHG54" s="1"/>
      <c r="EHH54" s="1"/>
      <c r="EHI54" s="1"/>
      <c r="EHJ54" s="1"/>
      <c r="EHK54" s="1"/>
      <c r="EHL54" s="1"/>
      <c r="EHM54" s="1"/>
      <c r="EHN54" s="1"/>
      <c r="EHO54" s="1"/>
      <c r="EHP54" s="1"/>
      <c r="EHQ54" s="1"/>
      <c r="EHR54" s="1"/>
      <c r="EHS54" s="1"/>
      <c r="EHT54" s="1"/>
      <c r="EHU54" s="1"/>
      <c r="EHV54" s="1"/>
      <c r="EHW54" s="1"/>
      <c r="EHX54" s="1"/>
      <c r="EHY54" s="1"/>
      <c r="EHZ54" s="1"/>
      <c r="EIA54" s="1"/>
      <c r="EIB54" s="1"/>
      <c r="EIC54" s="1"/>
      <c r="EID54" s="1"/>
      <c r="EIE54" s="1"/>
      <c r="EIF54" s="1"/>
      <c r="EIG54" s="1"/>
      <c r="EIH54" s="1"/>
      <c r="EII54" s="1"/>
      <c r="EIJ54" s="1"/>
      <c r="EIK54" s="1"/>
      <c r="EIL54" s="1"/>
      <c r="EIM54" s="1"/>
      <c r="EIN54" s="1"/>
      <c r="EIO54" s="1"/>
      <c r="EIP54" s="1"/>
      <c r="EIQ54" s="1"/>
      <c r="EIR54" s="1"/>
      <c r="EIS54" s="1"/>
      <c r="EIT54" s="1"/>
      <c r="EIU54" s="1"/>
      <c r="EIV54" s="1"/>
      <c r="EIW54" s="1"/>
      <c r="EIX54" s="1"/>
      <c r="EIY54" s="1"/>
      <c r="EIZ54" s="1"/>
      <c r="EJA54" s="1"/>
      <c r="EJB54" s="1"/>
      <c r="EJC54" s="1"/>
      <c r="EJD54" s="1"/>
      <c r="EJE54" s="1"/>
      <c r="EJF54" s="1"/>
      <c r="EJG54" s="1"/>
      <c r="EJH54" s="1"/>
      <c r="EJI54" s="1"/>
      <c r="EJJ54" s="1"/>
      <c r="EJK54" s="1"/>
      <c r="EJL54" s="1"/>
      <c r="EJM54" s="1"/>
      <c r="EJN54" s="1"/>
      <c r="EJO54" s="1"/>
      <c r="EJP54" s="1"/>
      <c r="EJQ54" s="1"/>
      <c r="EJR54" s="1"/>
      <c r="EJS54" s="1"/>
      <c r="EJT54" s="1"/>
      <c r="EJU54" s="1"/>
      <c r="EJV54" s="1"/>
      <c r="EJW54" s="1"/>
      <c r="EJX54" s="1"/>
      <c r="EJY54" s="1"/>
      <c r="EJZ54" s="1"/>
      <c r="EKA54" s="1"/>
      <c r="EKB54" s="1"/>
      <c r="EKC54" s="1"/>
      <c r="EKD54" s="1"/>
      <c r="EKE54" s="1"/>
      <c r="EKF54" s="1"/>
      <c r="EKG54" s="1"/>
      <c r="EKH54" s="1"/>
      <c r="EKI54" s="1"/>
      <c r="EKJ54" s="1"/>
      <c r="EKK54" s="1"/>
      <c r="EKL54" s="1"/>
      <c r="EKM54" s="1"/>
      <c r="EKN54" s="1"/>
      <c r="EKO54" s="1"/>
      <c r="EKP54" s="1"/>
      <c r="EKQ54" s="1"/>
      <c r="EKR54" s="1"/>
      <c r="EKS54" s="1"/>
      <c r="EKT54" s="1"/>
      <c r="EKU54" s="1"/>
      <c r="EKV54" s="1"/>
      <c r="EKW54" s="1"/>
      <c r="EKX54" s="1"/>
      <c r="EKY54" s="1"/>
      <c r="EKZ54" s="1"/>
      <c r="ELA54" s="1"/>
      <c r="ELB54" s="1"/>
      <c r="ELC54" s="1"/>
      <c r="ELD54" s="1"/>
      <c r="ELE54" s="1"/>
      <c r="ELF54" s="1"/>
      <c r="ELG54" s="1"/>
      <c r="ELH54" s="1"/>
      <c r="ELI54" s="1"/>
      <c r="ELJ54" s="1"/>
      <c r="ELK54" s="1"/>
      <c r="ELL54" s="1"/>
      <c r="ELM54" s="1"/>
      <c r="ELN54" s="1"/>
      <c r="ELO54" s="1"/>
      <c r="ELP54" s="1"/>
      <c r="ELQ54" s="1"/>
      <c r="ELR54" s="1"/>
      <c r="ELS54" s="1"/>
      <c r="ELT54" s="1"/>
      <c r="ELU54" s="1"/>
      <c r="ELV54" s="1"/>
      <c r="ELW54" s="1"/>
      <c r="ELX54" s="1"/>
      <c r="ELY54" s="1"/>
      <c r="ELZ54" s="1"/>
      <c r="EMA54" s="1"/>
      <c r="EMB54" s="1"/>
      <c r="EMC54" s="1"/>
      <c r="EMD54" s="1"/>
      <c r="EME54" s="1"/>
      <c r="EMF54" s="1"/>
      <c r="EMG54" s="1"/>
      <c r="EMH54" s="1"/>
      <c r="EMI54" s="1"/>
      <c r="EMJ54" s="1"/>
      <c r="EMK54" s="1"/>
      <c r="EML54" s="1"/>
      <c r="EMM54" s="1"/>
      <c r="EMN54" s="1"/>
      <c r="EMO54" s="1"/>
      <c r="EMP54" s="1"/>
      <c r="EMQ54" s="1"/>
      <c r="EMR54" s="1"/>
      <c r="EMS54" s="1"/>
      <c r="EMT54" s="1"/>
      <c r="EMU54" s="1"/>
      <c r="EMV54" s="1"/>
      <c r="EMW54" s="1"/>
      <c r="EMX54" s="1"/>
      <c r="EMY54" s="1"/>
      <c r="EMZ54" s="1"/>
      <c r="ENA54" s="1"/>
      <c r="ENB54" s="1"/>
      <c r="ENC54" s="1"/>
      <c r="END54" s="1"/>
      <c r="ENE54" s="1"/>
      <c r="ENF54" s="1"/>
      <c r="ENG54" s="1"/>
      <c r="ENH54" s="1"/>
      <c r="ENI54" s="1"/>
      <c r="ENJ54" s="1"/>
      <c r="ENK54" s="1"/>
      <c r="ENL54" s="1"/>
      <c r="ENM54" s="1"/>
      <c r="ENN54" s="1"/>
      <c r="ENO54" s="1"/>
      <c r="ENP54" s="1"/>
      <c r="ENQ54" s="1"/>
      <c r="ENR54" s="1"/>
      <c r="ENS54" s="1"/>
      <c r="ENT54" s="1"/>
      <c r="ENU54" s="1"/>
      <c r="ENV54" s="1"/>
      <c r="ENW54" s="1"/>
      <c r="ENX54" s="1"/>
      <c r="ENY54" s="1"/>
      <c r="ENZ54" s="1"/>
      <c r="EOA54" s="1"/>
      <c r="EOB54" s="1"/>
      <c r="EOC54" s="1"/>
      <c r="EOD54" s="1"/>
      <c r="EOE54" s="1"/>
      <c r="EOF54" s="1"/>
      <c r="EOG54" s="1"/>
      <c r="EOH54" s="1"/>
      <c r="EOI54" s="1"/>
      <c r="EOJ54" s="1"/>
      <c r="EOK54" s="1"/>
      <c r="EOL54" s="1"/>
      <c r="EOM54" s="1"/>
      <c r="EON54" s="1"/>
      <c r="EOO54" s="1"/>
      <c r="EOP54" s="1"/>
      <c r="EOQ54" s="1"/>
      <c r="EOR54" s="1"/>
      <c r="EOS54" s="1"/>
      <c r="EOT54" s="1"/>
      <c r="EOU54" s="1"/>
      <c r="EOV54" s="1"/>
      <c r="EOW54" s="1"/>
      <c r="EOX54" s="1"/>
      <c r="EOY54" s="1"/>
      <c r="EOZ54" s="1"/>
      <c r="EPA54" s="1"/>
      <c r="EPB54" s="1"/>
      <c r="EPC54" s="1"/>
      <c r="EPD54" s="1"/>
      <c r="EPE54" s="1"/>
      <c r="EPF54" s="1"/>
      <c r="EPG54" s="1"/>
      <c r="EPH54" s="1"/>
      <c r="EPI54" s="1"/>
      <c r="EPJ54" s="1"/>
      <c r="EPK54" s="1"/>
      <c r="EPL54" s="1"/>
      <c r="EPM54" s="1"/>
      <c r="EPN54" s="1"/>
      <c r="EPO54" s="1"/>
      <c r="EPP54" s="1"/>
      <c r="EPQ54" s="1"/>
      <c r="EPR54" s="1"/>
      <c r="EPS54" s="1"/>
      <c r="EPT54" s="1"/>
      <c r="EPU54" s="1"/>
      <c r="EPV54" s="1"/>
      <c r="EPW54" s="1"/>
      <c r="EPX54" s="1"/>
      <c r="EPY54" s="1"/>
      <c r="EPZ54" s="1"/>
      <c r="EQA54" s="1"/>
      <c r="EQB54" s="1"/>
      <c r="EQC54" s="1"/>
      <c r="EQD54" s="1"/>
      <c r="EQE54" s="1"/>
      <c r="EQF54" s="1"/>
      <c r="EQG54" s="1"/>
      <c r="EQH54" s="1"/>
      <c r="EQI54" s="1"/>
      <c r="EQJ54" s="1"/>
      <c r="EQK54" s="1"/>
      <c r="EQL54" s="1"/>
      <c r="EQM54" s="1"/>
      <c r="EQN54" s="1"/>
      <c r="EQO54" s="1"/>
      <c r="EQP54" s="1"/>
      <c r="EQQ54" s="1"/>
      <c r="EQR54" s="1"/>
      <c r="EQS54" s="1"/>
      <c r="EQT54" s="1"/>
      <c r="EQU54" s="1"/>
      <c r="EQV54" s="1"/>
      <c r="EQW54" s="1"/>
      <c r="EQX54" s="1"/>
      <c r="EQY54" s="1"/>
      <c r="EQZ54" s="1"/>
      <c r="ERA54" s="1"/>
      <c r="ERB54" s="1"/>
      <c r="ERC54" s="1"/>
      <c r="ERD54" s="1"/>
      <c r="ERE54" s="1"/>
      <c r="ERF54" s="1"/>
      <c r="ERG54" s="1"/>
      <c r="ERH54" s="1"/>
      <c r="ERI54" s="1"/>
      <c r="ERJ54" s="1"/>
      <c r="ERK54" s="1"/>
      <c r="ERL54" s="1"/>
      <c r="ERM54" s="1"/>
      <c r="ERN54" s="1"/>
      <c r="ERO54" s="1"/>
      <c r="ERP54" s="1"/>
      <c r="ERQ54" s="1"/>
      <c r="ERR54" s="1"/>
      <c r="ERS54" s="1"/>
      <c r="ERT54" s="1"/>
      <c r="ERU54" s="1"/>
      <c r="ERV54" s="1"/>
      <c r="ERW54" s="1"/>
      <c r="ERX54" s="1"/>
      <c r="ERY54" s="1"/>
      <c r="ERZ54" s="1"/>
      <c r="ESA54" s="1"/>
      <c r="ESB54" s="1"/>
      <c r="ESC54" s="1"/>
      <c r="ESD54" s="1"/>
      <c r="ESE54" s="1"/>
      <c r="ESF54" s="1"/>
      <c r="ESG54" s="1"/>
      <c r="ESH54" s="1"/>
      <c r="ESI54" s="1"/>
      <c r="ESJ54" s="1"/>
      <c r="ESK54" s="1"/>
      <c r="ESL54" s="1"/>
      <c r="ESM54" s="1"/>
      <c r="ESN54" s="1"/>
      <c r="ESO54" s="1"/>
      <c r="ESP54" s="1"/>
      <c r="ESQ54" s="1"/>
      <c r="ESR54" s="1"/>
      <c r="ESS54" s="1"/>
      <c r="EST54" s="1"/>
      <c r="ESU54" s="1"/>
      <c r="ESV54" s="1"/>
      <c r="ESW54" s="1"/>
      <c r="ESX54" s="1"/>
      <c r="ESY54" s="1"/>
      <c r="ESZ54" s="1"/>
      <c r="ETA54" s="1"/>
      <c r="ETB54" s="1"/>
      <c r="ETC54" s="1"/>
      <c r="ETD54" s="1"/>
      <c r="ETE54" s="1"/>
      <c r="ETF54" s="1"/>
      <c r="ETG54" s="1"/>
      <c r="ETH54" s="1"/>
      <c r="ETI54" s="1"/>
      <c r="ETJ54" s="1"/>
      <c r="ETK54" s="1"/>
      <c r="ETL54" s="1"/>
      <c r="ETM54" s="1"/>
      <c r="ETN54" s="1"/>
      <c r="ETO54" s="1"/>
      <c r="ETP54" s="1"/>
      <c r="ETQ54" s="1"/>
      <c r="ETR54" s="1"/>
      <c r="ETS54" s="1"/>
      <c r="ETT54" s="1"/>
      <c r="ETU54" s="1"/>
      <c r="ETV54" s="1"/>
      <c r="ETW54" s="1"/>
      <c r="ETX54" s="1"/>
      <c r="ETY54" s="1"/>
      <c r="ETZ54" s="1"/>
      <c r="EUA54" s="1"/>
      <c r="EUB54" s="1"/>
      <c r="EUC54" s="1"/>
      <c r="EUD54" s="1"/>
      <c r="EUE54" s="1"/>
      <c r="EUF54" s="1"/>
      <c r="EUG54" s="1"/>
      <c r="EUH54" s="1"/>
      <c r="EUI54" s="1"/>
      <c r="EUJ54" s="1"/>
      <c r="EUK54" s="1"/>
      <c r="EUL54" s="1"/>
      <c r="EUM54" s="1"/>
      <c r="EUN54" s="1"/>
      <c r="EUO54" s="1"/>
      <c r="EUP54" s="1"/>
      <c r="EUQ54" s="1"/>
      <c r="EUR54" s="1"/>
      <c r="EUS54" s="1"/>
      <c r="EUT54" s="1"/>
      <c r="EUU54" s="1"/>
      <c r="EUV54" s="1"/>
      <c r="EUW54" s="1"/>
      <c r="EUX54" s="1"/>
      <c r="EUY54" s="1"/>
      <c r="EUZ54" s="1"/>
      <c r="EVA54" s="1"/>
      <c r="EVB54" s="1"/>
      <c r="EVC54" s="1"/>
      <c r="EVD54" s="1"/>
      <c r="EVE54" s="1"/>
      <c r="EVF54" s="1"/>
      <c r="EVG54" s="1"/>
      <c r="EVH54" s="1"/>
      <c r="EVI54" s="1"/>
      <c r="EVJ54" s="1"/>
      <c r="EVK54" s="1"/>
      <c r="EVL54" s="1"/>
      <c r="EVM54" s="1"/>
      <c r="EVN54" s="1"/>
      <c r="EVO54" s="1"/>
      <c r="EVP54" s="1"/>
      <c r="EVQ54" s="1"/>
      <c r="EVR54" s="1"/>
      <c r="EVS54" s="1"/>
      <c r="EVT54" s="1"/>
      <c r="EVU54" s="1"/>
      <c r="EVV54" s="1"/>
      <c r="EVW54" s="1"/>
      <c r="EVX54" s="1"/>
      <c r="EVY54" s="1"/>
      <c r="EVZ54" s="1"/>
      <c r="EWA54" s="1"/>
      <c r="EWB54" s="1"/>
      <c r="EWC54" s="1"/>
      <c r="EWD54" s="1"/>
      <c r="EWE54" s="1"/>
      <c r="EWF54" s="1"/>
      <c r="EWG54" s="1"/>
      <c r="EWH54" s="1"/>
      <c r="EWI54" s="1"/>
      <c r="EWJ54" s="1"/>
      <c r="EWK54" s="1"/>
      <c r="EWL54" s="1"/>
      <c r="EWM54" s="1"/>
      <c r="EWN54" s="1"/>
      <c r="EWO54" s="1"/>
      <c r="EWP54" s="1"/>
      <c r="EWQ54" s="1"/>
      <c r="EWR54" s="1"/>
      <c r="EWS54" s="1"/>
      <c r="EWT54" s="1"/>
      <c r="EWU54" s="1"/>
      <c r="EWV54" s="1"/>
      <c r="EWW54" s="1"/>
      <c r="EWX54" s="1"/>
      <c r="EWY54" s="1"/>
      <c r="EWZ54" s="1"/>
      <c r="EXA54" s="1"/>
      <c r="EXB54" s="1"/>
      <c r="EXC54" s="1"/>
      <c r="EXD54" s="1"/>
      <c r="EXE54" s="1"/>
      <c r="EXF54" s="1"/>
      <c r="EXG54" s="1"/>
      <c r="EXH54" s="1"/>
      <c r="EXI54" s="1"/>
      <c r="EXJ54" s="1"/>
      <c r="EXK54" s="1"/>
      <c r="EXL54" s="1"/>
      <c r="EXM54" s="1"/>
      <c r="EXN54" s="1"/>
      <c r="EXO54" s="1"/>
      <c r="EXP54" s="1"/>
      <c r="EXQ54" s="1"/>
      <c r="EXR54" s="1"/>
      <c r="EXS54" s="1"/>
      <c r="EXT54" s="1"/>
      <c r="EXU54" s="1"/>
      <c r="EXV54" s="1"/>
      <c r="EXW54" s="1"/>
      <c r="EXX54" s="1"/>
      <c r="EXY54" s="1"/>
      <c r="EXZ54" s="1"/>
      <c r="EYA54" s="1"/>
      <c r="EYB54" s="1"/>
      <c r="EYC54" s="1"/>
      <c r="EYD54" s="1"/>
      <c r="EYE54" s="1"/>
      <c r="EYF54" s="1"/>
      <c r="EYG54" s="1"/>
      <c r="EYH54" s="1"/>
      <c r="EYI54" s="1"/>
      <c r="EYJ54" s="1"/>
      <c r="EYK54" s="1"/>
      <c r="EYL54" s="1"/>
      <c r="EYM54" s="1"/>
      <c r="EYN54" s="1"/>
      <c r="EYO54" s="1"/>
      <c r="EYP54" s="1"/>
      <c r="EYQ54" s="1"/>
      <c r="EYR54" s="1"/>
      <c r="EYS54" s="1"/>
      <c r="EYT54" s="1"/>
      <c r="EYU54" s="1"/>
      <c r="EYV54" s="1"/>
      <c r="EYW54" s="1"/>
      <c r="EYX54" s="1"/>
      <c r="EYY54" s="1"/>
      <c r="EYZ54" s="1"/>
      <c r="EZA54" s="1"/>
      <c r="EZB54" s="1"/>
      <c r="EZC54" s="1"/>
      <c r="EZD54" s="1"/>
      <c r="EZE54" s="1"/>
      <c r="EZF54" s="1"/>
      <c r="EZG54" s="1"/>
      <c r="EZH54" s="1"/>
      <c r="EZI54" s="1"/>
      <c r="EZJ54" s="1"/>
      <c r="EZK54" s="1"/>
      <c r="EZL54" s="1"/>
      <c r="EZM54" s="1"/>
      <c r="EZN54" s="1"/>
      <c r="EZO54" s="1"/>
      <c r="EZP54" s="1"/>
      <c r="EZQ54" s="1"/>
      <c r="EZR54" s="1"/>
      <c r="EZS54" s="1"/>
      <c r="EZT54" s="1"/>
      <c r="EZU54" s="1"/>
      <c r="EZV54" s="1"/>
      <c r="EZW54" s="1"/>
      <c r="EZX54" s="1"/>
      <c r="EZY54" s="1"/>
      <c r="EZZ54" s="1"/>
      <c r="FAA54" s="1"/>
      <c r="FAB54" s="1"/>
      <c r="FAC54" s="1"/>
      <c r="FAD54" s="1"/>
      <c r="FAE54" s="1"/>
      <c r="FAF54" s="1"/>
      <c r="FAG54" s="1"/>
      <c r="FAH54" s="1"/>
      <c r="FAI54" s="1"/>
      <c r="FAJ54" s="1"/>
      <c r="FAK54" s="1"/>
      <c r="FAL54" s="1"/>
      <c r="FAM54" s="1"/>
      <c r="FAN54" s="1"/>
      <c r="FAO54" s="1"/>
      <c r="FAP54" s="1"/>
      <c r="FAQ54" s="1"/>
      <c r="FAR54" s="1"/>
      <c r="FAS54" s="1"/>
      <c r="FAT54" s="1"/>
      <c r="FAU54" s="1"/>
      <c r="FAV54" s="1"/>
      <c r="FAW54" s="1"/>
      <c r="FAX54" s="1"/>
      <c r="FAY54" s="1"/>
      <c r="FAZ54" s="1"/>
      <c r="FBA54" s="1"/>
      <c r="FBB54" s="1"/>
      <c r="FBC54" s="1"/>
      <c r="FBD54" s="1"/>
      <c r="FBE54" s="1"/>
      <c r="FBF54" s="1"/>
      <c r="FBG54" s="1"/>
      <c r="FBH54" s="1"/>
      <c r="FBI54" s="1"/>
      <c r="FBJ54" s="1"/>
      <c r="FBK54" s="1"/>
      <c r="FBL54" s="1"/>
      <c r="FBM54" s="1"/>
      <c r="FBN54" s="1"/>
      <c r="FBO54" s="1"/>
      <c r="FBP54" s="1"/>
      <c r="FBQ54" s="1"/>
      <c r="FBR54" s="1"/>
      <c r="FBS54" s="1"/>
      <c r="FBT54" s="1"/>
      <c r="FBU54" s="1"/>
      <c r="FBV54" s="1"/>
      <c r="FBW54" s="1"/>
      <c r="FBX54" s="1"/>
      <c r="FBY54" s="1"/>
      <c r="FBZ54" s="1"/>
      <c r="FCA54" s="1"/>
      <c r="FCB54" s="1"/>
      <c r="FCC54" s="1"/>
      <c r="FCD54" s="1"/>
      <c r="FCE54" s="1"/>
      <c r="FCF54" s="1"/>
      <c r="FCG54" s="1"/>
      <c r="FCH54" s="1"/>
      <c r="FCI54" s="1"/>
      <c r="FCJ54" s="1"/>
      <c r="FCK54" s="1"/>
      <c r="FCL54" s="1"/>
      <c r="FCM54" s="1"/>
      <c r="FCN54" s="1"/>
      <c r="FCO54" s="1"/>
      <c r="FCP54" s="1"/>
      <c r="FCQ54" s="1"/>
      <c r="FCR54" s="1"/>
      <c r="FCS54" s="1"/>
      <c r="FCT54" s="1"/>
      <c r="FCU54" s="1"/>
      <c r="FCV54" s="1"/>
      <c r="FCW54" s="1"/>
      <c r="FCX54" s="1"/>
      <c r="FCY54" s="1"/>
      <c r="FCZ54" s="1"/>
      <c r="FDA54" s="1"/>
      <c r="FDB54" s="1"/>
      <c r="FDC54" s="1"/>
      <c r="FDD54" s="1"/>
      <c r="FDE54" s="1"/>
      <c r="FDF54" s="1"/>
      <c r="FDG54" s="1"/>
      <c r="FDH54" s="1"/>
      <c r="FDI54" s="1"/>
      <c r="FDJ54" s="1"/>
      <c r="FDK54" s="1"/>
      <c r="FDL54" s="1"/>
      <c r="FDM54" s="1"/>
      <c r="FDN54" s="1"/>
      <c r="FDO54" s="1"/>
      <c r="FDP54" s="1"/>
      <c r="FDQ54" s="1"/>
      <c r="FDR54" s="1"/>
      <c r="FDS54" s="1"/>
      <c r="FDT54" s="1"/>
      <c r="FDU54" s="1"/>
      <c r="FDV54" s="1"/>
      <c r="FDW54" s="1"/>
      <c r="FDX54" s="1"/>
      <c r="FDY54" s="1"/>
      <c r="FDZ54" s="1"/>
      <c r="FEA54" s="1"/>
      <c r="FEB54" s="1"/>
      <c r="FEC54" s="1"/>
      <c r="FED54" s="1"/>
      <c r="FEE54" s="1"/>
      <c r="FEF54" s="1"/>
      <c r="FEG54" s="1"/>
      <c r="FEH54" s="1"/>
      <c r="FEI54" s="1"/>
      <c r="FEJ54" s="1"/>
      <c r="FEK54" s="1"/>
      <c r="FEL54" s="1"/>
      <c r="FEM54" s="1"/>
      <c r="FEN54" s="1"/>
      <c r="FEO54" s="1"/>
      <c r="FEP54" s="1"/>
      <c r="FEQ54" s="1"/>
      <c r="FER54" s="1"/>
      <c r="FES54" s="1"/>
      <c r="FET54" s="1"/>
      <c r="FEU54" s="1"/>
      <c r="FEV54" s="1"/>
      <c r="FEW54" s="1"/>
      <c r="FEX54" s="1"/>
      <c r="FEY54" s="1"/>
      <c r="FEZ54" s="1"/>
      <c r="FFA54" s="1"/>
      <c r="FFB54" s="1"/>
      <c r="FFC54" s="1"/>
      <c r="FFD54" s="1"/>
      <c r="FFE54" s="1"/>
      <c r="FFF54" s="1"/>
      <c r="FFG54" s="1"/>
      <c r="FFH54" s="1"/>
      <c r="FFI54" s="1"/>
      <c r="FFJ54" s="1"/>
      <c r="FFK54" s="1"/>
      <c r="FFL54" s="1"/>
      <c r="FFM54" s="1"/>
      <c r="FFN54" s="1"/>
      <c r="FFO54" s="1"/>
      <c r="FFP54" s="1"/>
      <c r="FFQ54" s="1"/>
      <c r="FFR54" s="1"/>
      <c r="FFS54" s="1"/>
      <c r="FFT54" s="1"/>
      <c r="FFU54" s="1"/>
      <c r="FFV54" s="1"/>
      <c r="FFW54" s="1"/>
      <c r="FFX54" s="1"/>
      <c r="FFY54" s="1"/>
      <c r="FFZ54" s="1"/>
      <c r="FGA54" s="1"/>
      <c r="FGB54" s="1"/>
      <c r="FGC54" s="1"/>
      <c r="FGD54" s="1"/>
      <c r="FGE54" s="1"/>
      <c r="FGF54" s="1"/>
      <c r="FGG54" s="1"/>
      <c r="FGH54" s="1"/>
      <c r="FGI54" s="1"/>
      <c r="FGJ54" s="1"/>
      <c r="FGK54" s="1"/>
      <c r="FGL54" s="1"/>
      <c r="FGM54" s="1"/>
      <c r="FGN54" s="1"/>
      <c r="FGO54" s="1"/>
      <c r="FGP54" s="1"/>
      <c r="FGQ54" s="1"/>
      <c r="FGR54" s="1"/>
      <c r="FGS54" s="1"/>
      <c r="FGT54" s="1"/>
      <c r="FGU54" s="1"/>
      <c r="FGV54" s="1"/>
      <c r="FGW54" s="1"/>
      <c r="FGX54" s="1"/>
      <c r="FGY54" s="1"/>
      <c r="FGZ54" s="1"/>
      <c r="FHA54" s="1"/>
      <c r="FHB54" s="1"/>
      <c r="FHC54" s="1"/>
      <c r="FHD54" s="1"/>
      <c r="FHE54" s="1"/>
      <c r="FHF54" s="1"/>
      <c r="FHG54" s="1"/>
      <c r="FHH54" s="1"/>
      <c r="FHI54" s="1"/>
      <c r="FHJ54" s="1"/>
      <c r="FHK54" s="1"/>
      <c r="FHL54" s="1"/>
      <c r="FHM54" s="1"/>
      <c r="FHN54" s="1"/>
      <c r="FHO54" s="1"/>
      <c r="FHP54" s="1"/>
      <c r="FHQ54" s="1"/>
      <c r="FHR54" s="1"/>
      <c r="FHS54" s="1"/>
      <c r="FHT54" s="1"/>
      <c r="FHU54" s="1"/>
      <c r="FHV54" s="1"/>
      <c r="FHW54" s="1"/>
      <c r="FHX54" s="1"/>
      <c r="FHY54" s="1"/>
      <c r="FHZ54" s="1"/>
      <c r="FIA54" s="1"/>
      <c r="FIB54" s="1"/>
      <c r="FIC54" s="1"/>
      <c r="FID54" s="1"/>
      <c r="FIE54" s="1"/>
      <c r="FIF54" s="1"/>
      <c r="FIG54" s="1"/>
      <c r="FIH54" s="1"/>
      <c r="FII54" s="1"/>
      <c r="FIJ54" s="1"/>
      <c r="FIK54" s="1"/>
      <c r="FIL54" s="1"/>
      <c r="FIM54" s="1"/>
      <c r="FIN54" s="1"/>
      <c r="FIO54" s="1"/>
      <c r="FIP54" s="1"/>
      <c r="FIQ54" s="1"/>
      <c r="FIR54" s="1"/>
      <c r="FIS54" s="1"/>
      <c r="FIT54" s="1"/>
      <c r="FIU54" s="1"/>
      <c r="FIV54" s="1"/>
      <c r="FIW54" s="1"/>
      <c r="FIX54" s="1"/>
      <c r="FIY54" s="1"/>
      <c r="FIZ54" s="1"/>
      <c r="FJA54" s="1"/>
      <c r="FJB54" s="1"/>
      <c r="FJC54" s="1"/>
      <c r="FJD54" s="1"/>
      <c r="FJE54" s="1"/>
      <c r="FJF54" s="1"/>
      <c r="FJG54" s="1"/>
      <c r="FJH54" s="1"/>
      <c r="FJI54" s="1"/>
      <c r="FJJ54" s="1"/>
      <c r="FJK54" s="1"/>
      <c r="FJL54" s="1"/>
      <c r="FJM54" s="1"/>
      <c r="FJN54" s="1"/>
      <c r="FJO54" s="1"/>
      <c r="FJP54" s="1"/>
      <c r="FJQ54" s="1"/>
      <c r="FJR54" s="1"/>
      <c r="FJS54" s="1"/>
      <c r="FJT54" s="1"/>
      <c r="FJU54" s="1"/>
      <c r="FJV54" s="1"/>
      <c r="FJW54" s="1"/>
      <c r="FJX54" s="1"/>
      <c r="FJY54" s="1"/>
      <c r="FJZ54" s="1"/>
      <c r="FKA54" s="1"/>
      <c r="FKB54" s="1"/>
      <c r="FKC54" s="1"/>
      <c r="FKD54" s="1"/>
      <c r="FKE54" s="1"/>
      <c r="FKF54" s="1"/>
      <c r="FKG54" s="1"/>
      <c r="FKH54" s="1"/>
      <c r="FKI54" s="1"/>
      <c r="FKJ54" s="1"/>
      <c r="FKK54" s="1"/>
      <c r="FKL54" s="1"/>
      <c r="FKM54" s="1"/>
      <c r="FKN54" s="1"/>
      <c r="FKO54" s="1"/>
      <c r="FKP54" s="1"/>
      <c r="FKQ54" s="1"/>
      <c r="FKR54" s="1"/>
      <c r="FKS54" s="1"/>
      <c r="FKT54" s="1"/>
      <c r="FKU54" s="1"/>
      <c r="FKV54" s="1"/>
      <c r="FKW54" s="1"/>
      <c r="FKX54" s="1"/>
      <c r="FKY54" s="1"/>
      <c r="FKZ54" s="1"/>
      <c r="FLA54" s="1"/>
      <c r="FLB54" s="1"/>
      <c r="FLC54" s="1"/>
      <c r="FLD54" s="1"/>
      <c r="FLE54" s="1"/>
      <c r="FLF54" s="1"/>
      <c r="FLG54" s="1"/>
      <c r="FLH54" s="1"/>
      <c r="FLI54" s="1"/>
      <c r="FLJ54" s="1"/>
      <c r="FLK54" s="1"/>
      <c r="FLL54" s="1"/>
      <c r="FLM54" s="1"/>
      <c r="FLN54" s="1"/>
      <c r="FLO54" s="1"/>
      <c r="FLP54" s="1"/>
      <c r="FLQ54" s="1"/>
      <c r="FLR54" s="1"/>
      <c r="FLS54" s="1"/>
      <c r="FLT54" s="1"/>
      <c r="FLU54" s="1"/>
      <c r="FLV54" s="1"/>
      <c r="FLW54" s="1"/>
      <c r="FLX54" s="1"/>
      <c r="FLY54" s="1"/>
      <c r="FLZ54" s="1"/>
      <c r="FMA54" s="1"/>
      <c r="FMB54" s="1"/>
      <c r="FMC54" s="1"/>
      <c r="FMD54" s="1"/>
      <c r="FME54" s="1"/>
      <c r="FMF54" s="1"/>
      <c r="FMG54" s="1"/>
      <c r="FMH54" s="1"/>
      <c r="FMI54" s="1"/>
      <c r="FMJ54" s="1"/>
      <c r="FMK54" s="1"/>
      <c r="FML54" s="1"/>
      <c r="FMM54" s="1"/>
      <c r="FMN54" s="1"/>
      <c r="FMO54" s="1"/>
      <c r="FMP54" s="1"/>
      <c r="FMQ54" s="1"/>
      <c r="FMR54" s="1"/>
      <c r="FMS54" s="1"/>
      <c r="FMT54" s="1"/>
      <c r="FMU54" s="1"/>
      <c r="FMV54" s="1"/>
      <c r="FMW54" s="1"/>
      <c r="FMX54" s="1"/>
      <c r="FMY54" s="1"/>
      <c r="FMZ54" s="1"/>
      <c r="FNA54" s="1"/>
      <c r="FNB54" s="1"/>
      <c r="FNC54" s="1"/>
      <c r="FND54" s="1"/>
      <c r="FNE54" s="1"/>
      <c r="FNF54" s="1"/>
      <c r="FNG54" s="1"/>
      <c r="FNH54" s="1"/>
      <c r="FNI54" s="1"/>
      <c r="FNJ54" s="1"/>
      <c r="FNK54" s="1"/>
      <c r="FNL54" s="1"/>
      <c r="FNM54" s="1"/>
      <c r="FNN54" s="1"/>
      <c r="FNO54" s="1"/>
      <c r="FNP54" s="1"/>
      <c r="FNQ54" s="1"/>
      <c r="FNR54" s="1"/>
      <c r="FNS54" s="1"/>
      <c r="FNT54" s="1"/>
      <c r="FNU54" s="1"/>
      <c r="FNV54" s="1"/>
      <c r="FNW54" s="1"/>
      <c r="FNX54" s="1"/>
      <c r="FNY54" s="1"/>
      <c r="FNZ54" s="1"/>
      <c r="FOA54" s="1"/>
      <c r="FOB54" s="1"/>
      <c r="FOC54" s="1"/>
      <c r="FOD54" s="1"/>
      <c r="FOE54" s="1"/>
      <c r="FOF54" s="1"/>
      <c r="FOG54" s="1"/>
      <c r="FOH54" s="1"/>
      <c r="FOI54" s="1"/>
      <c r="FOJ54" s="1"/>
      <c r="FOK54" s="1"/>
      <c r="FOL54" s="1"/>
      <c r="FOM54" s="1"/>
      <c r="FON54" s="1"/>
      <c r="FOO54" s="1"/>
      <c r="FOP54" s="1"/>
      <c r="FOQ54" s="1"/>
      <c r="FOR54" s="1"/>
      <c r="FOS54" s="1"/>
      <c r="FOT54" s="1"/>
      <c r="FOU54" s="1"/>
      <c r="FOV54" s="1"/>
      <c r="FOW54" s="1"/>
      <c r="FOX54" s="1"/>
      <c r="FOY54" s="1"/>
      <c r="FOZ54" s="1"/>
      <c r="FPA54" s="1"/>
      <c r="FPB54" s="1"/>
      <c r="FPC54" s="1"/>
      <c r="FPD54" s="1"/>
      <c r="FPE54" s="1"/>
      <c r="FPF54" s="1"/>
      <c r="FPG54" s="1"/>
      <c r="FPH54" s="1"/>
      <c r="FPI54" s="1"/>
      <c r="FPJ54" s="1"/>
      <c r="FPK54" s="1"/>
      <c r="FPL54" s="1"/>
      <c r="FPM54" s="1"/>
      <c r="FPN54" s="1"/>
      <c r="FPO54" s="1"/>
      <c r="FPP54" s="1"/>
      <c r="FPQ54" s="1"/>
      <c r="FPR54" s="1"/>
      <c r="FPS54" s="1"/>
      <c r="FPT54" s="1"/>
      <c r="FPU54" s="1"/>
      <c r="FPV54" s="1"/>
      <c r="FPW54" s="1"/>
      <c r="FPX54" s="1"/>
      <c r="FPY54" s="1"/>
      <c r="FPZ54" s="1"/>
      <c r="FQA54" s="1"/>
      <c r="FQB54" s="1"/>
      <c r="FQC54" s="1"/>
      <c r="FQD54" s="1"/>
      <c r="FQE54" s="1"/>
      <c r="FQF54" s="1"/>
      <c r="FQG54" s="1"/>
      <c r="FQH54" s="1"/>
      <c r="FQI54" s="1"/>
      <c r="FQJ54" s="1"/>
      <c r="FQK54" s="1"/>
      <c r="FQL54" s="1"/>
      <c r="FQM54" s="1"/>
      <c r="FQN54" s="1"/>
      <c r="FQO54" s="1"/>
      <c r="FQP54" s="1"/>
      <c r="FQQ54" s="1"/>
      <c r="FQR54" s="1"/>
      <c r="FQS54" s="1"/>
      <c r="FQT54" s="1"/>
      <c r="FQU54" s="1"/>
      <c r="FQV54" s="1"/>
      <c r="FQW54" s="1"/>
      <c r="FQX54" s="1"/>
      <c r="FQY54" s="1"/>
      <c r="FQZ54" s="1"/>
      <c r="FRA54" s="1"/>
      <c r="FRB54" s="1"/>
      <c r="FRC54" s="1"/>
      <c r="FRD54" s="1"/>
      <c r="FRE54" s="1"/>
      <c r="FRF54" s="1"/>
      <c r="FRG54" s="1"/>
      <c r="FRH54" s="1"/>
      <c r="FRI54" s="1"/>
      <c r="FRJ54" s="1"/>
      <c r="FRK54" s="1"/>
      <c r="FRL54" s="1"/>
      <c r="FRM54" s="1"/>
      <c r="FRN54" s="1"/>
      <c r="FRO54" s="1"/>
      <c r="FRP54" s="1"/>
      <c r="FRQ54" s="1"/>
      <c r="FRR54" s="1"/>
      <c r="FRS54" s="1"/>
      <c r="FRT54" s="1"/>
      <c r="FRU54" s="1"/>
      <c r="FRV54" s="1"/>
      <c r="FRW54" s="1"/>
      <c r="FRX54" s="1"/>
      <c r="FRY54" s="1"/>
      <c r="FRZ54" s="1"/>
      <c r="FSA54" s="1"/>
      <c r="FSB54" s="1"/>
      <c r="FSC54" s="1"/>
      <c r="FSD54" s="1"/>
      <c r="FSE54" s="1"/>
      <c r="FSF54" s="1"/>
      <c r="FSG54" s="1"/>
      <c r="FSH54" s="1"/>
      <c r="FSI54" s="1"/>
      <c r="FSJ54" s="1"/>
      <c r="FSK54" s="1"/>
      <c r="FSL54" s="1"/>
      <c r="FSM54" s="1"/>
      <c r="FSN54" s="1"/>
      <c r="FSO54" s="1"/>
      <c r="FSP54" s="1"/>
      <c r="FSQ54" s="1"/>
      <c r="FSR54" s="1"/>
      <c r="FSS54" s="1"/>
      <c r="FST54" s="1"/>
      <c r="FSU54" s="1"/>
      <c r="FSV54" s="1"/>
      <c r="FSW54" s="1"/>
      <c r="FSX54" s="1"/>
      <c r="FSY54" s="1"/>
      <c r="FSZ54" s="1"/>
      <c r="FTA54" s="1"/>
      <c r="FTB54" s="1"/>
      <c r="FTC54" s="1"/>
      <c r="FTD54" s="1"/>
      <c r="FTE54" s="1"/>
      <c r="FTF54" s="1"/>
      <c r="FTG54" s="1"/>
      <c r="FTH54" s="1"/>
      <c r="FTI54" s="1"/>
      <c r="FTJ54" s="1"/>
      <c r="FTK54" s="1"/>
      <c r="FTL54" s="1"/>
      <c r="FTM54" s="1"/>
      <c r="FTN54" s="1"/>
      <c r="FTO54" s="1"/>
      <c r="FTP54" s="1"/>
      <c r="FTQ54" s="1"/>
      <c r="FTR54" s="1"/>
      <c r="FTS54" s="1"/>
      <c r="FTT54" s="1"/>
      <c r="FTU54" s="1"/>
      <c r="FTV54" s="1"/>
      <c r="FTW54" s="1"/>
      <c r="FTX54" s="1"/>
      <c r="FTY54" s="1"/>
      <c r="FTZ54" s="1"/>
      <c r="FUA54" s="1"/>
      <c r="FUB54" s="1"/>
      <c r="FUC54" s="1"/>
      <c r="FUD54" s="1"/>
      <c r="FUE54" s="1"/>
      <c r="FUF54" s="1"/>
      <c r="FUG54" s="1"/>
      <c r="FUH54" s="1"/>
      <c r="FUI54" s="1"/>
      <c r="FUJ54" s="1"/>
      <c r="FUK54" s="1"/>
      <c r="FUL54" s="1"/>
      <c r="FUM54" s="1"/>
      <c r="FUN54" s="1"/>
      <c r="FUO54" s="1"/>
      <c r="FUP54" s="1"/>
      <c r="FUQ54" s="1"/>
      <c r="FUR54" s="1"/>
      <c r="FUS54" s="1"/>
      <c r="FUT54" s="1"/>
      <c r="FUU54" s="1"/>
      <c r="FUV54" s="1"/>
      <c r="FUW54" s="1"/>
      <c r="FUX54" s="1"/>
      <c r="FUY54" s="1"/>
      <c r="FUZ54" s="1"/>
      <c r="FVA54" s="1"/>
      <c r="FVB54" s="1"/>
      <c r="FVC54" s="1"/>
      <c r="FVD54" s="1"/>
      <c r="FVE54" s="1"/>
      <c r="FVF54" s="1"/>
      <c r="FVG54" s="1"/>
      <c r="FVH54" s="1"/>
      <c r="FVI54" s="1"/>
      <c r="FVJ54" s="1"/>
      <c r="FVK54" s="1"/>
      <c r="FVL54" s="1"/>
      <c r="FVM54" s="1"/>
      <c r="FVN54" s="1"/>
      <c r="FVO54" s="1"/>
      <c r="FVP54" s="1"/>
      <c r="FVQ54" s="1"/>
      <c r="FVR54" s="1"/>
      <c r="FVS54" s="1"/>
      <c r="FVT54" s="1"/>
      <c r="FVU54" s="1"/>
      <c r="FVV54" s="1"/>
      <c r="FVW54" s="1"/>
      <c r="FVX54" s="1"/>
      <c r="FVY54" s="1"/>
      <c r="FVZ54" s="1"/>
      <c r="FWA54" s="1"/>
      <c r="FWB54" s="1"/>
      <c r="FWC54" s="1"/>
      <c r="FWD54" s="1"/>
      <c r="FWE54" s="1"/>
      <c r="FWF54" s="1"/>
      <c r="FWG54" s="1"/>
      <c r="FWH54" s="1"/>
      <c r="FWI54" s="1"/>
      <c r="FWJ54" s="1"/>
      <c r="FWK54" s="1"/>
      <c r="FWL54" s="1"/>
      <c r="FWM54" s="1"/>
      <c r="FWN54" s="1"/>
      <c r="FWO54" s="1"/>
      <c r="FWP54" s="1"/>
      <c r="FWQ54" s="1"/>
      <c r="FWR54" s="1"/>
      <c r="FWS54" s="1"/>
      <c r="FWT54" s="1"/>
      <c r="FWU54" s="1"/>
      <c r="FWV54" s="1"/>
      <c r="FWW54" s="1"/>
      <c r="FWX54" s="1"/>
      <c r="FWY54" s="1"/>
      <c r="FWZ54" s="1"/>
      <c r="FXA54" s="1"/>
      <c r="FXB54" s="1"/>
      <c r="FXC54" s="1"/>
      <c r="FXD54" s="1"/>
      <c r="FXE54" s="1"/>
      <c r="FXF54" s="1"/>
      <c r="FXG54" s="1"/>
      <c r="FXH54" s="1"/>
      <c r="FXI54" s="1"/>
      <c r="FXJ54" s="1"/>
      <c r="FXK54" s="1"/>
      <c r="FXL54" s="1"/>
      <c r="FXM54" s="1"/>
      <c r="FXN54" s="1"/>
      <c r="FXO54" s="1"/>
      <c r="FXP54" s="1"/>
      <c r="FXQ54" s="1"/>
      <c r="FXR54" s="1"/>
      <c r="FXS54" s="1"/>
      <c r="FXT54" s="1"/>
      <c r="FXU54" s="1"/>
      <c r="FXV54" s="1"/>
      <c r="FXW54" s="1"/>
      <c r="FXX54" s="1"/>
      <c r="FXY54" s="1"/>
      <c r="FXZ54" s="1"/>
      <c r="FYA54" s="1"/>
      <c r="FYB54" s="1"/>
      <c r="FYC54" s="1"/>
      <c r="FYD54" s="1"/>
      <c r="FYE54" s="1"/>
      <c r="FYF54" s="1"/>
      <c r="FYG54" s="1"/>
      <c r="FYH54" s="1"/>
      <c r="FYI54" s="1"/>
      <c r="FYJ54" s="1"/>
      <c r="FYK54" s="1"/>
      <c r="FYL54" s="1"/>
      <c r="FYM54" s="1"/>
      <c r="FYN54" s="1"/>
      <c r="FYO54" s="1"/>
      <c r="FYP54" s="1"/>
      <c r="FYQ54" s="1"/>
      <c r="FYR54" s="1"/>
      <c r="FYS54" s="1"/>
      <c r="FYT54" s="1"/>
      <c r="FYU54" s="1"/>
      <c r="FYV54" s="1"/>
      <c r="FYW54" s="1"/>
      <c r="FYX54" s="1"/>
      <c r="FYY54" s="1"/>
      <c r="FYZ54" s="1"/>
      <c r="FZA54" s="1"/>
      <c r="FZB54" s="1"/>
      <c r="FZC54" s="1"/>
      <c r="FZD54" s="1"/>
      <c r="FZE54" s="1"/>
      <c r="FZF54" s="1"/>
      <c r="FZG54" s="1"/>
      <c r="FZH54" s="1"/>
      <c r="FZI54" s="1"/>
      <c r="FZJ54" s="1"/>
      <c r="FZK54" s="1"/>
      <c r="FZL54" s="1"/>
      <c r="FZM54" s="1"/>
      <c r="FZN54" s="1"/>
      <c r="FZO54" s="1"/>
      <c r="FZP54" s="1"/>
      <c r="FZQ54" s="1"/>
      <c r="FZR54" s="1"/>
      <c r="FZS54" s="1"/>
      <c r="FZT54" s="1"/>
      <c r="FZU54" s="1"/>
      <c r="FZV54" s="1"/>
      <c r="FZW54" s="1"/>
      <c r="FZX54" s="1"/>
      <c r="FZY54" s="1"/>
      <c r="FZZ54" s="1"/>
      <c r="GAA54" s="1"/>
      <c r="GAB54" s="1"/>
      <c r="GAC54" s="1"/>
      <c r="GAD54" s="1"/>
      <c r="GAE54" s="1"/>
      <c r="GAF54" s="1"/>
      <c r="GAG54" s="1"/>
      <c r="GAH54" s="1"/>
      <c r="GAI54" s="1"/>
      <c r="GAJ54" s="1"/>
      <c r="GAK54" s="1"/>
      <c r="GAL54" s="1"/>
      <c r="GAM54" s="1"/>
      <c r="GAN54" s="1"/>
      <c r="GAO54" s="1"/>
      <c r="GAP54" s="1"/>
      <c r="GAQ54" s="1"/>
      <c r="GAR54" s="1"/>
      <c r="GAS54" s="1"/>
      <c r="GAT54" s="1"/>
      <c r="GAU54" s="1"/>
      <c r="GAV54" s="1"/>
      <c r="GAW54" s="1"/>
      <c r="GAX54" s="1"/>
      <c r="GAY54" s="1"/>
      <c r="GAZ54" s="1"/>
      <c r="GBA54" s="1"/>
      <c r="GBB54" s="1"/>
      <c r="GBC54" s="1"/>
      <c r="GBD54" s="1"/>
      <c r="GBE54" s="1"/>
      <c r="GBF54" s="1"/>
      <c r="GBG54" s="1"/>
      <c r="GBH54" s="1"/>
      <c r="GBI54" s="1"/>
      <c r="GBJ54" s="1"/>
      <c r="GBK54" s="1"/>
      <c r="GBL54" s="1"/>
      <c r="GBM54" s="1"/>
      <c r="GBN54" s="1"/>
      <c r="GBO54" s="1"/>
      <c r="GBP54" s="1"/>
      <c r="GBQ54" s="1"/>
      <c r="GBR54" s="1"/>
      <c r="GBS54" s="1"/>
      <c r="GBT54" s="1"/>
      <c r="GBU54" s="1"/>
      <c r="GBV54" s="1"/>
      <c r="GBW54" s="1"/>
      <c r="GBX54" s="1"/>
      <c r="GBY54" s="1"/>
      <c r="GBZ54" s="1"/>
      <c r="GCA54" s="1"/>
      <c r="GCB54" s="1"/>
      <c r="GCC54" s="1"/>
      <c r="GCD54" s="1"/>
      <c r="GCE54" s="1"/>
      <c r="GCF54" s="1"/>
      <c r="GCG54" s="1"/>
      <c r="GCH54" s="1"/>
      <c r="GCI54" s="1"/>
      <c r="GCJ54" s="1"/>
      <c r="GCK54" s="1"/>
      <c r="GCL54" s="1"/>
      <c r="GCM54" s="1"/>
      <c r="GCN54" s="1"/>
      <c r="GCO54" s="1"/>
      <c r="GCP54" s="1"/>
      <c r="GCQ54" s="1"/>
      <c r="GCR54" s="1"/>
      <c r="GCS54" s="1"/>
      <c r="GCT54" s="1"/>
      <c r="GCU54" s="1"/>
      <c r="GCV54" s="1"/>
      <c r="GCW54" s="1"/>
      <c r="GCX54" s="1"/>
      <c r="GCY54" s="1"/>
      <c r="GCZ54" s="1"/>
      <c r="GDA54" s="1"/>
      <c r="GDB54" s="1"/>
      <c r="GDC54" s="1"/>
      <c r="GDD54" s="1"/>
      <c r="GDE54" s="1"/>
      <c r="GDF54" s="1"/>
      <c r="GDG54" s="1"/>
      <c r="GDH54" s="1"/>
      <c r="GDI54" s="1"/>
      <c r="GDJ54" s="1"/>
      <c r="GDK54" s="1"/>
      <c r="GDL54" s="1"/>
      <c r="GDM54" s="1"/>
      <c r="GDN54" s="1"/>
      <c r="GDO54" s="1"/>
      <c r="GDP54" s="1"/>
      <c r="GDQ54" s="1"/>
      <c r="GDR54" s="1"/>
      <c r="GDS54" s="1"/>
      <c r="GDT54" s="1"/>
      <c r="GDU54" s="1"/>
      <c r="GDV54" s="1"/>
      <c r="GDW54" s="1"/>
      <c r="GDX54" s="1"/>
      <c r="GDY54" s="1"/>
      <c r="GDZ54" s="1"/>
      <c r="GEA54" s="1"/>
      <c r="GEB54" s="1"/>
      <c r="GEC54" s="1"/>
      <c r="GED54" s="1"/>
      <c r="GEE54" s="1"/>
      <c r="GEF54" s="1"/>
      <c r="GEG54" s="1"/>
      <c r="GEH54" s="1"/>
      <c r="GEI54" s="1"/>
      <c r="GEJ54" s="1"/>
      <c r="GEK54" s="1"/>
      <c r="GEL54" s="1"/>
      <c r="GEM54" s="1"/>
      <c r="GEN54" s="1"/>
      <c r="GEO54" s="1"/>
      <c r="GEP54" s="1"/>
      <c r="GEQ54" s="1"/>
      <c r="GER54" s="1"/>
      <c r="GES54" s="1"/>
      <c r="GET54" s="1"/>
      <c r="GEU54" s="1"/>
      <c r="GEV54" s="1"/>
      <c r="GEW54" s="1"/>
      <c r="GEX54" s="1"/>
      <c r="GEY54" s="1"/>
      <c r="GEZ54" s="1"/>
      <c r="GFA54" s="1"/>
      <c r="GFB54" s="1"/>
      <c r="GFC54" s="1"/>
      <c r="GFD54" s="1"/>
      <c r="GFE54" s="1"/>
      <c r="GFF54" s="1"/>
      <c r="GFG54" s="1"/>
      <c r="GFH54" s="1"/>
      <c r="GFI54" s="1"/>
      <c r="GFJ54" s="1"/>
      <c r="GFK54" s="1"/>
      <c r="GFL54" s="1"/>
      <c r="GFM54" s="1"/>
      <c r="GFN54" s="1"/>
      <c r="GFO54" s="1"/>
      <c r="GFP54" s="1"/>
      <c r="GFQ54" s="1"/>
      <c r="GFR54" s="1"/>
      <c r="GFS54" s="1"/>
      <c r="GFT54" s="1"/>
      <c r="GFU54" s="1"/>
      <c r="GFV54" s="1"/>
      <c r="GFW54" s="1"/>
      <c r="GFX54" s="1"/>
      <c r="GFY54" s="1"/>
      <c r="GFZ54" s="1"/>
      <c r="GGA54" s="1"/>
      <c r="GGB54" s="1"/>
      <c r="GGC54" s="1"/>
      <c r="GGD54" s="1"/>
      <c r="GGE54" s="1"/>
      <c r="GGF54" s="1"/>
      <c r="GGG54" s="1"/>
      <c r="GGH54" s="1"/>
      <c r="GGI54" s="1"/>
      <c r="GGJ54" s="1"/>
      <c r="GGK54" s="1"/>
      <c r="GGL54" s="1"/>
      <c r="GGM54" s="1"/>
      <c r="GGN54" s="1"/>
      <c r="GGO54" s="1"/>
      <c r="GGP54" s="1"/>
      <c r="GGQ54" s="1"/>
      <c r="GGR54" s="1"/>
      <c r="GGS54" s="1"/>
      <c r="GGT54" s="1"/>
      <c r="GGU54" s="1"/>
      <c r="GGV54" s="1"/>
      <c r="GGW54" s="1"/>
      <c r="GGX54" s="1"/>
      <c r="GGY54" s="1"/>
      <c r="GGZ54" s="1"/>
      <c r="GHA54" s="1"/>
      <c r="GHB54" s="1"/>
      <c r="GHC54" s="1"/>
      <c r="GHD54" s="1"/>
      <c r="GHE54" s="1"/>
      <c r="GHF54" s="1"/>
      <c r="GHG54" s="1"/>
      <c r="GHH54" s="1"/>
      <c r="GHI54" s="1"/>
      <c r="GHJ54" s="1"/>
      <c r="GHK54" s="1"/>
      <c r="GHL54" s="1"/>
      <c r="GHM54" s="1"/>
      <c r="GHN54" s="1"/>
      <c r="GHO54" s="1"/>
      <c r="GHP54" s="1"/>
      <c r="GHQ54" s="1"/>
      <c r="GHR54" s="1"/>
      <c r="GHS54" s="1"/>
      <c r="GHT54" s="1"/>
      <c r="GHU54" s="1"/>
      <c r="GHV54" s="1"/>
      <c r="GHW54" s="1"/>
      <c r="GHX54" s="1"/>
      <c r="GHY54" s="1"/>
      <c r="GHZ54" s="1"/>
      <c r="GIA54" s="1"/>
      <c r="GIB54" s="1"/>
      <c r="GIC54" s="1"/>
      <c r="GID54" s="1"/>
      <c r="GIE54" s="1"/>
      <c r="GIF54" s="1"/>
      <c r="GIG54" s="1"/>
      <c r="GIH54" s="1"/>
      <c r="GII54" s="1"/>
      <c r="GIJ54" s="1"/>
      <c r="GIK54" s="1"/>
      <c r="GIL54" s="1"/>
      <c r="GIM54" s="1"/>
      <c r="GIN54" s="1"/>
      <c r="GIO54" s="1"/>
      <c r="GIP54" s="1"/>
      <c r="GIQ54" s="1"/>
      <c r="GIR54" s="1"/>
      <c r="GIS54" s="1"/>
      <c r="GIT54" s="1"/>
      <c r="GIU54" s="1"/>
      <c r="GIV54" s="1"/>
      <c r="GIW54" s="1"/>
      <c r="GIX54" s="1"/>
      <c r="GIY54" s="1"/>
      <c r="GIZ54" s="1"/>
      <c r="GJA54" s="1"/>
      <c r="GJB54" s="1"/>
      <c r="GJC54" s="1"/>
      <c r="GJD54" s="1"/>
      <c r="GJE54" s="1"/>
      <c r="GJF54" s="1"/>
      <c r="GJG54" s="1"/>
      <c r="GJH54" s="1"/>
      <c r="GJI54" s="1"/>
      <c r="GJJ54" s="1"/>
      <c r="GJK54" s="1"/>
      <c r="GJL54" s="1"/>
      <c r="GJM54" s="1"/>
      <c r="GJN54" s="1"/>
      <c r="GJO54" s="1"/>
      <c r="GJP54" s="1"/>
      <c r="GJQ54" s="1"/>
      <c r="GJR54" s="1"/>
      <c r="GJS54" s="1"/>
      <c r="GJT54" s="1"/>
      <c r="GJU54" s="1"/>
      <c r="GJV54" s="1"/>
      <c r="GJW54" s="1"/>
      <c r="GJX54" s="1"/>
      <c r="GJY54" s="1"/>
      <c r="GJZ54" s="1"/>
      <c r="GKA54" s="1"/>
      <c r="GKB54" s="1"/>
      <c r="GKC54" s="1"/>
      <c r="GKD54" s="1"/>
      <c r="GKE54" s="1"/>
      <c r="GKF54" s="1"/>
      <c r="GKG54" s="1"/>
      <c r="GKH54" s="1"/>
      <c r="GKI54" s="1"/>
      <c r="GKJ54" s="1"/>
      <c r="GKK54" s="1"/>
      <c r="GKL54" s="1"/>
      <c r="GKM54" s="1"/>
      <c r="GKN54" s="1"/>
      <c r="GKO54" s="1"/>
      <c r="GKP54" s="1"/>
      <c r="GKQ54" s="1"/>
      <c r="GKR54" s="1"/>
      <c r="GKS54" s="1"/>
      <c r="GKT54" s="1"/>
      <c r="GKU54" s="1"/>
      <c r="GKV54" s="1"/>
      <c r="GKW54" s="1"/>
      <c r="GKX54" s="1"/>
      <c r="GKY54" s="1"/>
      <c r="GKZ54" s="1"/>
      <c r="GLA54" s="1"/>
      <c r="GLB54" s="1"/>
      <c r="GLC54" s="1"/>
      <c r="GLD54" s="1"/>
      <c r="GLE54" s="1"/>
      <c r="GLF54" s="1"/>
      <c r="GLG54" s="1"/>
      <c r="GLH54" s="1"/>
      <c r="GLI54" s="1"/>
      <c r="GLJ54" s="1"/>
      <c r="GLK54" s="1"/>
      <c r="GLL54" s="1"/>
      <c r="GLM54" s="1"/>
      <c r="GLN54" s="1"/>
      <c r="GLO54" s="1"/>
      <c r="GLP54" s="1"/>
      <c r="GLQ54" s="1"/>
      <c r="GLR54" s="1"/>
      <c r="GLS54" s="1"/>
      <c r="GLT54" s="1"/>
      <c r="GLU54" s="1"/>
      <c r="GLV54" s="1"/>
      <c r="GLW54" s="1"/>
      <c r="GLX54" s="1"/>
      <c r="GLY54" s="1"/>
      <c r="GLZ54" s="1"/>
      <c r="GMA54" s="1"/>
      <c r="GMB54" s="1"/>
      <c r="GMC54" s="1"/>
      <c r="GMD54" s="1"/>
      <c r="GME54" s="1"/>
      <c r="GMF54" s="1"/>
      <c r="GMG54" s="1"/>
      <c r="GMH54" s="1"/>
      <c r="GMI54" s="1"/>
      <c r="GMJ54" s="1"/>
      <c r="GMK54" s="1"/>
      <c r="GML54" s="1"/>
      <c r="GMM54" s="1"/>
      <c r="GMN54" s="1"/>
      <c r="GMO54" s="1"/>
      <c r="GMP54" s="1"/>
      <c r="GMQ54" s="1"/>
      <c r="GMR54" s="1"/>
      <c r="GMS54" s="1"/>
      <c r="GMT54" s="1"/>
      <c r="GMU54" s="1"/>
      <c r="GMV54" s="1"/>
      <c r="GMW54" s="1"/>
      <c r="GMX54" s="1"/>
      <c r="GMY54" s="1"/>
      <c r="GMZ54" s="1"/>
      <c r="GNA54" s="1"/>
      <c r="GNB54" s="1"/>
      <c r="GNC54" s="1"/>
      <c r="GND54" s="1"/>
      <c r="GNE54" s="1"/>
      <c r="GNF54" s="1"/>
      <c r="GNG54" s="1"/>
      <c r="GNH54" s="1"/>
      <c r="GNI54" s="1"/>
      <c r="GNJ54" s="1"/>
      <c r="GNK54" s="1"/>
      <c r="GNL54" s="1"/>
      <c r="GNM54" s="1"/>
      <c r="GNN54" s="1"/>
      <c r="GNO54" s="1"/>
      <c r="GNP54" s="1"/>
      <c r="GNQ54" s="1"/>
      <c r="GNR54" s="1"/>
      <c r="GNS54" s="1"/>
      <c r="GNT54" s="1"/>
      <c r="GNU54" s="1"/>
      <c r="GNV54" s="1"/>
      <c r="GNW54" s="1"/>
      <c r="GNX54" s="1"/>
      <c r="GNY54" s="1"/>
      <c r="GNZ54" s="1"/>
      <c r="GOA54" s="1"/>
      <c r="GOB54" s="1"/>
      <c r="GOC54" s="1"/>
      <c r="GOD54" s="1"/>
      <c r="GOE54" s="1"/>
      <c r="GOF54" s="1"/>
      <c r="GOG54" s="1"/>
      <c r="GOH54" s="1"/>
      <c r="GOI54" s="1"/>
      <c r="GOJ54" s="1"/>
      <c r="GOK54" s="1"/>
      <c r="GOL54" s="1"/>
      <c r="GOM54" s="1"/>
      <c r="GON54" s="1"/>
      <c r="GOO54" s="1"/>
      <c r="GOP54" s="1"/>
      <c r="GOQ54" s="1"/>
      <c r="GOR54" s="1"/>
      <c r="GOS54" s="1"/>
      <c r="GOT54" s="1"/>
      <c r="GOU54" s="1"/>
      <c r="GOV54" s="1"/>
      <c r="GOW54" s="1"/>
      <c r="GOX54" s="1"/>
      <c r="GOY54" s="1"/>
      <c r="GOZ54" s="1"/>
      <c r="GPA54" s="1"/>
      <c r="GPB54" s="1"/>
      <c r="GPC54" s="1"/>
      <c r="GPD54" s="1"/>
      <c r="GPE54" s="1"/>
      <c r="GPF54" s="1"/>
      <c r="GPG54" s="1"/>
      <c r="GPH54" s="1"/>
      <c r="GPI54" s="1"/>
      <c r="GPJ54" s="1"/>
      <c r="GPK54" s="1"/>
      <c r="GPL54" s="1"/>
      <c r="GPM54" s="1"/>
      <c r="GPN54" s="1"/>
      <c r="GPO54" s="1"/>
      <c r="GPP54" s="1"/>
      <c r="GPQ54" s="1"/>
      <c r="GPR54" s="1"/>
      <c r="GPS54" s="1"/>
      <c r="GPT54" s="1"/>
      <c r="GPU54" s="1"/>
      <c r="GPV54" s="1"/>
      <c r="GPW54" s="1"/>
      <c r="GPX54" s="1"/>
      <c r="GPY54" s="1"/>
      <c r="GPZ54" s="1"/>
      <c r="GQA54" s="1"/>
      <c r="GQB54" s="1"/>
      <c r="GQC54" s="1"/>
      <c r="GQD54" s="1"/>
      <c r="GQE54" s="1"/>
      <c r="GQF54" s="1"/>
      <c r="GQG54" s="1"/>
      <c r="GQH54" s="1"/>
      <c r="GQI54" s="1"/>
      <c r="GQJ54" s="1"/>
      <c r="GQK54" s="1"/>
      <c r="GQL54" s="1"/>
      <c r="GQM54" s="1"/>
      <c r="GQN54" s="1"/>
      <c r="GQO54" s="1"/>
      <c r="GQP54" s="1"/>
      <c r="GQQ54" s="1"/>
      <c r="GQR54" s="1"/>
      <c r="GQS54" s="1"/>
      <c r="GQT54" s="1"/>
      <c r="GQU54" s="1"/>
      <c r="GQV54" s="1"/>
      <c r="GQW54" s="1"/>
      <c r="GQX54" s="1"/>
      <c r="GQY54" s="1"/>
      <c r="GQZ54" s="1"/>
      <c r="GRA54" s="1"/>
      <c r="GRB54" s="1"/>
      <c r="GRC54" s="1"/>
      <c r="GRD54" s="1"/>
      <c r="GRE54" s="1"/>
      <c r="GRF54" s="1"/>
      <c r="GRG54" s="1"/>
      <c r="GRH54" s="1"/>
      <c r="GRI54" s="1"/>
      <c r="GRJ54" s="1"/>
      <c r="GRK54" s="1"/>
      <c r="GRL54" s="1"/>
      <c r="GRM54" s="1"/>
      <c r="GRN54" s="1"/>
      <c r="GRO54" s="1"/>
      <c r="GRP54" s="1"/>
      <c r="GRQ54" s="1"/>
      <c r="GRR54" s="1"/>
      <c r="GRS54" s="1"/>
      <c r="GRT54" s="1"/>
      <c r="GRU54" s="1"/>
      <c r="GRV54" s="1"/>
      <c r="GRW54" s="1"/>
      <c r="GRX54" s="1"/>
      <c r="GRY54" s="1"/>
      <c r="GRZ54" s="1"/>
      <c r="GSA54" s="1"/>
      <c r="GSB54" s="1"/>
      <c r="GSC54" s="1"/>
      <c r="GSD54" s="1"/>
      <c r="GSE54" s="1"/>
      <c r="GSF54" s="1"/>
      <c r="GSG54" s="1"/>
      <c r="GSH54" s="1"/>
      <c r="GSI54" s="1"/>
      <c r="GSJ54" s="1"/>
      <c r="GSK54" s="1"/>
      <c r="GSL54" s="1"/>
      <c r="GSM54" s="1"/>
      <c r="GSN54" s="1"/>
      <c r="GSO54" s="1"/>
      <c r="GSP54" s="1"/>
      <c r="GSQ54" s="1"/>
      <c r="GSR54" s="1"/>
      <c r="GSS54" s="1"/>
      <c r="GST54" s="1"/>
      <c r="GSU54" s="1"/>
      <c r="GSV54" s="1"/>
      <c r="GSW54" s="1"/>
      <c r="GSX54" s="1"/>
      <c r="GSY54" s="1"/>
      <c r="GSZ54" s="1"/>
      <c r="GTA54" s="1"/>
      <c r="GTB54" s="1"/>
      <c r="GTC54" s="1"/>
      <c r="GTD54" s="1"/>
      <c r="GTE54" s="1"/>
      <c r="GTF54" s="1"/>
      <c r="GTG54" s="1"/>
      <c r="GTH54" s="1"/>
      <c r="GTI54" s="1"/>
      <c r="GTJ54" s="1"/>
      <c r="GTK54" s="1"/>
      <c r="GTL54" s="1"/>
      <c r="GTM54" s="1"/>
      <c r="GTN54" s="1"/>
      <c r="GTO54" s="1"/>
      <c r="GTP54" s="1"/>
      <c r="GTQ54" s="1"/>
      <c r="GTR54" s="1"/>
      <c r="GTS54" s="1"/>
      <c r="GTT54" s="1"/>
      <c r="GTU54" s="1"/>
      <c r="GTV54" s="1"/>
      <c r="GTW54" s="1"/>
      <c r="GTX54" s="1"/>
      <c r="GTY54" s="1"/>
      <c r="GTZ54" s="1"/>
      <c r="GUA54" s="1"/>
      <c r="GUB54" s="1"/>
      <c r="GUC54" s="1"/>
      <c r="GUD54" s="1"/>
      <c r="GUE54" s="1"/>
      <c r="GUF54" s="1"/>
      <c r="GUG54" s="1"/>
      <c r="GUH54" s="1"/>
      <c r="GUI54" s="1"/>
      <c r="GUJ54" s="1"/>
      <c r="GUK54" s="1"/>
      <c r="GUL54" s="1"/>
      <c r="GUM54" s="1"/>
      <c r="GUN54" s="1"/>
      <c r="GUO54" s="1"/>
      <c r="GUP54" s="1"/>
      <c r="GUQ54" s="1"/>
      <c r="GUR54" s="1"/>
      <c r="GUS54" s="1"/>
      <c r="GUT54" s="1"/>
      <c r="GUU54" s="1"/>
      <c r="GUV54" s="1"/>
      <c r="GUW54" s="1"/>
      <c r="GUX54" s="1"/>
      <c r="GUY54" s="1"/>
      <c r="GUZ54" s="1"/>
      <c r="GVA54" s="1"/>
      <c r="GVB54" s="1"/>
      <c r="GVC54" s="1"/>
      <c r="GVD54" s="1"/>
      <c r="GVE54" s="1"/>
      <c r="GVF54" s="1"/>
      <c r="GVG54" s="1"/>
      <c r="GVH54" s="1"/>
      <c r="GVI54" s="1"/>
      <c r="GVJ54" s="1"/>
      <c r="GVK54" s="1"/>
      <c r="GVL54" s="1"/>
      <c r="GVM54" s="1"/>
      <c r="GVN54" s="1"/>
      <c r="GVO54" s="1"/>
      <c r="GVP54" s="1"/>
      <c r="GVQ54" s="1"/>
      <c r="GVR54" s="1"/>
      <c r="GVS54" s="1"/>
      <c r="GVT54" s="1"/>
      <c r="GVU54" s="1"/>
      <c r="GVV54" s="1"/>
      <c r="GVW54" s="1"/>
      <c r="GVX54" s="1"/>
      <c r="GVY54" s="1"/>
      <c r="GVZ54" s="1"/>
      <c r="GWA54" s="1"/>
      <c r="GWB54" s="1"/>
      <c r="GWC54" s="1"/>
      <c r="GWD54" s="1"/>
      <c r="GWE54" s="1"/>
      <c r="GWF54" s="1"/>
      <c r="GWG54" s="1"/>
      <c r="GWH54" s="1"/>
      <c r="GWI54" s="1"/>
      <c r="GWJ54" s="1"/>
      <c r="GWK54" s="1"/>
      <c r="GWL54" s="1"/>
      <c r="GWM54" s="1"/>
      <c r="GWN54" s="1"/>
      <c r="GWO54" s="1"/>
      <c r="GWP54" s="1"/>
      <c r="GWQ54" s="1"/>
      <c r="GWR54" s="1"/>
      <c r="GWS54" s="1"/>
      <c r="GWT54" s="1"/>
      <c r="GWU54" s="1"/>
      <c r="GWV54" s="1"/>
      <c r="GWW54" s="1"/>
      <c r="GWX54" s="1"/>
      <c r="GWY54" s="1"/>
      <c r="GWZ54" s="1"/>
      <c r="GXA54" s="1"/>
      <c r="GXB54" s="1"/>
      <c r="GXC54" s="1"/>
      <c r="GXD54" s="1"/>
      <c r="GXE54" s="1"/>
      <c r="GXF54" s="1"/>
      <c r="GXG54" s="1"/>
      <c r="GXH54" s="1"/>
      <c r="GXI54" s="1"/>
      <c r="GXJ54" s="1"/>
      <c r="GXK54" s="1"/>
      <c r="GXL54" s="1"/>
      <c r="GXM54" s="1"/>
      <c r="GXN54" s="1"/>
      <c r="GXO54" s="1"/>
      <c r="GXP54" s="1"/>
      <c r="GXQ54" s="1"/>
      <c r="GXR54" s="1"/>
      <c r="GXS54" s="1"/>
      <c r="GXT54" s="1"/>
      <c r="GXU54" s="1"/>
      <c r="GXV54" s="1"/>
      <c r="GXW54" s="1"/>
      <c r="GXX54" s="1"/>
      <c r="GXY54" s="1"/>
      <c r="GXZ54" s="1"/>
      <c r="GYA54" s="1"/>
      <c r="GYB54" s="1"/>
      <c r="GYC54" s="1"/>
      <c r="GYD54" s="1"/>
      <c r="GYE54" s="1"/>
      <c r="GYF54" s="1"/>
      <c r="GYG54" s="1"/>
      <c r="GYH54" s="1"/>
      <c r="GYI54" s="1"/>
      <c r="GYJ54" s="1"/>
      <c r="GYK54" s="1"/>
      <c r="GYL54" s="1"/>
      <c r="GYM54" s="1"/>
      <c r="GYN54" s="1"/>
      <c r="GYO54" s="1"/>
      <c r="GYP54" s="1"/>
      <c r="GYQ54" s="1"/>
      <c r="GYR54" s="1"/>
      <c r="GYS54" s="1"/>
      <c r="GYT54" s="1"/>
      <c r="GYU54" s="1"/>
      <c r="GYV54" s="1"/>
      <c r="GYW54" s="1"/>
      <c r="GYX54" s="1"/>
      <c r="GYY54" s="1"/>
      <c r="GYZ54" s="1"/>
      <c r="GZA54" s="1"/>
      <c r="GZB54" s="1"/>
      <c r="GZC54" s="1"/>
      <c r="GZD54" s="1"/>
      <c r="GZE54" s="1"/>
      <c r="GZF54" s="1"/>
      <c r="GZG54" s="1"/>
      <c r="GZH54" s="1"/>
      <c r="GZI54" s="1"/>
      <c r="GZJ54" s="1"/>
      <c r="GZK54" s="1"/>
      <c r="GZL54" s="1"/>
      <c r="GZM54" s="1"/>
      <c r="GZN54" s="1"/>
      <c r="GZO54" s="1"/>
      <c r="GZP54" s="1"/>
      <c r="GZQ54" s="1"/>
      <c r="GZR54" s="1"/>
      <c r="GZS54" s="1"/>
      <c r="GZT54" s="1"/>
      <c r="GZU54" s="1"/>
      <c r="GZV54" s="1"/>
      <c r="GZW54" s="1"/>
      <c r="GZX54" s="1"/>
      <c r="GZY54" s="1"/>
      <c r="GZZ54" s="1"/>
      <c r="HAA54" s="1"/>
      <c r="HAB54" s="1"/>
      <c r="HAC54" s="1"/>
      <c r="HAD54" s="1"/>
      <c r="HAE54" s="1"/>
      <c r="HAF54" s="1"/>
      <c r="HAG54" s="1"/>
      <c r="HAH54" s="1"/>
      <c r="HAI54" s="1"/>
      <c r="HAJ54" s="1"/>
      <c r="HAK54" s="1"/>
      <c r="HAL54" s="1"/>
      <c r="HAM54" s="1"/>
      <c r="HAN54" s="1"/>
      <c r="HAO54" s="1"/>
      <c r="HAP54" s="1"/>
      <c r="HAQ54" s="1"/>
      <c r="HAR54" s="1"/>
      <c r="HAS54" s="1"/>
      <c r="HAT54" s="1"/>
      <c r="HAU54" s="1"/>
      <c r="HAV54" s="1"/>
      <c r="HAW54" s="1"/>
      <c r="HAX54" s="1"/>
      <c r="HAY54" s="1"/>
      <c r="HAZ54" s="1"/>
      <c r="HBA54" s="1"/>
      <c r="HBB54" s="1"/>
      <c r="HBC54" s="1"/>
      <c r="HBD54" s="1"/>
      <c r="HBE54" s="1"/>
      <c r="HBF54" s="1"/>
      <c r="HBG54" s="1"/>
      <c r="HBH54" s="1"/>
      <c r="HBI54" s="1"/>
      <c r="HBJ54" s="1"/>
      <c r="HBK54" s="1"/>
      <c r="HBL54" s="1"/>
      <c r="HBM54" s="1"/>
      <c r="HBN54" s="1"/>
      <c r="HBO54" s="1"/>
      <c r="HBP54" s="1"/>
      <c r="HBQ54" s="1"/>
      <c r="HBR54" s="1"/>
      <c r="HBS54" s="1"/>
      <c r="HBT54" s="1"/>
      <c r="HBU54" s="1"/>
      <c r="HBV54" s="1"/>
      <c r="HBW54" s="1"/>
      <c r="HBX54" s="1"/>
      <c r="HBY54" s="1"/>
      <c r="HBZ54" s="1"/>
      <c r="HCA54" s="1"/>
      <c r="HCB54" s="1"/>
      <c r="HCC54" s="1"/>
      <c r="HCD54" s="1"/>
      <c r="HCE54" s="1"/>
      <c r="HCF54" s="1"/>
      <c r="HCG54" s="1"/>
      <c r="HCH54" s="1"/>
      <c r="HCI54" s="1"/>
      <c r="HCJ54" s="1"/>
      <c r="HCK54" s="1"/>
      <c r="HCL54" s="1"/>
      <c r="HCM54" s="1"/>
      <c r="HCN54" s="1"/>
      <c r="HCO54" s="1"/>
      <c r="HCP54" s="1"/>
      <c r="HCQ54" s="1"/>
      <c r="HCR54" s="1"/>
      <c r="HCS54" s="1"/>
      <c r="HCT54" s="1"/>
      <c r="HCU54" s="1"/>
      <c r="HCV54" s="1"/>
      <c r="HCW54" s="1"/>
      <c r="HCX54" s="1"/>
      <c r="HCY54" s="1"/>
      <c r="HCZ54" s="1"/>
      <c r="HDA54" s="1"/>
      <c r="HDB54" s="1"/>
      <c r="HDC54" s="1"/>
      <c r="HDD54" s="1"/>
      <c r="HDE54" s="1"/>
      <c r="HDF54" s="1"/>
      <c r="HDG54" s="1"/>
      <c r="HDH54" s="1"/>
      <c r="HDI54" s="1"/>
      <c r="HDJ54" s="1"/>
      <c r="HDK54" s="1"/>
      <c r="HDL54" s="1"/>
      <c r="HDM54" s="1"/>
      <c r="HDN54" s="1"/>
      <c r="HDO54" s="1"/>
      <c r="HDP54" s="1"/>
      <c r="HDQ54" s="1"/>
      <c r="HDR54" s="1"/>
      <c r="HDS54" s="1"/>
      <c r="HDT54" s="1"/>
      <c r="HDU54" s="1"/>
      <c r="HDV54" s="1"/>
      <c r="HDW54" s="1"/>
      <c r="HDX54" s="1"/>
      <c r="HDY54" s="1"/>
      <c r="HDZ54" s="1"/>
      <c r="HEA54" s="1"/>
      <c r="HEB54" s="1"/>
      <c r="HEC54" s="1"/>
      <c r="HED54" s="1"/>
      <c r="HEE54" s="1"/>
      <c r="HEF54" s="1"/>
      <c r="HEG54" s="1"/>
      <c r="HEH54" s="1"/>
      <c r="HEI54" s="1"/>
      <c r="HEJ54" s="1"/>
      <c r="HEK54" s="1"/>
      <c r="HEL54" s="1"/>
      <c r="HEM54" s="1"/>
      <c r="HEN54" s="1"/>
      <c r="HEO54" s="1"/>
      <c r="HEP54" s="1"/>
      <c r="HEQ54" s="1"/>
      <c r="HER54" s="1"/>
      <c r="HES54" s="1"/>
      <c r="HET54" s="1"/>
      <c r="HEU54" s="1"/>
      <c r="HEV54" s="1"/>
      <c r="HEW54" s="1"/>
      <c r="HEX54" s="1"/>
      <c r="HEY54" s="1"/>
      <c r="HEZ54" s="1"/>
      <c r="HFA54" s="1"/>
      <c r="HFB54" s="1"/>
      <c r="HFC54" s="1"/>
      <c r="HFD54" s="1"/>
      <c r="HFE54" s="1"/>
      <c r="HFF54" s="1"/>
      <c r="HFG54" s="1"/>
      <c r="HFH54" s="1"/>
      <c r="HFI54" s="1"/>
      <c r="HFJ54" s="1"/>
      <c r="HFK54" s="1"/>
      <c r="HFL54" s="1"/>
      <c r="HFM54" s="1"/>
      <c r="HFN54" s="1"/>
      <c r="HFO54" s="1"/>
      <c r="HFP54" s="1"/>
      <c r="HFQ54" s="1"/>
      <c r="HFR54" s="1"/>
      <c r="HFS54" s="1"/>
      <c r="HFT54" s="1"/>
      <c r="HFU54" s="1"/>
      <c r="HFV54" s="1"/>
      <c r="HFW54" s="1"/>
      <c r="HFX54" s="1"/>
      <c r="HFY54" s="1"/>
      <c r="HFZ54" s="1"/>
      <c r="HGA54" s="1"/>
      <c r="HGB54" s="1"/>
      <c r="HGC54" s="1"/>
      <c r="HGD54" s="1"/>
      <c r="HGE54" s="1"/>
      <c r="HGF54" s="1"/>
      <c r="HGG54" s="1"/>
      <c r="HGH54" s="1"/>
      <c r="HGI54" s="1"/>
      <c r="HGJ54" s="1"/>
      <c r="HGK54" s="1"/>
      <c r="HGL54" s="1"/>
      <c r="HGM54" s="1"/>
      <c r="HGN54" s="1"/>
      <c r="HGO54" s="1"/>
      <c r="HGP54" s="1"/>
      <c r="HGQ54" s="1"/>
      <c r="HGR54" s="1"/>
      <c r="HGS54" s="1"/>
      <c r="HGT54" s="1"/>
      <c r="HGU54" s="1"/>
      <c r="HGV54" s="1"/>
      <c r="HGW54" s="1"/>
      <c r="HGX54" s="1"/>
      <c r="HGY54" s="1"/>
      <c r="HGZ54" s="1"/>
      <c r="HHA54" s="1"/>
      <c r="HHB54" s="1"/>
      <c r="HHC54" s="1"/>
      <c r="HHD54" s="1"/>
      <c r="HHE54" s="1"/>
      <c r="HHF54" s="1"/>
      <c r="HHG54" s="1"/>
      <c r="HHH54" s="1"/>
      <c r="HHI54" s="1"/>
      <c r="HHJ54" s="1"/>
      <c r="HHK54" s="1"/>
      <c r="HHL54" s="1"/>
      <c r="HHM54" s="1"/>
      <c r="HHN54" s="1"/>
      <c r="HHO54" s="1"/>
      <c r="HHP54" s="1"/>
      <c r="HHQ54" s="1"/>
      <c r="HHR54" s="1"/>
      <c r="HHS54" s="1"/>
      <c r="HHT54" s="1"/>
      <c r="HHU54" s="1"/>
      <c r="HHV54" s="1"/>
      <c r="HHW54" s="1"/>
      <c r="HHX54" s="1"/>
      <c r="HHY54" s="1"/>
      <c r="HHZ54" s="1"/>
      <c r="HIA54" s="1"/>
      <c r="HIB54" s="1"/>
      <c r="HIC54" s="1"/>
      <c r="HID54" s="1"/>
      <c r="HIE54" s="1"/>
      <c r="HIF54" s="1"/>
      <c r="HIG54" s="1"/>
      <c r="HIH54" s="1"/>
      <c r="HII54" s="1"/>
      <c r="HIJ54" s="1"/>
      <c r="HIK54" s="1"/>
      <c r="HIL54" s="1"/>
      <c r="HIM54" s="1"/>
      <c r="HIN54" s="1"/>
      <c r="HIO54" s="1"/>
      <c r="HIP54" s="1"/>
      <c r="HIQ54" s="1"/>
      <c r="HIR54" s="1"/>
      <c r="HIS54" s="1"/>
      <c r="HIT54" s="1"/>
      <c r="HIU54" s="1"/>
      <c r="HIV54" s="1"/>
      <c r="HIW54" s="1"/>
      <c r="HIX54" s="1"/>
      <c r="HIY54" s="1"/>
      <c r="HIZ54" s="1"/>
      <c r="HJA54" s="1"/>
      <c r="HJB54" s="1"/>
      <c r="HJC54" s="1"/>
      <c r="HJD54" s="1"/>
      <c r="HJE54" s="1"/>
      <c r="HJF54" s="1"/>
      <c r="HJG54" s="1"/>
      <c r="HJH54" s="1"/>
      <c r="HJI54" s="1"/>
      <c r="HJJ54" s="1"/>
      <c r="HJK54" s="1"/>
      <c r="HJL54" s="1"/>
      <c r="HJM54" s="1"/>
      <c r="HJN54" s="1"/>
      <c r="HJO54" s="1"/>
      <c r="HJP54" s="1"/>
      <c r="HJQ54" s="1"/>
      <c r="HJR54" s="1"/>
      <c r="HJS54" s="1"/>
      <c r="HJT54" s="1"/>
      <c r="HJU54" s="1"/>
      <c r="HJV54" s="1"/>
      <c r="HJW54" s="1"/>
      <c r="HJX54" s="1"/>
      <c r="HJY54" s="1"/>
      <c r="HJZ54" s="1"/>
      <c r="HKA54" s="1"/>
      <c r="HKB54" s="1"/>
      <c r="HKC54" s="1"/>
      <c r="HKD54" s="1"/>
      <c r="HKE54" s="1"/>
      <c r="HKF54" s="1"/>
      <c r="HKG54" s="1"/>
      <c r="HKH54" s="1"/>
      <c r="HKI54" s="1"/>
      <c r="HKJ54" s="1"/>
      <c r="HKK54" s="1"/>
      <c r="HKL54" s="1"/>
      <c r="HKM54" s="1"/>
      <c r="HKN54" s="1"/>
      <c r="HKO54" s="1"/>
      <c r="HKP54" s="1"/>
      <c r="HKQ54" s="1"/>
      <c r="HKR54" s="1"/>
      <c r="HKS54" s="1"/>
      <c r="HKT54" s="1"/>
      <c r="HKU54" s="1"/>
      <c r="HKV54" s="1"/>
      <c r="HKW54" s="1"/>
      <c r="HKX54" s="1"/>
      <c r="HKY54" s="1"/>
      <c r="HKZ54" s="1"/>
      <c r="HLA54" s="1"/>
      <c r="HLB54" s="1"/>
      <c r="HLC54" s="1"/>
      <c r="HLD54" s="1"/>
      <c r="HLE54" s="1"/>
      <c r="HLF54" s="1"/>
      <c r="HLG54" s="1"/>
      <c r="HLH54" s="1"/>
      <c r="HLI54" s="1"/>
      <c r="HLJ54" s="1"/>
      <c r="HLK54" s="1"/>
      <c r="HLL54" s="1"/>
      <c r="HLM54" s="1"/>
      <c r="HLN54" s="1"/>
      <c r="HLO54" s="1"/>
      <c r="HLP54" s="1"/>
      <c r="HLQ54" s="1"/>
      <c r="HLR54" s="1"/>
      <c r="HLS54" s="1"/>
      <c r="HLT54" s="1"/>
      <c r="HLU54" s="1"/>
      <c r="HLV54" s="1"/>
      <c r="HLW54" s="1"/>
      <c r="HLX54" s="1"/>
      <c r="HLY54" s="1"/>
      <c r="HLZ54" s="1"/>
      <c r="HMA54" s="1"/>
      <c r="HMB54" s="1"/>
      <c r="HMC54" s="1"/>
      <c r="HMD54" s="1"/>
      <c r="HME54" s="1"/>
      <c r="HMF54" s="1"/>
      <c r="HMG54" s="1"/>
      <c r="HMH54" s="1"/>
      <c r="HMI54" s="1"/>
      <c r="HMJ54" s="1"/>
      <c r="HMK54" s="1"/>
      <c r="HML54" s="1"/>
      <c r="HMM54" s="1"/>
      <c r="HMN54" s="1"/>
      <c r="HMO54" s="1"/>
      <c r="HMP54" s="1"/>
      <c r="HMQ54" s="1"/>
      <c r="HMR54" s="1"/>
      <c r="HMS54" s="1"/>
      <c r="HMT54" s="1"/>
      <c r="HMU54" s="1"/>
      <c r="HMV54" s="1"/>
      <c r="HMW54" s="1"/>
      <c r="HMX54" s="1"/>
      <c r="HMY54" s="1"/>
      <c r="HMZ54" s="1"/>
      <c r="HNA54" s="1"/>
      <c r="HNB54" s="1"/>
      <c r="HNC54" s="1"/>
      <c r="HND54" s="1"/>
      <c r="HNE54" s="1"/>
      <c r="HNF54" s="1"/>
      <c r="HNG54" s="1"/>
      <c r="HNH54" s="1"/>
      <c r="HNI54" s="1"/>
      <c r="HNJ54" s="1"/>
      <c r="HNK54" s="1"/>
      <c r="HNL54" s="1"/>
      <c r="HNM54" s="1"/>
      <c r="HNN54" s="1"/>
      <c r="HNO54" s="1"/>
      <c r="HNP54" s="1"/>
      <c r="HNQ54" s="1"/>
      <c r="HNR54" s="1"/>
      <c r="HNS54" s="1"/>
      <c r="HNT54" s="1"/>
      <c r="HNU54" s="1"/>
      <c r="HNV54" s="1"/>
      <c r="HNW54" s="1"/>
      <c r="HNX54" s="1"/>
      <c r="HNY54" s="1"/>
      <c r="HNZ54" s="1"/>
      <c r="HOA54" s="1"/>
      <c r="HOB54" s="1"/>
      <c r="HOC54" s="1"/>
      <c r="HOD54" s="1"/>
      <c r="HOE54" s="1"/>
      <c r="HOF54" s="1"/>
      <c r="HOG54" s="1"/>
      <c r="HOH54" s="1"/>
      <c r="HOI54" s="1"/>
      <c r="HOJ54" s="1"/>
      <c r="HOK54" s="1"/>
      <c r="HOL54" s="1"/>
      <c r="HOM54" s="1"/>
      <c r="HON54" s="1"/>
      <c r="HOO54" s="1"/>
      <c r="HOP54" s="1"/>
      <c r="HOQ54" s="1"/>
      <c r="HOR54" s="1"/>
      <c r="HOS54" s="1"/>
      <c r="HOT54" s="1"/>
      <c r="HOU54" s="1"/>
      <c r="HOV54" s="1"/>
      <c r="HOW54" s="1"/>
      <c r="HOX54" s="1"/>
      <c r="HOY54" s="1"/>
      <c r="HOZ54" s="1"/>
      <c r="HPA54" s="1"/>
      <c r="HPB54" s="1"/>
      <c r="HPC54" s="1"/>
      <c r="HPD54" s="1"/>
      <c r="HPE54" s="1"/>
      <c r="HPF54" s="1"/>
      <c r="HPG54" s="1"/>
      <c r="HPH54" s="1"/>
      <c r="HPI54" s="1"/>
      <c r="HPJ54" s="1"/>
      <c r="HPK54" s="1"/>
      <c r="HPL54" s="1"/>
      <c r="HPM54" s="1"/>
      <c r="HPN54" s="1"/>
      <c r="HPO54" s="1"/>
      <c r="HPP54" s="1"/>
      <c r="HPQ54" s="1"/>
      <c r="HPR54" s="1"/>
      <c r="HPS54" s="1"/>
      <c r="HPT54" s="1"/>
      <c r="HPU54" s="1"/>
      <c r="HPV54" s="1"/>
      <c r="HPW54" s="1"/>
      <c r="HPX54" s="1"/>
      <c r="HPY54" s="1"/>
      <c r="HPZ54" s="1"/>
      <c r="HQA54" s="1"/>
      <c r="HQB54" s="1"/>
      <c r="HQC54" s="1"/>
      <c r="HQD54" s="1"/>
      <c r="HQE54" s="1"/>
      <c r="HQF54" s="1"/>
      <c r="HQG54" s="1"/>
      <c r="HQH54" s="1"/>
      <c r="HQI54" s="1"/>
      <c r="HQJ54" s="1"/>
      <c r="HQK54" s="1"/>
      <c r="HQL54" s="1"/>
      <c r="HQM54" s="1"/>
      <c r="HQN54" s="1"/>
      <c r="HQO54" s="1"/>
      <c r="HQP54" s="1"/>
      <c r="HQQ54" s="1"/>
      <c r="HQR54" s="1"/>
      <c r="HQS54" s="1"/>
      <c r="HQT54" s="1"/>
      <c r="HQU54" s="1"/>
      <c r="HQV54" s="1"/>
      <c r="HQW54" s="1"/>
      <c r="HQX54" s="1"/>
      <c r="HQY54" s="1"/>
      <c r="HQZ54" s="1"/>
      <c r="HRA54" s="1"/>
      <c r="HRB54" s="1"/>
      <c r="HRC54" s="1"/>
      <c r="HRD54" s="1"/>
      <c r="HRE54" s="1"/>
      <c r="HRF54" s="1"/>
      <c r="HRG54" s="1"/>
      <c r="HRH54" s="1"/>
      <c r="HRI54" s="1"/>
      <c r="HRJ54" s="1"/>
      <c r="HRK54" s="1"/>
      <c r="HRL54" s="1"/>
      <c r="HRM54" s="1"/>
      <c r="HRN54" s="1"/>
      <c r="HRO54" s="1"/>
      <c r="HRP54" s="1"/>
      <c r="HRQ54" s="1"/>
      <c r="HRR54" s="1"/>
      <c r="HRS54" s="1"/>
      <c r="HRT54" s="1"/>
      <c r="HRU54" s="1"/>
      <c r="HRV54" s="1"/>
      <c r="HRW54" s="1"/>
      <c r="HRX54" s="1"/>
      <c r="HRY54" s="1"/>
      <c r="HRZ54" s="1"/>
      <c r="HSA54" s="1"/>
      <c r="HSB54" s="1"/>
      <c r="HSC54" s="1"/>
      <c r="HSD54" s="1"/>
      <c r="HSE54" s="1"/>
      <c r="HSF54" s="1"/>
      <c r="HSG54" s="1"/>
      <c r="HSH54" s="1"/>
      <c r="HSI54" s="1"/>
      <c r="HSJ54" s="1"/>
      <c r="HSK54" s="1"/>
      <c r="HSL54" s="1"/>
      <c r="HSM54" s="1"/>
      <c r="HSN54" s="1"/>
      <c r="HSO54" s="1"/>
      <c r="HSP54" s="1"/>
      <c r="HSQ54" s="1"/>
      <c r="HSR54" s="1"/>
      <c r="HSS54" s="1"/>
      <c r="HST54" s="1"/>
      <c r="HSU54" s="1"/>
      <c r="HSV54" s="1"/>
      <c r="HSW54" s="1"/>
      <c r="HSX54" s="1"/>
      <c r="HSY54" s="1"/>
      <c r="HSZ54" s="1"/>
      <c r="HTA54" s="1"/>
      <c r="HTB54" s="1"/>
      <c r="HTC54" s="1"/>
      <c r="HTD54" s="1"/>
      <c r="HTE54" s="1"/>
      <c r="HTF54" s="1"/>
      <c r="HTG54" s="1"/>
      <c r="HTH54" s="1"/>
      <c r="HTI54" s="1"/>
      <c r="HTJ54" s="1"/>
      <c r="HTK54" s="1"/>
      <c r="HTL54" s="1"/>
      <c r="HTM54" s="1"/>
      <c r="HTN54" s="1"/>
      <c r="HTO54" s="1"/>
      <c r="HTP54" s="1"/>
      <c r="HTQ54" s="1"/>
      <c r="HTR54" s="1"/>
      <c r="HTS54" s="1"/>
      <c r="HTT54" s="1"/>
      <c r="HTU54" s="1"/>
      <c r="HTV54" s="1"/>
      <c r="HTW54" s="1"/>
      <c r="HTX54" s="1"/>
      <c r="HTY54" s="1"/>
      <c r="HTZ54" s="1"/>
      <c r="HUA54" s="1"/>
      <c r="HUB54" s="1"/>
      <c r="HUC54" s="1"/>
      <c r="HUD54" s="1"/>
      <c r="HUE54" s="1"/>
      <c r="HUF54" s="1"/>
      <c r="HUG54" s="1"/>
      <c r="HUH54" s="1"/>
      <c r="HUI54" s="1"/>
      <c r="HUJ54" s="1"/>
      <c r="HUK54" s="1"/>
      <c r="HUL54" s="1"/>
      <c r="HUM54" s="1"/>
      <c r="HUN54" s="1"/>
      <c r="HUO54" s="1"/>
      <c r="HUP54" s="1"/>
      <c r="HUQ54" s="1"/>
      <c r="HUR54" s="1"/>
      <c r="HUS54" s="1"/>
      <c r="HUT54" s="1"/>
      <c r="HUU54" s="1"/>
      <c r="HUV54" s="1"/>
      <c r="HUW54" s="1"/>
      <c r="HUX54" s="1"/>
      <c r="HUY54" s="1"/>
      <c r="HUZ54" s="1"/>
      <c r="HVA54" s="1"/>
      <c r="HVB54" s="1"/>
      <c r="HVC54" s="1"/>
      <c r="HVD54" s="1"/>
      <c r="HVE54" s="1"/>
      <c r="HVF54" s="1"/>
      <c r="HVG54" s="1"/>
      <c r="HVH54" s="1"/>
      <c r="HVI54" s="1"/>
      <c r="HVJ54" s="1"/>
      <c r="HVK54" s="1"/>
      <c r="HVL54" s="1"/>
      <c r="HVM54" s="1"/>
      <c r="HVN54" s="1"/>
      <c r="HVO54" s="1"/>
      <c r="HVP54" s="1"/>
      <c r="HVQ54" s="1"/>
      <c r="HVR54" s="1"/>
      <c r="HVS54" s="1"/>
      <c r="HVT54" s="1"/>
      <c r="HVU54" s="1"/>
      <c r="HVV54" s="1"/>
      <c r="HVW54" s="1"/>
      <c r="HVX54" s="1"/>
      <c r="HVY54" s="1"/>
      <c r="HVZ54" s="1"/>
      <c r="HWA54" s="1"/>
      <c r="HWB54" s="1"/>
      <c r="HWC54" s="1"/>
      <c r="HWD54" s="1"/>
      <c r="HWE54" s="1"/>
      <c r="HWF54" s="1"/>
      <c r="HWG54" s="1"/>
      <c r="HWH54" s="1"/>
      <c r="HWI54" s="1"/>
      <c r="HWJ54" s="1"/>
      <c r="HWK54" s="1"/>
      <c r="HWL54" s="1"/>
      <c r="HWM54" s="1"/>
      <c r="HWN54" s="1"/>
      <c r="HWO54" s="1"/>
      <c r="HWP54" s="1"/>
      <c r="HWQ54" s="1"/>
      <c r="HWR54" s="1"/>
      <c r="HWS54" s="1"/>
      <c r="HWT54" s="1"/>
      <c r="HWU54" s="1"/>
      <c r="HWV54" s="1"/>
      <c r="HWW54" s="1"/>
      <c r="HWX54" s="1"/>
      <c r="HWY54" s="1"/>
      <c r="HWZ54" s="1"/>
      <c r="HXA54" s="1"/>
      <c r="HXB54" s="1"/>
      <c r="HXC54" s="1"/>
      <c r="HXD54" s="1"/>
      <c r="HXE54" s="1"/>
      <c r="HXF54" s="1"/>
      <c r="HXG54" s="1"/>
      <c r="HXH54" s="1"/>
      <c r="HXI54" s="1"/>
      <c r="HXJ54" s="1"/>
      <c r="HXK54" s="1"/>
      <c r="HXL54" s="1"/>
      <c r="HXM54" s="1"/>
      <c r="HXN54" s="1"/>
      <c r="HXO54" s="1"/>
      <c r="HXP54" s="1"/>
      <c r="HXQ54" s="1"/>
      <c r="HXR54" s="1"/>
      <c r="HXS54" s="1"/>
      <c r="HXT54" s="1"/>
      <c r="HXU54" s="1"/>
      <c r="HXV54" s="1"/>
      <c r="HXW54" s="1"/>
      <c r="HXX54" s="1"/>
      <c r="HXY54" s="1"/>
      <c r="HXZ54" s="1"/>
      <c r="HYA54" s="1"/>
      <c r="HYB54" s="1"/>
      <c r="HYC54" s="1"/>
      <c r="HYD54" s="1"/>
      <c r="HYE54" s="1"/>
      <c r="HYF54" s="1"/>
      <c r="HYG54" s="1"/>
      <c r="HYH54" s="1"/>
      <c r="HYI54" s="1"/>
      <c r="HYJ54" s="1"/>
      <c r="HYK54" s="1"/>
      <c r="HYL54" s="1"/>
      <c r="HYM54" s="1"/>
      <c r="HYN54" s="1"/>
      <c r="HYO54" s="1"/>
      <c r="HYP54" s="1"/>
      <c r="HYQ54" s="1"/>
      <c r="HYR54" s="1"/>
      <c r="HYS54" s="1"/>
      <c r="HYT54" s="1"/>
      <c r="HYU54" s="1"/>
      <c r="HYV54" s="1"/>
      <c r="HYW54" s="1"/>
      <c r="HYX54" s="1"/>
      <c r="HYY54" s="1"/>
      <c r="HYZ54" s="1"/>
      <c r="HZA54" s="1"/>
      <c r="HZB54" s="1"/>
      <c r="HZC54" s="1"/>
      <c r="HZD54" s="1"/>
      <c r="HZE54" s="1"/>
      <c r="HZF54" s="1"/>
      <c r="HZG54" s="1"/>
      <c r="HZH54" s="1"/>
      <c r="HZI54" s="1"/>
      <c r="HZJ54" s="1"/>
      <c r="HZK54" s="1"/>
      <c r="HZL54" s="1"/>
      <c r="HZM54" s="1"/>
      <c r="HZN54" s="1"/>
      <c r="HZO54" s="1"/>
      <c r="HZP54" s="1"/>
      <c r="HZQ54" s="1"/>
      <c r="HZR54" s="1"/>
      <c r="HZS54" s="1"/>
      <c r="HZT54" s="1"/>
      <c r="HZU54" s="1"/>
      <c r="HZV54" s="1"/>
      <c r="HZW54" s="1"/>
      <c r="HZX54" s="1"/>
      <c r="HZY54" s="1"/>
      <c r="HZZ54" s="1"/>
      <c r="IAA54" s="1"/>
      <c r="IAB54" s="1"/>
      <c r="IAC54" s="1"/>
      <c r="IAD54" s="1"/>
      <c r="IAE54" s="1"/>
      <c r="IAF54" s="1"/>
      <c r="IAG54" s="1"/>
      <c r="IAH54" s="1"/>
      <c r="IAI54" s="1"/>
      <c r="IAJ54" s="1"/>
      <c r="IAK54" s="1"/>
      <c r="IAL54" s="1"/>
      <c r="IAM54" s="1"/>
      <c r="IAN54" s="1"/>
      <c r="IAO54" s="1"/>
      <c r="IAP54" s="1"/>
      <c r="IAQ54" s="1"/>
      <c r="IAR54" s="1"/>
      <c r="IAS54" s="1"/>
      <c r="IAT54" s="1"/>
      <c r="IAU54" s="1"/>
      <c r="IAV54" s="1"/>
      <c r="IAW54" s="1"/>
      <c r="IAX54" s="1"/>
      <c r="IAY54" s="1"/>
      <c r="IAZ54" s="1"/>
      <c r="IBA54" s="1"/>
      <c r="IBB54" s="1"/>
      <c r="IBC54" s="1"/>
      <c r="IBD54" s="1"/>
      <c r="IBE54" s="1"/>
      <c r="IBF54" s="1"/>
      <c r="IBG54" s="1"/>
      <c r="IBH54" s="1"/>
      <c r="IBI54" s="1"/>
      <c r="IBJ54" s="1"/>
      <c r="IBK54" s="1"/>
      <c r="IBL54" s="1"/>
      <c r="IBM54" s="1"/>
      <c r="IBN54" s="1"/>
      <c r="IBO54" s="1"/>
      <c r="IBP54" s="1"/>
      <c r="IBQ54" s="1"/>
      <c r="IBR54" s="1"/>
      <c r="IBS54" s="1"/>
      <c r="IBT54" s="1"/>
      <c r="IBU54" s="1"/>
      <c r="IBV54" s="1"/>
      <c r="IBW54" s="1"/>
      <c r="IBX54" s="1"/>
      <c r="IBY54" s="1"/>
      <c r="IBZ54" s="1"/>
      <c r="ICA54" s="1"/>
      <c r="ICB54" s="1"/>
      <c r="ICC54" s="1"/>
      <c r="ICD54" s="1"/>
      <c r="ICE54" s="1"/>
      <c r="ICF54" s="1"/>
      <c r="ICG54" s="1"/>
      <c r="ICH54" s="1"/>
      <c r="ICI54" s="1"/>
      <c r="ICJ54" s="1"/>
      <c r="ICK54" s="1"/>
      <c r="ICL54" s="1"/>
      <c r="ICM54" s="1"/>
      <c r="ICN54" s="1"/>
      <c r="ICO54" s="1"/>
      <c r="ICP54" s="1"/>
      <c r="ICQ54" s="1"/>
      <c r="ICR54" s="1"/>
      <c r="ICS54" s="1"/>
      <c r="ICT54" s="1"/>
      <c r="ICU54" s="1"/>
      <c r="ICV54" s="1"/>
      <c r="ICW54" s="1"/>
      <c r="ICX54" s="1"/>
      <c r="ICY54" s="1"/>
      <c r="ICZ54" s="1"/>
      <c r="IDA54" s="1"/>
      <c r="IDB54" s="1"/>
      <c r="IDC54" s="1"/>
      <c r="IDD54" s="1"/>
      <c r="IDE54" s="1"/>
      <c r="IDF54" s="1"/>
      <c r="IDG54" s="1"/>
      <c r="IDH54" s="1"/>
      <c r="IDI54" s="1"/>
      <c r="IDJ54" s="1"/>
      <c r="IDK54" s="1"/>
      <c r="IDL54" s="1"/>
      <c r="IDM54" s="1"/>
      <c r="IDN54" s="1"/>
      <c r="IDO54" s="1"/>
      <c r="IDP54" s="1"/>
      <c r="IDQ54" s="1"/>
      <c r="IDR54" s="1"/>
      <c r="IDS54" s="1"/>
      <c r="IDT54" s="1"/>
      <c r="IDU54" s="1"/>
      <c r="IDV54" s="1"/>
      <c r="IDW54" s="1"/>
      <c r="IDX54" s="1"/>
      <c r="IDY54" s="1"/>
      <c r="IDZ54" s="1"/>
      <c r="IEA54" s="1"/>
      <c r="IEB54" s="1"/>
      <c r="IEC54" s="1"/>
      <c r="IED54" s="1"/>
      <c r="IEE54" s="1"/>
      <c r="IEF54" s="1"/>
      <c r="IEG54" s="1"/>
      <c r="IEH54" s="1"/>
      <c r="IEI54" s="1"/>
      <c r="IEJ54" s="1"/>
      <c r="IEK54" s="1"/>
      <c r="IEL54" s="1"/>
      <c r="IEM54" s="1"/>
      <c r="IEN54" s="1"/>
      <c r="IEO54" s="1"/>
      <c r="IEP54" s="1"/>
      <c r="IEQ54" s="1"/>
      <c r="IER54" s="1"/>
      <c r="IES54" s="1"/>
      <c r="IET54" s="1"/>
      <c r="IEU54" s="1"/>
      <c r="IEV54" s="1"/>
      <c r="IEW54" s="1"/>
      <c r="IEX54" s="1"/>
      <c r="IEY54" s="1"/>
      <c r="IEZ54" s="1"/>
      <c r="IFA54" s="1"/>
      <c r="IFB54" s="1"/>
      <c r="IFC54" s="1"/>
      <c r="IFD54" s="1"/>
      <c r="IFE54" s="1"/>
      <c r="IFF54" s="1"/>
      <c r="IFG54" s="1"/>
      <c r="IFH54" s="1"/>
      <c r="IFI54" s="1"/>
      <c r="IFJ54" s="1"/>
      <c r="IFK54" s="1"/>
      <c r="IFL54" s="1"/>
      <c r="IFM54" s="1"/>
      <c r="IFN54" s="1"/>
      <c r="IFO54" s="1"/>
      <c r="IFP54" s="1"/>
      <c r="IFQ54" s="1"/>
      <c r="IFR54" s="1"/>
      <c r="IFS54" s="1"/>
      <c r="IFT54" s="1"/>
      <c r="IFU54" s="1"/>
      <c r="IFV54" s="1"/>
      <c r="IFW54" s="1"/>
      <c r="IFX54" s="1"/>
      <c r="IFY54" s="1"/>
      <c r="IFZ54" s="1"/>
      <c r="IGA54" s="1"/>
      <c r="IGB54" s="1"/>
      <c r="IGC54" s="1"/>
      <c r="IGD54" s="1"/>
      <c r="IGE54" s="1"/>
      <c r="IGF54" s="1"/>
      <c r="IGG54" s="1"/>
      <c r="IGH54" s="1"/>
      <c r="IGI54" s="1"/>
      <c r="IGJ54" s="1"/>
      <c r="IGK54" s="1"/>
      <c r="IGL54" s="1"/>
      <c r="IGM54" s="1"/>
      <c r="IGN54" s="1"/>
      <c r="IGO54" s="1"/>
      <c r="IGP54" s="1"/>
      <c r="IGQ54" s="1"/>
      <c r="IGR54" s="1"/>
      <c r="IGS54" s="1"/>
      <c r="IGT54" s="1"/>
      <c r="IGU54" s="1"/>
      <c r="IGV54" s="1"/>
      <c r="IGW54" s="1"/>
      <c r="IGX54" s="1"/>
      <c r="IGY54" s="1"/>
      <c r="IGZ54" s="1"/>
      <c r="IHA54" s="1"/>
      <c r="IHB54" s="1"/>
      <c r="IHC54" s="1"/>
      <c r="IHD54" s="1"/>
      <c r="IHE54" s="1"/>
      <c r="IHF54" s="1"/>
      <c r="IHG54" s="1"/>
      <c r="IHH54" s="1"/>
      <c r="IHI54" s="1"/>
      <c r="IHJ54" s="1"/>
      <c r="IHK54" s="1"/>
      <c r="IHL54" s="1"/>
      <c r="IHM54" s="1"/>
      <c r="IHN54" s="1"/>
      <c r="IHO54" s="1"/>
      <c r="IHP54" s="1"/>
      <c r="IHQ54" s="1"/>
      <c r="IHR54" s="1"/>
      <c r="IHS54" s="1"/>
      <c r="IHT54" s="1"/>
      <c r="IHU54" s="1"/>
      <c r="IHV54" s="1"/>
      <c r="IHW54" s="1"/>
      <c r="IHX54" s="1"/>
      <c r="IHY54" s="1"/>
      <c r="IHZ54" s="1"/>
      <c r="IIA54" s="1"/>
      <c r="IIB54" s="1"/>
      <c r="IIC54" s="1"/>
      <c r="IID54" s="1"/>
      <c r="IIE54" s="1"/>
      <c r="IIF54" s="1"/>
      <c r="IIG54" s="1"/>
      <c r="IIH54" s="1"/>
      <c r="III54" s="1"/>
      <c r="IIJ54" s="1"/>
      <c r="IIK54" s="1"/>
      <c r="IIL54" s="1"/>
      <c r="IIM54" s="1"/>
      <c r="IIN54" s="1"/>
      <c r="IIO54" s="1"/>
      <c r="IIP54" s="1"/>
      <c r="IIQ54" s="1"/>
      <c r="IIR54" s="1"/>
      <c r="IIS54" s="1"/>
      <c r="IIT54" s="1"/>
      <c r="IIU54" s="1"/>
      <c r="IIV54" s="1"/>
      <c r="IIW54" s="1"/>
      <c r="IIX54" s="1"/>
      <c r="IIY54" s="1"/>
      <c r="IIZ54" s="1"/>
      <c r="IJA54" s="1"/>
      <c r="IJB54" s="1"/>
      <c r="IJC54" s="1"/>
      <c r="IJD54" s="1"/>
      <c r="IJE54" s="1"/>
      <c r="IJF54" s="1"/>
      <c r="IJG54" s="1"/>
      <c r="IJH54" s="1"/>
      <c r="IJI54" s="1"/>
      <c r="IJJ54" s="1"/>
      <c r="IJK54" s="1"/>
      <c r="IJL54" s="1"/>
      <c r="IJM54" s="1"/>
      <c r="IJN54" s="1"/>
      <c r="IJO54" s="1"/>
      <c r="IJP54" s="1"/>
      <c r="IJQ54" s="1"/>
      <c r="IJR54" s="1"/>
      <c r="IJS54" s="1"/>
      <c r="IJT54" s="1"/>
      <c r="IJU54" s="1"/>
      <c r="IJV54" s="1"/>
      <c r="IJW54" s="1"/>
      <c r="IJX54" s="1"/>
      <c r="IJY54" s="1"/>
      <c r="IJZ54" s="1"/>
      <c r="IKA54" s="1"/>
      <c r="IKB54" s="1"/>
      <c r="IKC54" s="1"/>
      <c r="IKD54" s="1"/>
      <c r="IKE54" s="1"/>
      <c r="IKF54" s="1"/>
      <c r="IKG54" s="1"/>
      <c r="IKH54" s="1"/>
      <c r="IKI54" s="1"/>
      <c r="IKJ54" s="1"/>
      <c r="IKK54" s="1"/>
      <c r="IKL54" s="1"/>
      <c r="IKM54" s="1"/>
      <c r="IKN54" s="1"/>
      <c r="IKO54" s="1"/>
      <c r="IKP54" s="1"/>
      <c r="IKQ54" s="1"/>
      <c r="IKR54" s="1"/>
      <c r="IKS54" s="1"/>
      <c r="IKT54" s="1"/>
      <c r="IKU54" s="1"/>
      <c r="IKV54" s="1"/>
      <c r="IKW54" s="1"/>
      <c r="IKX54" s="1"/>
      <c r="IKY54" s="1"/>
      <c r="IKZ54" s="1"/>
      <c r="ILA54" s="1"/>
      <c r="ILB54" s="1"/>
      <c r="ILC54" s="1"/>
      <c r="ILD54" s="1"/>
      <c r="ILE54" s="1"/>
      <c r="ILF54" s="1"/>
      <c r="ILG54" s="1"/>
      <c r="ILH54" s="1"/>
      <c r="ILI54" s="1"/>
      <c r="ILJ54" s="1"/>
      <c r="ILK54" s="1"/>
      <c r="ILL54" s="1"/>
      <c r="ILM54" s="1"/>
      <c r="ILN54" s="1"/>
      <c r="ILO54" s="1"/>
      <c r="ILP54" s="1"/>
      <c r="ILQ54" s="1"/>
      <c r="ILR54" s="1"/>
      <c r="ILS54" s="1"/>
      <c r="ILT54" s="1"/>
      <c r="ILU54" s="1"/>
      <c r="ILV54" s="1"/>
      <c r="ILW54" s="1"/>
      <c r="ILX54" s="1"/>
      <c r="ILY54" s="1"/>
      <c r="ILZ54" s="1"/>
      <c r="IMA54" s="1"/>
      <c r="IMB54" s="1"/>
      <c r="IMC54" s="1"/>
      <c r="IMD54" s="1"/>
      <c r="IME54" s="1"/>
      <c r="IMF54" s="1"/>
      <c r="IMG54" s="1"/>
      <c r="IMH54" s="1"/>
      <c r="IMI54" s="1"/>
      <c r="IMJ54" s="1"/>
      <c r="IMK54" s="1"/>
      <c r="IML54" s="1"/>
      <c r="IMM54" s="1"/>
      <c r="IMN54" s="1"/>
      <c r="IMO54" s="1"/>
      <c r="IMP54" s="1"/>
      <c r="IMQ54" s="1"/>
      <c r="IMR54" s="1"/>
      <c r="IMS54" s="1"/>
      <c r="IMT54" s="1"/>
      <c r="IMU54" s="1"/>
      <c r="IMV54" s="1"/>
      <c r="IMW54" s="1"/>
      <c r="IMX54" s="1"/>
      <c r="IMY54" s="1"/>
      <c r="IMZ54" s="1"/>
      <c r="INA54" s="1"/>
      <c r="INB54" s="1"/>
      <c r="INC54" s="1"/>
      <c r="IND54" s="1"/>
      <c r="INE54" s="1"/>
      <c r="INF54" s="1"/>
      <c r="ING54" s="1"/>
      <c r="INH54" s="1"/>
      <c r="INI54" s="1"/>
      <c r="INJ54" s="1"/>
      <c r="INK54" s="1"/>
      <c r="INL54" s="1"/>
      <c r="INM54" s="1"/>
      <c r="INN54" s="1"/>
      <c r="INO54" s="1"/>
      <c r="INP54" s="1"/>
      <c r="INQ54" s="1"/>
      <c r="INR54" s="1"/>
      <c r="INS54" s="1"/>
      <c r="INT54" s="1"/>
      <c r="INU54" s="1"/>
      <c r="INV54" s="1"/>
      <c r="INW54" s="1"/>
      <c r="INX54" s="1"/>
      <c r="INY54" s="1"/>
      <c r="INZ54" s="1"/>
      <c r="IOA54" s="1"/>
      <c r="IOB54" s="1"/>
      <c r="IOC54" s="1"/>
      <c r="IOD54" s="1"/>
      <c r="IOE54" s="1"/>
      <c r="IOF54" s="1"/>
      <c r="IOG54" s="1"/>
      <c r="IOH54" s="1"/>
      <c r="IOI54" s="1"/>
      <c r="IOJ54" s="1"/>
      <c r="IOK54" s="1"/>
      <c r="IOL54" s="1"/>
      <c r="IOM54" s="1"/>
      <c r="ION54" s="1"/>
      <c r="IOO54" s="1"/>
      <c r="IOP54" s="1"/>
      <c r="IOQ54" s="1"/>
      <c r="IOR54" s="1"/>
      <c r="IOS54" s="1"/>
      <c r="IOT54" s="1"/>
      <c r="IOU54" s="1"/>
      <c r="IOV54" s="1"/>
      <c r="IOW54" s="1"/>
      <c r="IOX54" s="1"/>
      <c r="IOY54" s="1"/>
      <c r="IOZ54" s="1"/>
      <c r="IPA54" s="1"/>
      <c r="IPB54" s="1"/>
      <c r="IPC54" s="1"/>
      <c r="IPD54" s="1"/>
      <c r="IPE54" s="1"/>
      <c r="IPF54" s="1"/>
      <c r="IPG54" s="1"/>
      <c r="IPH54" s="1"/>
      <c r="IPI54" s="1"/>
      <c r="IPJ54" s="1"/>
      <c r="IPK54" s="1"/>
      <c r="IPL54" s="1"/>
      <c r="IPM54" s="1"/>
      <c r="IPN54" s="1"/>
      <c r="IPO54" s="1"/>
      <c r="IPP54" s="1"/>
      <c r="IPQ54" s="1"/>
      <c r="IPR54" s="1"/>
      <c r="IPS54" s="1"/>
      <c r="IPT54" s="1"/>
      <c r="IPU54" s="1"/>
      <c r="IPV54" s="1"/>
      <c r="IPW54" s="1"/>
      <c r="IPX54" s="1"/>
      <c r="IPY54" s="1"/>
      <c r="IPZ54" s="1"/>
      <c r="IQA54" s="1"/>
      <c r="IQB54" s="1"/>
      <c r="IQC54" s="1"/>
      <c r="IQD54" s="1"/>
      <c r="IQE54" s="1"/>
      <c r="IQF54" s="1"/>
      <c r="IQG54" s="1"/>
      <c r="IQH54" s="1"/>
      <c r="IQI54" s="1"/>
      <c r="IQJ54" s="1"/>
      <c r="IQK54" s="1"/>
      <c r="IQL54" s="1"/>
      <c r="IQM54" s="1"/>
      <c r="IQN54" s="1"/>
      <c r="IQO54" s="1"/>
      <c r="IQP54" s="1"/>
      <c r="IQQ54" s="1"/>
      <c r="IQR54" s="1"/>
      <c r="IQS54" s="1"/>
      <c r="IQT54" s="1"/>
      <c r="IQU54" s="1"/>
      <c r="IQV54" s="1"/>
      <c r="IQW54" s="1"/>
      <c r="IQX54" s="1"/>
      <c r="IQY54" s="1"/>
      <c r="IQZ54" s="1"/>
      <c r="IRA54" s="1"/>
      <c r="IRB54" s="1"/>
      <c r="IRC54" s="1"/>
      <c r="IRD54" s="1"/>
      <c r="IRE54" s="1"/>
      <c r="IRF54" s="1"/>
      <c r="IRG54" s="1"/>
      <c r="IRH54" s="1"/>
      <c r="IRI54" s="1"/>
      <c r="IRJ54" s="1"/>
      <c r="IRK54" s="1"/>
      <c r="IRL54" s="1"/>
      <c r="IRM54" s="1"/>
      <c r="IRN54" s="1"/>
      <c r="IRO54" s="1"/>
      <c r="IRP54" s="1"/>
      <c r="IRQ54" s="1"/>
      <c r="IRR54" s="1"/>
      <c r="IRS54" s="1"/>
      <c r="IRT54" s="1"/>
      <c r="IRU54" s="1"/>
      <c r="IRV54" s="1"/>
      <c r="IRW54" s="1"/>
      <c r="IRX54" s="1"/>
      <c r="IRY54" s="1"/>
      <c r="IRZ54" s="1"/>
      <c r="ISA54" s="1"/>
      <c r="ISB54" s="1"/>
      <c r="ISC54" s="1"/>
      <c r="ISD54" s="1"/>
      <c r="ISE54" s="1"/>
      <c r="ISF54" s="1"/>
      <c r="ISG54" s="1"/>
      <c r="ISH54" s="1"/>
      <c r="ISI54" s="1"/>
      <c r="ISJ54" s="1"/>
      <c r="ISK54" s="1"/>
      <c r="ISL54" s="1"/>
      <c r="ISM54" s="1"/>
      <c r="ISN54" s="1"/>
      <c r="ISO54" s="1"/>
      <c r="ISP54" s="1"/>
      <c r="ISQ54" s="1"/>
      <c r="ISR54" s="1"/>
      <c r="ISS54" s="1"/>
      <c r="IST54" s="1"/>
      <c r="ISU54" s="1"/>
      <c r="ISV54" s="1"/>
      <c r="ISW54" s="1"/>
      <c r="ISX54" s="1"/>
      <c r="ISY54" s="1"/>
      <c r="ISZ54" s="1"/>
      <c r="ITA54" s="1"/>
      <c r="ITB54" s="1"/>
      <c r="ITC54" s="1"/>
      <c r="ITD54" s="1"/>
      <c r="ITE54" s="1"/>
      <c r="ITF54" s="1"/>
      <c r="ITG54" s="1"/>
      <c r="ITH54" s="1"/>
      <c r="ITI54" s="1"/>
      <c r="ITJ54" s="1"/>
      <c r="ITK54" s="1"/>
      <c r="ITL54" s="1"/>
      <c r="ITM54" s="1"/>
      <c r="ITN54" s="1"/>
      <c r="ITO54" s="1"/>
      <c r="ITP54" s="1"/>
      <c r="ITQ54" s="1"/>
      <c r="ITR54" s="1"/>
      <c r="ITS54" s="1"/>
      <c r="ITT54" s="1"/>
      <c r="ITU54" s="1"/>
      <c r="ITV54" s="1"/>
      <c r="ITW54" s="1"/>
      <c r="ITX54" s="1"/>
      <c r="ITY54" s="1"/>
      <c r="ITZ54" s="1"/>
      <c r="IUA54" s="1"/>
      <c r="IUB54" s="1"/>
      <c r="IUC54" s="1"/>
      <c r="IUD54" s="1"/>
      <c r="IUE54" s="1"/>
      <c r="IUF54" s="1"/>
      <c r="IUG54" s="1"/>
      <c r="IUH54" s="1"/>
      <c r="IUI54" s="1"/>
      <c r="IUJ54" s="1"/>
      <c r="IUK54" s="1"/>
      <c r="IUL54" s="1"/>
      <c r="IUM54" s="1"/>
      <c r="IUN54" s="1"/>
      <c r="IUO54" s="1"/>
      <c r="IUP54" s="1"/>
      <c r="IUQ54" s="1"/>
      <c r="IUR54" s="1"/>
      <c r="IUS54" s="1"/>
      <c r="IUT54" s="1"/>
      <c r="IUU54" s="1"/>
      <c r="IUV54" s="1"/>
      <c r="IUW54" s="1"/>
      <c r="IUX54" s="1"/>
      <c r="IUY54" s="1"/>
      <c r="IUZ54" s="1"/>
      <c r="IVA54" s="1"/>
      <c r="IVB54" s="1"/>
      <c r="IVC54" s="1"/>
      <c r="IVD54" s="1"/>
      <c r="IVE54" s="1"/>
      <c r="IVF54" s="1"/>
      <c r="IVG54" s="1"/>
      <c r="IVH54" s="1"/>
      <c r="IVI54" s="1"/>
      <c r="IVJ54" s="1"/>
      <c r="IVK54" s="1"/>
      <c r="IVL54" s="1"/>
      <c r="IVM54" s="1"/>
      <c r="IVN54" s="1"/>
      <c r="IVO54" s="1"/>
      <c r="IVP54" s="1"/>
      <c r="IVQ54" s="1"/>
      <c r="IVR54" s="1"/>
      <c r="IVS54" s="1"/>
      <c r="IVT54" s="1"/>
      <c r="IVU54" s="1"/>
      <c r="IVV54" s="1"/>
      <c r="IVW54" s="1"/>
      <c r="IVX54" s="1"/>
      <c r="IVY54" s="1"/>
      <c r="IVZ54" s="1"/>
      <c r="IWA54" s="1"/>
      <c r="IWB54" s="1"/>
      <c r="IWC54" s="1"/>
      <c r="IWD54" s="1"/>
      <c r="IWE54" s="1"/>
      <c r="IWF54" s="1"/>
      <c r="IWG54" s="1"/>
      <c r="IWH54" s="1"/>
      <c r="IWI54" s="1"/>
      <c r="IWJ54" s="1"/>
      <c r="IWK54" s="1"/>
      <c r="IWL54" s="1"/>
      <c r="IWM54" s="1"/>
      <c r="IWN54" s="1"/>
      <c r="IWO54" s="1"/>
      <c r="IWP54" s="1"/>
      <c r="IWQ54" s="1"/>
      <c r="IWR54" s="1"/>
      <c r="IWS54" s="1"/>
      <c r="IWT54" s="1"/>
      <c r="IWU54" s="1"/>
      <c r="IWV54" s="1"/>
      <c r="IWW54" s="1"/>
      <c r="IWX54" s="1"/>
      <c r="IWY54" s="1"/>
      <c r="IWZ54" s="1"/>
      <c r="IXA54" s="1"/>
      <c r="IXB54" s="1"/>
      <c r="IXC54" s="1"/>
      <c r="IXD54" s="1"/>
      <c r="IXE54" s="1"/>
      <c r="IXF54" s="1"/>
      <c r="IXG54" s="1"/>
      <c r="IXH54" s="1"/>
      <c r="IXI54" s="1"/>
      <c r="IXJ54" s="1"/>
      <c r="IXK54" s="1"/>
      <c r="IXL54" s="1"/>
      <c r="IXM54" s="1"/>
      <c r="IXN54" s="1"/>
      <c r="IXO54" s="1"/>
      <c r="IXP54" s="1"/>
      <c r="IXQ54" s="1"/>
      <c r="IXR54" s="1"/>
      <c r="IXS54" s="1"/>
      <c r="IXT54" s="1"/>
      <c r="IXU54" s="1"/>
      <c r="IXV54" s="1"/>
      <c r="IXW54" s="1"/>
      <c r="IXX54" s="1"/>
      <c r="IXY54" s="1"/>
      <c r="IXZ54" s="1"/>
      <c r="IYA54" s="1"/>
      <c r="IYB54" s="1"/>
      <c r="IYC54" s="1"/>
      <c r="IYD54" s="1"/>
      <c r="IYE54" s="1"/>
      <c r="IYF54" s="1"/>
      <c r="IYG54" s="1"/>
      <c r="IYH54" s="1"/>
      <c r="IYI54" s="1"/>
      <c r="IYJ54" s="1"/>
      <c r="IYK54" s="1"/>
      <c r="IYL54" s="1"/>
      <c r="IYM54" s="1"/>
      <c r="IYN54" s="1"/>
      <c r="IYO54" s="1"/>
      <c r="IYP54" s="1"/>
      <c r="IYQ54" s="1"/>
      <c r="IYR54" s="1"/>
      <c r="IYS54" s="1"/>
      <c r="IYT54" s="1"/>
      <c r="IYU54" s="1"/>
      <c r="IYV54" s="1"/>
      <c r="IYW54" s="1"/>
      <c r="IYX54" s="1"/>
      <c r="IYY54" s="1"/>
      <c r="IYZ54" s="1"/>
      <c r="IZA54" s="1"/>
      <c r="IZB54" s="1"/>
      <c r="IZC54" s="1"/>
      <c r="IZD54" s="1"/>
      <c r="IZE54" s="1"/>
      <c r="IZF54" s="1"/>
      <c r="IZG54" s="1"/>
      <c r="IZH54" s="1"/>
      <c r="IZI54" s="1"/>
      <c r="IZJ54" s="1"/>
      <c r="IZK54" s="1"/>
      <c r="IZL54" s="1"/>
      <c r="IZM54" s="1"/>
      <c r="IZN54" s="1"/>
      <c r="IZO54" s="1"/>
      <c r="IZP54" s="1"/>
      <c r="IZQ54" s="1"/>
      <c r="IZR54" s="1"/>
      <c r="IZS54" s="1"/>
      <c r="IZT54" s="1"/>
      <c r="IZU54" s="1"/>
      <c r="IZV54" s="1"/>
      <c r="IZW54" s="1"/>
      <c r="IZX54" s="1"/>
      <c r="IZY54" s="1"/>
      <c r="IZZ54" s="1"/>
      <c r="JAA54" s="1"/>
      <c r="JAB54" s="1"/>
      <c r="JAC54" s="1"/>
      <c r="JAD54" s="1"/>
      <c r="JAE54" s="1"/>
      <c r="JAF54" s="1"/>
      <c r="JAG54" s="1"/>
      <c r="JAH54" s="1"/>
      <c r="JAI54" s="1"/>
      <c r="JAJ54" s="1"/>
      <c r="JAK54" s="1"/>
      <c r="JAL54" s="1"/>
      <c r="JAM54" s="1"/>
      <c r="JAN54" s="1"/>
      <c r="JAO54" s="1"/>
      <c r="JAP54" s="1"/>
      <c r="JAQ54" s="1"/>
      <c r="JAR54" s="1"/>
      <c r="JAS54" s="1"/>
      <c r="JAT54" s="1"/>
      <c r="JAU54" s="1"/>
      <c r="JAV54" s="1"/>
      <c r="JAW54" s="1"/>
      <c r="JAX54" s="1"/>
      <c r="JAY54" s="1"/>
      <c r="JAZ54" s="1"/>
      <c r="JBA54" s="1"/>
      <c r="JBB54" s="1"/>
      <c r="JBC54" s="1"/>
      <c r="JBD54" s="1"/>
      <c r="JBE54" s="1"/>
      <c r="JBF54" s="1"/>
      <c r="JBG54" s="1"/>
      <c r="JBH54" s="1"/>
      <c r="JBI54" s="1"/>
      <c r="JBJ54" s="1"/>
      <c r="JBK54" s="1"/>
      <c r="JBL54" s="1"/>
      <c r="JBM54" s="1"/>
      <c r="JBN54" s="1"/>
      <c r="JBO54" s="1"/>
      <c r="JBP54" s="1"/>
      <c r="JBQ54" s="1"/>
      <c r="JBR54" s="1"/>
      <c r="JBS54" s="1"/>
      <c r="JBT54" s="1"/>
      <c r="JBU54" s="1"/>
      <c r="JBV54" s="1"/>
      <c r="JBW54" s="1"/>
      <c r="JBX54" s="1"/>
      <c r="JBY54" s="1"/>
      <c r="JBZ54" s="1"/>
      <c r="JCA54" s="1"/>
      <c r="JCB54" s="1"/>
      <c r="JCC54" s="1"/>
      <c r="JCD54" s="1"/>
      <c r="JCE54" s="1"/>
      <c r="JCF54" s="1"/>
      <c r="JCG54" s="1"/>
      <c r="JCH54" s="1"/>
      <c r="JCI54" s="1"/>
      <c r="JCJ54" s="1"/>
      <c r="JCK54" s="1"/>
      <c r="JCL54" s="1"/>
      <c r="JCM54" s="1"/>
      <c r="JCN54" s="1"/>
      <c r="JCO54" s="1"/>
      <c r="JCP54" s="1"/>
      <c r="JCQ54" s="1"/>
      <c r="JCR54" s="1"/>
      <c r="JCS54" s="1"/>
      <c r="JCT54" s="1"/>
      <c r="JCU54" s="1"/>
      <c r="JCV54" s="1"/>
      <c r="JCW54" s="1"/>
      <c r="JCX54" s="1"/>
      <c r="JCY54" s="1"/>
      <c r="JCZ54" s="1"/>
      <c r="JDA54" s="1"/>
      <c r="JDB54" s="1"/>
      <c r="JDC54" s="1"/>
      <c r="JDD54" s="1"/>
      <c r="JDE54" s="1"/>
      <c r="JDF54" s="1"/>
      <c r="JDG54" s="1"/>
      <c r="JDH54" s="1"/>
      <c r="JDI54" s="1"/>
      <c r="JDJ54" s="1"/>
      <c r="JDK54" s="1"/>
      <c r="JDL54" s="1"/>
      <c r="JDM54" s="1"/>
      <c r="JDN54" s="1"/>
      <c r="JDO54" s="1"/>
      <c r="JDP54" s="1"/>
      <c r="JDQ54" s="1"/>
      <c r="JDR54" s="1"/>
      <c r="JDS54" s="1"/>
      <c r="JDT54" s="1"/>
      <c r="JDU54" s="1"/>
      <c r="JDV54" s="1"/>
      <c r="JDW54" s="1"/>
      <c r="JDX54" s="1"/>
      <c r="JDY54" s="1"/>
      <c r="JDZ54" s="1"/>
      <c r="JEA54" s="1"/>
      <c r="JEB54" s="1"/>
      <c r="JEC54" s="1"/>
      <c r="JED54" s="1"/>
      <c r="JEE54" s="1"/>
      <c r="JEF54" s="1"/>
      <c r="JEG54" s="1"/>
      <c r="JEH54" s="1"/>
      <c r="JEI54" s="1"/>
      <c r="JEJ54" s="1"/>
      <c r="JEK54" s="1"/>
      <c r="JEL54" s="1"/>
      <c r="JEM54" s="1"/>
      <c r="JEN54" s="1"/>
      <c r="JEO54" s="1"/>
      <c r="JEP54" s="1"/>
      <c r="JEQ54" s="1"/>
      <c r="JER54" s="1"/>
      <c r="JES54" s="1"/>
      <c r="JET54" s="1"/>
      <c r="JEU54" s="1"/>
      <c r="JEV54" s="1"/>
      <c r="JEW54" s="1"/>
      <c r="JEX54" s="1"/>
      <c r="JEY54" s="1"/>
      <c r="JEZ54" s="1"/>
      <c r="JFA54" s="1"/>
      <c r="JFB54" s="1"/>
      <c r="JFC54" s="1"/>
      <c r="JFD54" s="1"/>
      <c r="JFE54" s="1"/>
      <c r="JFF54" s="1"/>
      <c r="JFG54" s="1"/>
      <c r="JFH54" s="1"/>
      <c r="JFI54" s="1"/>
      <c r="JFJ54" s="1"/>
      <c r="JFK54" s="1"/>
      <c r="JFL54" s="1"/>
      <c r="JFM54" s="1"/>
      <c r="JFN54" s="1"/>
      <c r="JFO54" s="1"/>
      <c r="JFP54" s="1"/>
      <c r="JFQ54" s="1"/>
      <c r="JFR54" s="1"/>
      <c r="JFS54" s="1"/>
      <c r="JFT54" s="1"/>
      <c r="JFU54" s="1"/>
      <c r="JFV54" s="1"/>
      <c r="JFW54" s="1"/>
      <c r="JFX54" s="1"/>
      <c r="JFY54" s="1"/>
      <c r="JFZ54" s="1"/>
      <c r="JGA54" s="1"/>
      <c r="JGB54" s="1"/>
      <c r="JGC54" s="1"/>
      <c r="JGD54" s="1"/>
      <c r="JGE54" s="1"/>
      <c r="JGF54" s="1"/>
      <c r="JGG54" s="1"/>
      <c r="JGH54" s="1"/>
      <c r="JGI54" s="1"/>
      <c r="JGJ54" s="1"/>
      <c r="JGK54" s="1"/>
      <c r="JGL54" s="1"/>
      <c r="JGM54" s="1"/>
      <c r="JGN54" s="1"/>
      <c r="JGO54" s="1"/>
      <c r="JGP54" s="1"/>
      <c r="JGQ54" s="1"/>
      <c r="JGR54" s="1"/>
      <c r="JGS54" s="1"/>
      <c r="JGT54" s="1"/>
      <c r="JGU54" s="1"/>
      <c r="JGV54" s="1"/>
      <c r="JGW54" s="1"/>
      <c r="JGX54" s="1"/>
      <c r="JGY54" s="1"/>
      <c r="JGZ54" s="1"/>
      <c r="JHA54" s="1"/>
      <c r="JHB54" s="1"/>
      <c r="JHC54" s="1"/>
      <c r="JHD54" s="1"/>
      <c r="JHE54" s="1"/>
      <c r="JHF54" s="1"/>
      <c r="JHG54" s="1"/>
      <c r="JHH54" s="1"/>
      <c r="JHI54" s="1"/>
      <c r="JHJ54" s="1"/>
      <c r="JHK54" s="1"/>
      <c r="JHL54" s="1"/>
      <c r="JHM54" s="1"/>
      <c r="JHN54" s="1"/>
      <c r="JHO54" s="1"/>
      <c r="JHP54" s="1"/>
      <c r="JHQ54" s="1"/>
      <c r="JHR54" s="1"/>
      <c r="JHS54" s="1"/>
      <c r="JHT54" s="1"/>
      <c r="JHU54" s="1"/>
      <c r="JHV54" s="1"/>
      <c r="JHW54" s="1"/>
      <c r="JHX54" s="1"/>
      <c r="JHY54" s="1"/>
      <c r="JHZ54" s="1"/>
      <c r="JIA54" s="1"/>
      <c r="JIB54" s="1"/>
      <c r="JIC54" s="1"/>
      <c r="JID54" s="1"/>
      <c r="JIE54" s="1"/>
      <c r="JIF54" s="1"/>
      <c r="JIG54" s="1"/>
      <c r="JIH54" s="1"/>
      <c r="JII54" s="1"/>
      <c r="JIJ54" s="1"/>
      <c r="JIK54" s="1"/>
      <c r="JIL54" s="1"/>
      <c r="JIM54" s="1"/>
      <c r="JIN54" s="1"/>
      <c r="JIO54" s="1"/>
      <c r="JIP54" s="1"/>
      <c r="JIQ54" s="1"/>
      <c r="JIR54" s="1"/>
      <c r="JIS54" s="1"/>
      <c r="JIT54" s="1"/>
      <c r="JIU54" s="1"/>
      <c r="JIV54" s="1"/>
      <c r="JIW54" s="1"/>
      <c r="JIX54" s="1"/>
      <c r="JIY54" s="1"/>
      <c r="JIZ54" s="1"/>
      <c r="JJA54" s="1"/>
      <c r="JJB54" s="1"/>
      <c r="JJC54" s="1"/>
      <c r="JJD54" s="1"/>
      <c r="JJE54" s="1"/>
      <c r="JJF54" s="1"/>
      <c r="JJG54" s="1"/>
      <c r="JJH54" s="1"/>
      <c r="JJI54" s="1"/>
      <c r="JJJ54" s="1"/>
      <c r="JJK54" s="1"/>
      <c r="JJL54" s="1"/>
      <c r="JJM54" s="1"/>
      <c r="JJN54" s="1"/>
      <c r="JJO54" s="1"/>
      <c r="JJP54" s="1"/>
      <c r="JJQ54" s="1"/>
      <c r="JJR54" s="1"/>
      <c r="JJS54" s="1"/>
      <c r="JJT54" s="1"/>
      <c r="JJU54" s="1"/>
      <c r="JJV54" s="1"/>
      <c r="JJW54" s="1"/>
      <c r="JJX54" s="1"/>
      <c r="JJY54" s="1"/>
      <c r="JJZ54" s="1"/>
      <c r="JKA54" s="1"/>
      <c r="JKB54" s="1"/>
      <c r="JKC54" s="1"/>
      <c r="JKD54" s="1"/>
      <c r="JKE54" s="1"/>
      <c r="JKF54" s="1"/>
      <c r="JKG54" s="1"/>
      <c r="JKH54" s="1"/>
      <c r="JKI54" s="1"/>
      <c r="JKJ54" s="1"/>
      <c r="JKK54" s="1"/>
      <c r="JKL54" s="1"/>
      <c r="JKM54" s="1"/>
      <c r="JKN54" s="1"/>
      <c r="JKO54" s="1"/>
      <c r="JKP54" s="1"/>
      <c r="JKQ54" s="1"/>
      <c r="JKR54" s="1"/>
      <c r="JKS54" s="1"/>
      <c r="JKT54" s="1"/>
      <c r="JKU54" s="1"/>
      <c r="JKV54" s="1"/>
      <c r="JKW54" s="1"/>
      <c r="JKX54" s="1"/>
      <c r="JKY54" s="1"/>
      <c r="JKZ54" s="1"/>
      <c r="JLA54" s="1"/>
      <c r="JLB54" s="1"/>
      <c r="JLC54" s="1"/>
      <c r="JLD54" s="1"/>
      <c r="JLE54" s="1"/>
      <c r="JLF54" s="1"/>
      <c r="JLG54" s="1"/>
      <c r="JLH54" s="1"/>
      <c r="JLI54" s="1"/>
      <c r="JLJ54" s="1"/>
      <c r="JLK54" s="1"/>
      <c r="JLL54" s="1"/>
      <c r="JLM54" s="1"/>
      <c r="JLN54" s="1"/>
      <c r="JLO54" s="1"/>
      <c r="JLP54" s="1"/>
      <c r="JLQ54" s="1"/>
      <c r="JLR54" s="1"/>
      <c r="JLS54" s="1"/>
      <c r="JLT54" s="1"/>
      <c r="JLU54" s="1"/>
      <c r="JLV54" s="1"/>
      <c r="JLW54" s="1"/>
      <c r="JLX54" s="1"/>
      <c r="JLY54" s="1"/>
      <c r="JLZ54" s="1"/>
      <c r="JMA54" s="1"/>
      <c r="JMB54" s="1"/>
      <c r="JMC54" s="1"/>
      <c r="JMD54" s="1"/>
      <c r="JME54" s="1"/>
      <c r="JMF54" s="1"/>
      <c r="JMG54" s="1"/>
      <c r="JMH54" s="1"/>
      <c r="JMI54" s="1"/>
      <c r="JMJ54" s="1"/>
      <c r="JMK54" s="1"/>
      <c r="JML54" s="1"/>
      <c r="JMM54" s="1"/>
      <c r="JMN54" s="1"/>
      <c r="JMO54" s="1"/>
      <c r="JMP54" s="1"/>
      <c r="JMQ54" s="1"/>
      <c r="JMR54" s="1"/>
      <c r="JMS54" s="1"/>
      <c r="JMT54" s="1"/>
      <c r="JMU54" s="1"/>
      <c r="JMV54" s="1"/>
      <c r="JMW54" s="1"/>
      <c r="JMX54" s="1"/>
      <c r="JMY54" s="1"/>
      <c r="JMZ54" s="1"/>
      <c r="JNA54" s="1"/>
      <c r="JNB54" s="1"/>
      <c r="JNC54" s="1"/>
      <c r="JND54" s="1"/>
      <c r="JNE54" s="1"/>
      <c r="JNF54" s="1"/>
      <c r="JNG54" s="1"/>
      <c r="JNH54" s="1"/>
      <c r="JNI54" s="1"/>
      <c r="JNJ54" s="1"/>
      <c r="JNK54" s="1"/>
      <c r="JNL54" s="1"/>
      <c r="JNM54" s="1"/>
      <c r="JNN54" s="1"/>
      <c r="JNO54" s="1"/>
      <c r="JNP54" s="1"/>
      <c r="JNQ54" s="1"/>
      <c r="JNR54" s="1"/>
      <c r="JNS54" s="1"/>
      <c r="JNT54" s="1"/>
      <c r="JNU54" s="1"/>
      <c r="JNV54" s="1"/>
      <c r="JNW54" s="1"/>
      <c r="JNX54" s="1"/>
      <c r="JNY54" s="1"/>
      <c r="JNZ54" s="1"/>
      <c r="JOA54" s="1"/>
      <c r="JOB54" s="1"/>
      <c r="JOC54" s="1"/>
      <c r="JOD54" s="1"/>
      <c r="JOE54" s="1"/>
      <c r="JOF54" s="1"/>
      <c r="JOG54" s="1"/>
      <c r="JOH54" s="1"/>
      <c r="JOI54" s="1"/>
      <c r="JOJ54" s="1"/>
      <c r="JOK54" s="1"/>
      <c r="JOL54" s="1"/>
      <c r="JOM54" s="1"/>
      <c r="JON54" s="1"/>
      <c r="JOO54" s="1"/>
      <c r="JOP54" s="1"/>
      <c r="JOQ54" s="1"/>
      <c r="JOR54" s="1"/>
      <c r="JOS54" s="1"/>
      <c r="JOT54" s="1"/>
      <c r="JOU54" s="1"/>
      <c r="JOV54" s="1"/>
      <c r="JOW54" s="1"/>
      <c r="JOX54" s="1"/>
      <c r="JOY54" s="1"/>
      <c r="JOZ54" s="1"/>
      <c r="JPA54" s="1"/>
      <c r="JPB54" s="1"/>
      <c r="JPC54" s="1"/>
      <c r="JPD54" s="1"/>
      <c r="JPE54" s="1"/>
      <c r="JPF54" s="1"/>
      <c r="JPG54" s="1"/>
      <c r="JPH54" s="1"/>
      <c r="JPI54" s="1"/>
      <c r="JPJ54" s="1"/>
      <c r="JPK54" s="1"/>
      <c r="JPL54" s="1"/>
      <c r="JPM54" s="1"/>
      <c r="JPN54" s="1"/>
      <c r="JPO54" s="1"/>
      <c r="JPP54" s="1"/>
      <c r="JPQ54" s="1"/>
      <c r="JPR54" s="1"/>
      <c r="JPS54" s="1"/>
      <c r="JPT54" s="1"/>
      <c r="JPU54" s="1"/>
      <c r="JPV54" s="1"/>
      <c r="JPW54" s="1"/>
      <c r="JPX54" s="1"/>
      <c r="JPY54" s="1"/>
      <c r="JPZ54" s="1"/>
      <c r="JQA54" s="1"/>
      <c r="JQB54" s="1"/>
      <c r="JQC54" s="1"/>
      <c r="JQD54" s="1"/>
      <c r="JQE54" s="1"/>
      <c r="JQF54" s="1"/>
      <c r="JQG54" s="1"/>
      <c r="JQH54" s="1"/>
      <c r="JQI54" s="1"/>
      <c r="JQJ54" s="1"/>
      <c r="JQK54" s="1"/>
      <c r="JQL54" s="1"/>
      <c r="JQM54" s="1"/>
      <c r="JQN54" s="1"/>
      <c r="JQO54" s="1"/>
      <c r="JQP54" s="1"/>
      <c r="JQQ54" s="1"/>
      <c r="JQR54" s="1"/>
      <c r="JQS54" s="1"/>
      <c r="JQT54" s="1"/>
      <c r="JQU54" s="1"/>
      <c r="JQV54" s="1"/>
      <c r="JQW54" s="1"/>
      <c r="JQX54" s="1"/>
      <c r="JQY54" s="1"/>
      <c r="JQZ54" s="1"/>
      <c r="JRA54" s="1"/>
      <c r="JRB54" s="1"/>
      <c r="JRC54" s="1"/>
      <c r="JRD54" s="1"/>
      <c r="JRE54" s="1"/>
      <c r="JRF54" s="1"/>
      <c r="JRG54" s="1"/>
      <c r="JRH54" s="1"/>
      <c r="JRI54" s="1"/>
      <c r="JRJ54" s="1"/>
      <c r="JRK54" s="1"/>
      <c r="JRL54" s="1"/>
      <c r="JRM54" s="1"/>
      <c r="JRN54" s="1"/>
      <c r="JRO54" s="1"/>
      <c r="JRP54" s="1"/>
      <c r="JRQ54" s="1"/>
      <c r="JRR54" s="1"/>
      <c r="JRS54" s="1"/>
      <c r="JRT54" s="1"/>
      <c r="JRU54" s="1"/>
      <c r="JRV54" s="1"/>
      <c r="JRW54" s="1"/>
      <c r="JRX54" s="1"/>
      <c r="JRY54" s="1"/>
      <c r="JRZ54" s="1"/>
      <c r="JSA54" s="1"/>
      <c r="JSB54" s="1"/>
      <c r="JSC54" s="1"/>
      <c r="JSD54" s="1"/>
      <c r="JSE54" s="1"/>
      <c r="JSF54" s="1"/>
      <c r="JSG54" s="1"/>
      <c r="JSH54" s="1"/>
      <c r="JSI54" s="1"/>
      <c r="JSJ54" s="1"/>
      <c r="JSK54" s="1"/>
      <c r="JSL54" s="1"/>
      <c r="JSM54" s="1"/>
      <c r="JSN54" s="1"/>
      <c r="JSO54" s="1"/>
      <c r="JSP54" s="1"/>
      <c r="JSQ54" s="1"/>
      <c r="JSR54" s="1"/>
      <c r="JSS54" s="1"/>
      <c r="JST54" s="1"/>
      <c r="JSU54" s="1"/>
      <c r="JSV54" s="1"/>
      <c r="JSW54" s="1"/>
      <c r="JSX54" s="1"/>
      <c r="JSY54" s="1"/>
      <c r="JSZ54" s="1"/>
      <c r="JTA54" s="1"/>
      <c r="JTB54" s="1"/>
      <c r="JTC54" s="1"/>
      <c r="JTD54" s="1"/>
      <c r="JTE54" s="1"/>
      <c r="JTF54" s="1"/>
      <c r="JTG54" s="1"/>
      <c r="JTH54" s="1"/>
      <c r="JTI54" s="1"/>
      <c r="JTJ54" s="1"/>
      <c r="JTK54" s="1"/>
      <c r="JTL54" s="1"/>
      <c r="JTM54" s="1"/>
      <c r="JTN54" s="1"/>
      <c r="JTO54" s="1"/>
      <c r="JTP54" s="1"/>
      <c r="JTQ54" s="1"/>
      <c r="JTR54" s="1"/>
      <c r="JTS54" s="1"/>
      <c r="JTT54" s="1"/>
      <c r="JTU54" s="1"/>
      <c r="JTV54" s="1"/>
      <c r="JTW54" s="1"/>
      <c r="JTX54" s="1"/>
      <c r="JTY54" s="1"/>
      <c r="JTZ54" s="1"/>
      <c r="JUA54" s="1"/>
      <c r="JUB54" s="1"/>
      <c r="JUC54" s="1"/>
      <c r="JUD54" s="1"/>
      <c r="JUE54" s="1"/>
      <c r="JUF54" s="1"/>
      <c r="JUG54" s="1"/>
      <c r="JUH54" s="1"/>
      <c r="JUI54" s="1"/>
      <c r="JUJ54" s="1"/>
      <c r="JUK54" s="1"/>
      <c r="JUL54" s="1"/>
      <c r="JUM54" s="1"/>
      <c r="JUN54" s="1"/>
      <c r="JUO54" s="1"/>
      <c r="JUP54" s="1"/>
      <c r="JUQ54" s="1"/>
      <c r="JUR54" s="1"/>
      <c r="JUS54" s="1"/>
      <c r="JUT54" s="1"/>
      <c r="JUU54" s="1"/>
      <c r="JUV54" s="1"/>
      <c r="JUW54" s="1"/>
      <c r="JUX54" s="1"/>
      <c r="JUY54" s="1"/>
      <c r="JUZ54" s="1"/>
      <c r="JVA54" s="1"/>
      <c r="JVB54" s="1"/>
      <c r="JVC54" s="1"/>
      <c r="JVD54" s="1"/>
      <c r="JVE54" s="1"/>
      <c r="JVF54" s="1"/>
      <c r="JVG54" s="1"/>
      <c r="JVH54" s="1"/>
      <c r="JVI54" s="1"/>
      <c r="JVJ54" s="1"/>
      <c r="JVK54" s="1"/>
      <c r="JVL54" s="1"/>
      <c r="JVM54" s="1"/>
      <c r="JVN54" s="1"/>
      <c r="JVO54" s="1"/>
      <c r="JVP54" s="1"/>
      <c r="JVQ54" s="1"/>
      <c r="JVR54" s="1"/>
      <c r="JVS54" s="1"/>
      <c r="JVT54" s="1"/>
      <c r="JVU54" s="1"/>
      <c r="JVV54" s="1"/>
      <c r="JVW54" s="1"/>
      <c r="JVX54" s="1"/>
      <c r="JVY54" s="1"/>
      <c r="JVZ54" s="1"/>
      <c r="JWA54" s="1"/>
      <c r="JWB54" s="1"/>
      <c r="JWC54" s="1"/>
      <c r="JWD54" s="1"/>
      <c r="JWE54" s="1"/>
      <c r="JWF54" s="1"/>
      <c r="JWG54" s="1"/>
      <c r="JWH54" s="1"/>
      <c r="JWI54" s="1"/>
      <c r="JWJ54" s="1"/>
      <c r="JWK54" s="1"/>
      <c r="JWL54" s="1"/>
      <c r="JWM54" s="1"/>
      <c r="JWN54" s="1"/>
      <c r="JWO54" s="1"/>
      <c r="JWP54" s="1"/>
      <c r="JWQ54" s="1"/>
      <c r="JWR54" s="1"/>
      <c r="JWS54" s="1"/>
      <c r="JWT54" s="1"/>
      <c r="JWU54" s="1"/>
      <c r="JWV54" s="1"/>
      <c r="JWW54" s="1"/>
      <c r="JWX54" s="1"/>
      <c r="JWY54" s="1"/>
      <c r="JWZ54" s="1"/>
      <c r="JXA54" s="1"/>
      <c r="JXB54" s="1"/>
      <c r="JXC54" s="1"/>
      <c r="JXD54" s="1"/>
      <c r="JXE54" s="1"/>
      <c r="JXF54" s="1"/>
      <c r="JXG54" s="1"/>
      <c r="JXH54" s="1"/>
      <c r="JXI54" s="1"/>
      <c r="JXJ54" s="1"/>
      <c r="JXK54" s="1"/>
      <c r="JXL54" s="1"/>
      <c r="JXM54" s="1"/>
      <c r="JXN54" s="1"/>
      <c r="JXO54" s="1"/>
      <c r="JXP54" s="1"/>
      <c r="JXQ54" s="1"/>
      <c r="JXR54" s="1"/>
      <c r="JXS54" s="1"/>
      <c r="JXT54" s="1"/>
      <c r="JXU54" s="1"/>
      <c r="JXV54" s="1"/>
      <c r="JXW54" s="1"/>
      <c r="JXX54" s="1"/>
      <c r="JXY54" s="1"/>
      <c r="JXZ54" s="1"/>
      <c r="JYA54" s="1"/>
      <c r="JYB54" s="1"/>
      <c r="JYC54" s="1"/>
      <c r="JYD54" s="1"/>
      <c r="JYE54" s="1"/>
      <c r="JYF54" s="1"/>
      <c r="JYG54" s="1"/>
      <c r="JYH54" s="1"/>
      <c r="JYI54" s="1"/>
      <c r="JYJ54" s="1"/>
      <c r="JYK54" s="1"/>
      <c r="JYL54" s="1"/>
      <c r="JYM54" s="1"/>
      <c r="JYN54" s="1"/>
      <c r="JYO54" s="1"/>
      <c r="JYP54" s="1"/>
      <c r="JYQ54" s="1"/>
      <c r="JYR54" s="1"/>
      <c r="JYS54" s="1"/>
      <c r="JYT54" s="1"/>
      <c r="JYU54" s="1"/>
      <c r="JYV54" s="1"/>
      <c r="JYW54" s="1"/>
      <c r="JYX54" s="1"/>
      <c r="JYY54" s="1"/>
      <c r="JYZ54" s="1"/>
      <c r="JZA54" s="1"/>
      <c r="JZB54" s="1"/>
      <c r="JZC54" s="1"/>
      <c r="JZD54" s="1"/>
      <c r="JZE54" s="1"/>
      <c r="JZF54" s="1"/>
      <c r="JZG54" s="1"/>
      <c r="JZH54" s="1"/>
      <c r="JZI54" s="1"/>
      <c r="JZJ54" s="1"/>
      <c r="JZK54" s="1"/>
      <c r="JZL54" s="1"/>
      <c r="JZM54" s="1"/>
      <c r="JZN54" s="1"/>
      <c r="JZO54" s="1"/>
      <c r="JZP54" s="1"/>
      <c r="JZQ54" s="1"/>
      <c r="JZR54" s="1"/>
      <c r="JZS54" s="1"/>
      <c r="JZT54" s="1"/>
      <c r="JZU54" s="1"/>
      <c r="JZV54" s="1"/>
      <c r="JZW54" s="1"/>
      <c r="JZX54" s="1"/>
      <c r="JZY54" s="1"/>
      <c r="JZZ54" s="1"/>
      <c r="KAA54" s="1"/>
      <c r="KAB54" s="1"/>
      <c r="KAC54" s="1"/>
      <c r="KAD54" s="1"/>
      <c r="KAE54" s="1"/>
      <c r="KAF54" s="1"/>
      <c r="KAG54" s="1"/>
      <c r="KAH54" s="1"/>
      <c r="KAI54" s="1"/>
      <c r="KAJ54" s="1"/>
      <c r="KAK54" s="1"/>
      <c r="KAL54" s="1"/>
      <c r="KAM54" s="1"/>
      <c r="KAN54" s="1"/>
      <c r="KAO54" s="1"/>
      <c r="KAP54" s="1"/>
      <c r="KAQ54" s="1"/>
      <c r="KAR54" s="1"/>
      <c r="KAS54" s="1"/>
      <c r="KAT54" s="1"/>
      <c r="KAU54" s="1"/>
      <c r="KAV54" s="1"/>
      <c r="KAW54" s="1"/>
      <c r="KAX54" s="1"/>
      <c r="KAY54" s="1"/>
      <c r="KAZ54" s="1"/>
      <c r="KBA54" s="1"/>
      <c r="KBB54" s="1"/>
      <c r="KBC54" s="1"/>
      <c r="KBD54" s="1"/>
      <c r="KBE54" s="1"/>
      <c r="KBF54" s="1"/>
      <c r="KBG54" s="1"/>
      <c r="KBH54" s="1"/>
      <c r="KBI54" s="1"/>
      <c r="KBJ54" s="1"/>
      <c r="KBK54" s="1"/>
      <c r="KBL54" s="1"/>
      <c r="KBM54" s="1"/>
      <c r="KBN54" s="1"/>
      <c r="KBO54" s="1"/>
      <c r="KBP54" s="1"/>
      <c r="KBQ54" s="1"/>
      <c r="KBR54" s="1"/>
      <c r="KBS54" s="1"/>
      <c r="KBT54" s="1"/>
      <c r="KBU54" s="1"/>
      <c r="KBV54" s="1"/>
      <c r="KBW54" s="1"/>
      <c r="KBX54" s="1"/>
      <c r="KBY54" s="1"/>
      <c r="KBZ54" s="1"/>
      <c r="KCA54" s="1"/>
      <c r="KCB54" s="1"/>
      <c r="KCC54" s="1"/>
      <c r="KCD54" s="1"/>
      <c r="KCE54" s="1"/>
      <c r="KCF54" s="1"/>
      <c r="KCG54" s="1"/>
      <c r="KCH54" s="1"/>
      <c r="KCI54" s="1"/>
      <c r="KCJ54" s="1"/>
      <c r="KCK54" s="1"/>
      <c r="KCL54" s="1"/>
      <c r="KCM54" s="1"/>
      <c r="KCN54" s="1"/>
      <c r="KCO54" s="1"/>
      <c r="KCP54" s="1"/>
      <c r="KCQ54" s="1"/>
      <c r="KCR54" s="1"/>
      <c r="KCS54" s="1"/>
      <c r="KCT54" s="1"/>
      <c r="KCU54" s="1"/>
      <c r="KCV54" s="1"/>
      <c r="KCW54" s="1"/>
      <c r="KCX54" s="1"/>
      <c r="KCY54" s="1"/>
      <c r="KCZ54" s="1"/>
      <c r="KDA54" s="1"/>
      <c r="KDB54" s="1"/>
      <c r="KDC54" s="1"/>
      <c r="KDD54" s="1"/>
      <c r="KDE54" s="1"/>
      <c r="KDF54" s="1"/>
      <c r="KDG54" s="1"/>
      <c r="KDH54" s="1"/>
      <c r="KDI54" s="1"/>
      <c r="KDJ54" s="1"/>
      <c r="KDK54" s="1"/>
      <c r="KDL54" s="1"/>
      <c r="KDM54" s="1"/>
      <c r="KDN54" s="1"/>
      <c r="KDO54" s="1"/>
      <c r="KDP54" s="1"/>
      <c r="KDQ54" s="1"/>
      <c r="KDR54" s="1"/>
      <c r="KDS54" s="1"/>
      <c r="KDT54" s="1"/>
      <c r="KDU54" s="1"/>
      <c r="KDV54" s="1"/>
      <c r="KDW54" s="1"/>
      <c r="KDX54" s="1"/>
      <c r="KDY54" s="1"/>
      <c r="KDZ54" s="1"/>
      <c r="KEA54" s="1"/>
      <c r="KEB54" s="1"/>
      <c r="KEC54" s="1"/>
      <c r="KED54" s="1"/>
      <c r="KEE54" s="1"/>
      <c r="KEF54" s="1"/>
      <c r="KEG54" s="1"/>
      <c r="KEH54" s="1"/>
      <c r="KEI54" s="1"/>
      <c r="KEJ54" s="1"/>
      <c r="KEK54" s="1"/>
      <c r="KEL54" s="1"/>
      <c r="KEM54" s="1"/>
      <c r="KEN54" s="1"/>
      <c r="KEO54" s="1"/>
      <c r="KEP54" s="1"/>
      <c r="KEQ54" s="1"/>
      <c r="KER54" s="1"/>
      <c r="KES54" s="1"/>
      <c r="KET54" s="1"/>
      <c r="KEU54" s="1"/>
      <c r="KEV54" s="1"/>
      <c r="KEW54" s="1"/>
      <c r="KEX54" s="1"/>
      <c r="KEY54" s="1"/>
      <c r="KEZ54" s="1"/>
      <c r="KFA54" s="1"/>
      <c r="KFB54" s="1"/>
      <c r="KFC54" s="1"/>
      <c r="KFD54" s="1"/>
      <c r="KFE54" s="1"/>
      <c r="KFF54" s="1"/>
      <c r="KFG54" s="1"/>
      <c r="KFH54" s="1"/>
      <c r="KFI54" s="1"/>
      <c r="KFJ54" s="1"/>
      <c r="KFK54" s="1"/>
      <c r="KFL54" s="1"/>
      <c r="KFM54" s="1"/>
      <c r="KFN54" s="1"/>
      <c r="KFO54" s="1"/>
      <c r="KFP54" s="1"/>
      <c r="KFQ54" s="1"/>
      <c r="KFR54" s="1"/>
      <c r="KFS54" s="1"/>
      <c r="KFT54" s="1"/>
      <c r="KFU54" s="1"/>
      <c r="KFV54" s="1"/>
      <c r="KFW54" s="1"/>
      <c r="KFX54" s="1"/>
      <c r="KFY54" s="1"/>
      <c r="KFZ54" s="1"/>
      <c r="KGA54" s="1"/>
      <c r="KGB54" s="1"/>
      <c r="KGC54" s="1"/>
      <c r="KGD54" s="1"/>
      <c r="KGE54" s="1"/>
      <c r="KGF54" s="1"/>
      <c r="KGG54" s="1"/>
      <c r="KGH54" s="1"/>
      <c r="KGI54" s="1"/>
      <c r="KGJ54" s="1"/>
      <c r="KGK54" s="1"/>
      <c r="KGL54" s="1"/>
      <c r="KGM54" s="1"/>
      <c r="KGN54" s="1"/>
      <c r="KGO54" s="1"/>
      <c r="KGP54" s="1"/>
      <c r="KGQ54" s="1"/>
      <c r="KGR54" s="1"/>
      <c r="KGS54" s="1"/>
      <c r="KGT54" s="1"/>
      <c r="KGU54" s="1"/>
      <c r="KGV54" s="1"/>
      <c r="KGW54" s="1"/>
      <c r="KGX54" s="1"/>
      <c r="KGY54" s="1"/>
      <c r="KGZ54" s="1"/>
      <c r="KHA54" s="1"/>
      <c r="KHB54" s="1"/>
      <c r="KHC54" s="1"/>
      <c r="KHD54" s="1"/>
      <c r="KHE54" s="1"/>
      <c r="KHF54" s="1"/>
      <c r="KHG54" s="1"/>
      <c r="KHH54" s="1"/>
      <c r="KHI54" s="1"/>
      <c r="KHJ54" s="1"/>
      <c r="KHK54" s="1"/>
      <c r="KHL54" s="1"/>
      <c r="KHM54" s="1"/>
      <c r="KHN54" s="1"/>
      <c r="KHO54" s="1"/>
      <c r="KHP54" s="1"/>
      <c r="KHQ54" s="1"/>
      <c r="KHR54" s="1"/>
      <c r="KHS54" s="1"/>
      <c r="KHT54" s="1"/>
      <c r="KHU54" s="1"/>
      <c r="KHV54" s="1"/>
      <c r="KHW54" s="1"/>
      <c r="KHX54" s="1"/>
      <c r="KHY54" s="1"/>
      <c r="KHZ54" s="1"/>
      <c r="KIA54" s="1"/>
      <c r="KIB54" s="1"/>
      <c r="KIC54" s="1"/>
      <c r="KID54" s="1"/>
      <c r="KIE54" s="1"/>
      <c r="KIF54" s="1"/>
      <c r="KIG54" s="1"/>
      <c r="KIH54" s="1"/>
      <c r="KII54" s="1"/>
      <c r="KIJ54" s="1"/>
      <c r="KIK54" s="1"/>
      <c r="KIL54" s="1"/>
      <c r="KIM54" s="1"/>
      <c r="KIN54" s="1"/>
      <c r="KIO54" s="1"/>
      <c r="KIP54" s="1"/>
      <c r="KIQ54" s="1"/>
      <c r="KIR54" s="1"/>
      <c r="KIS54" s="1"/>
      <c r="KIT54" s="1"/>
      <c r="KIU54" s="1"/>
      <c r="KIV54" s="1"/>
      <c r="KIW54" s="1"/>
      <c r="KIX54" s="1"/>
      <c r="KIY54" s="1"/>
      <c r="KIZ54" s="1"/>
      <c r="KJA54" s="1"/>
      <c r="KJB54" s="1"/>
      <c r="KJC54" s="1"/>
      <c r="KJD54" s="1"/>
      <c r="KJE54" s="1"/>
      <c r="KJF54" s="1"/>
      <c r="KJG54" s="1"/>
      <c r="KJH54" s="1"/>
      <c r="KJI54" s="1"/>
      <c r="KJJ54" s="1"/>
      <c r="KJK54" s="1"/>
      <c r="KJL54" s="1"/>
      <c r="KJM54" s="1"/>
      <c r="KJN54" s="1"/>
      <c r="KJO54" s="1"/>
      <c r="KJP54" s="1"/>
      <c r="KJQ54" s="1"/>
      <c r="KJR54" s="1"/>
      <c r="KJS54" s="1"/>
      <c r="KJT54" s="1"/>
      <c r="KJU54" s="1"/>
      <c r="KJV54" s="1"/>
      <c r="KJW54" s="1"/>
      <c r="KJX54" s="1"/>
      <c r="KJY54" s="1"/>
      <c r="KJZ54" s="1"/>
      <c r="KKA54" s="1"/>
      <c r="KKB54" s="1"/>
      <c r="KKC54" s="1"/>
      <c r="KKD54" s="1"/>
      <c r="KKE54" s="1"/>
      <c r="KKF54" s="1"/>
      <c r="KKG54" s="1"/>
      <c r="KKH54" s="1"/>
      <c r="KKI54" s="1"/>
      <c r="KKJ54" s="1"/>
      <c r="KKK54" s="1"/>
      <c r="KKL54" s="1"/>
      <c r="KKM54" s="1"/>
      <c r="KKN54" s="1"/>
      <c r="KKO54" s="1"/>
      <c r="KKP54" s="1"/>
      <c r="KKQ54" s="1"/>
      <c r="KKR54" s="1"/>
      <c r="KKS54" s="1"/>
      <c r="KKT54" s="1"/>
      <c r="KKU54" s="1"/>
      <c r="KKV54" s="1"/>
      <c r="KKW54" s="1"/>
      <c r="KKX54" s="1"/>
      <c r="KKY54" s="1"/>
      <c r="KKZ54" s="1"/>
      <c r="KLA54" s="1"/>
      <c r="KLB54" s="1"/>
      <c r="KLC54" s="1"/>
      <c r="KLD54" s="1"/>
      <c r="KLE54" s="1"/>
      <c r="KLF54" s="1"/>
      <c r="KLG54" s="1"/>
      <c r="KLH54" s="1"/>
      <c r="KLI54" s="1"/>
      <c r="KLJ54" s="1"/>
      <c r="KLK54" s="1"/>
      <c r="KLL54" s="1"/>
      <c r="KLM54" s="1"/>
      <c r="KLN54" s="1"/>
      <c r="KLO54" s="1"/>
      <c r="KLP54" s="1"/>
      <c r="KLQ54" s="1"/>
      <c r="KLR54" s="1"/>
      <c r="KLS54" s="1"/>
      <c r="KLT54" s="1"/>
      <c r="KLU54" s="1"/>
      <c r="KLV54" s="1"/>
      <c r="KLW54" s="1"/>
      <c r="KLX54" s="1"/>
      <c r="KLY54" s="1"/>
      <c r="KLZ54" s="1"/>
      <c r="KMA54" s="1"/>
      <c r="KMB54" s="1"/>
      <c r="KMC54" s="1"/>
      <c r="KMD54" s="1"/>
      <c r="KME54" s="1"/>
      <c r="KMF54" s="1"/>
      <c r="KMG54" s="1"/>
      <c r="KMH54" s="1"/>
      <c r="KMI54" s="1"/>
      <c r="KMJ54" s="1"/>
      <c r="KMK54" s="1"/>
      <c r="KML54" s="1"/>
      <c r="KMM54" s="1"/>
      <c r="KMN54" s="1"/>
      <c r="KMO54" s="1"/>
      <c r="KMP54" s="1"/>
      <c r="KMQ54" s="1"/>
      <c r="KMR54" s="1"/>
      <c r="KMS54" s="1"/>
      <c r="KMT54" s="1"/>
      <c r="KMU54" s="1"/>
      <c r="KMV54" s="1"/>
      <c r="KMW54" s="1"/>
      <c r="KMX54" s="1"/>
      <c r="KMY54" s="1"/>
      <c r="KMZ54" s="1"/>
      <c r="KNA54" s="1"/>
      <c r="KNB54" s="1"/>
      <c r="KNC54" s="1"/>
      <c r="KND54" s="1"/>
      <c r="KNE54" s="1"/>
      <c r="KNF54" s="1"/>
      <c r="KNG54" s="1"/>
      <c r="KNH54" s="1"/>
      <c r="KNI54" s="1"/>
      <c r="KNJ54" s="1"/>
      <c r="KNK54" s="1"/>
      <c r="KNL54" s="1"/>
      <c r="KNM54" s="1"/>
      <c r="KNN54" s="1"/>
      <c r="KNO54" s="1"/>
      <c r="KNP54" s="1"/>
      <c r="KNQ54" s="1"/>
      <c r="KNR54" s="1"/>
      <c r="KNS54" s="1"/>
      <c r="KNT54" s="1"/>
      <c r="KNU54" s="1"/>
      <c r="KNV54" s="1"/>
      <c r="KNW54" s="1"/>
      <c r="KNX54" s="1"/>
      <c r="KNY54" s="1"/>
      <c r="KNZ54" s="1"/>
      <c r="KOA54" s="1"/>
      <c r="KOB54" s="1"/>
      <c r="KOC54" s="1"/>
      <c r="KOD54" s="1"/>
      <c r="KOE54" s="1"/>
      <c r="KOF54" s="1"/>
      <c r="KOG54" s="1"/>
      <c r="KOH54" s="1"/>
      <c r="KOI54" s="1"/>
      <c r="KOJ54" s="1"/>
      <c r="KOK54" s="1"/>
      <c r="KOL54" s="1"/>
      <c r="KOM54" s="1"/>
      <c r="KON54" s="1"/>
      <c r="KOO54" s="1"/>
      <c r="KOP54" s="1"/>
      <c r="KOQ54" s="1"/>
      <c r="KOR54" s="1"/>
      <c r="KOS54" s="1"/>
      <c r="KOT54" s="1"/>
      <c r="KOU54" s="1"/>
      <c r="KOV54" s="1"/>
      <c r="KOW54" s="1"/>
      <c r="KOX54" s="1"/>
      <c r="KOY54" s="1"/>
      <c r="KOZ54" s="1"/>
      <c r="KPA54" s="1"/>
      <c r="KPB54" s="1"/>
      <c r="KPC54" s="1"/>
      <c r="KPD54" s="1"/>
      <c r="KPE54" s="1"/>
      <c r="KPF54" s="1"/>
      <c r="KPG54" s="1"/>
      <c r="KPH54" s="1"/>
      <c r="KPI54" s="1"/>
      <c r="KPJ54" s="1"/>
      <c r="KPK54" s="1"/>
      <c r="KPL54" s="1"/>
      <c r="KPM54" s="1"/>
      <c r="KPN54" s="1"/>
      <c r="KPO54" s="1"/>
      <c r="KPP54" s="1"/>
      <c r="KPQ54" s="1"/>
      <c r="KPR54" s="1"/>
      <c r="KPS54" s="1"/>
      <c r="KPT54" s="1"/>
      <c r="KPU54" s="1"/>
      <c r="KPV54" s="1"/>
      <c r="KPW54" s="1"/>
      <c r="KPX54" s="1"/>
      <c r="KPY54" s="1"/>
      <c r="KPZ54" s="1"/>
      <c r="KQA54" s="1"/>
      <c r="KQB54" s="1"/>
      <c r="KQC54" s="1"/>
      <c r="KQD54" s="1"/>
      <c r="KQE54" s="1"/>
      <c r="KQF54" s="1"/>
      <c r="KQG54" s="1"/>
      <c r="KQH54" s="1"/>
      <c r="KQI54" s="1"/>
      <c r="KQJ54" s="1"/>
      <c r="KQK54" s="1"/>
      <c r="KQL54" s="1"/>
      <c r="KQM54" s="1"/>
      <c r="KQN54" s="1"/>
      <c r="KQO54" s="1"/>
      <c r="KQP54" s="1"/>
      <c r="KQQ54" s="1"/>
      <c r="KQR54" s="1"/>
      <c r="KQS54" s="1"/>
      <c r="KQT54" s="1"/>
      <c r="KQU54" s="1"/>
      <c r="KQV54" s="1"/>
      <c r="KQW54" s="1"/>
      <c r="KQX54" s="1"/>
      <c r="KQY54" s="1"/>
      <c r="KQZ54" s="1"/>
      <c r="KRA54" s="1"/>
      <c r="KRB54" s="1"/>
      <c r="KRC54" s="1"/>
      <c r="KRD54" s="1"/>
      <c r="KRE54" s="1"/>
      <c r="KRF54" s="1"/>
      <c r="KRG54" s="1"/>
      <c r="KRH54" s="1"/>
      <c r="KRI54" s="1"/>
      <c r="KRJ54" s="1"/>
      <c r="KRK54" s="1"/>
      <c r="KRL54" s="1"/>
      <c r="KRM54" s="1"/>
      <c r="KRN54" s="1"/>
      <c r="KRO54" s="1"/>
      <c r="KRP54" s="1"/>
      <c r="KRQ54" s="1"/>
      <c r="KRR54" s="1"/>
      <c r="KRS54" s="1"/>
      <c r="KRT54" s="1"/>
      <c r="KRU54" s="1"/>
      <c r="KRV54" s="1"/>
      <c r="KRW54" s="1"/>
      <c r="KRX54" s="1"/>
      <c r="KRY54" s="1"/>
      <c r="KRZ54" s="1"/>
      <c r="KSA54" s="1"/>
      <c r="KSB54" s="1"/>
      <c r="KSC54" s="1"/>
      <c r="KSD54" s="1"/>
      <c r="KSE54" s="1"/>
      <c r="KSF54" s="1"/>
      <c r="KSG54" s="1"/>
      <c r="KSH54" s="1"/>
      <c r="KSI54" s="1"/>
      <c r="KSJ54" s="1"/>
      <c r="KSK54" s="1"/>
      <c r="KSL54" s="1"/>
      <c r="KSM54" s="1"/>
      <c r="KSN54" s="1"/>
      <c r="KSO54" s="1"/>
      <c r="KSP54" s="1"/>
      <c r="KSQ54" s="1"/>
      <c r="KSR54" s="1"/>
      <c r="KSS54" s="1"/>
      <c r="KST54" s="1"/>
      <c r="KSU54" s="1"/>
      <c r="KSV54" s="1"/>
      <c r="KSW54" s="1"/>
      <c r="KSX54" s="1"/>
      <c r="KSY54" s="1"/>
      <c r="KSZ54" s="1"/>
      <c r="KTA54" s="1"/>
      <c r="KTB54" s="1"/>
      <c r="KTC54" s="1"/>
      <c r="KTD54" s="1"/>
      <c r="KTE54" s="1"/>
      <c r="KTF54" s="1"/>
      <c r="KTG54" s="1"/>
      <c r="KTH54" s="1"/>
      <c r="KTI54" s="1"/>
      <c r="KTJ54" s="1"/>
      <c r="KTK54" s="1"/>
      <c r="KTL54" s="1"/>
      <c r="KTM54" s="1"/>
      <c r="KTN54" s="1"/>
      <c r="KTO54" s="1"/>
      <c r="KTP54" s="1"/>
      <c r="KTQ54" s="1"/>
      <c r="KTR54" s="1"/>
      <c r="KTS54" s="1"/>
      <c r="KTT54" s="1"/>
      <c r="KTU54" s="1"/>
      <c r="KTV54" s="1"/>
      <c r="KTW54" s="1"/>
      <c r="KTX54" s="1"/>
      <c r="KTY54" s="1"/>
      <c r="KTZ54" s="1"/>
      <c r="KUA54" s="1"/>
      <c r="KUB54" s="1"/>
      <c r="KUC54" s="1"/>
      <c r="KUD54" s="1"/>
      <c r="KUE54" s="1"/>
      <c r="KUF54" s="1"/>
      <c r="KUG54" s="1"/>
      <c r="KUH54" s="1"/>
      <c r="KUI54" s="1"/>
      <c r="KUJ54" s="1"/>
      <c r="KUK54" s="1"/>
      <c r="KUL54" s="1"/>
      <c r="KUM54" s="1"/>
      <c r="KUN54" s="1"/>
      <c r="KUO54" s="1"/>
      <c r="KUP54" s="1"/>
      <c r="KUQ54" s="1"/>
      <c r="KUR54" s="1"/>
      <c r="KUS54" s="1"/>
      <c r="KUT54" s="1"/>
      <c r="KUU54" s="1"/>
      <c r="KUV54" s="1"/>
      <c r="KUW54" s="1"/>
      <c r="KUX54" s="1"/>
      <c r="KUY54" s="1"/>
      <c r="KUZ54" s="1"/>
      <c r="KVA54" s="1"/>
      <c r="KVB54" s="1"/>
      <c r="KVC54" s="1"/>
      <c r="KVD54" s="1"/>
      <c r="KVE54" s="1"/>
      <c r="KVF54" s="1"/>
      <c r="KVG54" s="1"/>
      <c r="KVH54" s="1"/>
      <c r="KVI54" s="1"/>
      <c r="KVJ54" s="1"/>
      <c r="KVK54" s="1"/>
      <c r="KVL54" s="1"/>
      <c r="KVM54" s="1"/>
      <c r="KVN54" s="1"/>
      <c r="KVO54" s="1"/>
      <c r="KVP54" s="1"/>
      <c r="KVQ54" s="1"/>
      <c r="KVR54" s="1"/>
      <c r="KVS54" s="1"/>
      <c r="KVT54" s="1"/>
      <c r="KVU54" s="1"/>
      <c r="KVV54" s="1"/>
      <c r="KVW54" s="1"/>
      <c r="KVX54" s="1"/>
      <c r="KVY54" s="1"/>
      <c r="KVZ54" s="1"/>
      <c r="KWA54" s="1"/>
      <c r="KWB54" s="1"/>
      <c r="KWC54" s="1"/>
      <c r="KWD54" s="1"/>
      <c r="KWE54" s="1"/>
      <c r="KWF54" s="1"/>
      <c r="KWG54" s="1"/>
      <c r="KWH54" s="1"/>
      <c r="KWI54" s="1"/>
      <c r="KWJ54" s="1"/>
      <c r="KWK54" s="1"/>
      <c r="KWL54" s="1"/>
      <c r="KWM54" s="1"/>
      <c r="KWN54" s="1"/>
      <c r="KWO54" s="1"/>
      <c r="KWP54" s="1"/>
      <c r="KWQ54" s="1"/>
      <c r="KWR54" s="1"/>
      <c r="KWS54" s="1"/>
      <c r="KWT54" s="1"/>
      <c r="KWU54" s="1"/>
      <c r="KWV54" s="1"/>
      <c r="KWW54" s="1"/>
      <c r="KWX54" s="1"/>
      <c r="KWY54" s="1"/>
      <c r="KWZ54" s="1"/>
      <c r="KXA54" s="1"/>
      <c r="KXB54" s="1"/>
      <c r="KXC54" s="1"/>
      <c r="KXD54" s="1"/>
      <c r="KXE54" s="1"/>
      <c r="KXF54" s="1"/>
      <c r="KXG54" s="1"/>
      <c r="KXH54" s="1"/>
      <c r="KXI54" s="1"/>
      <c r="KXJ54" s="1"/>
      <c r="KXK54" s="1"/>
      <c r="KXL54" s="1"/>
      <c r="KXM54" s="1"/>
      <c r="KXN54" s="1"/>
      <c r="KXO54" s="1"/>
      <c r="KXP54" s="1"/>
      <c r="KXQ54" s="1"/>
      <c r="KXR54" s="1"/>
      <c r="KXS54" s="1"/>
      <c r="KXT54" s="1"/>
      <c r="KXU54" s="1"/>
      <c r="KXV54" s="1"/>
      <c r="KXW54" s="1"/>
      <c r="KXX54" s="1"/>
      <c r="KXY54" s="1"/>
      <c r="KXZ54" s="1"/>
      <c r="KYA54" s="1"/>
      <c r="KYB54" s="1"/>
      <c r="KYC54" s="1"/>
      <c r="KYD54" s="1"/>
      <c r="KYE54" s="1"/>
      <c r="KYF54" s="1"/>
      <c r="KYG54" s="1"/>
      <c r="KYH54" s="1"/>
      <c r="KYI54" s="1"/>
      <c r="KYJ54" s="1"/>
      <c r="KYK54" s="1"/>
      <c r="KYL54" s="1"/>
      <c r="KYM54" s="1"/>
      <c r="KYN54" s="1"/>
      <c r="KYO54" s="1"/>
      <c r="KYP54" s="1"/>
      <c r="KYQ54" s="1"/>
      <c r="KYR54" s="1"/>
      <c r="KYS54" s="1"/>
      <c r="KYT54" s="1"/>
      <c r="KYU54" s="1"/>
      <c r="KYV54" s="1"/>
      <c r="KYW54" s="1"/>
      <c r="KYX54" s="1"/>
      <c r="KYY54" s="1"/>
      <c r="KYZ54" s="1"/>
      <c r="KZA54" s="1"/>
      <c r="KZB54" s="1"/>
      <c r="KZC54" s="1"/>
      <c r="KZD54" s="1"/>
      <c r="KZE54" s="1"/>
      <c r="KZF54" s="1"/>
      <c r="KZG54" s="1"/>
      <c r="KZH54" s="1"/>
      <c r="KZI54" s="1"/>
      <c r="KZJ54" s="1"/>
      <c r="KZK54" s="1"/>
      <c r="KZL54" s="1"/>
      <c r="KZM54" s="1"/>
      <c r="KZN54" s="1"/>
      <c r="KZO54" s="1"/>
      <c r="KZP54" s="1"/>
      <c r="KZQ54" s="1"/>
      <c r="KZR54" s="1"/>
      <c r="KZS54" s="1"/>
      <c r="KZT54" s="1"/>
      <c r="KZU54" s="1"/>
      <c r="KZV54" s="1"/>
      <c r="KZW54" s="1"/>
      <c r="KZX54" s="1"/>
      <c r="KZY54" s="1"/>
      <c r="KZZ54" s="1"/>
      <c r="LAA54" s="1"/>
      <c r="LAB54" s="1"/>
      <c r="LAC54" s="1"/>
      <c r="LAD54" s="1"/>
      <c r="LAE54" s="1"/>
      <c r="LAF54" s="1"/>
      <c r="LAG54" s="1"/>
      <c r="LAH54" s="1"/>
      <c r="LAI54" s="1"/>
      <c r="LAJ54" s="1"/>
      <c r="LAK54" s="1"/>
      <c r="LAL54" s="1"/>
      <c r="LAM54" s="1"/>
      <c r="LAN54" s="1"/>
      <c r="LAO54" s="1"/>
      <c r="LAP54" s="1"/>
      <c r="LAQ54" s="1"/>
      <c r="LAR54" s="1"/>
      <c r="LAS54" s="1"/>
      <c r="LAT54" s="1"/>
      <c r="LAU54" s="1"/>
      <c r="LAV54" s="1"/>
      <c r="LAW54" s="1"/>
      <c r="LAX54" s="1"/>
      <c r="LAY54" s="1"/>
      <c r="LAZ54" s="1"/>
      <c r="LBA54" s="1"/>
      <c r="LBB54" s="1"/>
      <c r="LBC54" s="1"/>
      <c r="LBD54" s="1"/>
      <c r="LBE54" s="1"/>
      <c r="LBF54" s="1"/>
      <c r="LBG54" s="1"/>
      <c r="LBH54" s="1"/>
      <c r="LBI54" s="1"/>
      <c r="LBJ54" s="1"/>
      <c r="LBK54" s="1"/>
      <c r="LBL54" s="1"/>
      <c r="LBM54" s="1"/>
      <c r="LBN54" s="1"/>
      <c r="LBO54" s="1"/>
      <c r="LBP54" s="1"/>
      <c r="LBQ54" s="1"/>
      <c r="LBR54" s="1"/>
      <c r="LBS54" s="1"/>
      <c r="LBT54" s="1"/>
      <c r="LBU54" s="1"/>
      <c r="LBV54" s="1"/>
      <c r="LBW54" s="1"/>
      <c r="LBX54" s="1"/>
      <c r="LBY54" s="1"/>
      <c r="LBZ54" s="1"/>
      <c r="LCA54" s="1"/>
      <c r="LCB54" s="1"/>
      <c r="LCC54" s="1"/>
      <c r="LCD54" s="1"/>
      <c r="LCE54" s="1"/>
      <c r="LCF54" s="1"/>
      <c r="LCG54" s="1"/>
      <c r="LCH54" s="1"/>
      <c r="LCI54" s="1"/>
      <c r="LCJ54" s="1"/>
      <c r="LCK54" s="1"/>
      <c r="LCL54" s="1"/>
      <c r="LCM54" s="1"/>
      <c r="LCN54" s="1"/>
      <c r="LCO54" s="1"/>
      <c r="LCP54" s="1"/>
      <c r="LCQ54" s="1"/>
      <c r="LCR54" s="1"/>
      <c r="LCS54" s="1"/>
      <c r="LCT54" s="1"/>
      <c r="LCU54" s="1"/>
      <c r="LCV54" s="1"/>
      <c r="LCW54" s="1"/>
      <c r="LCX54" s="1"/>
      <c r="LCY54" s="1"/>
      <c r="LCZ54" s="1"/>
      <c r="LDA54" s="1"/>
      <c r="LDB54" s="1"/>
      <c r="LDC54" s="1"/>
      <c r="LDD54" s="1"/>
      <c r="LDE54" s="1"/>
      <c r="LDF54" s="1"/>
      <c r="LDG54" s="1"/>
      <c r="LDH54" s="1"/>
      <c r="LDI54" s="1"/>
      <c r="LDJ54" s="1"/>
      <c r="LDK54" s="1"/>
      <c r="LDL54" s="1"/>
      <c r="LDM54" s="1"/>
      <c r="LDN54" s="1"/>
      <c r="LDO54" s="1"/>
      <c r="LDP54" s="1"/>
      <c r="LDQ54" s="1"/>
      <c r="LDR54" s="1"/>
      <c r="LDS54" s="1"/>
      <c r="LDT54" s="1"/>
      <c r="LDU54" s="1"/>
      <c r="LDV54" s="1"/>
      <c r="LDW54" s="1"/>
      <c r="LDX54" s="1"/>
      <c r="LDY54" s="1"/>
      <c r="LDZ54" s="1"/>
      <c r="LEA54" s="1"/>
      <c r="LEB54" s="1"/>
      <c r="LEC54" s="1"/>
      <c r="LED54" s="1"/>
      <c r="LEE54" s="1"/>
      <c r="LEF54" s="1"/>
      <c r="LEG54" s="1"/>
      <c r="LEH54" s="1"/>
      <c r="LEI54" s="1"/>
      <c r="LEJ54" s="1"/>
      <c r="LEK54" s="1"/>
      <c r="LEL54" s="1"/>
      <c r="LEM54" s="1"/>
      <c r="LEN54" s="1"/>
      <c r="LEO54" s="1"/>
      <c r="LEP54" s="1"/>
      <c r="LEQ54" s="1"/>
      <c r="LER54" s="1"/>
      <c r="LES54" s="1"/>
      <c r="LET54" s="1"/>
      <c r="LEU54" s="1"/>
      <c r="LEV54" s="1"/>
      <c r="LEW54" s="1"/>
      <c r="LEX54" s="1"/>
      <c r="LEY54" s="1"/>
      <c r="LEZ54" s="1"/>
      <c r="LFA54" s="1"/>
      <c r="LFB54" s="1"/>
      <c r="LFC54" s="1"/>
      <c r="LFD54" s="1"/>
      <c r="LFE54" s="1"/>
      <c r="LFF54" s="1"/>
      <c r="LFG54" s="1"/>
      <c r="LFH54" s="1"/>
      <c r="LFI54" s="1"/>
      <c r="LFJ54" s="1"/>
      <c r="LFK54" s="1"/>
      <c r="LFL54" s="1"/>
      <c r="LFM54" s="1"/>
      <c r="LFN54" s="1"/>
      <c r="LFO54" s="1"/>
      <c r="LFP54" s="1"/>
      <c r="LFQ54" s="1"/>
      <c r="LFR54" s="1"/>
      <c r="LFS54" s="1"/>
      <c r="LFT54" s="1"/>
      <c r="LFU54" s="1"/>
      <c r="LFV54" s="1"/>
      <c r="LFW54" s="1"/>
      <c r="LFX54" s="1"/>
      <c r="LFY54" s="1"/>
      <c r="LFZ54" s="1"/>
      <c r="LGA54" s="1"/>
      <c r="LGB54" s="1"/>
      <c r="LGC54" s="1"/>
      <c r="LGD54" s="1"/>
      <c r="LGE54" s="1"/>
      <c r="LGF54" s="1"/>
      <c r="LGG54" s="1"/>
      <c r="LGH54" s="1"/>
      <c r="LGI54" s="1"/>
      <c r="LGJ54" s="1"/>
      <c r="LGK54" s="1"/>
      <c r="LGL54" s="1"/>
      <c r="LGM54" s="1"/>
      <c r="LGN54" s="1"/>
      <c r="LGO54" s="1"/>
      <c r="LGP54" s="1"/>
      <c r="LGQ54" s="1"/>
      <c r="LGR54" s="1"/>
      <c r="LGS54" s="1"/>
      <c r="LGT54" s="1"/>
      <c r="LGU54" s="1"/>
      <c r="LGV54" s="1"/>
      <c r="LGW54" s="1"/>
      <c r="LGX54" s="1"/>
      <c r="LGY54" s="1"/>
      <c r="LGZ54" s="1"/>
      <c r="LHA54" s="1"/>
      <c r="LHB54" s="1"/>
      <c r="LHC54" s="1"/>
      <c r="LHD54" s="1"/>
      <c r="LHE54" s="1"/>
      <c r="LHF54" s="1"/>
      <c r="LHG54" s="1"/>
      <c r="LHH54" s="1"/>
      <c r="LHI54" s="1"/>
      <c r="LHJ54" s="1"/>
      <c r="LHK54" s="1"/>
      <c r="LHL54" s="1"/>
      <c r="LHM54" s="1"/>
      <c r="LHN54" s="1"/>
      <c r="LHO54" s="1"/>
      <c r="LHP54" s="1"/>
      <c r="LHQ54" s="1"/>
      <c r="LHR54" s="1"/>
      <c r="LHS54" s="1"/>
      <c r="LHT54" s="1"/>
      <c r="LHU54" s="1"/>
      <c r="LHV54" s="1"/>
      <c r="LHW54" s="1"/>
      <c r="LHX54" s="1"/>
      <c r="LHY54" s="1"/>
      <c r="LHZ54" s="1"/>
      <c r="LIA54" s="1"/>
      <c r="LIB54" s="1"/>
      <c r="LIC54" s="1"/>
      <c r="LID54" s="1"/>
      <c r="LIE54" s="1"/>
      <c r="LIF54" s="1"/>
      <c r="LIG54" s="1"/>
      <c r="LIH54" s="1"/>
      <c r="LII54" s="1"/>
      <c r="LIJ54" s="1"/>
      <c r="LIK54" s="1"/>
      <c r="LIL54" s="1"/>
      <c r="LIM54" s="1"/>
      <c r="LIN54" s="1"/>
      <c r="LIO54" s="1"/>
      <c r="LIP54" s="1"/>
      <c r="LIQ54" s="1"/>
      <c r="LIR54" s="1"/>
      <c r="LIS54" s="1"/>
      <c r="LIT54" s="1"/>
      <c r="LIU54" s="1"/>
      <c r="LIV54" s="1"/>
      <c r="LIW54" s="1"/>
      <c r="LIX54" s="1"/>
      <c r="LIY54" s="1"/>
      <c r="LIZ54" s="1"/>
      <c r="LJA54" s="1"/>
      <c r="LJB54" s="1"/>
      <c r="LJC54" s="1"/>
      <c r="LJD54" s="1"/>
      <c r="LJE54" s="1"/>
      <c r="LJF54" s="1"/>
      <c r="LJG54" s="1"/>
      <c r="LJH54" s="1"/>
      <c r="LJI54" s="1"/>
      <c r="LJJ54" s="1"/>
      <c r="LJK54" s="1"/>
      <c r="LJL54" s="1"/>
      <c r="LJM54" s="1"/>
      <c r="LJN54" s="1"/>
      <c r="LJO54" s="1"/>
      <c r="LJP54" s="1"/>
      <c r="LJQ54" s="1"/>
      <c r="LJR54" s="1"/>
      <c r="LJS54" s="1"/>
      <c r="LJT54" s="1"/>
      <c r="LJU54" s="1"/>
      <c r="LJV54" s="1"/>
      <c r="LJW54" s="1"/>
      <c r="LJX54" s="1"/>
      <c r="LJY54" s="1"/>
      <c r="LJZ54" s="1"/>
      <c r="LKA54" s="1"/>
      <c r="LKB54" s="1"/>
      <c r="LKC54" s="1"/>
      <c r="LKD54" s="1"/>
      <c r="LKE54" s="1"/>
      <c r="LKF54" s="1"/>
      <c r="LKG54" s="1"/>
      <c r="LKH54" s="1"/>
      <c r="LKI54" s="1"/>
      <c r="LKJ54" s="1"/>
      <c r="LKK54" s="1"/>
      <c r="LKL54" s="1"/>
      <c r="LKM54" s="1"/>
      <c r="LKN54" s="1"/>
      <c r="LKO54" s="1"/>
      <c r="LKP54" s="1"/>
      <c r="LKQ54" s="1"/>
      <c r="LKR54" s="1"/>
      <c r="LKS54" s="1"/>
      <c r="LKT54" s="1"/>
      <c r="LKU54" s="1"/>
      <c r="LKV54" s="1"/>
      <c r="LKW54" s="1"/>
      <c r="LKX54" s="1"/>
      <c r="LKY54" s="1"/>
      <c r="LKZ54" s="1"/>
      <c r="LLA54" s="1"/>
      <c r="LLB54" s="1"/>
      <c r="LLC54" s="1"/>
      <c r="LLD54" s="1"/>
      <c r="LLE54" s="1"/>
      <c r="LLF54" s="1"/>
      <c r="LLG54" s="1"/>
      <c r="LLH54" s="1"/>
      <c r="LLI54" s="1"/>
      <c r="LLJ54" s="1"/>
      <c r="LLK54" s="1"/>
      <c r="LLL54" s="1"/>
      <c r="LLM54" s="1"/>
      <c r="LLN54" s="1"/>
      <c r="LLO54" s="1"/>
      <c r="LLP54" s="1"/>
      <c r="LLQ54" s="1"/>
      <c r="LLR54" s="1"/>
      <c r="LLS54" s="1"/>
      <c r="LLT54" s="1"/>
      <c r="LLU54" s="1"/>
      <c r="LLV54" s="1"/>
      <c r="LLW54" s="1"/>
      <c r="LLX54" s="1"/>
      <c r="LLY54" s="1"/>
      <c r="LLZ54" s="1"/>
      <c r="LMA54" s="1"/>
      <c r="LMB54" s="1"/>
      <c r="LMC54" s="1"/>
      <c r="LMD54" s="1"/>
      <c r="LME54" s="1"/>
      <c r="LMF54" s="1"/>
      <c r="LMG54" s="1"/>
      <c r="LMH54" s="1"/>
      <c r="LMI54" s="1"/>
      <c r="LMJ54" s="1"/>
      <c r="LMK54" s="1"/>
      <c r="LML54" s="1"/>
      <c r="LMM54" s="1"/>
      <c r="LMN54" s="1"/>
      <c r="LMO54" s="1"/>
      <c r="LMP54" s="1"/>
      <c r="LMQ54" s="1"/>
      <c r="LMR54" s="1"/>
      <c r="LMS54" s="1"/>
      <c r="LMT54" s="1"/>
      <c r="LMU54" s="1"/>
      <c r="LMV54" s="1"/>
      <c r="LMW54" s="1"/>
      <c r="LMX54" s="1"/>
      <c r="LMY54" s="1"/>
      <c r="LMZ54" s="1"/>
      <c r="LNA54" s="1"/>
      <c r="LNB54" s="1"/>
      <c r="LNC54" s="1"/>
      <c r="LND54" s="1"/>
      <c r="LNE54" s="1"/>
      <c r="LNF54" s="1"/>
      <c r="LNG54" s="1"/>
      <c r="LNH54" s="1"/>
      <c r="LNI54" s="1"/>
      <c r="LNJ54" s="1"/>
      <c r="LNK54" s="1"/>
      <c r="LNL54" s="1"/>
      <c r="LNM54" s="1"/>
      <c r="LNN54" s="1"/>
      <c r="LNO54" s="1"/>
      <c r="LNP54" s="1"/>
      <c r="LNQ54" s="1"/>
      <c r="LNR54" s="1"/>
      <c r="LNS54" s="1"/>
      <c r="LNT54" s="1"/>
      <c r="LNU54" s="1"/>
      <c r="LNV54" s="1"/>
      <c r="LNW54" s="1"/>
      <c r="LNX54" s="1"/>
      <c r="LNY54" s="1"/>
      <c r="LNZ54" s="1"/>
      <c r="LOA54" s="1"/>
      <c r="LOB54" s="1"/>
      <c r="LOC54" s="1"/>
      <c r="LOD54" s="1"/>
      <c r="LOE54" s="1"/>
      <c r="LOF54" s="1"/>
      <c r="LOG54" s="1"/>
      <c r="LOH54" s="1"/>
      <c r="LOI54" s="1"/>
      <c r="LOJ54" s="1"/>
      <c r="LOK54" s="1"/>
      <c r="LOL54" s="1"/>
      <c r="LOM54" s="1"/>
      <c r="LON54" s="1"/>
      <c r="LOO54" s="1"/>
      <c r="LOP54" s="1"/>
      <c r="LOQ54" s="1"/>
      <c r="LOR54" s="1"/>
      <c r="LOS54" s="1"/>
      <c r="LOT54" s="1"/>
      <c r="LOU54" s="1"/>
      <c r="LOV54" s="1"/>
      <c r="LOW54" s="1"/>
      <c r="LOX54" s="1"/>
      <c r="LOY54" s="1"/>
      <c r="LOZ54" s="1"/>
      <c r="LPA54" s="1"/>
      <c r="LPB54" s="1"/>
      <c r="LPC54" s="1"/>
      <c r="LPD54" s="1"/>
      <c r="LPE54" s="1"/>
      <c r="LPF54" s="1"/>
      <c r="LPG54" s="1"/>
      <c r="LPH54" s="1"/>
      <c r="LPI54" s="1"/>
      <c r="LPJ54" s="1"/>
      <c r="LPK54" s="1"/>
      <c r="LPL54" s="1"/>
      <c r="LPM54" s="1"/>
      <c r="LPN54" s="1"/>
      <c r="LPO54" s="1"/>
      <c r="LPP54" s="1"/>
      <c r="LPQ54" s="1"/>
      <c r="LPR54" s="1"/>
      <c r="LPS54" s="1"/>
      <c r="LPT54" s="1"/>
      <c r="LPU54" s="1"/>
      <c r="LPV54" s="1"/>
      <c r="LPW54" s="1"/>
      <c r="LPX54" s="1"/>
      <c r="LPY54" s="1"/>
      <c r="LPZ54" s="1"/>
      <c r="LQA54" s="1"/>
      <c r="LQB54" s="1"/>
      <c r="LQC54" s="1"/>
      <c r="LQD54" s="1"/>
      <c r="LQE54" s="1"/>
      <c r="LQF54" s="1"/>
      <c r="LQG54" s="1"/>
      <c r="LQH54" s="1"/>
      <c r="LQI54" s="1"/>
      <c r="LQJ54" s="1"/>
      <c r="LQK54" s="1"/>
      <c r="LQL54" s="1"/>
      <c r="LQM54" s="1"/>
      <c r="LQN54" s="1"/>
      <c r="LQO54" s="1"/>
      <c r="LQP54" s="1"/>
      <c r="LQQ54" s="1"/>
      <c r="LQR54" s="1"/>
      <c r="LQS54" s="1"/>
      <c r="LQT54" s="1"/>
      <c r="LQU54" s="1"/>
      <c r="LQV54" s="1"/>
      <c r="LQW54" s="1"/>
      <c r="LQX54" s="1"/>
      <c r="LQY54" s="1"/>
      <c r="LQZ54" s="1"/>
      <c r="LRA54" s="1"/>
      <c r="LRB54" s="1"/>
      <c r="LRC54" s="1"/>
      <c r="LRD54" s="1"/>
      <c r="LRE54" s="1"/>
      <c r="LRF54" s="1"/>
      <c r="LRG54" s="1"/>
      <c r="LRH54" s="1"/>
      <c r="LRI54" s="1"/>
      <c r="LRJ54" s="1"/>
      <c r="LRK54" s="1"/>
      <c r="LRL54" s="1"/>
      <c r="LRM54" s="1"/>
      <c r="LRN54" s="1"/>
      <c r="LRO54" s="1"/>
      <c r="LRP54" s="1"/>
      <c r="LRQ54" s="1"/>
      <c r="LRR54" s="1"/>
      <c r="LRS54" s="1"/>
      <c r="LRT54" s="1"/>
      <c r="LRU54" s="1"/>
      <c r="LRV54" s="1"/>
      <c r="LRW54" s="1"/>
      <c r="LRX54" s="1"/>
      <c r="LRY54" s="1"/>
      <c r="LRZ54" s="1"/>
      <c r="LSA54" s="1"/>
      <c r="LSB54" s="1"/>
      <c r="LSC54" s="1"/>
      <c r="LSD54" s="1"/>
      <c r="LSE54" s="1"/>
      <c r="LSF54" s="1"/>
      <c r="LSG54" s="1"/>
      <c r="LSH54" s="1"/>
      <c r="LSI54" s="1"/>
      <c r="LSJ54" s="1"/>
      <c r="LSK54" s="1"/>
      <c r="LSL54" s="1"/>
      <c r="LSM54" s="1"/>
      <c r="LSN54" s="1"/>
      <c r="LSO54" s="1"/>
      <c r="LSP54" s="1"/>
      <c r="LSQ54" s="1"/>
      <c r="LSR54" s="1"/>
      <c r="LSS54" s="1"/>
      <c r="LST54" s="1"/>
      <c r="LSU54" s="1"/>
      <c r="LSV54" s="1"/>
      <c r="LSW54" s="1"/>
      <c r="LSX54" s="1"/>
      <c r="LSY54" s="1"/>
      <c r="LSZ54" s="1"/>
      <c r="LTA54" s="1"/>
      <c r="LTB54" s="1"/>
      <c r="LTC54" s="1"/>
      <c r="LTD54" s="1"/>
      <c r="LTE54" s="1"/>
      <c r="LTF54" s="1"/>
      <c r="LTG54" s="1"/>
      <c r="LTH54" s="1"/>
      <c r="LTI54" s="1"/>
      <c r="LTJ54" s="1"/>
      <c r="LTK54" s="1"/>
      <c r="LTL54" s="1"/>
      <c r="LTM54" s="1"/>
      <c r="LTN54" s="1"/>
      <c r="LTO54" s="1"/>
      <c r="LTP54" s="1"/>
      <c r="LTQ54" s="1"/>
      <c r="LTR54" s="1"/>
      <c r="LTS54" s="1"/>
      <c r="LTT54" s="1"/>
      <c r="LTU54" s="1"/>
      <c r="LTV54" s="1"/>
      <c r="LTW54" s="1"/>
      <c r="LTX54" s="1"/>
      <c r="LTY54" s="1"/>
      <c r="LTZ54" s="1"/>
      <c r="LUA54" s="1"/>
      <c r="LUB54" s="1"/>
      <c r="LUC54" s="1"/>
      <c r="LUD54" s="1"/>
      <c r="LUE54" s="1"/>
      <c r="LUF54" s="1"/>
      <c r="LUG54" s="1"/>
      <c r="LUH54" s="1"/>
      <c r="LUI54" s="1"/>
      <c r="LUJ54" s="1"/>
      <c r="LUK54" s="1"/>
      <c r="LUL54" s="1"/>
      <c r="LUM54" s="1"/>
      <c r="LUN54" s="1"/>
      <c r="LUO54" s="1"/>
      <c r="LUP54" s="1"/>
      <c r="LUQ54" s="1"/>
      <c r="LUR54" s="1"/>
      <c r="LUS54" s="1"/>
      <c r="LUT54" s="1"/>
      <c r="LUU54" s="1"/>
      <c r="LUV54" s="1"/>
      <c r="LUW54" s="1"/>
      <c r="LUX54" s="1"/>
      <c r="LUY54" s="1"/>
      <c r="LUZ54" s="1"/>
      <c r="LVA54" s="1"/>
      <c r="LVB54" s="1"/>
      <c r="LVC54" s="1"/>
      <c r="LVD54" s="1"/>
      <c r="LVE54" s="1"/>
      <c r="LVF54" s="1"/>
      <c r="LVG54" s="1"/>
      <c r="LVH54" s="1"/>
      <c r="LVI54" s="1"/>
      <c r="LVJ54" s="1"/>
      <c r="LVK54" s="1"/>
      <c r="LVL54" s="1"/>
      <c r="LVM54" s="1"/>
      <c r="LVN54" s="1"/>
      <c r="LVO54" s="1"/>
      <c r="LVP54" s="1"/>
      <c r="LVQ54" s="1"/>
      <c r="LVR54" s="1"/>
      <c r="LVS54" s="1"/>
      <c r="LVT54" s="1"/>
      <c r="LVU54" s="1"/>
      <c r="LVV54" s="1"/>
      <c r="LVW54" s="1"/>
      <c r="LVX54" s="1"/>
      <c r="LVY54" s="1"/>
      <c r="LVZ54" s="1"/>
      <c r="LWA54" s="1"/>
      <c r="LWB54" s="1"/>
      <c r="LWC54" s="1"/>
      <c r="LWD54" s="1"/>
      <c r="LWE54" s="1"/>
      <c r="LWF54" s="1"/>
      <c r="LWG54" s="1"/>
      <c r="LWH54" s="1"/>
      <c r="LWI54" s="1"/>
      <c r="LWJ54" s="1"/>
      <c r="LWK54" s="1"/>
      <c r="LWL54" s="1"/>
      <c r="LWM54" s="1"/>
      <c r="LWN54" s="1"/>
      <c r="LWO54" s="1"/>
      <c r="LWP54" s="1"/>
      <c r="LWQ54" s="1"/>
      <c r="LWR54" s="1"/>
      <c r="LWS54" s="1"/>
      <c r="LWT54" s="1"/>
      <c r="LWU54" s="1"/>
      <c r="LWV54" s="1"/>
      <c r="LWW54" s="1"/>
      <c r="LWX54" s="1"/>
      <c r="LWY54" s="1"/>
      <c r="LWZ54" s="1"/>
      <c r="LXA54" s="1"/>
      <c r="LXB54" s="1"/>
      <c r="LXC54" s="1"/>
      <c r="LXD54" s="1"/>
      <c r="LXE54" s="1"/>
      <c r="LXF54" s="1"/>
      <c r="LXG54" s="1"/>
      <c r="LXH54" s="1"/>
      <c r="LXI54" s="1"/>
      <c r="LXJ54" s="1"/>
      <c r="LXK54" s="1"/>
      <c r="LXL54" s="1"/>
      <c r="LXM54" s="1"/>
      <c r="LXN54" s="1"/>
      <c r="LXO54" s="1"/>
      <c r="LXP54" s="1"/>
      <c r="LXQ54" s="1"/>
      <c r="LXR54" s="1"/>
      <c r="LXS54" s="1"/>
      <c r="LXT54" s="1"/>
      <c r="LXU54" s="1"/>
      <c r="LXV54" s="1"/>
      <c r="LXW54" s="1"/>
      <c r="LXX54" s="1"/>
      <c r="LXY54" s="1"/>
      <c r="LXZ54" s="1"/>
      <c r="LYA54" s="1"/>
      <c r="LYB54" s="1"/>
      <c r="LYC54" s="1"/>
      <c r="LYD54" s="1"/>
      <c r="LYE54" s="1"/>
      <c r="LYF54" s="1"/>
      <c r="LYG54" s="1"/>
      <c r="LYH54" s="1"/>
      <c r="LYI54" s="1"/>
      <c r="LYJ54" s="1"/>
      <c r="LYK54" s="1"/>
      <c r="LYL54" s="1"/>
      <c r="LYM54" s="1"/>
      <c r="LYN54" s="1"/>
      <c r="LYO54" s="1"/>
      <c r="LYP54" s="1"/>
      <c r="LYQ54" s="1"/>
      <c r="LYR54" s="1"/>
      <c r="LYS54" s="1"/>
      <c r="LYT54" s="1"/>
      <c r="LYU54" s="1"/>
      <c r="LYV54" s="1"/>
      <c r="LYW54" s="1"/>
      <c r="LYX54" s="1"/>
      <c r="LYY54" s="1"/>
      <c r="LYZ54" s="1"/>
      <c r="LZA54" s="1"/>
      <c r="LZB54" s="1"/>
      <c r="LZC54" s="1"/>
      <c r="LZD54" s="1"/>
      <c r="LZE54" s="1"/>
      <c r="LZF54" s="1"/>
      <c r="LZG54" s="1"/>
      <c r="LZH54" s="1"/>
      <c r="LZI54" s="1"/>
      <c r="LZJ54" s="1"/>
      <c r="LZK54" s="1"/>
      <c r="LZL54" s="1"/>
      <c r="LZM54" s="1"/>
      <c r="LZN54" s="1"/>
      <c r="LZO54" s="1"/>
      <c r="LZP54" s="1"/>
      <c r="LZQ54" s="1"/>
      <c r="LZR54" s="1"/>
      <c r="LZS54" s="1"/>
      <c r="LZT54" s="1"/>
      <c r="LZU54" s="1"/>
      <c r="LZV54" s="1"/>
      <c r="LZW54" s="1"/>
      <c r="LZX54" s="1"/>
      <c r="LZY54" s="1"/>
      <c r="LZZ54" s="1"/>
      <c r="MAA54" s="1"/>
      <c r="MAB54" s="1"/>
      <c r="MAC54" s="1"/>
      <c r="MAD54" s="1"/>
      <c r="MAE54" s="1"/>
      <c r="MAF54" s="1"/>
      <c r="MAG54" s="1"/>
      <c r="MAH54" s="1"/>
      <c r="MAI54" s="1"/>
      <c r="MAJ54" s="1"/>
      <c r="MAK54" s="1"/>
      <c r="MAL54" s="1"/>
      <c r="MAM54" s="1"/>
      <c r="MAN54" s="1"/>
      <c r="MAO54" s="1"/>
      <c r="MAP54" s="1"/>
      <c r="MAQ54" s="1"/>
      <c r="MAR54" s="1"/>
      <c r="MAS54" s="1"/>
      <c r="MAT54" s="1"/>
      <c r="MAU54" s="1"/>
      <c r="MAV54" s="1"/>
      <c r="MAW54" s="1"/>
      <c r="MAX54" s="1"/>
      <c r="MAY54" s="1"/>
      <c r="MAZ54" s="1"/>
      <c r="MBA54" s="1"/>
      <c r="MBB54" s="1"/>
      <c r="MBC54" s="1"/>
      <c r="MBD54" s="1"/>
      <c r="MBE54" s="1"/>
      <c r="MBF54" s="1"/>
      <c r="MBG54" s="1"/>
      <c r="MBH54" s="1"/>
      <c r="MBI54" s="1"/>
      <c r="MBJ54" s="1"/>
      <c r="MBK54" s="1"/>
      <c r="MBL54" s="1"/>
      <c r="MBM54" s="1"/>
      <c r="MBN54" s="1"/>
      <c r="MBO54" s="1"/>
      <c r="MBP54" s="1"/>
      <c r="MBQ54" s="1"/>
      <c r="MBR54" s="1"/>
      <c r="MBS54" s="1"/>
      <c r="MBT54" s="1"/>
      <c r="MBU54" s="1"/>
      <c r="MBV54" s="1"/>
      <c r="MBW54" s="1"/>
      <c r="MBX54" s="1"/>
      <c r="MBY54" s="1"/>
      <c r="MBZ54" s="1"/>
      <c r="MCA54" s="1"/>
      <c r="MCB54" s="1"/>
      <c r="MCC54" s="1"/>
      <c r="MCD54" s="1"/>
      <c r="MCE54" s="1"/>
      <c r="MCF54" s="1"/>
      <c r="MCG54" s="1"/>
      <c r="MCH54" s="1"/>
      <c r="MCI54" s="1"/>
      <c r="MCJ54" s="1"/>
      <c r="MCK54" s="1"/>
      <c r="MCL54" s="1"/>
      <c r="MCM54" s="1"/>
      <c r="MCN54" s="1"/>
      <c r="MCO54" s="1"/>
      <c r="MCP54" s="1"/>
      <c r="MCQ54" s="1"/>
      <c r="MCR54" s="1"/>
      <c r="MCS54" s="1"/>
      <c r="MCT54" s="1"/>
      <c r="MCU54" s="1"/>
      <c r="MCV54" s="1"/>
      <c r="MCW54" s="1"/>
      <c r="MCX54" s="1"/>
      <c r="MCY54" s="1"/>
      <c r="MCZ54" s="1"/>
      <c r="MDA54" s="1"/>
      <c r="MDB54" s="1"/>
      <c r="MDC54" s="1"/>
      <c r="MDD54" s="1"/>
      <c r="MDE54" s="1"/>
      <c r="MDF54" s="1"/>
      <c r="MDG54" s="1"/>
      <c r="MDH54" s="1"/>
      <c r="MDI54" s="1"/>
      <c r="MDJ54" s="1"/>
      <c r="MDK54" s="1"/>
      <c r="MDL54" s="1"/>
      <c r="MDM54" s="1"/>
      <c r="MDN54" s="1"/>
      <c r="MDO54" s="1"/>
      <c r="MDP54" s="1"/>
      <c r="MDQ54" s="1"/>
      <c r="MDR54" s="1"/>
      <c r="MDS54" s="1"/>
      <c r="MDT54" s="1"/>
      <c r="MDU54" s="1"/>
      <c r="MDV54" s="1"/>
      <c r="MDW54" s="1"/>
      <c r="MDX54" s="1"/>
      <c r="MDY54" s="1"/>
      <c r="MDZ54" s="1"/>
      <c r="MEA54" s="1"/>
      <c r="MEB54" s="1"/>
      <c r="MEC54" s="1"/>
      <c r="MED54" s="1"/>
      <c r="MEE54" s="1"/>
      <c r="MEF54" s="1"/>
      <c r="MEG54" s="1"/>
      <c r="MEH54" s="1"/>
      <c r="MEI54" s="1"/>
      <c r="MEJ54" s="1"/>
      <c r="MEK54" s="1"/>
      <c r="MEL54" s="1"/>
      <c r="MEM54" s="1"/>
      <c r="MEN54" s="1"/>
      <c r="MEO54" s="1"/>
      <c r="MEP54" s="1"/>
      <c r="MEQ54" s="1"/>
      <c r="MER54" s="1"/>
      <c r="MES54" s="1"/>
      <c r="MET54" s="1"/>
      <c r="MEU54" s="1"/>
      <c r="MEV54" s="1"/>
      <c r="MEW54" s="1"/>
      <c r="MEX54" s="1"/>
      <c r="MEY54" s="1"/>
      <c r="MEZ54" s="1"/>
      <c r="MFA54" s="1"/>
      <c r="MFB54" s="1"/>
      <c r="MFC54" s="1"/>
      <c r="MFD54" s="1"/>
      <c r="MFE54" s="1"/>
      <c r="MFF54" s="1"/>
      <c r="MFG54" s="1"/>
      <c r="MFH54" s="1"/>
      <c r="MFI54" s="1"/>
      <c r="MFJ54" s="1"/>
      <c r="MFK54" s="1"/>
      <c r="MFL54" s="1"/>
      <c r="MFM54" s="1"/>
      <c r="MFN54" s="1"/>
      <c r="MFO54" s="1"/>
      <c r="MFP54" s="1"/>
      <c r="MFQ54" s="1"/>
      <c r="MFR54" s="1"/>
      <c r="MFS54" s="1"/>
      <c r="MFT54" s="1"/>
      <c r="MFU54" s="1"/>
      <c r="MFV54" s="1"/>
      <c r="MFW54" s="1"/>
      <c r="MFX54" s="1"/>
      <c r="MFY54" s="1"/>
      <c r="MFZ54" s="1"/>
      <c r="MGA54" s="1"/>
      <c r="MGB54" s="1"/>
      <c r="MGC54" s="1"/>
      <c r="MGD54" s="1"/>
      <c r="MGE54" s="1"/>
      <c r="MGF54" s="1"/>
      <c r="MGG54" s="1"/>
      <c r="MGH54" s="1"/>
      <c r="MGI54" s="1"/>
      <c r="MGJ54" s="1"/>
      <c r="MGK54" s="1"/>
      <c r="MGL54" s="1"/>
      <c r="MGM54" s="1"/>
      <c r="MGN54" s="1"/>
      <c r="MGO54" s="1"/>
      <c r="MGP54" s="1"/>
      <c r="MGQ54" s="1"/>
      <c r="MGR54" s="1"/>
      <c r="MGS54" s="1"/>
      <c r="MGT54" s="1"/>
      <c r="MGU54" s="1"/>
      <c r="MGV54" s="1"/>
      <c r="MGW54" s="1"/>
      <c r="MGX54" s="1"/>
      <c r="MGY54" s="1"/>
      <c r="MGZ54" s="1"/>
      <c r="MHA54" s="1"/>
      <c r="MHB54" s="1"/>
      <c r="MHC54" s="1"/>
      <c r="MHD54" s="1"/>
      <c r="MHE54" s="1"/>
      <c r="MHF54" s="1"/>
      <c r="MHG54" s="1"/>
      <c r="MHH54" s="1"/>
      <c r="MHI54" s="1"/>
      <c r="MHJ54" s="1"/>
      <c r="MHK54" s="1"/>
      <c r="MHL54" s="1"/>
      <c r="MHM54" s="1"/>
      <c r="MHN54" s="1"/>
      <c r="MHO54" s="1"/>
      <c r="MHP54" s="1"/>
      <c r="MHQ54" s="1"/>
      <c r="MHR54" s="1"/>
      <c r="MHS54" s="1"/>
      <c r="MHT54" s="1"/>
      <c r="MHU54" s="1"/>
      <c r="MHV54" s="1"/>
      <c r="MHW54" s="1"/>
      <c r="MHX54" s="1"/>
      <c r="MHY54" s="1"/>
      <c r="MHZ54" s="1"/>
      <c r="MIA54" s="1"/>
      <c r="MIB54" s="1"/>
      <c r="MIC54" s="1"/>
      <c r="MID54" s="1"/>
      <c r="MIE54" s="1"/>
      <c r="MIF54" s="1"/>
      <c r="MIG54" s="1"/>
      <c r="MIH54" s="1"/>
      <c r="MII54" s="1"/>
      <c r="MIJ54" s="1"/>
      <c r="MIK54" s="1"/>
      <c r="MIL54" s="1"/>
      <c r="MIM54" s="1"/>
      <c r="MIN54" s="1"/>
      <c r="MIO54" s="1"/>
      <c r="MIP54" s="1"/>
      <c r="MIQ54" s="1"/>
      <c r="MIR54" s="1"/>
      <c r="MIS54" s="1"/>
      <c r="MIT54" s="1"/>
      <c r="MIU54" s="1"/>
      <c r="MIV54" s="1"/>
      <c r="MIW54" s="1"/>
      <c r="MIX54" s="1"/>
      <c r="MIY54" s="1"/>
      <c r="MIZ54" s="1"/>
      <c r="MJA54" s="1"/>
      <c r="MJB54" s="1"/>
      <c r="MJC54" s="1"/>
      <c r="MJD54" s="1"/>
      <c r="MJE54" s="1"/>
      <c r="MJF54" s="1"/>
      <c r="MJG54" s="1"/>
      <c r="MJH54" s="1"/>
      <c r="MJI54" s="1"/>
      <c r="MJJ54" s="1"/>
      <c r="MJK54" s="1"/>
      <c r="MJL54" s="1"/>
      <c r="MJM54" s="1"/>
      <c r="MJN54" s="1"/>
      <c r="MJO54" s="1"/>
      <c r="MJP54" s="1"/>
      <c r="MJQ54" s="1"/>
      <c r="MJR54" s="1"/>
      <c r="MJS54" s="1"/>
      <c r="MJT54" s="1"/>
      <c r="MJU54" s="1"/>
      <c r="MJV54" s="1"/>
      <c r="MJW54" s="1"/>
      <c r="MJX54" s="1"/>
      <c r="MJY54" s="1"/>
      <c r="MJZ54" s="1"/>
      <c r="MKA54" s="1"/>
      <c r="MKB54" s="1"/>
      <c r="MKC54" s="1"/>
      <c r="MKD54" s="1"/>
      <c r="MKE54" s="1"/>
      <c r="MKF54" s="1"/>
      <c r="MKG54" s="1"/>
      <c r="MKH54" s="1"/>
      <c r="MKI54" s="1"/>
      <c r="MKJ54" s="1"/>
      <c r="MKK54" s="1"/>
      <c r="MKL54" s="1"/>
      <c r="MKM54" s="1"/>
      <c r="MKN54" s="1"/>
      <c r="MKO54" s="1"/>
      <c r="MKP54" s="1"/>
      <c r="MKQ54" s="1"/>
      <c r="MKR54" s="1"/>
      <c r="MKS54" s="1"/>
      <c r="MKT54" s="1"/>
      <c r="MKU54" s="1"/>
      <c r="MKV54" s="1"/>
      <c r="MKW54" s="1"/>
      <c r="MKX54" s="1"/>
      <c r="MKY54" s="1"/>
      <c r="MKZ54" s="1"/>
      <c r="MLA54" s="1"/>
      <c r="MLB54" s="1"/>
      <c r="MLC54" s="1"/>
      <c r="MLD54" s="1"/>
      <c r="MLE54" s="1"/>
      <c r="MLF54" s="1"/>
      <c r="MLG54" s="1"/>
      <c r="MLH54" s="1"/>
      <c r="MLI54" s="1"/>
      <c r="MLJ54" s="1"/>
      <c r="MLK54" s="1"/>
      <c r="MLL54" s="1"/>
      <c r="MLM54" s="1"/>
      <c r="MLN54" s="1"/>
      <c r="MLO54" s="1"/>
      <c r="MLP54" s="1"/>
      <c r="MLQ54" s="1"/>
      <c r="MLR54" s="1"/>
      <c r="MLS54" s="1"/>
      <c r="MLT54" s="1"/>
      <c r="MLU54" s="1"/>
      <c r="MLV54" s="1"/>
      <c r="MLW54" s="1"/>
      <c r="MLX54" s="1"/>
      <c r="MLY54" s="1"/>
      <c r="MLZ54" s="1"/>
      <c r="MMA54" s="1"/>
      <c r="MMB54" s="1"/>
      <c r="MMC54" s="1"/>
      <c r="MMD54" s="1"/>
      <c r="MME54" s="1"/>
      <c r="MMF54" s="1"/>
      <c r="MMG54" s="1"/>
      <c r="MMH54" s="1"/>
      <c r="MMI54" s="1"/>
      <c r="MMJ54" s="1"/>
      <c r="MMK54" s="1"/>
      <c r="MML54" s="1"/>
      <c r="MMM54" s="1"/>
      <c r="MMN54" s="1"/>
      <c r="MMO54" s="1"/>
      <c r="MMP54" s="1"/>
      <c r="MMQ54" s="1"/>
      <c r="MMR54" s="1"/>
      <c r="MMS54" s="1"/>
      <c r="MMT54" s="1"/>
      <c r="MMU54" s="1"/>
      <c r="MMV54" s="1"/>
      <c r="MMW54" s="1"/>
      <c r="MMX54" s="1"/>
      <c r="MMY54" s="1"/>
      <c r="MMZ54" s="1"/>
      <c r="MNA54" s="1"/>
      <c r="MNB54" s="1"/>
      <c r="MNC54" s="1"/>
      <c r="MND54" s="1"/>
      <c r="MNE54" s="1"/>
      <c r="MNF54" s="1"/>
      <c r="MNG54" s="1"/>
      <c r="MNH54" s="1"/>
      <c r="MNI54" s="1"/>
      <c r="MNJ54" s="1"/>
      <c r="MNK54" s="1"/>
      <c r="MNL54" s="1"/>
      <c r="MNM54" s="1"/>
      <c r="MNN54" s="1"/>
      <c r="MNO54" s="1"/>
      <c r="MNP54" s="1"/>
      <c r="MNQ54" s="1"/>
      <c r="MNR54" s="1"/>
      <c r="MNS54" s="1"/>
      <c r="MNT54" s="1"/>
      <c r="MNU54" s="1"/>
      <c r="MNV54" s="1"/>
      <c r="MNW54" s="1"/>
      <c r="MNX54" s="1"/>
      <c r="MNY54" s="1"/>
      <c r="MNZ54" s="1"/>
      <c r="MOA54" s="1"/>
      <c r="MOB54" s="1"/>
      <c r="MOC54" s="1"/>
      <c r="MOD54" s="1"/>
      <c r="MOE54" s="1"/>
      <c r="MOF54" s="1"/>
      <c r="MOG54" s="1"/>
      <c r="MOH54" s="1"/>
      <c r="MOI54" s="1"/>
      <c r="MOJ54" s="1"/>
      <c r="MOK54" s="1"/>
      <c r="MOL54" s="1"/>
      <c r="MOM54" s="1"/>
      <c r="MON54" s="1"/>
      <c r="MOO54" s="1"/>
      <c r="MOP54" s="1"/>
      <c r="MOQ54" s="1"/>
      <c r="MOR54" s="1"/>
      <c r="MOS54" s="1"/>
      <c r="MOT54" s="1"/>
      <c r="MOU54" s="1"/>
      <c r="MOV54" s="1"/>
      <c r="MOW54" s="1"/>
      <c r="MOX54" s="1"/>
      <c r="MOY54" s="1"/>
      <c r="MOZ54" s="1"/>
      <c r="MPA54" s="1"/>
      <c r="MPB54" s="1"/>
      <c r="MPC54" s="1"/>
      <c r="MPD54" s="1"/>
      <c r="MPE54" s="1"/>
      <c r="MPF54" s="1"/>
      <c r="MPG54" s="1"/>
      <c r="MPH54" s="1"/>
      <c r="MPI54" s="1"/>
      <c r="MPJ54" s="1"/>
      <c r="MPK54" s="1"/>
      <c r="MPL54" s="1"/>
      <c r="MPM54" s="1"/>
      <c r="MPN54" s="1"/>
      <c r="MPO54" s="1"/>
      <c r="MPP54" s="1"/>
      <c r="MPQ54" s="1"/>
      <c r="MPR54" s="1"/>
      <c r="MPS54" s="1"/>
      <c r="MPT54" s="1"/>
      <c r="MPU54" s="1"/>
      <c r="MPV54" s="1"/>
      <c r="MPW54" s="1"/>
      <c r="MPX54" s="1"/>
      <c r="MPY54" s="1"/>
      <c r="MPZ54" s="1"/>
      <c r="MQA54" s="1"/>
      <c r="MQB54" s="1"/>
      <c r="MQC54" s="1"/>
      <c r="MQD54" s="1"/>
      <c r="MQE54" s="1"/>
      <c r="MQF54" s="1"/>
      <c r="MQG54" s="1"/>
      <c r="MQH54" s="1"/>
      <c r="MQI54" s="1"/>
      <c r="MQJ54" s="1"/>
      <c r="MQK54" s="1"/>
      <c r="MQL54" s="1"/>
      <c r="MQM54" s="1"/>
      <c r="MQN54" s="1"/>
      <c r="MQO54" s="1"/>
      <c r="MQP54" s="1"/>
      <c r="MQQ54" s="1"/>
      <c r="MQR54" s="1"/>
      <c r="MQS54" s="1"/>
      <c r="MQT54" s="1"/>
      <c r="MQU54" s="1"/>
      <c r="MQV54" s="1"/>
      <c r="MQW54" s="1"/>
      <c r="MQX54" s="1"/>
      <c r="MQY54" s="1"/>
      <c r="MQZ54" s="1"/>
      <c r="MRA54" s="1"/>
      <c r="MRB54" s="1"/>
      <c r="MRC54" s="1"/>
      <c r="MRD54" s="1"/>
      <c r="MRE54" s="1"/>
      <c r="MRF54" s="1"/>
      <c r="MRG54" s="1"/>
      <c r="MRH54" s="1"/>
      <c r="MRI54" s="1"/>
      <c r="MRJ54" s="1"/>
      <c r="MRK54" s="1"/>
      <c r="MRL54" s="1"/>
      <c r="MRM54" s="1"/>
      <c r="MRN54" s="1"/>
      <c r="MRO54" s="1"/>
      <c r="MRP54" s="1"/>
      <c r="MRQ54" s="1"/>
      <c r="MRR54" s="1"/>
      <c r="MRS54" s="1"/>
      <c r="MRT54" s="1"/>
      <c r="MRU54" s="1"/>
      <c r="MRV54" s="1"/>
      <c r="MRW54" s="1"/>
      <c r="MRX54" s="1"/>
      <c r="MRY54" s="1"/>
      <c r="MRZ54" s="1"/>
      <c r="MSA54" s="1"/>
      <c r="MSB54" s="1"/>
      <c r="MSC54" s="1"/>
      <c r="MSD54" s="1"/>
      <c r="MSE54" s="1"/>
      <c r="MSF54" s="1"/>
      <c r="MSG54" s="1"/>
      <c r="MSH54" s="1"/>
      <c r="MSI54" s="1"/>
      <c r="MSJ54" s="1"/>
      <c r="MSK54" s="1"/>
      <c r="MSL54" s="1"/>
      <c r="MSM54" s="1"/>
      <c r="MSN54" s="1"/>
      <c r="MSO54" s="1"/>
      <c r="MSP54" s="1"/>
      <c r="MSQ54" s="1"/>
      <c r="MSR54" s="1"/>
      <c r="MSS54" s="1"/>
      <c r="MST54" s="1"/>
      <c r="MSU54" s="1"/>
      <c r="MSV54" s="1"/>
      <c r="MSW54" s="1"/>
      <c r="MSX54" s="1"/>
      <c r="MSY54" s="1"/>
      <c r="MSZ54" s="1"/>
      <c r="MTA54" s="1"/>
      <c r="MTB54" s="1"/>
      <c r="MTC54" s="1"/>
      <c r="MTD54" s="1"/>
      <c r="MTE54" s="1"/>
      <c r="MTF54" s="1"/>
      <c r="MTG54" s="1"/>
      <c r="MTH54" s="1"/>
      <c r="MTI54" s="1"/>
      <c r="MTJ54" s="1"/>
      <c r="MTK54" s="1"/>
      <c r="MTL54" s="1"/>
      <c r="MTM54" s="1"/>
      <c r="MTN54" s="1"/>
      <c r="MTO54" s="1"/>
      <c r="MTP54" s="1"/>
      <c r="MTQ54" s="1"/>
      <c r="MTR54" s="1"/>
      <c r="MTS54" s="1"/>
      <c r="MTT54" s="1"/>
      <c r="MTU54" s="1"/>
      <c r="MTV54" s="1"/>
      <c r="MTW54" s="1"/>
      <c r="MTX54" s="1"/>
      <c r="MTY54" s="1"/>
      <c r="MTZ54" s="1"/>
      <c r="MUA54" s="1"/>
      <c r="MUB54" s="1"/>
      <c r="MUC54" s="1"/>
      <c r="MUD54" s="1"/>
      <c r="MUE54" s="1"/>
      <c r="MUF54" s="1"/>
      <c r="MUG54" s="1"/>
      <c r="MUH54" s="1"/>
      <c r="MUI54" s="1"/>
      <c r="MUJ54" s="1"/>
      <c r="MUK54" s="1"/>
      <c r="MUL54" s="1"/>
      <c r="MUM54" s="1"/>
      <c r="MUN54" s="1"/>
      <c r="MUO54" s="1"/>
      <c r="MUP54" s="1"/>
      <c r="MUQ54" s="1"/>
      <c r="MUR54" s="1"/>
      <c r="MUS54" s="1"/>
      <c r="MUT54" s="1"/>
      <c r="MUU54" s="1"/>
      <c r="MUV54" s="1"/>
      <c r="MUW54" s="1"/>
      <c r="MUX54" s="1"/>
      <c r="MUY54" s="1"/>
      <c r="MUZ54" s="1"/>
      <c r="MVA54" s="1"/>
      <c r="MVB54" s="1"/>
      <c r="MVC54" s="1"/>
      <c r="MVD54" s="1"/>
      <c r="MVE54" s="1"/>
      <c r="MVF54" s="1"/>
      <c r="MVG54" s="1"/>
      <c r="MVH54" s="1"/>
      <c r="MVI54" s="1"/>
      <c r="MVJ54" s="1"/>
      <c r="MVK54" s="1"/>
      <c r="MVL54" s="1"/>
      <c r="MVM54" s="1"/>
      <c r="MVN54" s="1"/>
      <c r="MVO54" s="1"/>
      <c r="MVP54" s="1"/>
      <c r="MVQ54" s="1"/>
      <c r="MVR54" s="1"/>
      <c r="MVS54" s="1"/>
      <c r="MVT54" s="1"/>
      <c r="MVU54" s="1"/>
      <c r="MVV54" s="1"/>
      <c r="MVW54" s="1"/>
      <c r="MVX54" s="1"/>
      <c r="MVY54" s="1"/>
      <c r="MVZ54" s="1"/>
      <c r="MWA54" s="1"/>
      <c r="MWB54" s="1"/>
      <c r="MWC54" s="1"/>
      <c r="MWD54" s="1"/>
      <c r="MWE54" s="1"/>
      <c r="MWF54" s="1"/>
      <c r="MWG54" s="1"/>
      <c r="MWH54" s="1"/>
      <c r="MWI54" s="1"/>
      <c r="MWJ54" s="1"/>
      <c r="MWK54" s="1"/>
      <c r="MWL54" s="1"/>
      <c r="MWM54" s="1"/>
      <c r="MWN54" s="1"/>
      <c r="MWO54" s="1"/>
      <c r="MWP54" s="1"/>
      <c r="MWQ54" s="1"/>
      <c r="MWR54" s="1"/>
      <c r="MWS54" s="1"/>
      <c r="MWT54" s="1"/>
      <c r="MWU54" s="1"/>
      <c r="MWV54" s="1"/>
      <c r="MWW54" s="1"/>
      <c r="MWX54" s="1"/>
      <c r="MWY54" s="1"/>
      <c r="MWZ54" s="1"/>
      <c r="MXA54" s="1"/>
      <c r="MXB54" s="1"/>
      <c r="MXC54" s="1"/>
      <c r="MXD54" s="1"/>
      <c r="MXE54" s="1"/>
      <c r="MXF54" s="1"/>
      <c r="MXG54" s="1"/>
      <c r="MXH54" s="1"/>
      <c r="MXI54" s="1"/>
      <c r="MXJ54" s="1"/>
      <c r="MXK54" s="1"/>
      <c r="MXL54" s="1"/>
      <c r="MXM54" s="1"/>
      <c r="MXN54" s="1"/>
      <c r="MXO54" s="1"/>
      <c r="MXP54" s="1"/>
      <c r="MXQ54" s="1"/>
      <c r="MXR54" s="1"/>
      <c r="MXS54" s="1"/>
      <c r="MXT54" s="1"/>
      <c r="MXU54" s="1"/>
      <c r="MXV54" s="1"/>
      <c r="MXW54" s="1"/>
      <c r="MXX54" s="1"/>
      <c r="MXY54" s="1"/>
      <c r="MXZ54" s="1"/>
      <c r="MYA54" s="1"/>
      <c r="MYB54" s="1"/>
      <c r="MYC54" s="1"/>
      <c r="MYD54" s="1"/>
      <c r="MYE54" s="1"/>
      <c r="MYF54" s="1"/>
      <c r="MYG54" s="1"/>
      <c r="MYH54" s="1"/>
      <c r="MYI54" s="1"/>
      <c r="MYJ54" s="1"/>
      <c r="MYK54" s="1"/>
      <c r="MYL54" s="1"/>
      <c r="MYM54" s="1"/>
      <c r="MYN54" s="1"/>
      <c r="MYO54" s="1"/>
      <c r="MYP54" s="1"/>
      <c r="MYQ54" s="1"/>
      <c r="MYR54" s="1"/>
      <c r="MYS54" s="1"/>
      <c r="MYT54" s="1"/>
      <c r="MYU54" s="1"/>
      <c r="MYV54" s="1"/>
      <c r="MYW54" s="1"/>
      <c r="MYX54" s="1"/>
      <c r="MYY54" s="1"/>
      <c r="MYZ54" s="1"/>
      <c r="MZA54" s="1"/>
      <c r="MZB54" s="1"/>
      <c r="MZC54" s="1"/>
      <c r="MZD54" s="1"/>
      <c r="MZE54" s="1"/>
      <c r="MZF54" s="1"/>
      <c r="MZG54" s="1"/>
      <c r="MZH54" s="1"/>
      <c r="MZI54" s="1"/>
      <c r="MZJ54" s="1"/>
      <c r="MZK54" s="1"/>
      <c r="MZL54" s="1"/>
      <c r="MZM54" s="1"/>
      <c r="MZN54" s="1"/>
      <c r="MZO54" s="1"/>
      <c r="MZP54" s="1"/>
      <c r="MZQ54" s="1"/>
      <c r="MZR54" s="1"/>
      <c r="MZS54" s="1"/>
      <c r="MZT54" s="1"/>
      <c r="MZU54" s="1"/>
      <c r="MZV54" s="1"/>
      <c r="MZW54" s="1"/>
      <c r="MZX54" s="1"/>
      <c r="MZY54" s="1"/>
      <c r="MZZ54" s="1"/>
      <c r="NAA54" s="1"/>
      <c r="NAB54" s="1"/>
      <c r="NAC54" s="1"/>
      <c r="NAD54" s="1"/>
      <c r="NAE54" s="1"/>
      <c r="NAF54" s="1"/>
      <c r="NAG54" s="1"/>
      <c r="NAH54" s="1"/>
      <c r="NAI54" s="1"/>
      <c r="NAJ54" s="1"/>
      <c r="NAK54" s="1"/>
      <c r="NAL54" s="1"/>
      <c r="NAM54" s="1"/>
      <c r="NAN54" s="1"/>
      <c r="NAO54" s="1"/>
      <c r="NAP54" s="1"/>
      <c r="NAQ54" s="1"/>
      <c r="NAR54" s="1"/>
      <c r="NAS54" s="1"/>
      <c r="NAT54" s="1"/>
      <c r="NAU54" s="1"/>
      <c r="NAV54" s="1"/>
      <c r="NAW54" s="1"/>
      <c r="NAX54" s="1"/>
      <c r="NAY54" s="1"/>
      <c r="NAZ54" s="1"/>
      <c r="NBA54" s="1"/>
      <c r="NBB54" s="1"/>
      <c r="NBC54" s="1"/>
      <c r="NBD54" s="1"/>
      <c r="NBE54" s="1"/>
      <c r="NBF54" s="1"/>
      <c r="NBG54" s="1"/>
      <c r="NBH54" s="1"/>
      <c r="NBI54" s="1"/>
      <c r="NBJ54" s="1"/>
      <c r="NBK54" s="1"/>
      <c r="NBL54" s="1"/>
      <c r="NBM54" s="1"/>
      <c r="NBN54" s="1"/>
      <c r="NBO54" s="1"/>
      <c r="NBP54" s="1"/>
      <c r="NBQ54" s="1"/>
      <c r="NBR54" s="1"/>
      <c r="NBS54" s="1"/>
      <c r="NBT54" s="1"/>
      <c r="NBU54" s="1"/>
      <c r="NBV54" s="1"/>
      <c r="NBW54" s="1"/>
      <c r="NBX54" s="1"/>
      <c r="NBY54" s="1"/>
      <c r="NBZ54" s="1"/>
      <c r="NCA54" s="1"/>
      <c r="NCB54" s="1"/>
      <c r="NCC54" s="1"/>
      <c r="NCD54" s="1"/>
      <c r="NCE54" s="1"/>
      <c r="NCF54" s="1"/>
      <c r="NCG54" s="1"/>
      <c r="NCH54" s="1"/>
      <c r="NCI54" s="1"/>
      <c r="NCJ54" s="1"/>
      <c r="NCK54" s="1"/>
      <c r="NCL54" s="1"/>
      <c r="NCM54" s="1"/>
      <c r="NCN54" s="1"/>
      <c r="NCO54" s="1"/>
      <c r="NCP54" s="1"/>
      <c r="NCQ54" s="1"/>
      <c r="NCR54" s="1"/>
      <c r="NCS54" s="1"/>
      <c r="NCT54" s="1"/>
      <c r="NCU54" s="1"/>
      <c r="NCV54" s="1"/>
      <c r="NCW54" s="1"/>
      <c r="NCX54" s="1"/>
      <c r="NCY54" s="1"/>
      <c r="NCZ54" s="1"/>
      <c r="NDA54" s="1"/>
      <c r="NDB54" s="1"/>
      <c r="NDC54" s="1"/>
      <c r="NDD54" s="1"/>
      <c r="NDE54" s="1"/>
      <c r="NDF54" s="1"/>
      <c r="NDG54" s="1"/>
      <c r="NDH54" s="1"/>
      <c r="NDI54" s="1"/>
      <c r="NDJ54" s="1"/>
      <c r="NDK54" s="1"/>
      <c r="NDL54" s="1"/>
      <c r="NDM54" s="1"/>
      <c r="NDN54" s="1"/>
      <c r="NDO54" s="1"/>
      <c r="NDP54" s="1"/>
      <c r="NDQ54" s="1"/>
      <c r="NDR54" s="1"/>
      <c r="NDS54" s="1"/>
      <c r="NDT54" s="1"/>
      <c r="NDU54" s="1"/>
      <c r="NDV54" s="1"/>
      <c r="NDW54" s="1"/>
      <c r="NDX54" s="1"/>
      <c r="NDY54" s="1"/>
      <c r="NDZ54" s="1"/>
      <c r="NEA54" s="1"/>
      <c r="NEB54" s="1"/>
      <c r="NEC54" s="1"/>
      <c r="NED54" s="1"/>
      <c r="NEE54" s="1"/>
      <c r="NEF54" s="1"/>
      <c r="NEG54" s="1"/>
      <c r="NEH54" s="1"/>
      <c r="NEI54" s="1"/>
      <c r="NEJ54" s="1"/>
      <c r="NEK54" s="1"/>
      <c r="NEL54" s="1"/>
      <c r="NEM54" s="1"/>
      <c r="NEN54" s="1"/>
      <c r="NEO54" s="1"/>
      <c r="NEP54" s="1"/>
      <c r="NEQ54" s="1"/>
      <c r="NER54" s="1"/>
      <c r="NES54" s="1"/>
      <c r="NET54" s="1"/>
      <c r="NEU54" s="1"/>
      <c r="NEV54" s="1"/>
      <c r="NEW54" s="1"/>
      <c r="NEX54" s="1"/>
      <c r="NEY54" s="1"/>
      <c r="NEZ54" s="1"/>
      <c r="NFA54" s="1"/>
      <c r="NFB54" s="1"/>
      <c r="NFC54" s="1"/>
      <c r="NFD54" s="1"/>
      <c r="NFE54" s="1"/>
      <c r="NFF54" s="1"/>
      <c r="NFG54" s="1"/>
      <c r="NFH54" s="1"/>
      <c r="NFI54" s="1"/>
      <c r="NFJ54" s="1"/>
      <c r="NFK54" s="1"/>
      <c r="NFL54" s="1"/>
      <c r="NFM54" s="1"/>
      <c r="NFN54" s="1"/>
      <c r="NFO54" s="1"/>
      <c r="NFP54" s="1"/>
      <c r="NFQ54" s="1"/>
      <c r="NFR54" s="1"/>
      <c r="NFS54" s="1"/>
      <c r="NFT54" s="1"/>
      <c r="NFU54" s="1"/>
      <c r="NFV54" s="1"/>
      <c r="NFW54" s="1"/>
      <c r="NFX54" s="1"/>
      <c r="NFY54" s="1"/>
      <c r="NFZ54" s="1"/>
      <c r="NGA54" s="1"/>
      <c r="NGB54" s="1"/>
      <c r="NGC54" s="1"/>
      <c r="NGD54" s="1"/>
      <c r="NGE54" s="1"/>
      <c r="NGF54" s="1"/>
      <c r="NGG54" s="1"/>
      <c r="NGH54" s="1"/>
      <c r="NGI54" s="1"/>
      <c r="NGJ54" s="1"/>
      <c r="NGK54" s="1"/>
      <c r="NGL54" s="1"/>
      <c r="NGM54" s="1"/>
      <c r="NGN54" s="1"/>
      <c r="NGO54" s="1"/>
      <c r="NGP54" s="1"/>
      <c r="NGQ54" s="1"/>
      <c r="NGR54" s="1"/>
      <c r="NGS54" s="1"/>
      <c r="NGT54" s="1"/>
      <c r="NGU54" s="1"/>
      <c r="NGV54" s="1"/>
      <c r="NGW54" s="1"/>
      <c r="NGX54" s="1"/>
      <c r="NGY54" s="1"/>
      <c r="NGZ54" s="1"/>
      <c r="NHA54" s="1"/>
      <c r="NHB54" s="1"/>
      <c r="NHC54" s="1"/>
      <c r="NHD54" s="1"/>
      <c r="NHE54" s="1"/>
      <c r="NHF54" s="1"/>
      <c r="NHG54" s="1"/>
      <c r="NHH54" s="1"/>
      <c r="NHI54" s="1"/>
      <c r="NHJ54" s="1"/>
      <c r="NHK54" s="1"/>
      <c r="NHL54" s="1"/>
      <c r="NHM54" s="1"/>
      <c r="NHN54" s="1"/>
      <c r="NHO54" s="1"/>
      <c r="NHP54" s="1"/>
      <c r="NHQ54" s="1"/>
      <c r="NHR54" s="1"/>
      <c r="NHS54" s="1"/>
      <c r="NHT54" s="1"/>
      <c r="NHU54" s="1"/>
      <c r="NHV54" s="1"/>
      <c r="NHW54" s="1"/>
      <c r="NHX54" s="1"/>
      <c r="NHY54" s="1"/>
      <c r="NHZ54" s="1"/>
      <c r="NIA54" s="1"/>
      <c r="NIB54" s="1"/>
      <c r="NIC54" s="1"/>
      <c r="NID54" s="1"/>
      <c r="NIE54" s="1"/>
      <c r="NIF54" s="1"/>
      <c r="NIG54" s="1"/>
      <c r="NIH54" s="1"/>
      <c r="NII54" s="1"/>
      <c r="NIJ54" s="1"/>
      <c r="NIK54" s="1"/>
      <c r="NIL54" s="1"/>
      <c r="NIM54" s="1"/>
      <c r="NIN54" s="1"/>
      <c r="NIO54" s="1"/>
      <c r="NIP54" s="1"/>
      <c r="NIQ54" s="1"/>
      <c r="NIR54" s="1"/>
      <c r="NIS54" s="1"/>
      <c r="NIT54" s="1"/>
      <c r="NIU54" s="1"/>
      <c r="NIV54" s="1"/>
      <c r="NIW54" s="1"/>
      <c r="NIX54" s="1"/>
      <c r="NIY54" s="1"/>
      <c r="NIZ54" s="1"/>
      <c r="NJA54" s="1"/>
      <c r="NJB54" s="1"/>
      <c r="NJC54" s="1"/>
      <c r="NJD54" s="1"/>
      <c r="NJE54" s="1"/>
      <c r="NJF54" s="1"/>
      <c r="NJG54" s="1"/>
      <c r="NJH54" s="1"/>
      <c r="NJI54" s="1"/>
      <c r="NJJ54" s="1"/>
      <c r="NJK54" s="1"/>
      <c r="NJL54" s="1"/>
      <c r="NJM54" s="1"/>
      <c r="NJN54" s="1"/>
      <c r="NJO54" s="1"/>
      <c r="NJP54" s="1"/>
      <c r="NJQ54" s="1"/>
      <c r="NJR54" s="1"/>
      <c r="NJS54" s="1"/>
      <c r="NJT54" s="1"/>
      <c r="NJU54" s="1"/>
      <c r="NJV54" s="1"/>
      <c r="NJW54" s="1"/>
      <c r="NJX54" s="1"/>
      <c r="NJY54" s="1"/>
      <c r="NJZ54" s="1"/>
      <c r="NKA54" s="1"/>
      <c r="NKB54" s="1"/>
      <c r="NKC54" s="1"/>
      <c r="NKD54" s="1"/>
      <c r="NKE54" s="1"/>
      <c r="NKF54" s="1"/>
      <c r="NKG54" s="1"/>
      <c r="NKH54" s="1"/>
      <c r="NKI54" s="1"/>
      <c r="NKJ54" s="1"/>
      <c r="NKK54" s="1"/>
      <c r="NKL54" s="1"/>
      <c r="NKM54" s="1"/>
      <c r="NKN54" s="1"/>
      <c r="NKO54" s="1"/>
      <c r="NKP54" s="1"/>
      <c r="NKQ54" s="1"/>
      <c r="NKR54" s="1"/>
      <c r="NKS54" s="1"/>
      <c r="NKT54" s="1"/>
      <c r="NKU54" s="1"/>
      <c r="NKV54" s="1"/>
      <c r="NKW54" s="1"/>
      <c r="NKX54" s="1"/>
      <c r="NKY54" s="1"/>
      <c r="NKZ54" s="1"/>
      <c r="NLA54" s="1"/>
      <c r="NLB54" s="1"/>
      <c r="NLC54" s="1"/>
      <c r="NLD54" s="1"/>
      <c r="NLE54" s="1"/>
      <c r="NLF54" s="1"/>
      <c r="NLG54" s="1"/>
      <c r="NLH54" s="1"/>
      <c r="NLI54" s="1"/>
      <c r="NLJ54" s="1"/>
      <c r="NLK54" s="1"/>
      <c r="NLL54" s="1"/>
      <c r="NLM54" s="1"/>
      <c r="NLN54" s="1"/>
      <c r="NLO54" s="1"/>
      <c r="NLP54" s="1"/>
      <c r="NLQ54" s="1"/>
      <c r="NLR54" s="1"/>
      <c r="NLS54" s="1"/>
      <c r="NLT54" s="1"/>
      <c r="NLU54" s="1"/>
      <c r="NLV54" s="1"/>
      <c r="NLW54" s="1"/>
      <c r="NLX54" s="1"/>
      <c r="NLY54" s="1"/>
      <c r="NLZ54" s="1"/>
      <c r="NMA54" s="1"/>
      <c r="NMB54" s="1"/>
      <c r="NMC54" s="1"/>
      <c r="NMD54" s="1"/>
      <c r="NME54" s="1"/>
      <c r="NMF54" s="1"/>
      <c r="NMG54" s="1"/>
      <c r="NMH54" s="1"/>
      <c r="NMI54" s="1"/>
      <c r="NMJ54" s="1"/>
      <c r="NMK54" s="1"/>
      <c r="NML54" s="1"/>
      <c r="NMM54" s="1"/>
      <c r="NMN54" s="1"/>
      <c r="NMO54" s="1"/>
      <c r="NMP54" s="1"/>
      <c r="NMQ54" s="1"/>
      <c r="NMR54" s="1"/>
      <c r="NMS54" s="1"/>
      <c r="NMT54" s="1"/>
      <c r="NMU54" s="1"/>
      <c r="NMV54" s="1"/>
      <c r="NMW54" s="1"/>
      <c r="NMX54" s="1"/>
      <c r="NMY54" s="1"/>
      <c r="NMZ54" s="1"/>
      <c r="NNA54" s="1"/>
      <c r="NNB54" s="1"/>
      <c r="NNC54" s="1"/>
      <c r="NND54" s="1"/>
      <c r="NNE54" s="1"/>
      <c r="NNF54" s="1"/>
      <c r="NNG54" s="1"/>
      <c r="NNH54" s="1"/>
      <c r="NNI54" s="1"/>
      <c r="NNJ54" s="1"/>
      <c r="NNK54" s="1"/>
      <c r="NNL54" s="1"/>
      <c r="NNM54" s="1"/>
      <c r="NNN54" s="1"/>
      <c r="NNO54" s="1"/>
      <c r="NNP54" s="1"/>
      <c r="NNQ54" s="1"/>
      <c r="NNR54" s="1"/>
      <c r="NNS54" s="1"/>
      <c r="NNT54" s="1"/>
      <c r="NNU54" s="1"/>
      <c r="NNV54" s="1"/>
      <c r="NNW54" s="1"/>
      <c r="NNX54" s="1"/>
      <c r="NNY54" s="1"/>
      <c r="NNZ54" s="1"/>
      <c r="NOA54" s="1"/>
      <c r="NOB54" s="1"/>
      <c r="NOC54" s="1"/>
      <c r="NOD54" s="1"/>
      <c r="NOE54" s="1"/>
      <c r="NOF54" s="1"/>
      <c r="NOG54" s="1"/>
      <c r="NOH54" s="1"/>
      <c r="NOI54" s="1"/>
      <c r="NOJ54" s="1"/>
      <c r="NOK54" s="1"/>
      <c r="NOL54" s="1"/>
      <c r="NOM54" s="1"/>
      <c r="NON54" s="1"/>
      <c r="NOO54" s="1"/>
      <c r="NOP54" s="1"/>
      <c r="NOQ54" s="1"/>
      <c r="NOR54" s="1"/>
      <c r="NOS54" s="1"/>
      <c r="NOT54" s="1"/>
      <c r="NOU54" s="1"/>
      <c r="NOV54" s="1"/>
      <c r="NOW54" s="1"/>
      <c r="NOX54" s="1"/>
      <c r="NOY54" s="1"/>
      <c r="NOZ54" s="1"/>
      <c r="NPA54" s="1"/>
      <c r="NPB54" s="1"/>
      <c r="NPC54" s="1"/>
      <c r="NPD54" s="1"/>
      <c r="NPE54" s="1"/>
      <c r="NPF54" s="1"/>
      <c r="NPG54" s="1"/>
      <c r="NPH54" s="1"/>
      <c r="NPI54" s="1"/>
      <c r="NPJ54" s="1"/>
      <c r="NPK54" s="1"/>
      <c r="NPL54" s="1"/>
      <c r="NPM54" s="1"/>
      <c r="NPN54" s="1"/>
      <c r="NPO54" s="1"/>
      <c r="NPP54" s="1"/>
      <c r="NPQ54" s="1"/>
      <c r="NPR54" s="1"/>
      <c r="NPS54" s="1"/>
      <c r="NPT54" s="1"/>
      <c r="NPU54" s="1"/>
      <c r="NPV54" s="1"/>
      <c r="NPW54" s="1"/>
      <c r="NPX54" s="1"/>
      <c r="NPY54" s="1"/>
      <c r="NPZ54" s="1"/>
      <c r="NQA54" s="1"/>
      <c r="NQB54" s="1"/>
      <c r="NQC54" s="1"/>
      <c r="NQD54" s="1"/>
      <c r="NQE54" s="1"/>
      <c r="NQF54" s="1"/>
      <c r="NQG54" s="1"/>
      <c r="NQH54" s="1"/>
      <c r="NQI54" s="1"/>
      <c r="NQJ54" s="1"/>
      <c r="NQK54" s="1"/>
      <c r="NQL54" s="1"/>
      <c r="NQM54" s="1"/>
      <c r="NQN54" s="1"/>
      <c r="NQO54" s="1"/>
      <c r="NQP54" s="1"/>
      <c r="NQQ54" s="1"/>
      <c r="NQR54" s="1"/>
      <c r="NQS54" s="1"/>
      <c r="NQT54" s="1"/>
      <c r="NQU54" s="1"/>
      <c r="NQV54" s="1"/>
      <c r="NQW54" s="1"/>
      <c r="NQX54" s="1"/>
      <c r="NQY54" s="1"/>
      <c r="NQZ54" s="1"/>
      <c r="NRA54" s="1"/>
      <c r="NRB54" s="1"/>
      <c r="NRC54" s="1"/>
      <c r="NRD54" s="1"/>
      <c r="NRE54" s="1"/>
      <c r="NRF54" s="1"/>
      <c r="NRG54" s="1"/>
      <c r="NRH54" s="1"/>
      <c r="NRI54" s="1"/>
      <c r="NRJ54" s="1"/>
      <c r="NRK54" s="1"/>
      <c r="NRL54" s="1"/>
      <c r="NRM54" s="1"/>
      <c r="NRN54" s="1"/>
      <c r="NRO54" s="1"/>
      <c r="NRP54" s="1"/>
      <c r="NRQ54" s="1"/>
      <c r="NRR54" s="1"/>
      <c r="NRS54" s="1"/>
      <c r="NRT54" s="1"/>
      <c r="NRU54" s="1"/>
      <c r="NRV54" s="1"/>
      <c r="NRW54" s="1"/>
      <c r="NRX54" s="1"/>
      <c r="NRY54" s="1"/>
      <c r="NRZ54" s="1"/>
      <c r="NSA54" s="1"/>
      <c r="NSB54" s="1"/>
      <c r="NSC54" s="1"/>
      <c r="NSD54" s="1"/>
      <c r="NSE54" s="1"/>
      <c r="NSF54" s="1"/>
      <c r="NSG54" s="1"/>
      <c r="NSH54" s="1"/>
      <c r="NSI54" s="1"/>
      <c r="NSJ54" s="1"/>
      <c r="NSK54" s="1"/>
      <c r="NSL54" s="1"/>
      <c r="NSM54" s="1"/>
      <c r="NSN54" s="1"/>
      <c r="NSO54" s="1"/>
      <c r="NSP54" s="1"/>
      <c r="NSQ54" s="1"/>
      <c r="NSR54" s="1"/>
      <c r="NSS54" s="1"/>
      <c r="NST54" s="1"/>
      <c r="NSU54" s="1"/>
      <c r="NSV54" s="1"/>
      <c r="NSW54" s="1"/>
      <c r="NSX54" s="1"/>
      <c r="NSY54" s="1"/>
      <c r="NSZ54" s="1"/>
      <c r="NTA54" s="1"/>
      <c r="NTB54" s="1"/>
      <c r="NTC54" s="1"/>
      <c r="NTD54" s="1"/>
      <c r="NTE54" s="1"/>
      <c r="NTF54" s="1"/>
      <c r="NTG54" s="1"/>
      <c r="NTH54" s="1"/>
      <c r="NTI54" s="1"/>
      <c r="NTJ54" s="1"/>
      <c r="NTK54" s="1"/>
      <c r="NTL54" s="1"/>
      <c r="NTM54" s="1"/>
      <c r="NTN54" s="1"/>
      <c r="NTO54" s="1"/>
      <c r="NTP54" s="1"/>
      <c r="NTQ54" s="1"/>
      <c r="NTR54" s="1"/>
      <c r="NTS54" s="1"/>
      <c r="NTT54" s="1"/>
      <c r="NTU54" s="1"/>
      <c r="NTV54" s="1"/>
      <c r="NTW54" s="1"/>
      <c r="NTX54" s="1"/>
      <c r="NTY54" s="1"/>
      <c r="NTZ54" s="1"/>
      <c r="NUA54" s="1"/>
      <c r="NUB54" s="1"/>
      <c r="NUC54" s="1"/>
      <c r="NUD54" s="1"/>
      <c r="NUE54" s="1"/>
      <c r="NUF54" s="1"/>
      <c r="NUG54" s="1"/>
      <c r="NUH54" s="1"/>
      <c r="NUI54" s="1"/>
      <c r="NUJ54" s="1"/>
      <c r="NUK54" s="1"/>
      <c r="NUL54" s="1"/>
      <c r="NUM54" s="1"/>
      <c r="NUN54" s="1"/>
      <c r="NUO54" s="1"/>
      <c r="NUP54" s="1"/>
      <c r="NUQ54" s="1"/>
      <c r="NUR54" s="1"/>
      <c r="NUS54" s="1"/>
      <c r="NUT54" s="1"/>
      <c r="NUU54" s="1"/>
      <c r="NUV54" s="1"/>
      <c r="NUW54" s="1"/>
      <c r="NUX54" s="1"/>
      <c r="NUY54" s="1"/>
      <c r="NUZ54" s="1"/>
      <c r="NVA54" s="1"/>
      <c r="NVB54" s="1"/>
      <c r="NVC54" s="1"/>
      <c r="NVD54" s="1"/>
      <c r="NVE54" s="1"/>
      <c r="NVF54" s="1"/>
      <c r="NVG54" s="1"/>
      <c r="NVH54" s="1"/>
      <c r="NVI54" s="1"/>
      <c r="NVJ54" s="1"/>
      <c r="NVK54" s="1"/>
      <c r="NVL54" s="1"/>
      <c r="NVM54" s="1"/>
      <c r="NVN54" s="1"/>
      <c r="NVO54" s="1"/>
      <c r="NVP54" s="1"/>
      <c r="NVQ54" s="1"/>
      <c r="NVR54" s="1"/>
      <c r="NVS54" s="1"/>
      <c r="NVT54" s="1"/>
      <c r="NVU54" s="1"/>
      <c r="NVV54" s="1"/>
      <c r="NVW54" s="1"/>
      <c r="NVX54" s="1"/>
      <c r="NVY54" s="1"/>
      <c r="NVZ54" s="1"/>
      <c r="NWA54" s="1"/>
      <c r="NWB54" s="1"/>
      <c r="NWC54" s="1"/>
      <c r="NWD54" s="1"/>
      <c r="NWE54" s="1"/>
      <c r="NWF54" s="1"/>
      <c r="NWG54" s="1"/>
      <c r="NWH54" s="1"/>
      <c r="NWI54" s="1"/>
      <c r="NWJ54" s="1"/>
      <c r="NWK54" s="1"/>
      <c r="NWL54" s="1"/>
      <c r="NWM54" s="1"/>
      <c r="NWN54" s="1"/>
      <c r="NWO54" s="1"/>
      <c r="NWP54" s="1"/>
      <c r="NWQ54" s="1"/>
      <c r="NWR54" s="1"/>
      <c r="NWS54" s="1"/>
      <c r="NWT54" s="1"/>
      <c r="NWU54" s="1"/>
      <c r="NWV54" s="1"/>
      <c r="NWW54" s="1"/>
      <c r="NWX54" s="1"/>
      <c r="NWY54" s="1"/>
      <c r="NWZ54" s="1"/>
      <c r="NXA54" s="1"/>
      <c r="NXB54" s="1"/>
      <c r="NXC54" s="1"/>
      <c r="NXD54" s="1"/>
      <c r="NXE54" s="1"/>
      <c r="NXF54" s="1"/>
      <c r="NXG54" s="1"/>
      <c r="NXH54" s="1"/>
      <c r="NXI54" s="1"/>
      <c r="NXJ54" s="1"/>
      <c r="NXK54" s="1"/>
      <c r="NXL54" s="1"/>
      <c r="NXM54" s="1"/>
      <c r="NXN54" s="1"/>
      <c r="NXO54" s="1"/>
      <c r="NXP54" s="1"/>
      <c r="NXQ54" s="1"/>
      <c r="NXR54" s="1"/>
      <c r="NXS54" s="1"/>
      <c r="NXT54" s="1"/>
      <c r="NXU54" s="1"/>
      <c r="NXV54" s="1"/>
      <c r="NXW54" s="1"/>
      <c r="NXX54" s="1"/>
      <c r="NXY54" s="1"/>
      <c r="NXZ54" s="1"/>
      <c r="NYA54" s="1"/>
      <c r="NYB54" s="1"/>
      <c r="NYC54" s="1"/>
      <c r="NYD54" s="1"/>
      <c r="NYE54" s="1"/>
      <c r="NYF54" s="1"/>
      <c r="NYG54" s="1"/>
      <c r="NYH54" s="1"/>
      <c r="NYI54" s="1"/>
      <c r="NYJ54" s="1"/>
      <c r="NYK54" s="1"/>
      <c r="NYL54" s="1"/>
      <c r="NYM54" s="1"/>
      <c r="NYN54" s="1"/>
      <c r="NYO54" s="1"/>
      <c r="NYP54" s="1"/>
      <c r="NYQ54" s="1"/>
      <c r="NYR54" s="1"/>
      <c r="NYS54" s="1"/>
      <c r="NYT54" s="1"/>
      <c r="NYU54" s="1"/>
      <c r="NYV54" s="1"/>
      <c r="NYW54" s="1"/>
      <c r="NYX54" s="1"/>
      <c r="NYY54" s="1"/>
      <c r="NYZ54" s="1"/>
      <c r="NZA54" s="1"/>
      <c r="NZB54" s="1"/>
      <c r="NZC54" s="1"/>
      <c r="NZD54" s="1"/>
      <c r="NZE54" s="1"/>
      <c r="NZF54" s="1"/>
      <c r="NZG54" s="1"/>
      <c r="NZH54" s="1"/>
      <c r="NZI54" s="1"/>
      <c r="NZJ54" s="1"/>
      <c r="NZK54" s="1"/>
      <c r="NZL54" s="1"/>
      <c r="NZM54" s="1"/>
      <c r="NZN54" s="1"/>
      <c r="NZO54" s="1"/>
      <c r="NZP54" s="1"/>
      <c r="NZQ54" s="1"/>
      <c r="NZR54" s="1"/>
      <c r="NZS54" s="1"/>
      <c r="NZT54" s="1"/>
      <c r="NZU54" s="1"/>
      <c r="NZV54" s="1"/>
      <c r="NZW54" s="1"/>
      <c r="NZX54" s="1"/>
      <c r="NZY54" s="1"/>
      <c r="NZZ54" s="1"/>
      <c r="OAA54" s="1"/>
      <c r="OAB54" s="1"/>
      <c r="OAC54" s="1"/>
      <c r="OAD54" s="1"/>
      <c r="OAE54" s="1"/>
      <c r="OAF54" s="1"/>
      <c r="OAG54" s="1"/>
      <c r="OAH54" s="1"/>
      <c r="OAI54" s="1"/>
      <c r="OAJ54" s="1"/>
      <c r="OAK54" s="1"/>
      <c r="OAL54" s="1"/>
      <c r="OAM54" s="1"/>
      <c r="OAN54" s="1"/>
      <c r="OAO54" s="1"/>
      <c r="OAP54" s="1"/>
      <c r="OAQ54" s="1"/>
      <c r="OAR54" s="1"/>
      <c r="OAS54" s="1"/>
      <c r="OAT54" s="1"/>
      <c r="OAU54" s="1"/>
      <c r="OAV54" s="1"/>
      <c r="OAW54" s="1"/>
      <c r="OAX54" s="1"/>
      <c r="OAY54" s="1"/>
      <c r="OAZ54" s="1"/>
      <c r="OBA54" s="1"/>
      <c r="OBB54" s="1"/>
      <c r="OBC54" s="1"/>
      <c r="OBD54" s="1"/>
      <c r="OBE54" s="1"/>
      <c r="OBF54" s="1"/>
      <c r="OBG54" s="1"/>
      <c r="OBH54" s="1"/>
      <c r="OBI54" s="1"/>
      <c r="OBJ54" s="1"/>
      <c r="OBK54" s="1"/>
      <c r="OBL54" s="1"/>
      <c r="OBM54" s="1"/>
      <c r="OBN54" s="1"/>
      <c r="OBO54" s="1"/>
      <c r="OBP54" s="1"/>
      <c r="OBQ54" s="1"/>
      <c r="OBR54" s="1"/>
      <c r="OBS54" s="1"/>
      <c r="OBT54" s="1"/>
      <c r="OBU54" s="1"/>
      <c r="OBV54" s="1"/>
      <c r="OBW54" s="1"/>
      <c r="OBX54" s="1"/>
      <c r="OBY54" s="1"/>
      <c r="OBZ54" s="1"/>
      <c r="OCA54" s="1"/>
      <c r="OCB54" s="1"/>
      <c r="OCC54" s="1"/>
      <c r="OCD54" s="1"/>
      <c r="OCE54" s="1"/>
      <c r="OCF54" s="1"/>
      <c r="OCG54" s="1"/>
      <c r="OCH54" s="1"/>
      <c r="OCI54" s="1"/>
      <c r="OCJ54" s="1"/>
      <c r="OCK54" s="1"/>
      <c r="OCL54" s="1"/>
      <c r="OCM54" s="1"/>
      <c r="OCN54" s="1"/>
      <c r="OCO54" s="1"/>
      <c r="OCP54" s="1"/>
      <c r="OCQ54" s="1"/>
      <c r="OCR54" s="1"/>
      <c r="OCS54" s="1"/>
      <c r="OCT54" s="1"/>
      <c r="OCU54" s="1"/>
      <c r="OCV54" s="1"/>
      <c r="OCW54" s="1"/>
      <c r="OCX54" s="1"/>
      <c r="OCY54" s="1"/>
      <c r="OCZ54" s="1"/>
      <c r="ODA54" s="1"/>
      <c r="ODB54" s="1"/>
      <c r="ODC54" s="1"/>
      <c r="ODD54" s="1"/>
      <c r="ODE54" s="1"/>
      <c r="ODF54" s="1"/>
      <c r="ODG54" s="1"/>
      <c r="ODH54" s="1"/>
      <c r="ODI54" s="1"/>
      <c r="ODJ54" s="1"/>
      <c r="ODK54" s="1"/>
      <c r="ODL54" s="1"/>
      <c r="ODM54" s="1"/>
      <c r="ODN54" s="1"/>
      <c r="ODO54" s="1"/>
      <c r="ODP54" s="1"/>
      <c r="ODQ54" s="1"/>
      <c r="ODR54" s="1"/>
      <c r="ODS54" s="1"/>
      <c r="ODT54" s="1"/>
      <c r="ODU54" s="1"/>
      <c r="ODV54" s="1"/>
      <c r="ODW54" s="1"/>
      <c r="ODX54" s="1"/>
      <c r="ODY54" s="1"/>
      <c r="ODZ54" s="1"/>
      <c r="OEA54" s="1"/>
      <c r="OEB54" s="1"/>
      <c r="OEC54" s="1"/>
      <c r="OED54" s="1"/>
      <c r="OEE54" s="1"/>
      <c r="OEF54" s="1"/>
      <c r="OEG54" s="1"/>
      <c r="OEH54" s="1"/>
      <c r="OEI54" s="1"/>
      <c r="OEJ54" s="1"/>
      <c r="OEK54" s="1"/>
      <c r="OEL54" s="1"/>
      <c r="OEM54" s="1"/>
      <c r="OEN54" s="1"/>
      <c r="OEO54" s="1"/>
      <c r="OEP54" s="1"/>
      <c r="OEQ54" s="1"/>
      <c r="OER54" s="1"/>
      <c r="OES54" s="1"/>
      <c r="OET54" s="1"/>
      <c r="OEU54" s="1"/>
      <c r="OEV54" s="1"/>
      <c r="OEW54" s="1"/>
      <c r="OEX54" s="1"/>
      <c r="OEY54" s="1"/>
      <c r="OEZ54" s="1"/>
      <c r="OFA54" s="1"/>
      <c r="OFB54" s="1"/>
      <c r="OFC54" s="1"/>
      <c r="OFD54" s="1"/>
      <c r="OFE54" s="1"/>
      <c r="OFF54" s="1"/>
      <c r="OFG54" s="1"/>
      <c r="OFH54" s="1"/>
      <c r="OFI54" s="1"/>
      <c r="OFJ54" s="1"/>
      <c r="OFK54" s="1"/>
      <c r="OFL54" s="1"/>
      <c r="OFM54" s="1"/>
      <c r="OFN54" s="1"/>
      <c r="OFO54" s="1"/>
      <c r="OFP54" s="1"/>
      <c r="OFQ54" s="1"/>
      <c r="OFR54" s="1"/>
      <c r="OFS54" s="1"/>
      <c r="OFT54" s="1"/>
      <c r="OFU54" s="1"/>
      <c r="OFV54" s="1"/>
      <c r="OFW54" s="1"/>
      <c r="OFX54" s="1"/>
      <c r="OFY54" s="1"/>
      <c r="OFZ54" s="1"/>
      <c r="OGA54" s="1"/>
      <c r="OGB54" s="1"/>
      <c r="OGC54" s="1"/>
      <c r="OGD54" s="1"/>
      <c r="OGE54" s="1"/>
      <c r="OGF54" s="1"/>
      <c r="OGG54" s="1"/>
      <c r="OGH54" s="1"/>
      <c r="OGI54" s="1"/>
      <c r="OGJ54" s="1"/>
      <c r="OGK54" s="1"/>
      <c r="OGL54" s="1"/>
      <c r="OGM54" s="1"/>
      <c r="OGN54" s="1"/>
      <c r="OGO54" s="1"/>
      <c r="OGP54" s="1"/>
      <c r="OGQ54" s="1"/>
      <c r="OGR54" s="1"/>
      <c r="OGS54" s="1"/>
      <c r="OGT54" s="1"/>
      <c r="OGU54" s="1"/>
      <c r="OGV54" s="1"/>
      <c r="OGW54" s="1"/>
      <c r="OGX54" s="1"/>
      <c r="OGY54" s="1"/>
      <c r="OGZ54" s="1"/>
      <c r="OHA54" s="1"/>
      <c r="OHB54" s="1"/>
      <c r="OHC54" s="1"/>
      <c r="OHD54" s="1"/>
      <c r="OHE54" s="1"/>
      <c r="OHF54" s="1"/>
      <c r="OHG54" s="1"/>
      <c r="OHH54" s="1"/>
      <c r="OHI54" s="1"/>
      <c r="OHJ54" s="1"/>
      <c r="OHK54" s="1"/>
      <c r="OHL54" s="1"/>
      <c r="OHM54" s="1"/>
      <c r="OHN54" s="1"/>
      <c r="OHO54" s="1"/>
      <c r="OHP54" s="1"/>
      <c r="OHQ54" s="1"/>
      <c r="OHR54" s="1"/>
      <c r="OHS54" s="1"/>
      <c r="OHT54" s="1"/>
      <c r="OHU54" s="1"/>
      <c r="OHV54" s="1"/>
      <c r="OHW54" s="1"/>
      <c r="OHX54" s="1"/>
      <c r="OHY54" s="1"/>
      <c r="OHZ54" s="1"/>
      <c r="OIA54" s="1"/>
      <c r="OIB54" s="1"/>
      <c r="OIC54" s="1"/>
      <c r="OID54" s="1"/>
      <c r="OIE54" s="1"/>
      <c r="OIF54" s="1"/>
      <c r="OIG54" s="1"/>
      <c r="OIH54" s="1"/>
      <c r="OII54" s="1"/>
      <c r="OIJ54" s="1"/>
      <c r="OIK54" s="1"/>
      <c r="OIL54" s="1"/>
      <c r="OIM54" s="1"/>
      <c r="OIN54" s="1"/>
      <c r="OIO54" s="1"/>
      <c r="OIP54" s="1"/>
      <c r="OIQ54" s="1"/>
      <c r="OIR54" s="1"/>
      <c r="OIS54" s="1"/>
      <c r="OIT54" s="1"/>
      <c r="OIU54" s="1"/>
      <c r="OIV54" s="1"/>
      <c r="OIW54" s="1"/>
      <c r="OIX54" s="1"/>
      <c r="OIY54" s="1"/>
      <c r="OIZ54" s="1"/>
      <c r="OJA54" s="1"/>
      <c r="OJB54" s="1"/>
      <c r="OJC54" s="1"/>
      <c r="OJD54" s="1"/>
      <c r="OJE54" s="1"/>
      <c r="OJF54" s="1"/>
      <c r="OJG54" s="1"/>
      <c r="OJH54" s="1"/>
      <c r="OJI54" s="1"/>
      <c r="OJJ54" s="1"/>
      <c r="OJK54" s="1"/>
      <c r="OJL54" s="1"/>
      <c r="OJM54" s="1"/>
      <c r="OJN54" s="1"/>
      <c r="OJO54" s="1"/>
      <c r="OJP54" s="1"/>
      <c r="OJQ54" s="1"/>
      <c r="OJR54" s="1"/>
      <c r="OJS54" s="1"/>
      <c r="OJT54" s="1"/>
      <c r="OJU54" s="1"/>
      <c r="OJV54" s="1"/>
      <c r="OJW54" s="1"/>
      <c r="OJX54" s="1"/>
      <c r="OJY54" s="1"/>
      <c r="OJZ54" s="1"/>
      <c r="OKA54" s="1"/>
      <c r="OKB54" s="1"/>
      <c r="OKC54" s="1"/>
      <c r="OKD54" s="1"/>
      <c r="OKE54" s="1"/>
      <c r="OKF54" s="1"/>
      <c r="OKG54" s="1"/>
      <c r="OKH54" s="1"/>
      <c r="OKI54" s="1"/>
      <c r="OKJ54" s="1"/>
      <c r="OKK54" s="1"/>
      <c r="OKL54" s="1"/>
      <c r="OKM54" s="1"/>
      <c r="OKN54" s="1"/>
      <c r="OKO54" s="1"/>
      <c r="OKP54" s="1"/>
      <c r="OKQ54" s="1"/>
      <c r="OKR54" s="1"/>
      <c r="OKS54" s="1"/>
      <c r="OKT54" s="1"/>
      <c r="OKU54" s="1"/>
      <c r="OKV54" s="1"/>
      <c r="OKW54" s="1"/>
      <c r="OKX54" s="1"/>
      <c r="OKY54" s="1"/>
      <c r="OKZ54" s="1"/>
      <c r="OLA54" s="1"/>
      <c r="OLB54" s="1"/>
      <c r="OLC54" s="1"/>
      <c r="OLD54" s="1"/>
      <c r="OLE54" s="1"/>
      <c r="OLF54" s="1"/>
      <c r="OLG54" s="1"/>
      <c r="OLH54" s="1"/>
      <c r="OLI54" s="1"/>
      <c r="OLJ54" s="1"/>
      <c r="OLK54" s="1"/>
      <c r="OLL54" s="1"/>
      <c r="OLM54" s="1"/>
      <c r="OLN54" s="1"/>
      <c r="OLO54" s="1"/>
      <c r="OLP54" s="1"/>
      <c r="OLQ54" s="1"/>
      <c r="OLR54" s="1"/>
      <c r="OLS54" s="1"/>
      <c r="OLT54" s="1"/>
      <c r="OLU54" s="1"/>
      <c r="OLV54" s="1"/>
      <c r="OLW54" s="1"/>
      <c r="OLX54" s="1"/>
      <c r="OLY54" s="1"/>
      <c r="OLZ54" s="1"/>
      <c r="OMA54" s="1"/>
      <c r="OMB54" s="1"/>
      <c r="OMC54" s="1"/>
      <c r="OMD54" s="1"/>
      <c r="OME54" s="1"/>
      <c r="OMF54" s="1"/>
      <c r="OMG54" s="1"/>
      <c r="OMH54" s="1"/>
      <c r="OMI54" s="1"/>
      <c r="OMJ54" s="1"/>
      <c r="OMK54" s="1"/>
      <c r="OML54" s="1"/>
      <c r="OMM54" s="1"/>
      <c r="OMN54" s="1"/>
      <c r="OMO54" s="1"/>
      <c r="OMP54" s="1"/>
      <c r="OMQ54" s="1"/>
      <c r="OMR54" s="1"/>
      <c r="OMS54" s="1"/>
      <c r="OMT54" s="1"/>
      <c r="OMU54" s="1"/>
      <c r="OMV54" s="1"/>
      <c r="OMW54" s="1"/>
      <c r="OMX54" s="1"/>
      <c r="OMY54" s="1"/>
      <c r="OMZ54" s="1"/>
      <c r="ONA54" s="1"/>
      <c r="ONB54" s="1"/>
      <c r="ONC54" s="1"/>
      <c r="OND54" s="1"/>
      <c r="ONE54" s="1"/>
      <c r="ONF54" s="1"/>
      <c r="ONG54" s="1"/>
      <c r="ONH54" s="1"/>
      <c r="ONI54" s="1"/>
      <c r="ONJ54" s="1"/>
      <c r="ONK54" s="1"/>
      <c r="ONL54" s="1"/>
      <c r="ONM54" s="1"/>
      <c r="ONN54" s="1"/>
      <c r="ONO54" s="1"/>
      <c r="ONP54" s="1"/>
      <c r="ONQ54" s="1"/>
      <c r="ONR54" s="1"/>
      <c r="ONS54" s="1"/>
      <c r="ONT54" s="1"/>
      <c r="ONU54" s="1"/>
      <c r="ONV54" s="1"/>
      <c r="ONW54" s="1"/>
      <c r="ONX54" s="1"/>
      <c r="ONY54" s="1"/>
      <c r="ONZ54" s="1"/>
      <c r="OOA54" s="1"/>
      <c r="OOB54" s="1"/>
      <c r="OOC54" s="1"/>
      <c r="OOD54" s="1"/>
      <c r="OOE54" s="1"/>
      <c r="OOF54" s="1"/>
      <c r="OOG54" s="1"/>
      <c r="OOH54" s="1"/>
      <c r="OOI54" s="1"/>
      <c r="OOJ54" s="1"/>
      <c r="OOK54" s="1"/>
      <c r="OOL54" s="1"/>
      <c r="OOM54" s="1"/>
      <c r="OON54" s="1"/>
      <c r="OOO54" s="1"/>
      <c r="OOP54" s="1"/>
      <c r="OOQ54" s="1"/>
      <c r="OOR54" s="1"/>
      <c r="OOS54" s="1"/>
      <c r="OOT54" s="1"/>
      <c r="OOU54" s="1"/>
      <c r="OOV54" s="1"/>
      <c r="OOW54" s="1"/>
      <c r="OOX54" s="1"/>
      <c r="OOY54" s="1"/>
      <c r="OOZ54" s="1"/>
      <c r="OPA54" s="1"/>
      <c r="OPB54" s="1"/>
      <c r="OPC54" s="1"/>
      <c r="OPD54" s="1"/>
      <c r="OPE54" s="1"/>
      <c r="OPF54" s="1"/>
      <c r="OPG54" s="1"/>
      <c r="OPH54" s="1"/>
      <c r="OPI54" s="1"/>
      <c r="OPJ54" s="1"/>
      <c r="OPK54" s="1"/>
      <c r="OPL54" s="1"/>
      <c r="OPM54" s="1"/>
      <c r="OPN54" s="1"/>
      <c r="OPO54" s="1"/>
      <c r="OPP54" s="1"/>
      <c r="OPQ54" s="1"/>
      <c r="OPR54" s="1"/>
      <c r="OPS54" s="1"/>
      <c r="OPT54" s="1"/>
      <c r="OPU54" s="1"/>
      <c r="OPV54" s="1"/>
      <c r="OPW54" s="1"/>
      <c r="OPX54" s="1"/>
      <c r="OPY54" s="1"/>
      <c r="OPZ54" s="1"/>
      <c r="OQA54" s="1"/>
      <c r="OQB54" s="1"/>
      <c r="OQC54" s="1"/>
      <c r="OQD54" s="1"/>
      <c r="OQE54" s="1"/>
      <c r="OQF54" s="1"/>
      <c r="OQG54" s="1"/>
      <c r="OQH54" s="1"/>
      <c r="OQI54" s="1"/>
      <c r="OQJ54" s="1"/>
      <c r="OQK54" s="1"/>
      <c r="OQL54" s="1"/>
      <c r="OQM54" s="1"/>
      <c r="OQN54" s="1"/>
      <c r="OQO54" s="1"/>
      <c r="OQP54" s="1"/>
      <c r="OQQ54" s="1"/>
      <c r="OQR54" s="1"/>
      <c r="OQS54" s="1"/>
      <c r="OQT54" s="1"/>
      <c r="OQU54" s="1"/>
      <c r="OQV54" s="1"/>
      <c r="OQW54" s="1"/>
      <c r="OQX54" s="1"/>
      <c r="OQY54" s="1"/>
      <c r="OQZ54" s="1"/>
      <c r="ORA54" s="1"/>
      <c r="ORB54" s="1"/>
      <c r="ORC54" s="1"/>
      <c r="ORD54" s="1"/>
      <c r="ORE54" s="1"/>
      <c r="ORF54" s="1"/>
      <c r="ORG54" s="1"/>
      <c r="ORH54" s="1"/>
      <c r="ORI54" s="1"/>
      <c r="ORJ54" s="1"/>
      <c r="ORK54" s="1"/>
      <c r="ORL54" s="1"/>
      <c r="ORM54" s="1"/>
      <c r="ORN54" s="1"/>
      <c r="ORO54" s="1"/>
      <c r="ORP54" s="1"/>
      <c r="ORQ54" s="1"/>
      <c r="ORR54" s="1"/>
      <c r="ORS54" s="1"/>
      <c r="ORT54" s="1"/>
      <c r="ORU54" s="1"/>
      <c r="ORV54" s="1"/>
      <c r="ORW54" s="1"/>
      <c r="ORX54" s="1"/>
      <c r="ORY54" s="1"/>
      <c r="ORZ54" s="1"/>
      <c r="OSA54" s="1"/>
      <c r="OSB54" s="1"/>
      <c r="OSC54" s="1"/>
      <c r="OSD54" s="1"/>
      <c r="OSE54" s="1"/>
      <c r="OSF54" s="1"/>
      <c r="OSG54" s="1"/>
      <c r="OSH54" s="1"/>
      <c r="OSI54" s="1"/>
      <c r="OSJ54" s="1"/>
      <c r="OSK54" s="1"/>
      <c r="OSL54" s="1"/>
      <c r="OSM54" s="1"/>
      <c r="OSN54" s="1"/>
      <c r="OSO54" s="1"/>
      <c r="OSP54" s="1"/>
      <c r="OSQ54" s="1"/>
      <c r="OSR54" s="1"/>
      <c r="OSS54" s="1"/>
      <c r="OST54" s="1"/>
      <c r="OSU54" s="1"/>
      <c r="OSV54" s="1"/>
      <c r="OSW54" s="1"/>
      <c r="OSX54" s="1"/>
      <c r="OSY54" s="1"/>
      <c r="OSZ54" s="1"/>
      <c r="OTA54" s="1"/>
      <c r="OTB54" s="1"/>
      <c r="OTC54" s="1"/>
      <c r="OTD54" s="1"/>
      <c r="OTE54" s="1"/>
      <c r="OTF54" s="1"/>
      <c r="OTG54" s="1"/>
      <c r="OTH54" s="1"/>
      <c r="OTI54" s="1"/>
      <c r="OTJ54" s="1"/>
      <c r="OTK54" s="1"/>
      <c r="OTL54" s="1"/>
      <c r="OTM54" s="1"/>
      <c r="OTN54" s="1"/>
      <c r="OTO54" s="1"/>
      <c r="OTP54" s="1"/>
      <c r="OTQ54" s="1"/>
      <c r="OTR54" s="1"/>
      <c r="OTS54" s="1"/>
      <c r="OTT54" s="1"/>
      <c r="OTU54" s="1"/>
      <c r="OTV54" s="1"/>
      <c r="OTW54" s="1"/>
      <c r="OTX54" s="1"/>
      <c r="OTY54" s="1"/>
      <c r="OTZ54" s="1"/>
      <c r="OUA54" s="1"/>
      <c r="OUB54" s="1"/>
      <c r="OUC54" s="1"/>
      <c r="OUD54" s="1"/>
      <c r="OUE54" s="1"/>
      <c r="OUF54" s="1"/>
      <c r="OUG54" s="1"/>
      <c r="OUH54" s="1"/>
      <c r="OUI54" s="1"/>
      <c r="OUJ54" s="1"/>
      <c r="OUK54" s="1"/>
      <c r="OUL54" s="1"/>
      <c r="OUM54" s="1"/>
      <c r="OUN54" s="1"/>
      <c r="OUO54" s="1"/>
      <c r="OUP54" s="1"/>
      <c r="OUQ54" s="1"/>
      <c r="OUR54" s="1"/>
      <c r="OUS54" s="1"/>
      <c r="OUT54" s="1"/>
      <c r="OUU54" s="1"/>
      <c r="OUV54" s="1"/>
      <c r="OUW54" s="1"/>
      <c r="OUX54" s="1"/>
      <c r="OUY54" s="1"/>
      <c r="OUZ54" s="1"/>
      <c r="OVA54" s="1"/>
      <c r="OVB54" s="1"/>
      <c r="OVC54" s="1"/>
      <c r="OVD54" s="1"/>
      <c r="OVE54" s="1"/>
      <c r="OVF54" s="1"/>
      <c r="OVG54" s="1"/>
      <c r="OVH54" s="1"/>
      <c r="OVI54" s="1"/>
      <c r="OVJ54" s="1"/>
      <c r="OVK54" s="1"/>
      <c r="OVL54" s="1"/>
      <c r="OVM54" s="1"/>
      <c r="OVN54" s="1"/>
      <c r="OVO54" s="1"/>
      <c r="OVP54" s="1"/>
      <c r="OVQ54" s="1"/>
      <c r="OVR54" s="1"/>
      <c r="OVS54" s="1"/>
      <c r="OVT54" s="1"/>
      <c r="OVU54" s="1"/>
      <c r="OVV54" s="1"/>
      <c r="OVW54" s="1"/>
      <c r="OVX54" s="1"/>
      <c r="OVY54" s="1"/>
      <c r="OVZ54" s="1"/>
      <c r="OWA54" s="1"/>
      <c r="OWB54" s="1"/>
      <c r="OWC54" s="1"/>
      <c r="OWD54" s="1"/>
      <c r="OWE54" s="1"/>
      <c r="OWF54" s="1"/>
      <c r="OWG54" s="1"/>
      <c r="OWH54" s="1"/>
      <c r="OWI54" s="1"/>
      <c r="OWJ54" s="1"/>
      <c r="OWK54" s="1"/>
      <c r="OWL54" s="1"/>
      <c r="OWM54" s="1"/>
      <c r="OWN54" s="1"/>
      <c r="OWO54" s="1"/>
      <c r="OWP54" s="1"/>
      <c r="OWQ54" s="1"/>
      <c r="OWR54" s="1"/>
      <c r="OWS54" s="1"/>
      <c r="OWT54" s="1"/>
      <c r="OWU54" s="1"/>
      <c r="OWV54" s="1"/>
      <c r="OWW54" s="1"/>
      <c r="OWX54" s="1"/>
      <c r="OWY54" s="1"/>
      <c r="OWZ54" s="1"/>
      <c r="OXA54" s="1"/>
      <c r="OXB54" s="1"/>
      <c r="OXC54" s="1"/>
      <c r="OXD54" s="1"/>
      <c r="OXE54" s="1"/>
      <c r="OXF54" s="1"/>
      <c r="OXG54" s="1"/>
      <c r="OXH54" s="1"/>
      <c r="OXI54" s="1"/>
      <c r="OXJ54" s="1"/>
      <c r="OXK54" s="1"/>
      <c r="OXL54" s="1"/>
      <c r="OXM54" s="1"/>
      <c r="OXN54" s="1"/>
      <c r="OXO54" s="1"/>
      <c r="OXP54" s="1"/>
      <c r="OXQ54" s="1"/>
      <c r="OXR54" s="1"/>
      <c r="OXS54" s="1"/>
      <c r="OXT54" s="1"/>
      <c r="OXU54" s="1"/>
      <c r="OXV54" s="1"/>
      <c r="OXW54" s="1"/>
      <c r="OXX54" s="1"/>
      <c r="OXY54" s="1"/>
      <c r="OXZ54" s="1"/>
      <c r="OYA54" s="1"/>
      <c r="OYB54" s="1"/>
      <c r="OYC54" s="1"/>
      <c r="OYD54" s="1"/>
      <c r="OYE54" s="1"/>
      <c r="OYF54" s="1"/>
      <c r="OYG54" s="1"/>
      <c r="OYH54" s="1"/>
      <c r="OYI54" s="1"/>
      <c r="OYJ54" s="1"/>
      <c r="OYK54" s="1"/>
      <c r="OYL54" s="1"/>
      <c r="OYM54" s="1"/>
      <c r="OYN54" s="1"/>
      <c r="OYO54" s="1"/>
      <c r="OYP54" s="1"/>
      <c r="OYQ54" s="1"/>
      <c r="OYR54" s="1"/>
      <c r="OYS54" s="1"/>
      <c r="OYT54" s="1"/>
      <c r="OYU54" s="1"/>
      <c r="OYV54" s="1"/>
      <c r="OYW54" s="1"/>
      <c r="OYX54" s="1"/>
      <c r="OYY54" s="1"/>
      <c r="OYZ54" s="1"/>
      <c r="OZA54" s="1"/>
      <c r="OZB54" s="1"/>
      <c r="OZC54" s="1"/>
      <c r="OZD54" s="1"/>
      <c r="OZE54" s="1"/>
      <c r="OZF54" s="1"/>
      <c r="OZG54" s="1"/>
      <c r="OZH54" s="1"/>
      <c r="OZI54" s="1"/>
      <c r="OZJ54" s="1"/>
      <c r="OZK54" s="1"/>
      <c r="OZL54" s="1"/>
      <c r="OZM54" s="1"/>
      <c r="OZN54" s="1"/>
      <c r="OZO54" s="1"/>
      <c r="OZP54" s="1"/>
      <c r="OZQ54" s="1"/>
      <c r="OZR54" s="1"/>
      <c r="OZS54" s="1"/>
      <c r="OZT54" s="1"/>
      <c r="OZU54" s="1"/>
      <c r="OZV54" s="1"/>
      <c r="OZW54" s="1"/>
      <c r="OZX54" s="1"/>
      <c r="OZY54" s="1"/>
      <c r="OZZ54" s="1"/>
      <c r="PAA54" s="1"/>
      <c r="PAB54" s="1"/>
      <c r="PAC54" s="1"/>
      <c r="PAD54" s="1"/>
      <c r="PAE54" s="1"/>
      <c r="PAF54" s="1"/>
      <c r="PAG54" s="1"/>
      <c r="PAH54" s="1"/>
      <c r="PAI54" s="1"/>
      <c r="PAJ54" s="1"/>
      <c r="PAK54" s="1"/>
      <c r="PAL54" s="1"/>
      <c r="PAM54" s="1"/>
      <c r="PAN54" s="1"/>
      <c r="PAO54" s="1"/>
      <c r="PAP54" s="1"/>
      <c r="PAQ54" s="1"/>
      <c r="PAR54" s="1"/>
      <c r="PAS54" s="1"/>
      <c r="PAT54" s="1"/>
      <c r="PAU54" s="1"/>
      <c r="PAV54" s="1"/>
      <c r="PAW54" s="1"/>
      <c r="PAX54" s="1"/>
      <c r="PAY54" s="1"/>
      <c r="PAZ54" s="1"/>
      <c r="PBA54" s="1"/>
      <c r="PBB54" s="1"/>
      <c r="PBC54" s="1"/>
      <c r="PBD54" s="1"/>
      <c r="PBE54" s="1"/>
      <c r="PBF54" s="1"/>
      <c r="PBG54" s="1"/>
      <c r="PBH54" s="1"/>
      <c r="PBI54" s="1"/>
      <c r="PBJ54" s="1"/>
      <c r="PBK54" s="1"/>
      <c r="PBL54" s="1"/>
      <c r="PBM54" s="1"/>
      <c r="PBN54" s="1"/>
      <c r="PBO54" s="1"/>
      <c r="PBP54" s="1"/>
      <c r="PBQ54" s="1"/>
      <c r="PBR54" s="1"/>
      <c r="PBS54" s="1"/>
      <c r="PBT54" s="1"/>
      <c r="PBU54" s="1"/>
      <c r="PBV54" s="1"/>
      <c r="PBW54" s="1"/>
      <c r="PBX54" s="1"/>
      <c r="PBY54" s="1"/>
      <c r="PBZ54" s="1"/>
      <c r="PCA54" s="1"/>
      <c r="PCB54" s="1"/>
      <c r="PCC54" s="1"/>
      <c r="PCD54" s="1"/>
      <c r="PCE54" s="1"/>
      <c r="PCF54" s="1"/>
      <c r="PCG54" s="1"/>
      <c r="PCH54" s="1"/>
      <c r="PCI54" s="1"/>
      <c r="PCJ54" s="1"/>
      <c r="PCK54" s="1"/>
      <c r="PCL54" s="1"/>
      <c r="PCM54" s="1"/>
      <c r="PCN54" s="1"/>
      <c r="PCO54" s="1"/>
      <c r="PCP54" s="1"/>
      <c r="PCQ54" s="1"/>
      <c r="PCR54" s="1"/>
      <c r="PCS54" s="1"/>
      <c r="PCT54" s="1"/>
      <c r="PCU54" s="1"/>
      <c r="PCV54" s="1"/>
      <c r="PCW54" s="1"/>
      <c r="PCX54" s="1"/>
      <c r="PCY54" s="1"/>
      <c r="PCZ54" s="1"/>
      <c r="PDA54" s="1"/>
      <c r="PDB54" s="1"/>
      <c r="PDC54" s="1"/>
      <c r="PDD54" s="1"/>
      <c r="PDE54" s="1"/>
      <c r="PDF54" s="1"/>
      <c r="PDG54" s="1"/>
      <c r="PDH54" s="1"/>
      <c r="PDI54" s="1"/>
      <c r="PDJ54" s="1"/>
      <c r="PDK54" s="1"/>
      <c r="PDL54" s="1"/>
      <c r="PDM54" s="1"/>
      <c r="PDN54" s="1"/>
      <c r="PDO54" s="1"/>
      <c r="PDP54" s="1"/>
      <c r="PDQ54" s="1"/>
      <c r="PDR54" s="1"/>
      <c r="PDS54" s="1"/>
      <c r="PDT54" s="1"/>
      <c r="PDU54" s="1"/>
      <c r="PDV54" s="1"/>
      <c r="PDW54" s="1"/>
      <c r="PDX54" s="1"/>
      <c r="PDY54" s="1"/>
      <c r="PDZ54" s="1"/>
      <c r="PEA54" s="1"/>
      <c r="PEB54" s="1"/>
      <c r="PEC54" s="1"/>
      <c r="PED54" s="1"/>
      <c r="PEE54" s="1"/>
      <c r="PEF54" s="1"/>
      <c r="PEG54" s="1"/>
      <c r="PEH54" s="1"/>
      <c r="PEI54" s="1"/>
      <c r="PEJ54" s="1"/>
      <c r="PEK54" s="1"/>
      <c r="PEL54" s="1"/>
      <c r="PEM54" s="1"/>
      <c r="PEN54" s="1"/>
      <c r="PEO54" s="1"/>
      <c r="PEP54" s="1"/>
      <c r="PEQ54" s="1"/>
      <c r="PER54" s="1"/>
      <c r="PES54" s="1"/>
      <c r="PET54" s="1"/>
      <c r="PEU54" s="1"/>
      <c r="PEV54" s="1"/>
      <c r="PEW54" s="1"/>
      <c r="PEX54" s="1"/>
      <c r="PEY54" s="1"/>
      <c r="PEZ54" s="1"/>
      <c r="PFA54" s="1"/>
      <c r="PFB54" s="1"/>
      <c r="PFC54" s="1"/>
      <c r="PFD54" s="1"/>
      <c r="PFE54" s="1"/>
      <c r="PFF54" s="1"/>
      <c r="PFG54" s="1"/>
      <c r="PFH54" s="1"/>
      <c r="PFI54" s="1"/>
      <c r="PFJ54" s="1"/>
      <c r="PFK54" s="1"/>
      <c r="PFL54" s="1"/>
      <c r="PFM54" s="1"/>
      <c r="PFN54" s="1"/>
      <c r="PFO54" s="1"/>
      <c r="PFP54" s="1"/>
      <c r="PFQ54" s="1"/>
      <c r="PFR54" s="1"/>
      <c r="PFS54" s="1"/>
      <c r="PFT54" s="1"/>
      <c r="PFU54" s="1"/>
      <c r="PFV54" s="1"/>
      <c r="PFW54" s="1"/>
      <c r="PFX54" s="1"/>
      <c r="PFY54" s="1"/>
      <c r="PFZ54" s="1"/>
      <c r="PGA54" s="1"/>
      <c r="PGB54" s="1"/>
      <c r="PGC54" s="1"/>
      <c r="PGD54" s="1"/>
      <c r="PGE54" s="1"/>
      <c r="PGF54" s="1"/>
      <c r="PGG54" s="1"/>
      <c r="PGH54" s="1"/>
      <c r="PGI54" s="1"/>
      <c r="PGJ54" s="1"/>
      <c r="PGK54" s="1"/>
      <c r="PGL54" s="1"/>
      <c r="PGM54" s="1"/>
      <c r="PGN54" s="1"/>
      <c r="PGO54" s="1"/>
      <c r="PGP54" s="1"/>
      <c r="PGQ54" s="1"/>
      <c r="PGR54" s="1"/>
      <c r="PGS54" s="1"/>
      <c r="PGT54" s="1"/>
      <c r="PGU54" s="1"/>
      <c r="PGV54" s="1"/>
      <c r="PGW54" s="1"/>
      <c r="PGX54" s="1"/>
      <c r="PGY54" s="1"/>
      <c r="PGZ54" s="1"/>
      <c r="PHA54" s="1"/>
      <c r="PHB54" s="1"/>
      <c r="PHC54" s="1"/>
      <c r="PHD54" s="1"/>
      <c r="PHE54" s="1"/>
      <c r="PHF54" s="1"/>
      <c r="PHG54" s="1"/>
      <c r="PHH54" s="1"/>
      <c r="PHI54" s="1"/>
      <c r="PHJ54" s="1"/>
      <c r="PHK54" s="1"/>
      <c r="PHL54" s="1"/>
      <c r="PHM54" s="1"/>
      <c r="PHN54" s="1"/>
      <c r="PHO54" s="1"/>
      <c r="PHP54" s="1"/>
      <c r="PHQ54" s="1"/>
      <c r="PHR54" s="1"/>
      <c r="PHS54" s="1"/>
      <c r="PHT54" s="1"/>
      <c r="PHU54" s="1"/>
      <c r="PHV54" s="1"/>
      <c r="PHW54" s="1"/>
      <c r="PHX54" s="1"/>
      <c r="PHY54" s="1"/>
      <c r="PHZ54" s="1"/>
      <c r="PIA54" s="1"/>
      <c r="PIB54" s="1"/>
      <c r="PIC54" s="1"/>
      <c r="PID54" s="1"/>
      <c r="PIE54" s="1"/>
      <c r="PIF54" s="1"/>
      <c r="PIG54" s="1"/>
      <c r="PIH54" s="1"/>
      <c r="PII54" s="1"/>
      <c r="PIJ54" s="1"/>
      <c r="PIK54" s="1"/>
      <c r="PIL54" s="1"/>
      <c r="PIM54" s="1"/>
      <c r="PIN54" s="1"/>
      <c r="PIO54" s="1"/>
      <c r="PIP54" s="1"/>
      <c r="PIQ54" s="1"/>
      <c r="PIR54" s="1"/>
      <c r="PIS54" s="1"/>
      <c r="PIT54" s="1"/>
      <c r="PIU54" s="1"/>
      <c r="PIV54" s="1"/>
      <c r="PIW54" s="1"/>
      <c r="PIX54" s="1"/>
      <c r="PIY54" s="1"/>
      <c r="PIZ54" s="1"/>
      <c r="PJA54" s="1"/>
      <c r="PJB54" s="1"/>
      <c r="PJC54" s="1"/>
      <c r="PJD54" s="1"/>
      <c r="PJE54" s="1"/>
      <c r="PJF54" s="1"/>
      <c r="PJG54" s="1"/>
      <c r="PJH54" s="1"/>
      <c r="PJI54" s="1"/>
      <c r="PJJ54" s="1"/>
      <c r="PJK54" s="1"/>
      <c r="PJL54" s="1"/>
      <c r="PJM54" s="1"/>
      <c r="PJN54" s="1"/>
      <c r="PJO54" s="1"/>
      <c r="PJP54" s="1"/>
      <c r="PJQ54" s="1"/>
      <c r="PJR54" s="1"/>
      <c r="PJS54" s="1"/>
      <c r="PJT54" s="1"/>
      <c r="PJU54" s="1"/>
      <c r="PJV54" s="1"/>
      <c r="PJW54" s="1"/>
      <c r="PJX54" s="1"/>
      <c r="PJY54" s="1"/>
      <c r="PJZ54" s="1"/>
      <c r="PKA54" s="1"/>
      <c r="PKB54" s="1"/>
      <c r="PKC54" s="1"/>
      <c r="PKD54" s="1"/>
      <c r="PKE54" s="1"/>
      <c r="PKF54" s="1"/>
      <c r="PKG54" s="1"/>
      <c r="PKH54" s="1"/>
      <c r="PKI54" s="1"/>
      <c r="PKJ54" s="1"/>
      <c r="PKK54" s="1"/>
      <c r="PKL54" s="1"/>
      <c r="PKM54" s="1"/>
      <c r="PKN54" s="1"/>
      <c r="PKO54" s="1"/>
      <c r="PKP54" s="1"/>
      <c r="PKQ54" s="1"/>
      <c r="PKR54" s="1"/>
      <c r="PKS54" s="1"/>
      <c r="PKT54" s="1"/>
      <c r="PKU54" s="1"/>
      <c r="PKV54" s="1"/>
      <c r="PKW54" s="1"/>
      <c r="PKX54" s="1"/>
      <c r="PKY54" s="1"/>
      <c r="PKZ54" s="1"/>
      <c r="PLA54" s="1"/>
      <c r="PLB54" s="1"/>
      <c r="PLC54" s="1"/>
      <c r="PLD54" s="1"/>
      <c r="PLE54" s="1"/>
      <c r="PLF54" s="1"/>
      <c r="PLG54" s="1"/>
      <c r="PLH54" s="1"/>
      <c r="PLI54" s="1"/>
      <c r="PLJ54" s="1"/>
      <c r="PLK54" s="1"/>
      <c r="PLL54" s="1"/>
      <c r="PLM54" s="1"/>
      <c r="PLN54" s="1"/>
      <c r="PLO54" s="1"/>
      <c r="PLP54" s="1"/>
      <c r="PLQ54" s="1"/>
      <c r="PLR54" s="1"/>
      <c r="PLS54" s="1"/>
      <c r="PLT54" s="1"/>
      <c r="PLU54" s="1"/>
      <c r="PLV54" s="1"/>
      <c r="PLW54" s="1"/>
      <c r="PLX54" s="1"/>
      <c r="PLY54" s="1"/>
      <c r="PLZ54" s="1"/>
      <c r="PMA54" s="1"/>
      <c r="PMB54" s="1"/>
      <c r="PMC54" s="1"/>
      <c r="PMD54" s="1"/>
      <c r="PME54" s="1"/>
      <c r="PMF54" s="1"/>
      <c r="PMG54" s="1"/>
      <c r="PMH54" s="1"/>
      <c r="PMI54" s="1"/>
      <c r="PMJ54" s="1"/>
      <c r="PMK54" s="1"/>
      <c r="PML54" s="1"/>
      <c r="PMM54" s="1"/>
      <c r="PMN54" s="1"/>
      <c r="PMO54" s="1"/>
      <c r="PMP54" s="1"/>
      <c r="PMQ54" s="1"/>
      <c r="PMR54" s="1"/>
      <c r="PMS54" s="1"/>
      <c r="PMT54" s="1"/>
      <c r="PMU54" s="1"/>
      <c r="PMV54" s="1"/>
      <c r="PMW54" s="1"/>
      <c r="PMX54" s="1"/>
      <c r="PMY54" s="1"/>
      <c r="PMZ54" s="1"/>
      <c r="PNA54" s="1"/>
      <c r="PNB54" s="1"/>
      <c r="PNC54" s="1"/>
      <c r="PND54" s="1"/>
      <c r="PNE54" s="1"/>
      <c r="PNF54" s="1"/>
      <c r="PNG54" s="1"/>
      <c r="PNH54" s="1"/>
      <c r="PNI54" s="1"/>
      <c r="PNJ54" s="1"/>
      <c r="PNK54" s="1"/>
      <c r="PNL54" s="1"/>
      <c r="PNM54" s="1"/>
      <c r="PNN54" s="1"/>
      <c r="PNO54" s="1"/>
      <c r="PNP54" s="1"/>
      <c r="PNQ54" s="1"/>
      <c r="PNR54" s="1"/>
      <c r="PNS54" s="1"/>
      <c r="PNT54" s="1"/>
      <c r="PNU54" s="1"/>
      <c r="PNV54" s="1"/>
      <c r="PNW54" s="1"/>
      <c r="PNX54" s="1"/>
      <c r="PNY54" s="1"/>
      <c r="PNZ54" s="1"/>
      <c r="POA54" s="1"/>
      <c r="POB54" s="1"/>
      <c r="POC54" s="1"/>
      <c r="POD54" s="1"/>
      <c r="POE54" s="1"/>
      <c r="POF54" s="1"/>
      <c r="POG54" s="1"/>
      <c r="POH54" s="1"/>
      <c r="POI54" s="1"/>
      <c r="POJ54" s="1"/>
      <c r="POK54" s="1"/>
      <c r="POL54" s="1"/>
      <c r="POM54" s="1"/>
      <c r="PON54" s="1"/>
      <c r="POO54" s="1"/>
      <c r="POP54" s="1"/>
      <c r="POQ54" s="1"/>
      <c r="POR54" s="1"/>
      <c r="POS54" s="1"/>
      <c r="POT54" s="1"/>
      <c r="POU54" s="1"/>
      <c r="POV54" s="1"/>
      <c r="POW54" s="1"/>
      <c r="POX54" s="1"/>
      <c r="POY54" s="1"/>
      <c r="POZ54" s="1"/>
      <c r="PPA54" s="1"/>
      <c r="PPB54" s="1"/>
      <c r="PPC54" s="1"/>
      <c r="PPD54" s="1"/>
      <c r="PPE54" s="1"/>
      <c r="PPF54" s="1"/>
      <c r="PPG54" s="1"/>
      <c r="PPH54" s="1"/>
      <c r="PPI54" s="1"/>
      <c r="PPJ54" s="1"/>
      <c r="PPK54" s="1"/>
      <c r="PPL54" s="1"/>
      <c r="PPM54" s="1"/>
      <c r="PPN54" s="1"/>
      <c r="PPO54" s="1"/>
      <c r="PPP54" s="1"/>
      <c r="PPQ54" s="1"/>
      <c r="PPR54" s="1"/>
      <c r="PPS54" s="1"/>
      <c r="PPT54" s="1"/>
      <c r="PPU54" s="1"/>
      <c r="PPV54" s="1"/>
      <c r="PPW54" s="1"/>
      <c r="PPX54" s="1"/>
      <c r="PPY54" s="1"/>
      <c r="PPZ54" s="1"/>
      <c r="PQA54" s="1"/>
      <c r="PQB54" s="1"/>
      <c r="PQC54" s="1"/>
      <c r="PQD54" s="1"/>
      <c r="PQE54" s="1"/>
      <c r="PQF54" s="1"/>
      <c r="PQG54" s="1"/>
      <c r="PQH54" s="1"/>
      <c r="PQI54" s="1"/>
      <c r="PQJ54" s="1"/>
      <c r="PQK54" s="1"/>
      <c r="PQL54" s="1"/>
      <c r="PQM54" s="1"/>
      <c r="PQN54" s="1"/>
      <c r="PQO54" s="1"/>
      <c r="PQP54" s="1"/>
      <c r="PQQ54" s="1"/>
      <c r="PQR54" s="1"/>
      <c r="PQS54" s="1"/>
      <c r="PQT54" s="1"/>
      <c r="PQU54" s="1"/>
      <c r="PQV54" s="1"/>
      <c r="PQW54" s="1"/>
      <c r="PQX54" s="1"/>
      <c r="PQY54" s="1"/>
      <c r="PQZ54" s="1"/>
      <c r="PRA54" s="1"/>
      <c r="PRB54" s="1"/>
      <c r="PRC54" s="1"/>
      <c r="PRD54" s="1"/>
      <c r="PRE54" s="1"/>
      <c r="PRF54" s="1"/>
      <c r="PRG54" s="1"/>
      <c r="PRH54" s="1"/>
      <c r="PRI54" s="1"/>
      <c r="PRJ54" s="1"/>
      <c r="PRK54" s="1"/>
      <c r="PRL54" s="1"/>
      <c r="PRM54" s="1"/>
      <c r="PRN54" s="1"/>
      <c r="PRO54" s="1"/>
      <c r="PRP54" s="1"/>
      <c r="PRQ54" s="1"/>
      <c r="PRR54" s="1"/>
      <c r="PRS54" s="1"/>
      <c r="PRT54" s="1"/>
      <c r="PRU54" s="1"/>
      <c r="PRV54" s="1"/>
      <c r="PRW54" s="1"/>
      <c r="PRX54" s="1"/>
      <c r="PRY54" s="1"/>
      <c r="PRZ54" s="1"/>
      <c r="PSA54" s="1"/>
      <c r="PSB54" s="1"/>
      <c r="PSC54" s="1"/>
      <c r="PSD54" s="1"/>
      <c r="PSE54" s="1"/>
      <c r="PSF54" s="1"/>
      <c r="PSG54" s="1"/>
      <c r="PSH54" s="1"/>
      <c r="PSI54" s="1"/>
      <c r="PSJ54" s="1"/>
      <c r="PSK54" s="1"/>
      <c r="PSL54" s="1"/>
      <c r="PSM54" s="1"/>
      <c r="PSN54" s="1"/>
      <c r="PSO54" s="1"/>
      <c r="PSP54" s="1"/>
      <c r="PSQ54" s="1"/>
      <c r="PSR54" s="1"/>
      <c r="PSS54" s="1"/>
      <c r="PST54" s="1"/>
      <c r="PSU54" s="1"/>
      <c r="PSV54" s="1"/>
      <c r="PSW54" s="1"/>
      <c r="PSX54" s="1"/>
      <c r="PSY54" s="1"/>
      <c r="PSZ54" s="1"/>
      <c r="PTA54" s="1"/>
      <c r="PTB54" s="1"/>
      <c r="PTC54" s="1"/>
      <c r="PTD54" s="1"/>
      <c r="PTE54" s="1"/>
      <c r="PTF54" s="1"/>
      <c r="PTG54" s="1"/>
      <c r="PTH54" s="1"/>
      <c r="PTI54" s="1"/>
      <c r="PTJ54" s="1"/>
      <c r="PTK54" s="1"/>
      <c r="PTL54" s="1"/>
      <c r="PTM54" s="1"/>
      <c r="PTN54" s="1"/>
      <c r="PTO54" s="1"/>
      <c r="PTP54" s="1"/>
      <c r="PTQ54" s="1"/>
      <c r="PTR54" s="1"/>
      <c r="PTS54" s="1"/>
      <c r="PTT54" s="1"/>
      <c r="PTU54" s="1"/>
      <c r="PTV54" s="1"/>
      <c r="PTW54" s="1"/>
      <c r="PTX54" s="1"/>
      <c r="PTY54" s="1"/>
      <c r="PTZ54" s="1"/>
      <c r="PUA54" s="1"/>
      <c r="PUB54" s="1"/>
      <c r="PUC54" s="1"/>
      <c r="PUD54" s="1"/>
      <c r="PUE54" s="1"/>
      <c r="PUF54" s="1"/>
      <c r="PUG54" s="1"/>
      <c r="PUH54" s="1"/>
      <c r="PUI54" s="1"/>
      <c r="PUJ54" s="1"/>
      <c r="PUK54" s="1"/>
      <c r="PUL54" s="1"/>
      <c r="PUM54" s="1"/>
      <c r="PUN54" s="1"/>
      <c r="PUO54" s="1"/>
      <c r="PUP54" s="1"/>
      <c r="PUQ54" s="1"/>
      <c r="PUR54" s="1"/>
      <c r="PUS54" s="1"/>
      <c r="PUT54" s="1"/>
      <c r="PUU54" s="1"/>
      <c r="PUV54" s="1"/>
      <c r="PUW54" s="1"/>
      <c r="PUX54" s="1"/>
      <c r="PUY54" s="1"/>
      <c r="PUZ54" s="1"/>
      <c r="PVA54" s="1"/>
      <c r="PVB54" s="1"/>
      <c r="PVC54" s="1"/>
      <c r="PVD54" s="1"/>
      <c r="PVE54" s="1"/>
      <c r="PVF54" s="1"/>
      <c r="PVG54" s="1"/>
      <c r="PVH54" s="1"/>
      <c r="PVI54" s="1"/>
      <c r="PVJ54" s="1"/>
      <c r="PVK54" s="1"/>
      <c r="PVL54" s="1"/>
      <c r="PVM54" s="1"/>
      <c r="PVN54" s="1"/>
      <c r="PVO54" s="1"/>
      <c r="PVP54" s="1"/>
      <c r="PVQ54" s="1"/>
      <c r="PVR54" s="1"/>
      <c r="PVS54" s="1"/>
      <c r="PVT54" s="1"/>
      <c r="PVU54" s="1"/>
      <c r="PVV54" s="1"/>
      <c r="PVW54" s="1"/>
      <c r="PVX54" s="1"/>
      <c r="PVY54" s="1"/>
      <c r="PVZ54" s="1"/>
      <c r="PWA54" s="1"/>
      <c r="PWB54" s="1"/>
      <c r="PWC54" s="1"/>
      <c r="PWD54" s="1"/>
      <c r="PWE54" s="1"/>
      <c r="PWF54" s="1"/>
      <c r="PWG54" s="1"/>
      <c r="PWH54" s="1"/>
      <c r="PWI54" s="1"/>
      <c r="PWJ54" s="1"/>
      <c r="PWK54" s="1"/>
      <c r="PWL54" s="1"/>
      <c r="PWM54" s="1"/>
      <c r="PWN54" s="1"/>
      <c r="PWO54" s="1"/>
      <c r="PWP54" s="1"/>
      <c r="PWQ54" s="1"/>
      <c r="PWR54" s="1"/>
      <c r="PWS54" s="1"/>
      <c r="PWT54" s="1"/>
      <c r="PWU54" s="1"/>
      <c r="PWV54" s="1"/>
      <c r="PWW54" s="1"/>
      <c r="PWX54" s="1"/>
      <c r="PWY54" s="1"/>
      <c r="PWZ54" s="1"/>
      <c r="PXA54" s="1"/>
      <c r="PXB54" s="1"/>
      <c r="PXC54" s="1"/>
      <c r="PXD54" s="1"/>
      <c r="PXE54" s="1"/>
      <c r="PXF54" s="1"/>
      <c r="PXG54" s="1"/>
      <c r="PXH54" s="1"/>
      <c r="PXI54" s="1"/>
      <c r="PXJ54" s="1"/>
      <c r="PXK54" s="1"/>
      <c r="PXL54" s="1"/>
      <c r="PXM54" s="1"/>
      <c r="PXN54" s="1"/>
      <c r="PXO54" s="1"/>
      <c r="PXP54" s="1"/>
      <c r="PXQ54" s="1"/>
      <c r="PXR54" s="1"/>
      <c r="PXS54" s="1"/>
      <c r="PXT54" s="1"/>
      <c r="PXU54" s="1"/>
      <c r="PXV54" s="1"/>
      <c r="PXW54" s="1"/>
      <c r="PXX54" s="1"/>
      <c r="PXY54" s="1"/>
      <c r="PXZ54" s="1"/>
      <c r="PYA54" s="1"/>
      <c r="PYB54" s="1"/>
      <c r="PYC54" s="1"/>
      <c r="PYD54" s="1"/>
      <c r="PYE54" s="1"/>
      <c r="PYF54" s="1"/>
      <c r="PYG54" s="1"/>
      <c r="PYH54" s="1"/>
      <c r="PYI54" s="1"/>
      <c r="PYJ54" s="1"/>
      <c r="PYK54" s="1"/>
      <c r="PYL54" s="1"/>
      <c r="PYM54" s="1"/>
      <c r="PYN54" s="1"/>
      <c r="PYO54" s="1"/>
      <c r="PYP54" s="1"/>
      <c r="PYQ54" s="1"/>
      <c r="PYR54" s="1"/>
      <c r="PYS54" s="1"/>
      <c r="PYT54" s="1"/>
      <c r="PYU54" s="1"/>
      <c r="PYV54" s="1"/>
      <c r="PYW54" s="1"/>
      <c r="PYX54" s="1"/>
      <c r="PYY54" s="1"/>
      <c r="PYZ54" s="1"/>
      <c r="PZA54" s="1"/>
      <c r="PZB54" s="1"/>
      <c r="PZC54" s="1"/>
      <c r="PZD54" s="1"/>
      <c r="PZE54" s="1"/>
      <c r="PZF54" s="1"/>
      <c r="PZG54" s="1"/>
      <c r="PZH54" s="1"/>
      <c r="PZI54" s="1"/>
      <c r="PZJ54" s="1"/>
      <c r="PZK54" s="1"/>
      <c r="PZL54" s="1"/>
      <c r="PZM54" s="1"/>
      <c r="PZN54" s="1"/>
      <c r="PZO54" s="1"/>
      <c r="PZP54" s="1"/>
      <c r="PZQ54" s="1"/>
      <c r="PZR54" s="1"/>
      <c r="PZS54" s="1"/>
      <c r="PZT54" s="1"/>
      <c r="PZU54" s="1"/>
      <c r="PZV54" s="1"/>
      <c r="PZW54" s="1"/>
      <c r="PZX54" s="1"/>
      <c r="PZY54" s="1"/>
      <c r="PZZ54" s="1"/>
      <c r="QAA54" s="1"/>
      <c r="QAB54" s="1"/>
      <c r="QAC54" s="1"/>
      <c r="QAD54" s="1"/>
      <c r="QAE54" s="1"/>
      <c r="QAF54" s="1"/>
      <c r="QAG54" s="1"/>
      <c r="QAH54" s="1"/>
      <c r="QAI54" s="1"/>
      <c r="QAJ54" s="1"/>
      <c r="QAK54" s="1"/>
      <c r="QAL54" s="1"/>
      <c r="QAM54" s="1"/>
      <c r="QAN54" s="1"/>
      <c r="QAO54" s="1"/>
      <c r="QAP54" s="1"/>
      <c r="QAQ54" s="1"/>
      <c r="QAR54" s="1"/>
      <c r="QAS54" s="1"/>
      <c r="QAT54" s="1"/>
      <c r="QAU54" s="1"/>
      <c r="QAV54" s="1"/>
      <c r="QAW54" s="1"/>
      <c r="QAX54" s="1"/>
      <c r="QAY54" s="1"/>
      <c r="QAZ54" s="1"/>
      <c r="QBA54" s="1"/>
      <c r="QBB54" s="1"/>
      <c r="QBC54" s="1"/>
      <c r="QBD54" s="1"/>
      <c r="QBE54" s="1"/>
      <c r="QBF54" s="1"/>
      <c r="QBG54" s="1"/>
      <c r="QBH54" s="1"/>
      <c r="QBI54" s="1"/>
      <c r="QBJ54" s="1"/>
      <c r="QBK54" s="1"/>
      <c r="QBL54" s="1"/>
      <c r="QBM54" s="1"/>
      <c r="QBN54" s="1"/>
      <c r="QBO54" s="1"/>
      <c r="QBP54" s="1"/>
      <c r="QBQ54" s="1"/>
      <c r="QBR54" s="1"/>
      <c r="QBS54" s="1"/>
      <c r="QBT54" s="1"/>
      <c r="QBU54" s="1"/>
      <c r="QBV54" s="1"/>
      <c r="QBW54" s="1"/>
      <c r="QBX54" s="1"/>
      <c r="QBY54" s="1"/>
      <c r="QBZ54" s="1"/>
      <c r="QCA54" s="1"/>
      <c r="QCB54" s="1"/>
      <c r="QCC54" s="1"/>
      <c r="QCD54" s="1"/>
      <c r="QCE54" s="1"/>
      <c r="QCF54" s="1"/>
      <c r="QCG54" s="1"/>
      <c r="QCH54" s="1"/>
      <c r="QCI54" s="1"/>
      <c r="QCJ54" s="1"/>
      <c r="QCK54" s="1"/>
      <c r="QCL54" s="1"/>
      <c r="QCM54" s="1"/>
      <c r="QCN54" s="1"/>
      <c r="QCO54" s="1"/>
      <c r="QCP54" s="1"/>
      <c r="QCQ54" s="1"/>
      <c r="QCR54" s="1"/>
      <c r="QCS54" s="1"/>
      <c r="QCT54" s="1"/>
      <c r="QCU54" s="1"/>
      <c r="QCV54" s="1"/>
      <c r="QCW54" s="1"/>
      <c r="QCX54" s="1"/>
      <c r="QCY54" s="1"/>
      <c r="QCZ54" s="1"/>
      <c r="QDA54" s="1"/>
      <c r="QDB54" s="1"/>
      <c r="QDC54" s="1"/>
      <c r="QDD54" s="1"/>
      <c r="QDE54" s="1"/>
      <c r="QDF54" s="1"/>
      <c r="QDG54" s="1"/>
      <c r="QDH54" s="1"/>
      <c r="QDI54" s="1"/>
      <c r="QDJ54" s="1"/>
      <c r="QDK54" s="1"/>
      <c r="QDL54" s="1"/>
      <c r="QDM54" s="1"/>
      <c r="QDN54" s="1"/>
      <c r="QDO54" s="1"/>
      <c r="QDP54" s="1"/>
      <c r="QDQ54" s="1"/>
      <c r="QDR54" s="1"/>
      <c r="QDS54" s="1"/>
      <c r="QDT54" s="1"/>
      <c r="QDU54" s="1"/>
      <c r="QDV54" s="1"/>
      <c r="QDW54" s="1"/>
      <c r="QDX54" s="1"/>
      <c r="QDY54" s="1"/>
      <c r="QDZ54" s="1"/>
      <c r="QEA54" s="1"/>
      <c r="QEB54" s="1"/>
      <c r="QEC54" s="1"/>
      <c r="QED54" s="1"/>
      <c r="QEE54" s="1"/>
      <c r="QEF54" s="1"/>
      <c r="QEG54" s="1"/>
      <c r="QEH54" s="1"/>
      <c r="QEI54" s="1"/>
      <c r="QEJ54" s="1"/>
      <c r="QEK54" s="1"/>
      <c r="QEL54" s="1"/>
      <c r="QEM54" s="1"/>
      <c r="QEN54" s="1"/>
      <c r="QEO54" s="1"/>
      <c r="QEP54" s="1"/>
      <c r="QEQ54" s="1"/>
      <c r="QER54" s="1"/>
      <c r="QES54" s="1"/>
      <c r="QET54" s="1"/>
      <c r="QEU54" s="1"/>
      <c r="QEV54" s="1"/>
      <c r="QEW54" s="1"/>
      <c r="QEX54" s="1"/>
      <c r="QEY54" s="1"/>
      <c r="QEZ54" s="1"/>
      <c r="QFA54" s="1"/>
      <c r="QFB54" s="1"/>
      <c r="QFC54" s="1"/>
      <c r="QFD54" s="1"/>
      <c r="QFE54" s="1"/>
      <c r="QFF54" s="1"/>
      <c r="QFG54" s="1"/>
      <c r="QFH54" s="1"/>
      <c r="QFI54" s="1"/>
      <c r="QFJ54" s="1"/>
      <c r="QFK54" s="1"/>
      <c r="QFL54" s="1"/>
      <c r="QFM54" s="1"/>
      <c r="QFN54" s="1"/>
      <c r="QFO54" s="1"/>
      <c r="QFP54" s="1"/>
      <c r="QFQ54" s="1"/>
      <c r="QFR54" s="1"/>
      <c r="QFS54" s="1"/>
      <c r="QFT54" s="1"/>
      <c r="QFU54" s="1"/>
      <c r="QFV54" s="1"/>
      <c r="QFW54" s="1"/>
      <c r="QFX54" s="1"/>
      <c r="QFY54" s="1"/>
      <c r="QFZ54" s="1"/>
      <c r="QGA54" s="1"/>
      <c r="QGB54" s="1"/>
      <c r="QGC54" s="1"/>
      <c r="QGD54" s="1"/>
      <c r="QGE54" s="1"/>
      <c r="QGF54" s="1"/>
      <c r="QGG54" s="1"/>
      <c r="QGH54" s="1"/>
      <c r="QGI54" s="1"/>
      <c r="QGJ54" s="1"/>
      <c r="QGK54" s="1"/>
      <c r="QGL54" s="1"/>
      <c r="QGM54" s="1"/>
      <c r="QGN54" s="1"/>
      <c r="QGO54" s="1"/>
      <c r="QGP54" s="1"/>
      <c r="QGQ54" s="1"/>
      <c r="QGR54" s="1"/>
      <c r="QGS54" s="1"/>
      <c r="QGT54" s="1"/>
      <c r="QGU54" s="1"/>
      <c r="QGV54" s="1"/>
      <c r="QGW54" s="1"/>
      <c r="QGX54" s="1"/>
      <c r="QGY54" s="1"/>
      <c r="QGZ54" s="1"/>
      <c r="QHA54" s="1"/>
      <c r="QHB54" s="1"/>
      <c r="QHC54" s="1"/>
      <c r="QHD54" s="1"/>
      <c r="QHE54" s="1"/>
      <c r="QHF54" s="1"/>
      <c r="QHG54" s="1"/>
      <c r="QHH54" s="1"/>
      <c r="QHI54" s="1"/>
      <c r="QHJ54" s="1"/>
      <c r="QHK54" s="1"/>
      <c r="QHL54" s="1"/>
      <c r="QHM54" s="1"/>
      <c r="QHN54" s="1"/>
      <c r="QHO54" s="1"/>
      <c r="QHP54" s="1"/>
      <c r="QHQ54" s="1"/>
      <c r="QHR54" s="1"/>
      <c r="QHS54" s="1"/>
      <c r="QHT54" s="1"/>
      <c r="QHU54" s="1"/>
      <c r="QHV54" s="1"/>
      <c r="QHW54" s="1"/>
      <c r="QHX54" s="1"/>
      <c r="QHY54" s="1"/>
      <c r="QHZ54" s="1"/>
      <c r="QIA54" s="1"/>
      <c r="QIB54" s="1"/>
      <c r="QIC54" s="1"/>
      <c r="QID54" s="1"/>
      <c r="QIE54" s="1"/>
      <c r="QIF54" s="1"/>
      <c r="QIG54" s="1"/>
      <c r="QIH54" s="1"/>
      <c r="QII54" s="1"/>
      <c r="QIJ54" s="1"/>
      <c r="QIK54" s="1"/>
      <c r="QIL54" s="1"/>
      <c r="QIM54" s="1"/>
      <c r="QIN54" s="1"/>
      <c r="QIO54" s="1"/>
      <c r="QIP54" s="1"/>
      <c r="QIQ54" s="1"/>
      <c r="QIR54" s="1"/>
      <c r="QIS54" s="1"/>
      <c r="QIT54" s="1"/>
      <c r="QIU54" s="1"/>
      <c r="QIV54" s="1"/>
      <c r="QIW54" s="1"/>
      <c r="QIX54" s="1"/>
      <c r="QIY54" s="1"/>
      <c r="QIZ54" s="1"/>
      <c r="QJA54" s="1"/>
      <c r="QJB54" s="1"/>
      <c r="QJC54" s="1"/>
      <c r="QJD54" s="1"/>
      <c r="QJE54" s="1"/>
      <c r="QJF54" s="1"/>
      <c r="QJG54" s="1"/>
      <c r="QJH54" s="1"/>
      <c r="QJI54" s="1"/>
      <c r="QJJ54" s="1"/>
      <c r="QJK54" s="1"/>
      <c r="QJL54" s="1"/>
      <c r="QJM54" s="1"/>
      <c r="QJN54" s="1"/>
      <c r="QJO54" s="1"/>
      <c r="QJP54" s="1"/>
      <c r="QJQ54" s="1"/>
      <c r="QJR54" s="1"/>
      <c r="QJS54" s="1"/>
      <c r="QJT54" s="1"/>
      <c r="QJU54" s="1"/>
      <c r="QJV54" s="1"/>
      <c r="QJW54" s="1"/>
      <c r="QJX54" s="1"/>
      <c r="QJY54" s="1"/>
      <c r="QJZ54" s="1"/>
      <c r="QKA54" s="1"/>
      <c r="QKB54" s="1"/>
      <c r="QKC54" s="1"/>
      <c r="QKD54" s="1"/>
      <c r="QKE54" s="1"/>
      <c r="QKF54" s="1"/>
      <c r="QKG54" s="1"/>
      <c r="QKH54" s="1"/>
      <c r="QKI54" s="1"/>
      <c r="QKJ54" s="1"/>
      <c r="QKK54" s="1"/>
      <c r="QKL54" s="1"/>
      <c r="QKM54" s="1"/>
      <c r="QKN54" s="1"/>
      <c r="QKO54" s="1"/>
      <c r="QKP54" s="1"/>
      <c r="QKQ54" s="1"/>
      <c r="QKR54" s="1"/>
      <c r="QKS54" s="1"/>
      <c r="QKT54" s="1"/>
      <c r="QKU54" s="1"/>
      <c r="QKV54" s="1"/>
      <c r="QKW54" s="1"/>
      <c r="QKX54" s="1"/>
      <c r="QKY54" s="1"/>
      <c r="QKZ54" s="1"/>
      <c r="QLA54" s="1"/>
      <c r="QLB54" s="1"/>
      <c r="QLC54" s="1"/>
      <c r="QLD54" s="1"/>
      <c r="QLE54" s="1"/>
      <c r="QLF54" s="1"/>
      <c r="QLG54" s="1"/>
      <c r="QLH54" s="1"/>
      <c r="QLI54" s="1"/>
      <c r="QLJ54" s="1"/>
      <c r="QLK54" s="1"/>
      <c r="QLL54" s="1"/>
      <c r="QLM54" s="1"/>
      <c r="QLN54" s="1"/>
      <c r="QLO54" s="1"/>
      <c r="QLP54" s="1"/>
      <c r="QLQ54" s="1"/>
      <c r="QLR54" s="1"/>
      <c r="QLS54" s="1"/>
      <c r="QLT54" s="1"/>
      <c r="QLU54" s="1"/>
      <c r="QLV54" s="1"/>
      <c r="QLW54" s="1"/>
      <c r="QLX54" s="1"/>
      <c r="QLY54" s="1"/>
      <c r="QLZ54" s="1"/>
      <c r="QMA54" s="1"/>
      <c r="QMB54" s="1"/>
      <c r="QMC54" s="1"/>
      <c r="QMD54" s="1"/>
      <c r="QME54" s="1"/>
      <c r="QMF54" s="1"/>
      <c r="QMG54" s="1"/>
      <c r="QMH54" s="1"/>
      <c r="QMI54" s="1"/>
      <c r="QMJ54" s="1"/>
      <c r="QMK54" s="1"/>
      <c r="QML54" s="1"/>
      <c r="QMM54" s="1"/>
      <c r="QMN54" s="1"/>
      <c r="QMO54" s="1"/>
      <c r="QMP54" s="1"/>
      <c r="QMQ54" s="1"/>
      <c r="QMR54" s="1"/>
      <c r="QMS54" s="1"/>
      <c r="QMT54" s="1"/>
      <c r="QMU54" s="1"/>
      <c r="QMV54" s="1"/>
      <c r="QMW54" s="1"/>
      <c r="QMX54" s="1"/>
      <c r="QMY54" s="1"/>
      <c r="QMZ54" s="1"/>
      <c r="QNA54" s="1"/>
      <c r="QNB54" s="1"/>
      <c r="QNC54" s="1"/>
      <c r="QND54" s="1"/>
      <c r="QNE54" s="1"/>
      <c r="QNF54" s="1"/>
      <c r="QNG54" s="1"/>
      <c r="QNH54" s="1"/>
      <c r="QNI54" s="1"/>
      <c r="QNJ54" s="1"/>
      <c r="QNK54" s="1"/>
      <c r="QNL54" s="1"/>
      <c r="QNM54" s="1"/>
      <c r="QNN54" s="1"/>
      <c r="QNO54" s="1"/>
      <c r="QNP54" s="1"/>
      <c r="QNQ54" s="1"/>
      <c r="QNR54" s="1"/>
      <c r="QNS54" s="1"/>
      <c r="QNT54" s="1"/>
      <c r="QNU54" s="1"/>
      <c r="QNV54" s="1"/>
      <c r="QNW54" s="1"/>
      <c r="QNX54" s="1"/>
      <c r="QNY54" s="1"/>
      <c r="QNZ54" s="1"/>
      <c r="QOA54" s="1"/>
      <c r="QOB54" s="1"/>
      <c r="QOC54" s="1"/>
      <c r="QOD54" s="1"/>
      <c r="QOE54" s="1"/>
      <c r="QOF54" s="1"/>
      <c r="QOG54" s="1"/>
      <c r="QOH54" s="1"/>
      <c r="QOI54" s="1"/>
      <c r="QOJ54" s="1"/>
      <c r="QOK54" s="1"/>
      <c r="QOL54" s="1"/>
      <c r="QOM54" s="1"/>
      <c r="QON54" s="1"/>
      <c r="QOO54" s="1"/>
      <c r="QOP54" s="1"/>
      <c r="QOQ54" s="1"/>
      <c r="QOR54" s="1"/>
      <c r="QOS54" s="1"/>
      <c r="QOT54" s="1"/>
      <c r="QOU54" s="1"/>
      <c r="QOV54" s="1"/>
      <c r="QOW54" s="1"/>
      <c r="QOX54" s="1"/>
      <c r="QOY54" s="1"/>
      <c r="QOZ54" s="1"/>
      <c r="QPA54" s="1"/>
      <c r="QPB54" s="1"/>
      <c r="QPC54" s="1"/>
      <c r="QPD54" s="1"/>
      <c r="QPE54" s="1"/>
      <c r="QPF54" s="1"/>
      <c r="QPG54" s="1"/>
      <c r="QPH54" s="1"/>
      <c r="QPI54" s="1"/>
      <c r="QPJ54" s="1"/>
      <c r="QPK54" s="1"/>
      <c r="QPL54" s="1"/>
      <c r="QPM54" s="1"/>
      <c r="QPN54" s="1"/>
      <c r="QPO54" s="1"/>
      <c r="QPP54" s="1"/>
      <c r="QPQ54" s="1"/>
      <c r="QPR54" s="1"/>
      <c r="QPS54" s="1"/>
      <c r="QPT54" s="1"/>
      <c r="QPU54" s="1"/>
      <c r="QPV54" s="1"/>
      <c r="QPW54" s="1"/>
      <c r="QPX54" s="1"/>
      <c r="QPY54" s="1"/>
      <c r="QPZ54" s="1"/>
      <c r="QQA54" s="1"/>
      <c r="QQB54" s="1"/>
      <c r="QQC54" s="1"/>
      <c r="QQD54" s="1"/>
      <c r="QQE54" s="1"/>
      <c r="QQF54" s="1"/>
      <c r="QQG54" s="1"/>
      <c r="QQH54" s="1"/>
      <c r="QQI54" s="1"/>
      <c r="QQJ54" s="1"/>
      <c r="QQK54" s="1"/>
      <c r="QQL54" s="1"/>
      <c r="QQM54" s="1"/>
      <c r="QQN54" s="1"/>
      <c r="QQO54" s="1"/>
      <c r="QQP54" s="1"/>
      <c r="QQQ54" s="1"/>
      <c r="QQR54" s="1"/>
      <c r="QQS54" s="1"/>
      <c r="QQT54" s="1"/>
      <c r="QQU54" s="1"/>
      <c r="QQV54" s="1"/>
      <c r="QQW54" s="1"/>
      <c r="QQX54" s="1"/>
      <c r="QQY54" s="1"/>
      <c r="QQZ54" s="1"/>
      <c r="QRA54" s="1"/>
      <c r="QRB54" s="1"/>
      <c r="QRC54" s="1"/>
      <c r="QRD54" s="1"/>
      <c r="QRE54" s="1"/>
      <c r="QRF54" s="1"/>
      <c r="QRG54" s="1"/>
      <c r="QRH54" s="1"/>
      <c r="QRI54" s="1"/>
      <c r="QRJ54" s="1"/>
      <c r="QRK54" s="1"/>
      <c r="QRL54" s="1"/>
      <c r="QRM54" s="1"/>
      <c r="QRN54" s="1"/>
      <c r="QRO54" s="1"/>
      <c r="QRP54" s="1"/>
      <c r="QRQ54" s="1"/>
      <c r="QRR54" s="1"/>
      <c r="QRS54" s="1"/>
      <c r="QRT54" s="1"/>
      <c r="QRU54" s="1"/>
      <c r="QRV54" s="1"/>
      <c r="QRW54" s="1"/>
      <c r="QRX54" s="1"/>
      <c r="QRY54" s="1"/>
      <c r="QRZ54" s="1"/>
      <c r="QSA54" s="1"/>
      <c r="QSB54" s="1"/>
      <c r="QSC54" s="1"/>
      <c r="QSD54" s="1"/>
      <c r="QSE54" s="1"/>
      <c r="QSF54" s="1"/>
      <c r="QSG54" s="1"/>
      <c r="QSH54" s="1"/>
      <c r="QSI54" s="1"/>
      <c r="QSJ54" s="1"/>
      <c r="QSK54" s="1"/>
      <c r="QSL54" s="1"/>
      <c r="QSM54" s="1"/>
      <c r="QSN54" s="1"/>
      <c r="QSO54" s="1"/>
      <c r="QSP54" s="1"/>
      <c r="QSQ54" s="1"/>
      <c r="QSR54" s="1"/>
      <c r="QSS54" s="1"/>
      <c r="QST54" s="1"/>
      <c r="QSU54" s="1"/>
      <c r="QSV54" s="1"/>
      <c r="QSW54" s="1"/>
      <c r="QSX54" s="1"/>
      <c r="QSY54" s="1"/>
      <c r="QSZ54" s="1"/>
      <c r="QTA54" s="1"/>
      <c r="QTB54" s="1"/>
      <c r="QTC54" s="1"/>
      <c r="QTD54" s="1"/>
      <c r="QTE54" s="1"/>
      <c r="QTF54" s="1"/>
      <c r="QTG54" s="1"/>
      <c r="QTH54" s="1"/>
      <c r="QTI54" s="1"/>
      <c r="QTJ54" s="1"/>
      <c r="QTK54" s="1"/>
      <c r="QTL54" s="1"/>
      <c r="QTM54" s="1"/>
      <c r="QTN54" s="1"/>
      <c r="QTO54" s="1"/>
      <c r="QTP54" s="1"/>
      <c r="QTQ54" s="1"/>
      <c r="QTR54" s="1"/>
      <c r="QTS54" s="1"/>
      <c r="QTT54" s="1"/>
      <c r="QTU54" s="1"/>
      <c r="QTV54" s="1"/>
      <c r="QTW54" s="1"/>
      <c r="QTX54" s="1"/>
      <c r="QTY54" s="1"/>
      <c r="QTZ54" s="1"/>
      <c r="QUA54" s="1"/>
      <c r="QUB54" s="1"/>
      <c r="QUC54" s="1"/>
      <c r="QUD54" s="1"/>
      <c r="QUE54" s="1"/>
      <c r="QUF54" s="1"/>
      <c r="QUG54" s="1"/>
      <c r="QUH54" s="1"/>
      <c r="QUI54" s="1"/>
      <c r="QUJ54" s="1"/>
      <c r="QUK54" s="1"/>
      <c r="QUL54" s="1"/>
      <c r="QUM54" s="1"/>
      <c r="QUN54" s="1"/>
      <c r="QUO54" s="1"/>
      <c r="QUP54" s="1"/>
      <c r="QUQ54" s="1"/>
      <c r="QUR54" s="1"/>
      <c r="QUS54" s="1"/>
      <c r="QUT54" s="1"/>
      <c r="QUU54" s="1"/>
      <c r="QUV54" s="1"/>
      <c r="QUW54" s="1"/>
      <c r="QUX54" s="1"/>
      <c r="QUY54" s="1"/>
      <c r="QUZ54" s="1"/>
      <c r="QVA54" s="1"/>
      <c r="QVB54" s="1"/>
      <c r="QVC54" s="1"/>
      <c r="QVD54" s="1"/>
      <c r="QVE54" s="1"/>
      <c r="QVF54" s="1"/>
      <c r="QVG54" s="1"/>
      <c r="QVH54" s="1"/>
      <c r="QVI54" s="1"/>
      <c r="QVJ54" s="1"/>
      <c r="QVK54" s="1"/>
      <c r="QVL54" s="1"/>
      <c r="QVM54" s="1"/>
      <c r="QVN54" s="1"/>
      <c r="QVO54" s="1"/>
      <c r="QVP54" s="1"/>
      <c r="QVQ54" s="1"/>
      <c r="QVR54" s="1"/>
      <c r="QVS54" s="1"/>
      <c r="QVT54" s="1"/>
      <c r="QVU54" s="1"/>
      <c r="QVV54" s="1"/>
      <c r="QVW54" s="1"/>
      <c r="QVX54" s="1"/>
      <c r="QVY54" s="1"/>
      <c r="QVZ54" s="1"/>
      <c r="QWA54" s="1"/>
      <c r="QWB54" s="1"/>
      <c r="QWC54" s="1"/>
      <c r="QWD54" s="1"/>
      <c r="QWE54" s="1"/>
      <c r="QWF54" s="1"/>
      <c r="QWG54" s="1"/>
      <c r="QWH54" s="1"/>
      <c r="QWI54" s="1"/>
      <c r="QWJ54" s="1"/>
      <c r="QWK54" s="1"/>
      <c r="QWL54" s="1"/>
      <c r="QWM54" s="1"/>
      <c r="QWN54" s="1"/>
      <c r="QWO54" s="1"/>
      <c r="QWP54" s="1"/>
      <c r="QWQ54" s="1"/>
      <c r="QWR54" s="1"/>
      <c r="QWS54" s="1"/>
      <c r="QWT54" s="1"/>
      <c r="QWU54" s="1"/>
      <c r="QWV54" s="1"/>
      <c r="QWW54" s="1"/>
      <c r="QWX54" s="1"/>
      <c r="QWY54" s="1"/>
      <c r="QWZ54" s="1"/>
      <c r="QXA54" s="1"/>
      <c r="QXB54" s="1"/>
      <c r="QXC54" s="1"/>
      <c r="QXD54" s="1"/>
      <c r="QXE54" s="1"/>
      <c r="QXF54" s="1"/>
      <c r="QXG54" s="1"/>
      <c r="QXH54" s="1"/>
      <c r="QXI54" s="1"/>
      <c r="QXJ54" s="1"/>
      <c r="QXK54" s="1"/>
      <c r="QXL54" s="1"/>
      <c r="QXM54" s="1"/>
      <c r="QXN54" s="1"/>
      <c r="QXO54" s="1"/>
      <c r="QXP54" s="1"/>
      <c r="QXQ54" s="1"/>
      <c r="QXR54" s="1"/>
      <c r="QXS54" s="1"/>
      <c r="QXT54" s="1"/>
      <c r="QXU54" s="1"/>
      <c r="QXV54" s="1"/>
      <c r="QXW54" s="1"/>
      <c r="QXX54" s="1"/>
      <c r="QXY54" s="1"/>
      <c r="QXZ54" s="1"/>
      <c r="QYA54" s="1"/>
      <c r="QYB54" s="1"/>
      <c r="QYC54" s="1"/>
      <c r="QYD54" s="1"/>
      <c r="QYE54" s="1"/>
      <c r="QYF54" s="1"/>
      <c r="QYG54" s="1"/>
      <c r="QYH54" s="1"/>
      <c r="QYI54" s="1"/>
      <c r="QYJ54" s="1"/>
      <c r="QYK54" s="1"/>
      <c r="QYL54" s="1"/>
      <c r="QYM54" s="1"/>
      <c r="QYN54" s="1"/>
      <c r="QYO54" s="1"/>
      <c r="QYP54" s="1"/>
      <c r="QYQ54" s="1"/>
      <c r="QYR54" s="1"/>
      <c r="QYS54" s="1"/>
      <c r="QYT54" s="1"/>
      <c r="QYU54" s="1"/>
      <c r="QYV54" s="1"/>
      <c r="QYW54" s="1"/>
      <c r="QYX54" s="1"/>
      <c r="QYY54" s="1"/>
      <c r="QYZ54" s="1"/>
      <c r="QZA54" s="1"/>
      <c r="QZB54" s="1"/>
      <c r="QZC54" s="1"/>
      <c r="QZD54" s="1"/>
      <c r="QZE54" s="1"/>
      <c r="QZF54" s="1"/>
      <c r="QZG54" s="1"/>
      <c r="QZH54" s="1"/>
      <c r="QZI54" s="1"/>
      <c r="QZJ54" s="1"/>
      <c r="QZK54" s="1"/>
      <c r="QZL54" s="1"/>
      <c r="QZM54" s="1"/>
      <c r="QZN54" s="1"/>
      <c r="QZO54" s="1"/>
      <c r="QZP54" s="1"/>
      <c r="QZQ54" s="1"/>
      <c r="QZR54" s="1"/>
      <c r="QZS54" s="1"/>
      <c r="QZT54" s="1"/>
      <c r="QZU54" s="1"/>
      <c r="QZV54" s="1"/>
      <c r="QZW54" s="1"/>
      <c r="QZX54" s="1"/>
      <c r="QZY54" s="1"/>
      <c r="QZZ54" s="1"/>
      <c r="RAA54" s="1"/>
      <c r="RAB54" s="1"/>
      <c r="RAC54" s="1"/>
      <c r="RAD54" s="1"/>
      <c r="RAE54" s="1"/>
      <c r="RAF54" s="1"/>
      <c r="RAG54" s="1"/>
      <c r="RAH54" s="1"/>
      <c r="RAI54" s="1"/>
      <c r="RAJ54" s="1"/>
      <c r="RAK54" s="1"/>
      <c r="RAL54" s="1"/>
      <c r="RAM54" s="1"/>
      <c r="RAN54" s="1"/>
      <c r="RAO54" s="1"/>
      <c r="RAP54" s="1"/>
      <c r="RAQ54" s="1"/>
      <c r="RAR54" s="1"/>
      <c r="RAS54" s="1"/>
      <c r="RAT54" s="1"/>
      <c r="RAU54" s="1"/>
      <c r="RAV54" s="1"/>
      <c r="RAW54" s="1"/>
      <c r="RAX54" s="1"/>
      <c r="RAY54" s="1"/>
      <c r="RAZ54" s="1"/>
      <c r="RBA54" s="1"/>
      <c r="RBB54" s="1"/>
      <c r="RBC54" s="1"/>
      <c r="RBD54" s="1"/>
      <c r="RBE54" s="1"/>
      <c r="RBF54" s="1"/>
      <c r="RBG54" s="1"/>
      <c r="RBH54" s="1"/>
      <c r="RBI54" s="1"/>
      <c r="RBJ54" s="1"/>
      <c r="RBK54" s="1"/>
      <c r="RBL54" s="1"/>
      <c r="RBM54" s="1"/>
      <c r="RBN54" s="1"/>
      <c r="RBO54" s="1"/>
      <c r="RBP54" s="1"/>
      <c r="RBQ54" s="1"/>
      <c r="RBR54" s="1"/>
      <c r="RBS54" s="1"/>
      <c r="RBT54" s="1"/>
      <c r="RBU54" s="1"/>
      <c r="RBV54" s="1"/>
      <c r="RBW54" s="1"/>
      <c r="RBX54" s="1"/>
      <c r="RBY54" s="1"/>
      <c r="RBZ54" s="1"/>
      <c r="RCA54" s="1"/>
      <c r="RCB54" s="1"/>
      <c r="RCC54" s="1"/>
      <c r="RCD54" s="1"/>
      <c r="RCE54" s="1"/>
      <c r="RCF54" s="1"/>
      <c r="RCG54" s="1"/>
      <c r="RCH54" s="1"/>
      <c r="RCI54" s="1"/>
      <c r="RCJ54" s="1"/>
      <c r="RCK54" s="1"/>
      <c r="RCL54" s="1"/>
      <c r="RCM54" s="1"/>
      <c r="RCN54" s="1"/>
      <c r="RCO54" s="1"/>
      <c r="RCP54" s="1"/>
      <c r="RCQ54" s="1"/>
      <c r="RCR54" s="1"/>
      <c r="RCS54" s="1"/>
      <c r="RCT54" s="1"/>
      <c r="RCU54" s="1"/>
      <c r="RCV54" s="1"/>
      <c r="RCW54" s="1"/>
      <c r="RCX54" s="1"/>
      <c r="RCY54" s="1"/>
      <c r="RCZ54" s="1"/>
      <c r="RDA54" s="1"/>
      <c r="RDB54" s="1"/>
      <c r="RDC54" s="1"/>
      <c r="RDD54" s="1"/>
      <c r="RDE54" s="1"/>
      <c r="RDF54" s="1"/>
      <c r="RDG54" s="1"/>
      <c r="RDH54" s="1"/>
      <c r="RDI54" s="1"/>
      <c r="RDJ54" s="1"/>
      <c r="RDK54" s="1"/>
      <c r="RDL54" s="1"/>
      <c r="RDM54" s="1"/>
      <c r="RDN54" s="1"/>
      <c r="RDO54" s="1"/>
      <c r="RDP54" s="1"/>
      <c r="RDQ54" s="1"/>
      <c r="RDR54" s="1"/>
      <c r="RDS54" s="1"/>
      <c r="RDT54" s="1"/>
      <c r="RDU54" s="1"/>
      <c r="RDV54" s="1"/>
      <c r="RDW54" s="1"/>
      <c r="RDX54" s="1"/>
      <c r="RDY54" s="1"/>
      <c r="RDZ54" s="1"/>
      <c r="REA54" s="1"/>
      <c r="REB54" s="1"/>
      <c r="REC54" s="1"/>
      <c r="RED54" s="1"/>
      <c r="REE54" s="1"/>
      <c r="REF54" s="1"/>
      <c r="REG54" s="1"/>
      <c r="REH54" s="1"/>
      <c r="REI54" s="1"/>
      <c r="REJ54" s="1"/>
      <c r="REK54" s="1"/>
      <c r="REL54" s="1"/>
      <c r="REM54" s="1"/>
      <c r="REN54" s="1"/>
      <c r="REO54" s="1"/>
      <c r="REP54" s="1"/>
      <c r="REQ54" s="1"/>
      <c r="RER54" s="1"/>
      <c r="RES54" s="1"/>
      <c r="RET54" s="1"/>
      <c r="REU54" s="1"/>
      <c r="REV54" s="1"/>
      <c r="REW54" s="1"/>
      <c r="REX54" s="1"/>
      <c r="REY54" s="1"/>
      <c r="REZ54" s="1"/>
      <c r="RFA54" s="1"/>
      <c r="RFB54" s="1"/>
      <c r="RFC54" s="1"/>
      <c r="RFD54" s="1"/>
      <c r="RFE54" s="1"/>
      <c r="RFF54" s="1"/>
      <c r="RFG54" s="1"/>
      <c r="RFH54" s="1"/>
      <c r="RFI54" s="1"/>
      <c r="RFJ54" s="1"/>
      <c r="RFK54" s="1"/>
      <c r="RFL54" s="1"/>
      <c r="RFM54" s="1"/>
      <c r="RFN54" s="1"/>
      <c r="RFO54" s="1"/>
      <c r="RFP54" s="1"/>
      <c r="RFQ54" s="1"/>
      <c r="RFR54" s="1"/>
      <c r="RFS54" s="1"/>
      <c r="RFT54" s="1"/>
      <c r="RFU54" s="1"/>
      <c r="RFV54" s="1"/>
      <c r="RFW54" s="1"/>
      <c r="RFX54" s="1"/>
      <c r="RFY54" s="1"/>
      <c r="RFZ54" s="1"/>
      <c r="RGA54" s="1"/>
      <c r="RGB54" s="1"/>
      <c r="RGC54" s="1"/>
      <c r="RGD54" s="1"/>
      <c r="RGE54" s="1"/>
      <c r="RGF54" s="1"/>
      <c r="RGG54" s="1"/>
      <c r="RGH54" s="1"/>
      <c r="RGI54" s="1"/>
      <c r="RGJ54" s="1"/>
      <c r="RGK54" s="1"/>
      <c r="RGL54" s="1"/>
      <c r="RGM54" s="1"/>
      <c r="RGN54" s="1"/>
      <c r="RGO54" s="1"/>
      <c r="RGP54" s="1"/>
      <c r="RGQ54" s="1"/>
      <c r="RGR54" s="1"/>
      <c r="RGS54" s="1"/>
      <c r="RGT54" s="1"/>
      <c r="RGU54" s="1"/>
      <c r="RGV54" s="1"/>
      <c r="RGW54" s="1"/>
      <c r="RGX54" s="1"/>
      <c r="RGY54" s="1"/>
      <c r="RGZ54" s="1"/>
      <c r="RHA54" s="1"/>
      <c r="RHB54" s="1"/>
      <c r="RHC54" s="1"/>
      <c r="RHD54" s="1"/>
      <c r="RHE54" s="1"/>
      <c r="RHF54" s="1"/>
      <c r="RHG54" s="1"/>
      <c r="RHH54" s="1"/>
      <c r="RHI54" s="1"/>
      <c r="RHJ54" s="1"/>
      <c r="RHK54" s="1"/>
      <c r="RHL54" s="1"/>
      <c r="RHM54" s="1"/>
      <c r="RHN54" s="1"/>
      <c r="RHO54" s="1"/>
      <c r="RHP54" s="1"/>
      <c r="RHQ54" s="1"/>
      <c r="RHR54" s="1"/>
      <c r="RHS54" s="1"/>
      <c r="RHT54" s="1"/>
      <c r="RHU54" s="1"/>
      <c r="RHV54" s="1"/>
      <c r="RHW54" s="1"/>
      <c r="RHX54" s="1"/>
      <c r="RHY54" s="1"/>
      <c r="RHZ54" s="1"/>
      <c r="RIA54" s="1"/>
      <c r="RIB54" s="1"/>
      <c r="RIC54" s="1"/>
      <c r="RID54" s="1"/>
      <c r="RIE54" s="1"/>
      <c r="RIF54" s="1"/>
      <c r="RIG54" s="1"/>
      <c r="RIH54" s="1"/>
      <c r="RII54" s="1"/>
      <c r="RIJ54" s="1"/>
      <c r="RIK54" s="1"/>
      <c r="RIL54" s="1"/>
      <c r="RIM54" s="1"/>
      <c r="RIN54" s="1"/>
      <c r="RIO54" s="1"/>
      <c r="RIP54" s="1"/>
      <c r="RIQ54" s="1"/>
      <c r="RIR54" s="1"/>
      <c r="RIS54" s="1"/>
      <c r="RIT54" s="1"/>
      <c r="RIU54" s="1"/>
      <c r="RIV54" s="1"/>
      <c r="RIW54" s="1"/>
      <c r="RIX54" s="1"/>
      <c r="RIY54" s="1"/>
      <c r="RIZ54" s="1"/>
      <c r="RJA54" s="1"/>
      <c r="RJB54" s="1"/>
      <c r="RJC54" s="1"/>
      <c r="RJD54" s="1"/>
      <c r="RJE54" s="1"/>
      <c r="RJF54" s="1"/>
      <c r="RJG54" s="1"/>
      <c r="RJH54" s="1"/>
      <c r="RJI54" s="1"/>
      <c r="RJJ54" s="1"/>
      <c r="RJK54" s="1"/>
      <c r="RJL54" s="1"/>
      <c r="RJM54" s="1"/>
      <c r="RJN54" s="1"/>
      <c r="RJO54" s="1"/>
      <c r="RJP54" s="1"/>
      <c r="RJQ54" s="1"/>
      <c r="RJR54" s="1"/>
      <c r="RJS54" s="1"/>
      <c r="RJT54" s="1"/>
      <c r="RJU54" s="1"/>
      <c r="RJV54" s="1"/>
      <c r="RJW54" s="1"/>
      <c r="RJX54" s="1"/>
      <c r="RJY54" s="1"/>
      <c r="RJZ54" s="1"/>
      <c r="RKA54" s="1"/>
      <c r="RKB54" s="1"/>
      <c r="RKC54" s="1"/>
      <c r="RKD54" s="1"/>
      <c r="RKE54" s="1"/>
      <c r="RKF54" s="1"/>
      <c r="RKG54" s="1"/>
      <c r="RKH54" s="1"/>
      <c r="RKI54" s="1"/>
      <c r="RKJ54" s="1"/>
      <c r="RKK54" s="1"/>
      <c r="RKL54" s="1"/>
      <c r="RKM54" s="1"/>
      <c r="RKN54" s="1"/>
      <c r="RKO54" s="1"/>
      <c r="RKP54" s="1"/>
      <c r="RKQ54" s="1"/>
      <c r="RKR54" s="1"/>
      <c r="RKS54" s="1"/>
      <c r="RKT54" s="1"/>
      <c r="RKU54" s="1"/>
      <c r="RKV54" s="1"/>
      <c r="RKW54" s="1"/>
      <c r="RKX54" s="1"/>
      <c r="RKY54" s="1"/>
      <c r="RKZ54" s="1"/>
      <c r="RLA54" s="1"/>
      <c r="RLB54" s="1"/>
      <c r="RLC54" s="1"/>
      <c r="RLD54" s="1"/>
      <c r="RLE54" s="1"/>
      <c r="RLF54" s="1"/>
      <c r="RLG54" s="1"/>
      <c r="RLH54" s="1"/>
      <c r="RLI54" s="1"/>
      <c r="RLJ54" s="1"/>
      <c r="RLK54" s="1"/>
      <c r="RLL54" s="1"/>
      <c r="RLM54" s="1"/>
      <c r="RLN54" s="1"/>
      <c r="RLO54" s="1"/>
      <c r="RLP54" s="1"/>
      <c r="RLQ54" s="1"/>
      <c r="RLR54" s="1"/>
      <c r="RLS54" s="1"/>
      <c r="RLT54" s="1"/>
      <c r="RLU54" s="1"/>
      <c r="RLV54" s="1"/>
      <c r="RLW54" s="1"/>
      <c r="RLX54" s="1"/>
      <c r="RLY54" s="1"/>
      <c r="RLZ54" s="1"/>
      <c r="RMA54" s="1"/>
      <c r="RMB54" s="1"/>
      <c r="RMC54" s="1"/>
      <c r="RMD54" s="1"/>
      <c r="RME54" s="1"/>
      <c r="RMF54" s="1"/>
      <c r="RMG54" s="1"/>
      <c r="RMH54" s="1"/>
      <c r="RMI54" s="1"/>
      <c r="RMJ54" s="1"/>
      <c r="RMK54" s="1"/>
      <c r="RML54" s="1"/>
      <c r="RMM54" s="1"/>
      <c r="RMN54" s="1"/>
      <c r="RMO54" s="1"/>
      <c r="RMP54" s="1"/>
      <c r="RMQ54" s="1"/>
      <c r="RMR54" s="1"/>
      <c r="RMS54" s="1"/>
      <c r="RMT54" s="1"/>
      <c r="RMU54" s="1"/>
      <c r="RMV54" s="1"/>
      <c r="RMW54" s="1"/>
      <c r="RMX54" s="1"/>
      <c r="RMY54" s="1"/>
      <c r="RMZ54" s="1"/>
      <c r="RNA54" s="1"/>
      <c r="RNB54" s="1"/>
      <c r="RNC54" s="1"/>
      <c r="RND54" s="1"/>
      <c r="RNE54" s="1"/>
      <c r="RNF54" s="1"/>
      <c r="RNG54" s="1"/>
      <c r="RNH54" s="1"/>
      <c r="RNI54" s="1"/>
      <c r="RNJ54" s="1"/>
      <c r="RNK54" s="1"/>
      <c r="RNL54" s="1"/>
      <c r="RNM54" s="1"/>
      <c r="RNN54" s="1"/>
      <c r="RNO54" s="1"/>
      <c r="RNP54" s="1"/>
      <c r="RNQ54" s="1"/>
      <c r="RNR54" s="1"/>
      <c r="RNS54" s="1"/>
      <c r="RNT54" s="1"/>
      <c r="RNU54" s="1"/>
      <c r="RNV54" s="1"/>
      <c r="RNW54" s="1"/>
      <c r="RNX54" s="1"/>
      <c r="RNY54" s="1"/>
      <c r="RNZ54" s="1"/>
      <c r="ROA54" s="1"/>
      <c r="ROB54" s="1"/>
      <c r="ROC54" s="1"/>
      <c r="ROD54" s="1"/>
      <c r="ROE54" s="1"/>
      <c r="ROF54" s="1"/>
      <c r="ROG54" s="1"/>
      <c r="ROH54" s="1"/>
      <c r="ROI54" s="1"/>
      <c r="ROJ54" s="1"/>
      <c r="ROK54" s="1"/>
      <c r="ROL54" s="1"/>
      <c r="ROM54" s="1"/>
      <c r="RON54" s="1"/>
      <c r="ROO54" s="1"/>
      <c r="ROP54" s="1"/>
      <c r="ROQ54" s="1"/>
      <c r="ROR54" s="1"/>
      <c r="ROS54" s="1"/>
      <c r="ROT54" s="1"/>
      <c r="ROU54" s="1"/>
      <c r="ROV54" s="1"/>
      <c r="ROW54" s="1"/>
      <c r="ROX54" s="1"/>
      <c r="ROY54" s="1"/>
      <c r="ROZ54" s="1"/>
      <c r="RPA54" s="1"/>
      <c r="RPB54" s="1"/>
      <c r="RPC54" s="1"/>
      <c r="RPD54" s="1"/>
      <c r="RPE54" s="1"/>
      <c r="RPF54" s="1"/>
      <c r="RPG54" s="1"/>
      <c r="RPH54" s="1"/>
      <c r="RPI54" s="1"/>
      <c r="RPJ54" s="1"/>
      <c r="RPK54" s="1"/>
      <c r="RPL54" s="1"/>
      <c r="RPM54" s="1"/>
      <c r="RPN54" s="1"/>
      <c r="RPO54" s="1"/>
      <c r="RPP54" s="1"/>
      <c r="RPQ54" s="1"/>
      <c r="RPR54" s="1"/>
      <c r="RPS54" s="1"/>
      <c r="RPT54" s="1"/>
      <c r="RPU54" s="1"/>
      <c r="RPV54" s="1"/>
      <c r="RPW54" s="1"/>
      <c r="RPX54" s="1"/>
      <c r="RPY54" s="1"/>
      <c r="RPZ54" s="1"/>
      <c r="RQA54" s="1"/>
      <c r="RQB54" s="1"/>
      <c r="RQC54" s="1"/>
      <c r="RQD54" s="1"/>
      <c r="RQE54" s="1"/>
      <c r="RQF54" s="1"/>
      <c r="RQG54" s="1"/>
      <c r="RQH54" s="1"/>
      <c r="RQI54" s="1"/>
      <c r="RQJ54" s="1"/>
      <c r="RQK54" s="1"/>
      <c r="RQL54" s="1"/>
      <c r="RQM54" s="1"/>
      <c r="RQN54" s="1"/>
      <c r="RQO54" s="1"/>
      <c r="RQP54" s="1"/>
      <c r="RQQ54" s="1"/>
      <c r="RQR54" s="1"/>
      <c r="RQS54" s="1"/>
      <c r="RQT54" s="1"/>
      <c r="RQU54" s="1"/>
      <c r="RQV54" s="1"/>
      <c r="RQW54" s="1"/>
      <c r="RQX54" s="1"/>
      <c r="RQY54" s="1"/>
      <c r="RQZ54" s="1"/>
      <c r="RRA54" s="1"/>
      <c r="RRB54" s="1"/>
      <c r="RRC54" s="1"/>
      <c r="RRD54" s="1"/>
      <c r="RRE54" s="1"/>
      <c r="RRF54" s="1"/>
      <c r="RRG54" s="1"/>
      <c r="RRH54" s="1"/>
      <c r="RRI54" s="1"/>
      <c r="RRJ54" s="1"/>
      <c r="RRK54" s="1"/>
      <c r="RRL54" s="1"/>
      <c r="RRM54" s="1"/>
      <c r="RRN54" s="1"/>
      <c r="RRO54" s="1"/>
      <c r="RRP54" s="1"/>
      <c r="RRQ54" s="1"/>
      <c r="RRR54" s="1"/>
      <c r="RRS54" s="1"/>
      <c r="RRT54" s="1"/>
      <c r="RRU54" s="1"/>
      <c r="RRV54" s="1"/>
      <c r="RRW54" s="1"/>
      <c r="RRX54" s="1"/>
      <c r="RRY54" s="1"/>
      <c r="RRZ54" s="1"/>
      <c r="RSA54" s="1"/>
      <c r="RSB54" s="1"/>
      <c r="RSC54" s="1"/>
      <c r="RSD54" s="1"/>
      <c r="RSE54" s="1"/>
      <c r="RSF54" s="1"/>
      <c r="RSG54" s="1"/>
      <c r="RSH54" s="1"/>
      <c r="RSI54" s="1"/>
      <c r="RSJ54" s="1"/>
      <c r="RSK54" s="1"/>
      <c r="RSL54" s="1"/>
      <c r="RSM54" s="1"/>
      <c r="RSN54" s="1"/>
      <c r="RSO54" s="1"/>
      <c r="RSP54" s="1"/>
      <c r="RSQ54" s="1"/>
      <c r="RSR54" s="1"/>
      <c r="RSS54" s="1"/>
      <c r="RST54" s="1"/>
      <c r="RSU54" s="1"/>
      <c r="RSV54" s="1"/>
      <c r="RSW54" s="1"/>
      <c r="RSX54" s="1"/>
      <c r="RSY54" s="1"/>
      <c r="RSZ54" s="1"/>
      <c r="RTA54" s="1"/>
      <c r="RTB54" s="1"/>
      <c r="RTC54" s="1"/>
      <c r="RTD54" s="1"/>
      <c r="RTE54" s="1"/>
      <c r="RTF54" s="1"/>
      <c r="RTG54" s="1"/>
      <c r="RTH54" s="1"/>
      <c r="RTI54" s="1"/>
      <c r="RTJ54" s="1"/>
      <c r="RTK54" s="1"/>
      <c r="RTL54" s="1"/>
      <c r="RTM54" s="1"/>
      <c r="RTN54" s="1"/>
      <c r="RTO54" s="1"/>
      <c r="RTP54" s="1"/>
      <c r="RTQ54" s="1"/>
      <c r="RTR54" s="1"/>
      <c r="RTS54" s="1"/>
      <c r="RTT54" s="1"/>
      <c r="RTU54" s="1"/>
      <c r="RTV54" s="1"/>
      <c r="RTW54" s="1"/>
      <c r="RTX54" s="1"/>
      <c r="RTY54" s="1"/>
      <c r="RTZ54" s="1"/>
      <c r="RUA54" s="1"/>
      <c r="RUB54" s="1"/>
      <c r="RUC54" s="1"/>
      <c r="RUD54" s="1"/>
      <c r="RUE54" s="1"/>
      <c r="RUF54" s="1"/>
      <c r="RUG54" s="1"/>
      <c r="RUH54" s="1"/>
      <c r="RUI54" s="1"/>
      <c r="RUJ54" s="1"/>
      <c r="RUK54" s="1"/>
      <c r="RUL54" s="1"/>
      <c r="RUM54" s="1"/>
      <c r="RUN54" s="1"/>
      <c r="RUO54" s="1"/>
      <c r="RUP54" s="1"/>
      <c r="RUQ54" s="1"/>
      <c r="RUR54" s="1"/>
      <c r="RUS54" s="1"/>
      <c r="RUT54" s="1"/>
      <c r="RUU54" s="1"/>
      <c r="RUV54" s="1"/>
      <c r="RUW54" s="1"/>
      <c r="RUX54" s="1"/>
      <c r="RUY54" s="1"/>
      <c r="RUZ54" s="1"/>
      <c r="RVA54" s="1"/>
      <c r="RVB54" s="1"/>
      <c r="RVC54" s="1"/>
      <c r="RVD54" s="1"/>
      <c r="RVE54" s="1"/>
      <c r="RVF54" s="1"/>
      <c r="RVG54" s="1"/>
      <c r="RVH54" s="1"/>
      <c r="RVI54" s="1"/>
      <c r="RVJ54" s="1"/>
      <c r="RVK54" s="1"/>
      <c r="RVL54" s="1"/>
      <c r="RVM54" s="1"/>
      <c r="RVN54" s="1"/>
      <c r="RVO54" s="1"/>
      <c r="RVP54" s="1"/>
      <c r="RVQ54" s="1"/>
      <c r="RVR54" s="1"/>
      <c r="RVS54" s="1"/>
      <c r="RVT54" s="1"/>
      <c r="RVU54" s="1"/>
      <c r="RVV54" s="1"/>
      <c r="RVW54" s="1"/>
      <c r="RVX54" s="1"/>
      <c r="RVY54" s="1"/>
      <c r="RVZ54" s="1"/>
      <c r="RWA54" s="1"/>
      <c r="RWB54" s="1"/>
      <c r="RWC54" s="1"/>
      <c r="RWD54" s="1"/>
      <c r="RWE54" s="1"/>
      <c r="RWF54" s="1"/>
      <c r="RWG54" s="1"/>
      <c r="RWH54" s="1"/>
      <c r="RWI54" s="1"/>
      <c r="RWJ54" s="1"/>
      <c r="RWK54" s="1"/>
      <c r="RWL54" s="1"/>
      <c r="RWM54" s="1"/>
      <c r="RWN54" s="1"/>
      <c r="RWO54" s="1"/>
      <c r="RWP54" s="1"/>
      <c r="RWQ54" s="1"/>
      <c r="RWR54" s="1"/>
      <c r="RWS54" s="1"/>
      <c r="RWT54" s="1"/>
      <c r="RWU54" s="1"/>
      <c r="RWV54" s="1"/>
      <c r="RWW54" s="1"/>
      <c r="RWX54" s="1"/>
      <c r="RWY54" s="1"/>
      <c r="RWZ54" s="1"/>
      <c r="RXA54" s="1"/>
      <c r="RXB54" s="1"/>
      <c r="RXC54" s="1"/>
      <c r="RXD54" s="1"/>
      <c r="RXE54" s="1"/>
      <c r="RXF54" s="1"/>
      <c r="RXG54" s="1"/>
      <c r="RXH54" s="1"/>
      <c r="RXI54" s="1"/>
      <c r="RXJ54" s="1"/>
      <c r="RXK54" s="1"/>
      <c r="RXL54" s="1"/>
      <c r="RXM54" s="1"/>
      <c r="RXN54" s="1"/>
      <c r="RXO54" s="1"/>
      <c r="RXP54" s="1"/>
      <c r="RXQ54" s="1"/>
      <c r="RXR54" s="1"/>
      <c r="RXS54" s="1"/>
      <c r="RXT54" s="1"/>
      <c r="RXU54" s="1"/>
      <c r="RXV54" s="1"/>
      <c r="RXW54" s="1"/>
      <c r="RXX54" s="1"/>
      <c r="RXY54" s="1"/>
      <c r="RXZ54" s="1"/>
      <c r="RYA54" s="1"/>
      <c r="RYB54" s="1"/>
      <c r="RYC54" s="1"/>
      <c r="RYD54" s="1"/>
      <c r="RYE54" s="1"/>
      <c r="RYF54" s="1"/>
      <c r="RYG54" s="1"/>
      <c r="RYH54" s="1"/>
      <c r="RYI54" s="1"/>
      <c r="RYJ54" s="1"/>
      <c r="RYK54" s="1"/>
      <c r="RYL54" s="1"/>
      <c r="RYM54" s="1"/>
      <c r="RYN54" s="1"/>
      <c r="RYO54" s="1"/>
      <c r="RYP54" s="1"/>
      <c r="RYQ54" s="1"/>
      <c r="RYR54" s="1"/>
      <c r="RYS54" s="1"/>
      <c r="RYT54" s="1"/>
      <c r="RYU54" s="1"/>
      <c r="RYV54" s="1"/>
      <c r="RYW54" s="1"/>
      <c r="RYX54" s="1"/>
      <c r="RYY54" s="1"/>
      <c r="RYZ54" s="1"/>
      <c r="RZA54" s="1"/>
      <c r="RZB54" s="1"/>
      <c r="RZC54" s="1"/>
      <c r="RZD54" s="1"/>
      <c r="RZE54" s="1"/>
      <c r="RZF54" s="1"/>
      <c r="RZG54" s="1"/>
      <c r="RZH54" s="1"/>
      <c r="RZI54" s="1"/>
      <c r="RZJ54" s="1"/>
      <c r="RZK54" s="1"/>
      <c r="RZL54" s="1"/>
      <c r="RZM54" s="1"/>
      <c r="RZN54" s="1"/>
      <c r="RZO54" s="1"/>
      <c r="RZP54" s="1"/>
      <c r="RZQ54" s="1"/>
      <c r="RZR54" s="1"/>
      <c r="RZS54" s="1"/>
      <c r="RZT54" s="1"/>
      <c r="RZU54" s="1"/>
      <c r="RZV54" s="1"/>
      <c r="RZW54" s="1"/>
      <c r="RZX54" s="1"/>
      <c r="RZY54" s="1"/>
      <c r="RZZ54" s="1"/>
      <c r="SAA54" s="1"/>
      <c r="SAB54" s="1"/>
      <c r="SAC54" s="1"/>
      <c r="SAD54" s="1"/>
      <c r="SAE54" s="1"/>
      <c r="SAF54" s="1"/>
      <c r="SAG54" s="1"/>
      <c r="SAH54" s="1"/>
      <c r="SAI54" s="1"/>
      <c r="SAJ54" s="1"/>
      <c r="SAK54" s="1"/>
      <c r="SAL54" s="1"/>
      <c r="SAM54" s="1"/>
      <c r="SAN54" s="1"/>
      <c r="SAO54" s="1"/>
      <c r="SAP54" s="1"/>
      <c r="SAQ54" s="1"/>
      <c r="SAR54" s="1"/>
      <c r="SAS54" s="1"/>
      <c r="SAT54" s="1"/>
      <c r="SAU54" s="1"/>
      <c r="SAV54" s="1"/>
      <c r="SAW54" s="1"/>
      <c r="SAX54" s="1"/>
      <c r="SAY54" s="1"/>
      <c r="SAZ54" s="1"/>
      <c r="SBA54" s="1"/>
      <c r="SBB54" s="1"/>
      <c r="SBC54" s="1"/>
      <c r="SBD54" s="1"/>
      <c r="SBE54" s="1"/>
      <c r="SBF54" s="1"/>
      <c r="SBG54" s="1"/>
      <c r="SBH54" s="1"/>
      <c r="SBI54" s="1"/>
      <c r="SBJ54" s="1"/>
      <c r="SBK54" s="1"/>
      <c r="SBL54" s="1"/>
      <c r="SBM54" s="1"/>
      <c r="SBN54" s="1"/>
      <c r="SBO54" s="1"/>
      <c r="SBP54" s="1"/>
      <c r="SBQ54" s="1"/>
      <c r="SBR54" s="1"/>
      <c r="SBS54" s="1"/>
      <c r="SBT54" s="1"/>
      <c r="SBU54" s="1"/>
      <c r="SBV54" s="1"/>
      <c r="SBW54" s="1"/>
      <c r="SBX54" s="1"/>
      <c r="SBY54" s="1"/>
      <c r="SBZ54" s="1"/>
      <c r="SCA54" s="1"/>
      <c r="SCB54" s="1"/>
      <c r="SCC54" s="1"/>
      <c r="SCD54" s="1"/>
      <c r="SCE54" s="1"/>
      <c r="SCF54" s="1"/>
      <c r="SCG54" s="1"/>
      <c r="SCH54" s="1"/>
      <c r="SCI54" s="1"/>
      <c r="SCJ54" s="1"/>
      <c r="SCK54" s="1"/>
      <c r="SCL54" s="1"/>
      <c r="SCM54" s="1"/>
      <c r="SCN54" s="1"/>
      <c r="SCO54" s="1"/>
      <c r="SCP54" s="1"/>
      <c r="SCQ54" s="1"/>
      <c r="SCR54" s="1"/>
      <c r="SCS54" s="1"/>
      <c r="SCT54" s="1"/>
      <c r="SCU54" s="1"/>
      <c r="SCV54" s="1"/>
      <c r="SCW54" s="1"/>
      <c r="SCX54" s="1"/>
      <c r="SCY54" s="1"/>
      <c r="SCZ54" s="1"/>
      <c r="SDA54" s="1"/>
      <c r="SDB54" s="1"/>
      <c r="SDC54" s="1"/>
      <c r="SDD54" s="1"/>
      <c r="SDE54" s="1"/>
      <c r="SDF54" s="1"/>
      <c r="SDG54" s="1"/>
      <c r="SDH54" s="1"/>
      <c r="SDI54" s="1"/>
      <c r="SDJ54" s="1"/>
      <c r="SDK54" s="1"/>
      <c r="SDL54" s="1"/>
      <c r="SDM54" s="1"/>
      <c r="SDN54" s="1"/>
      <c r="SDO54" s="1"/>
      <c r="SDP54" s="1"/>
      <c r="SDQ54" s="1"/>
      <c r="SDR54" s="1"/>
      <c r="SDS54" s="1"/>
      <c r="SDT54" s="1"/>
      <c r="SDU54" s="1"/>
      <c r="SDV54" s="1"/>
      <c r="SDW54" s="1"/>
      <c r="SDX54" s="1"/>
      <c r="SDY54" s="1"/>
      <c r="SDZ54" s="1"/>
      <c r="SEA54" s="1"/>
      <c r="SEB54" s="1"/>
      <c r="SEC54" s="1"/>
      <c r="SED54" s="1"/>
      <c r="SEE54" s="1"/>
      <c r="SEF54" s="1"/>
      <c r="SEG54" s="1"/>
      <c r="SEH54" s="1"/>
      <c r="SEI54" s="1"/>
      <c r="SEJ54" s="1"/>
      <c r="SEK54" s="1"/>
      <c r="SEL54" s="1"/>
      <c r="SEM54" s="1"/>
      <c r="SEN54" s="1"/>
      <c r="SEO54" s="1"/>
      <c r="SEP54" s="1"/>
      <c r="SEQ54" s="1"/>
      <c r="SER54" s="1"/>
      <c r="SES54" s="1"/>
      <c r="SET54" s="1"/>
      <c r="SEU54" s="1"/>
      <c r="SEV54" s="1"/>
      <c r="SEW54" s="1"/>
      <c r="SEX54" s="1"/>
      <c r="SEY54" s="1"/>
      <c r="SEZ54" s="1"/>
      <c r="SFA54" s="1"/>
      <c r="SFB54" s="1"/>
      <c r="SFC54" s="1"/>
      <c r="SFD54" s="1"/>
      <c r="SFE54" s="1"/>
      <c r="SFF54" s="1"/>
      <c r="SFG54" s="1"/>
      <c r="SFH54" s="1"/>
      <c r="SFI54" s="1"/>
      <c r="SFJ54" s="1"/>
      <c r="SFK54" s="1"/>
      <c r="SFL54" s="1"/>
      <c r="SFM54" s="1"/>
      <c r="SFN54" s="1"/>
      <c r="SFO54" s="1"/>
      <c r="SFP54" s="1"/>
      <c r="SFQ54" s="1"/>
      <c r="SFR54" s="1"/>
      <c r="SFS54" s="1"/>
      <c r="SFT54" s="1"/>
      <c r="SFU54" s="1"/>
      <c r="SFV54" s="1"/>
      <c r="SFW54" s="1"/>
      <c r="SFX54" s="1"/>
      <c r="SFY54" s="1"/>
      <c r="SFZ54" s="1"/>
      <c r="SGA54" s="1"/>
      <c r="SGB54" s="1"/>
      <c r="SGC54" s="1"/>
      <c r="SGD54" s="1"/>
      <c r="SGE54" s="1"/>
      <c r="SGF54" s="1"/>
      <c r="SGG54" s="1"/>
      <c r="SGH54" s="1"/>
      <c r="SGI54" s="1"/>
      <c r="SGJ54" s="1"/>
      <c r="SGK54" s="1"/>
      <c r="SGL54" s="1"/>
      <c r="SGM54" s="1"/>
      <c r="SGN54" s="1"/>
      <c r="SGO54" s="1"/>
      <c r="SGP54" s="1"/>
      <c r="SGQ54" s="1"/>
      <c r="SGR54" s="1"/>
      <c r="SGS54" s="1"/>
      <c r="SGT54" s="1"/>
      <c r="SGU54" s="1"/>
      <c r="SGV54" s="1"/>
      <c r="SGW54" s="1"/>
      <c r="SGX54" s="1"/>
      <c r="SGY54" s="1"/>
      <c r="SGZ54" s="1"/>
      <c r="SHA54" s="1"/>
      <c r="SHB54" s="1"/>
      <c r="SHC54" s="1"/>
      <c r="SHD54" s="1"/>
      <c r="SHE54" s="1"/>
      <c r="SHF54" s="1"/>
      <c r="SHG54" s="1"/>
      <c r="SHH54" s="1"/>
      <c r="SHI54" s="1"/>
      <c r="SHJ54" s="1"/>
      <c r="SHK54" s="1"/>
      <c r="SHL54" s="1"/>
      <c r="SHM54" s="1"/>
      <c r="SHN54" s="1"/>
      <c r="SHO54" s="1"/>
      <c r="SHP54" s="1"/>
      <c r="SHQ54" s="1"/>
      <c r="SHR54" s="1"/>
      <c r="SHS54" s="1"/>
      <c r="SHT54" s="1"/>
      <c r="SHU54" s="1"/>
      <c r="SHV54" s="1"/>
      <c r="SHW54" s="1"/>
      <c r="SHX54" s="1"/>
      <c r="SHY54" s="1"/>
      <c r="SHZ54" s="1"/>
      <c r="SIA54" s="1"/>
      <c r="SIB54" s="1"/>
      <c r="SIC54" s="1"/>
      <c r="SID54" s="1"/>
      <c r="SIE54" s="1"/>
      <c r="SIF54" s="1"/>
      <c r="SIG54" s="1"/>
      <c r="SIH54" s="1"/>
      <c r="SII54" s="1"/>
      <c r="SIJ54" s="1"/>
      <c r="SIK54" s="1"/>
      <c r="SIL54" s="1"/>
      <c r="SIM54" s="1"/>
      <c r="SIN54" s="1"/>
      <c r="SIO54" s="1"/>
      <c r="SIP54" s="1"/>
      <c r="SIQ54" s="1"/>
      <c r="SIR54" s="1"/>
      <c r="SIS54" s="1"/>
      <c r="SIT54" s="1"/>
      <c r="SIU54" s="1"/>
      <c r="SIV54" s="1"/>
      <c r="SIW54" s="1"/>
      <c r="SIX54" s="1"/>
      <c r="SIY54" s="1"/>
      <c r="SIZ54" s="1"/>
      <c r="SJA54" s="1"/>
      <c r="SJB54" s="1"/>
      <c r="SJC54" s="1"/>
      <c r="SJD54" s="1"/>
      <c r="SJE54" s="1"/>
      <c r="SJF54" s="1"/>
      <c r="SJG54" s="1"/>
      <c r="SJH54" s="1"/>
      <c r="SJI54" s="1"/>
      <c r="SJJ54" s="1"/>
      <c r="SJK54" s="1"/>
      <c r="SJL54" s="1"/>
      <c r="SJM54" s="1"/>
      <c r="SJN54" s="1"/>
      <c r="SJO54" s="1"/>
      <c r="SJP54" s="1"/>
      <c r="SJQ54" s="1"/>
      <c r="SJR54" s="1"/>
      <c r="SJS54" s="1"/>
      <c r="SJT54" s="1"/>
      <c r="SJU54" s="1"/>
      <c r="SJV54" s="1"/>
      <c r="SJW54" s="1"/>
      <c r="SJX54" s="1"/>
      <c r="SJY54" s="1"/>
      <c r="SJZ54" s="1"/>
      <c r="SKA54" s="1"/>
      <c r="SKB54" s="1"/>
      <c r="SKC54" s="1"/>
      <c r="SKD54" s="1"/>
      <c r="SKE54" s="1"/>
      <c r="SKF54" s="1"/>
      <c r="SKG54" s="1"/>
      <c r="SKH54" s="1"/>
      <c r="SKI54" s="1"/>
      <c r="SKJ54" s="1"/>
      <c r="SKK54" s="1"/>
      <c r="SKL54" s="1"/>
      <c r="SKM54" s="1"/>
      <c r="SKN54" s="1"/>
      <c r="SKO54" s="1"/>
      <c r="SKP54" s="1"/>
      <c r="SKQ54" s="1"/>
      <c r="SKR54" s="1"/>
      <c r="SKS54" s="1"/>
      <c r="SKT54" s="1"/>
      <c r="SKU54" s="1"/>
      <c r="SKV54" s="1"/>
      <c r="SKW54" s="1"/>
      <c r="SKX54" s="1"/>
      <c r="SKY54" s="1"/>
      <c r="SKZ54" s="1"/>
      <c r="SLA54" s="1"/>
      <c r="SLB54" s="1"/>
      <c r="SLC54" s="1"/>
      <c r="SLD54" s="1"/>
      <c r="SLE54" s="1"/>
      <c r="SLF54" s="1"/>
      <c r="SLG54" s="1"/>
      <c r="SLH54" s="1"/>
      <c r="SLI54" s="1"/>
      <c r="SLJ54" s="1"/>
      <c r="SLK54" s="1"/>
      <c r="SLL54" s="1"/>
      <c r="SLM54" s="1"/>
      <c r="SLN54" s="1"/>
      <c r="SLO54" s="1"/>
      <c r="SLP54" s="1"/>
      <c r="SLQ54" s="1"/>
      <c r="SLR54" s="1"/>
      <c r="SLS54" s="1"/>
      <c r="SLT54" s="1"/>
      <c r="SLU54" s="1"/>
      <c r="SLV54" s="1"/>
      <c r="SLW54" s="1"/>
      <c r="SLX54" s="1"/>
      <c r="SLY54" s="1"/>
      <c r="SLZ54" s="1"/>
      <c r="SMA54" s="1"/>
      <c r="SMB54" s="1"/>
      <c r="SMC54" s="1"/>
      <c r="SMD54" s="1"/>
      <c r="SME54" s="1"/>
      <c r="SMF54" s="1"/>
      <c r="SMG54" s="1"/>
      <c r="SMH54" s="1"/>
      <c r="SMI54" s="1"/>
      <c r="SMJ54" s="1"/>
      <c r="SMK54" s="1"/>
      <c r="SML54" s="1"/>
      <c r="SMM54" s="1"/>
      <c r="SMN54" s="1"/>
      <c r="SMO54" s="1"/>
      <c r="SMP54" s="1"/>
      <c r="SMQ54" s="1"/>
      <c r="SMR54" s="1"/>
      <c r="SMS54" s="1"/>
      <c r="SMT54" s="1"/>
      <c r="SMU54" s="1"/>
      <c r="SMV54" s="1"/>
      <c r="SMW54" s="1"/>
      <c r="SMX54" s="1"/>
      <c r="SMY54" s="1"/>
      <c r="SMZ54" s="1"/>
      <c r="SNA54" s="1"/>
      <c r="SNB54" s="1"/>
      <c r="SNC54" s="1"/>
      <c r="SND54" s="1"/>
      <c r="SNE54" s="1"/>
      <c r="SNF54" s="1"/>
      <c r="SNG54" s="1"/>
      <c r="SNH54" s="1"/>
      <c r="SNI54" s="1"/>
      <c r="SNJ54" s="1"/>
      <c r="SNK54" s="1"/>
      <c r="SNL54" s="1"/>
      <c r="SNM54" s="1"/>
      <c r="SNN54" s="1"/>
      <c r="SNO54" s="1"/>
      <c r="SNP54" s="1"/>
      <c r="SNQ54" s="1"/>
      <c r="SNR54" s="1"/>
      <c r="SNS54" s="1"/>
      <c r="SNT54" s="1"/>
      <c r="SNU54" s="1"/>
      <c r="SNV54" s="1"/>
      <c r="SNW54" s="1"/>
      <c r="SNX54" s="1"/>
      <c r="SNY54" s="1"/>
      <c r="SNZ54" s="1"/>
      <c r="SOA54" s="1"/>
      <c r="SOB54" s="1"/>
      <c r="SOC54" s="1"/>
      <c r="SOD54" s="1"/>
      <c r="SOE54" s="1"/>
      <c r="SOF54" s="1"/>
      <c r="SOG54" s="1"/>
      <c r="SOH54" s="1"/>
      <c r="SOI54" s="1"/>
      <c r="SOJ54" s="1"/>
      <c r="SOK54" s="1"/>
      <c r="SOL54" s="1"/>
      <c r="SOM54" s="1"/>
      <c r="SON54" s="1"/>
      <c r="SOO54" s="1"/>
      <c r="SOP54" s="1"/>
      <c r="SOQ54" s="1"/>
      <c r="SOR54" s="1"/>
      <c r="SOS54" s="1"/>
      <c r="SOT54" s="1"/>
      <c r="SOU54" s="1"/>
      <c r="SOV54" s="1"/>
      <c r="SOW54" s="1"/>
      <c r="SOX54" s="1"/>
      <c r="SOY54" s="1"/>
      <c r="SOZ54" s="1"/>
      <c r="SPA54" s="1"/>
      <c r="SPB54" s="1"/>
      <c r="SPC54" s="1"/>
      <c r="SPD54" s="1"/>
      <c r="SPE54" s="1"/>
      <c r="SPF54" s="1"/>
      <c r="SPG54" s="1"/>
      <c r="SPH54" s="1"/>
      <c r="SPI54" s="1"/>
      <c r="SPJ54" s="1"/>
      <c r="SPK54" s="1"/>
      <c r="SPL54" s="1"/>
      <c r="SPM54" s="1"/>
      <c r="SPN54" s="1"/>
      <c r="SPO54" s="1"/>
      <c r="SPP54" s="1"/>
      <c r="SPQ54" s="1"/>
      <c r="SPR54" s="1"/>
      <c r="SPS54" s="1"/>
      <c r="SPT54" s="1"/>
      <c r="SPU54" s="1"/>
      <c r="SPV54" s="1"/>
      <c r="SPW54" s="1"/>
      <c r="SPX54" s="1"/>
      <c r="SPY54" s="1"/>
      <c r="SPZ54" s="1"/>
      <c r="SQA54" s="1"/>
      <c r="SQB54" s="1"/>
      <c r="SQC54" s="1"/>
      <c r="SQD54" s="1"/>
      <c r="SQE54" s="1"/>
      <c r="SQF54" s="1"/>
      <c r="SQG54" s="1"/>
      <c r="SQH54" s="1"/>
      <c r="SQI54" s="1"/>
      <c r="SQJ54" s="1"/>
      <c r="SQK54" s="1"/>
      <c r="SQL54" s="1"/>
      <c r="SQM54" s="1"/>
      <c r="SQN54" s="1"/>
      <c r="SQO54" s="1"/>
      <c r="SQP54" s="1"/>
      <c r="SQQ54" s="1"/>
      <c r="SQR54" s="1"/>
      <c r="SQS54" s="1"/>
      <c r="SQT54" s="1"/>
      <c r="SQU54" s="1"/>
      <c r="SQV54" s="1"/>
      <c r="SQW54" s="1"/>
      <c r="SQX54" s="1"/>
      <c r="SQY54" s="1"/>
      <c r="SQZ54" s="1"/>
      <c r="SRA54" s="1"/>
      <c r="SRB54" s="1"/>
      <c r="SRC54" s="1"/>
      <c r="SRD54" s="1"/>
      <c r="SRE54" s="1"/>
      <c r="SRF54" s="1"/>
      <c r="SRG54" s="1"/>
      <c r="SRH54" s="1"/>
      <c r="SRI54" s="1"/>
      <c r="SRJ54" s="1"/>
      <c r="SRK54" s="1"/>
      <c r="SRL54" s="1"/>
      <c r="SRM54" s="1"/>
      <c r="SRN54" s="1"/>
      <c r="SRO54" s="1"/>
      <c r="SRP54" s="1"/>
      <c r="SRQ54" s="1"/>
      <c r="SRR54" s="1"/>
      <c r="SRS54" s="1"/>
      <c r="SRT54" s="1"/>
      <c r="SRU54" s="1"/>
      <c r="SRV54" s="1"/>
      <c r="SRW54" s="1"/>
      <c r="SRX54" s="1"/>
      <c r="SRY54" s="1"/>
      <c r="SRZ54" s="1"/>
      <c r="SSA54" s="1"/>
      <c r="SSB54" s="1"/>
      <c r="SSC54" s="1"/>
      <c r="SSD54" s="1"/>
      <c r="SSE54" s="1"/>
      <c r="SSF54" s="1"/>
      <c r="SSG54" s="1"/>
      <c r="SSH54" s="1"/>
      <c r="SSI54" s="1"/>
      <c r="SSJ54" s="1"/>
      <c r="SSK54" s="1"/>
      <c r="SSL54" s="1"/>
      <c r="SSM54" s="1"/>
      <c r="SSN54" s="1"/>
      <c r="SSO54" s="1"/>
      <c r="SSP54" s="1"/>
      <c r="SSQ54" s="1"/>
      <c r="SSR54" s="1"/>
      <c r="SSS54" s="1"/>
      <c r="SST54" s="1"/>
      <c r="SSU54" s="1"/>
      <c r="SSV54" s="1"/>
      <c r="SSW54" s="1"/>
      <c r="SSX54" s="1"/>
      <c r="SSY54" s="1"/>
      <c r="SSZ54" s="1"/>
      <c r="STA54" s="1"/>
      <c r="STB54" s="1"/>
      <c r="STC54" s="1"/>
      <c r="STD54" s="1"/>
      <c r="STE54" s="1"/>
      <c r="STF54" s="1"/>
      <c r="STG54" s="1"/>
      <c r="STH54" s="1"/>
      <c r="STI54" s="1"/>
      <c r="STJ54" s="1"/>
      <c r="STK54" s="1"/>
      <c r="STL54" s="1"/>
      <c r="STM54" s="1"/>
      <c r="STN54" s="1"/>
      <c r="STO54" s="1"/>
      <c r="STP54" s="1"/>
      <c r="STQ54" s="1"/>
      <c r="STR54" s="1"/>
      <c r="STS54" s="1"/>
      <c r="STT54" s="1"/>
      <c r="STU54" s="1"/>
      <c r="STV54" s="1"/>
      <c r="STW54" s="1"/>
      <c r="STX54" s="1"/>
      <c r="STY54" s="1"/>
      <c r="STZ54" s="1"/>
      <c r="SUA54" s="1"/>
      <c r="SUB54" s="1"/>
      <c r="SUC54" s="1"/>
      <c r="SUD54" s="1"/>
      <c r="SUE54" s="1"/>
      <c r="SUF54" s="1"/>
      <c r="SUG54" s="1"/>
      <c r="SUH54" s="1"/>
      <c r="SUI54" s="1"/>
      <c r="SUJ54" s="1"/>
      <c r="SUK54" s="1"/>
      <c r="SUL54" s="1"/>
      <c r="SUM54" s="1"/>
      <c r="SUN54" s="1"/>
      <c r="SUO54" s="1"/>
      <c r="SUP54" s="1"/>
      <c r="SUQ54" s="1"/>
      <c r="SUR54" s="1"/>
      <c r="SUS54" s="1"/>
      <c r="SUT54" s="1"/>
      <c r="SUU54" s="1"/>
      <c r="SUV54" s="1"/>
      <c r="SUW54" s="1"/>
      <c r="SUX54" s="1"/>
      <c r="SUY54" s="1"/>
      <c r="SUZ54" s="1"/>
      <c r="SVA54" s="1"/>
      <c r="SVB54" s="1"/>
      <c r="SVC54" s="1"/>
      <c r="SVD54" s="1"/>
      <c r="SVE54" s="1"/>
      <c r="SVF54" s="1"/>
      <c r="SVG54" s="1"/>
      <c r="SVH54" s="1"/>
      <c r="SVI54" s="1"/>
      <c r="SVJ54" s="1"/>
      <c r="SVK54" s="1"/>
      <c r="SVL54" s="1"/>
      <c r="SVM54" s="1"/>
      <c r="SVN54" s="1"/>
      <c r="SVO54" s="1"/>
      <c r="SVP54" s="1"/>
      <c r="SVQ54" s="1"/>
      <c r="SVR54" s="1"/>
      <c r="SVS54" s="1"/>
      <c r="SVT54" s="1"/>
      <c r="SVU54" s="1"/>
      <c r="SVV54" s="1"/>
      <c r="SVW54" s="1"/>
      <c r="SVX54" s="1"/>
      <c r="SVY54" s="1"/>
      <c r="SVZ54" s="1"/>
      <c r="SWA54" s="1"/>
      <c r="SWB54" s="1"/>
      <c r="SWC54" s="1"/>
      <c r="SWD54" s="1"/>
      <c r="SWE54" s="1"/>
      <c r="SWF54" s="1"/>
      <c r="SWG54" s="1"/>
      <c r="SWH54" s="1"/>
      <c r="SWI54" s="1"/>
      <c r="SWJ54" s="1"/>
      <c r="SWK54" s="1"/>
      <c r="SWL54" s="1"/>
      <c r="SWM54" s="1"/>
      <c r="SWN54" s="1"/>
      <c r="SWO54" s="1"/>
      <c r="SWP54" s="1"/>
      <c r="SWQ54" s="1"/>
      <c r="SWR54" s="1"/>
      <c r="SWS54" s="1"/>
      <c r="SWT54" s="1"/>
      <c r="SWU54" s="1"/>
      <c r="SWV54" s="1"/>
      <c r="SWW54" s="1"/>
      <c r="SWX54" s="1"/>
      <c r="SWY54" s="1"/>
      <c r="SWZ54" s="1"/>
      <c r="SXA54" s="1"/>
      <c r="SXB54" s="1"/>
      <c r="SXC54" s="1"/>
      <c r="SXD54" s="1"/>
      <c r="SXE54" s="1"/>
      <c r="SXF54" s="1"/>
      <c r="SXG54" s="1"/>
      <c r="SXH54" s="1"/>
      <c r="SXI54" s="1"/>
      <c r="SXJ54" s="1"/>
      <c r="SXK54" s="1"/>
      <c r="SXL54" s="1"/>
      <c r="SXM54" s="1"/>
      <c r="SXN54" s="1"/>
      <c r="SXO54" s="1"/>
      <c r="SXP54" s="1"/>
      <c r="SXQ54" s="1"/>
      <c r="SXR54" s="1"/>
      <c r="SXS54" s="1"/>
      <c r="SXT54" s="1"/>
      <c r="SXU54" s="1"/>
      <c r="SXV54" s="1"/>
      <c r="SXW54" s="1"/>
      <c r="SXX54" s="1"/>
      <c r="SXY54" s="1"/>
      <c r="SXZ54" s="1"/>
      <c r="SYA54" s="1"/>
      <c r="SYB54" s="1"/>
      <c r="SYC54" s="1"/>
      <c r="SYD54" s="1"/>
      <c r="SYE54" s="1"/>
      <c r="SYF54" s="1"/>
      <c r="SYG54" s="1"/>
      <c r="SYH54" s="1"/>
      <c r="SYI54" s="1"/>
      <c r="SYJ54" s="1"/>
      <c r="SYK54" s="1"/>
      <c r="SYL54" s="1"/>
      <c r="SYM54" s="1"/>
      <c r="SYN54" s="1"/>
      <c r="SYO54" s="1"/>
      <c r="SYP54" s="1"/>
      <c r="SYQ54" s="1"/>
      <c r="SYR54" s="1"/>
      <c r="SYS54" s="1"/>
      <c r="SYT54" s="1"/>
      <c r="SYU54" s="1"/>
      <c r="SYV54" s="1"/>
      <c r="SYW54" s="1"/>
      <c r="SYX54" s="1"/>
      <c r="SYY54" s="1"/>
      <c r="SYZ54" s="1"/>
      <c r="SZA54" s="1"/>
      <c r="SZB54" s="1"/>
      <c r="SZC54" s="1"/>
      <c r="SZD54" s="1"/>
      <c r="SZE54" s="1"/>
      <c r="SZF54" s="1"/>
      <c r="SZG54" s="1"/>
      <c r="SZH54" s="1"/>
      <c r="SZI54" s="1"/>
      <c r="SZJ54" s="1"/>
      <c r="SZK54" s="1"/>
      <c r="SZL54" s="1"/>
      <c r="SZM54" s="1"/>
      <c r="SZN54" s="1"/>
      <c r="SZO54" s="1"/>
      <c r="SZP54" s="1"/>
      <c r="SZQ54" s="1"/>
      <c r="SZR54" s="1"/>
      <c r="SZS54" s="1"/>
      <c r="SZT54" s="1"/>
      <c r="SZU54" s="1"/>
      <c r="SZV54" s="1"/>
      <c r="SZW54" s="1"/>
      <c r="SZX54" s="1"/>
      <c r="SZY54" s="1"/>
      <c r="SZZ54" s="1"/>
      <c r="TAA54" s="1"/>
      <c r="TAB54" s="1"/>
      <c r="TAC54" s="1"/>
      <c r="TAD54" s="1"/>
      <c r="TAE54" s="1"/>
      <c r="TAF54" s="1"/>
      <c r="TAG54" s="1"/>
      <c r="TAH54" s="1"/>
      <c r="TAI54" s="1"/>
      <c r="TAJ54" s="1"/>
      <c r="TAK54" s="1"/>
      <c r="TAL54" s="1"/>
      <c r="TAM54" s="1"/>
      <c r="TAN54" s="1"/>
      <c r="TAO54" s="1"/>
      <c r="TAP54" s="1"/>
      <c r="TAQ54" s="1"/>
      <c r="TAR54" s="1"/>
      <c r="TAS54" s="1"/>
      <c r="TAT54" s="1"/>
      <c r="TAU54" s="1"/>
      <c r="TAV54" s="1"/>
      <c r="TAW54" s="1"/>
      <c r="TAX54" s="1"/>
      <c r="TAY54" s="1"/>
      <c r="TAZ54" s="1"/>
      <c r="TBA54" s="1"/>
      <c r="TBB54" s="1"/>
      <c r="TBC54" s="1"/>
      <c r="TBD54" s="1"/>
      <c r="TBE54" s="1"/>
      <c r="TBF54" s="1"/>
      <c r="TBG54" s="1"/>
      <c r="TBH54" s="1"/>
      <c r="TBI54" s="1"/>
      <c r="TBJ54" s="1"/>
      <c r="TBK54" s="1"/>
      <c r="TBL54" s="1"/>
      <c r="TBM54" s="1"/>
      <c r="TBN54" s="1"/>
      <c r="TBO54" s="1"/>
      <c r="TBP54" s="1"/>
      <c r="TBQ54" s="1"/>
      <c r="TBR54" s="1"/>
      <c r="TBS54" s="1"/>
      <c r="TBT54" s="1"/>
      <c r="TBU54" s="1"/>
      <c r="TBV54" s="1"/>
      <c r="TBW54" s="1"/>
      <c r="TBX54" s="1"/>
      <c r="TBY54" s="1"/>
      <c r="TBZ54" s="1"/>
      <c r="TCA54" s="1"/>
      <c r="TCB54" s="1"/>
      <c r="TCC54" s="1"/>
      <c r="TCD54" s="1"/>
      <c r="TCE54" s="1"/>
      <c r="TCF54" s="1"/>
      <c r="TCG54" s="1"/>
      <c r="TCH54" s="1"/>
      <c r="TCI54" s="1"/>
      <c r="TCJ54" s="1"/>
      <c r="TCK54" s="1"/>
      <c r="TCL54" s="1"/>
      <c r="TCM54" s="1"/>
      <c r="TCN54" s="1"/>
      <c r="TCO54" s="1"/>
      <c r="TCP54" s="1"/>
      <c r="TCQ54" s="1"/>
      <c r="TCR54" s="1"/>
      <c r="TCS54" s="1"/>
      <c r="TCT54" s="1"/>
      <c r="TCU54" s="1"/>
      <c r="TCV54" s="1"/>
      <c r="TCW54" s="1"/>
      <c r="TCX54" s="1"/>
      <c r="TCY54" s="1"/>
      <c r="TCZ54" s="1"/>
      <c r="TDA54" s="1"/>
      <c r="TDB54" s="1"/>
      <c r="TDC54" s="1"/>
      <c r="TDD54" s="1"/>
      <c r="TDE54" s="1"/>
      <c r="TDF54" s="1"/>
      <c r="TDG54" s="1"/>
      <c r="TDH54" s="1"/>
      <c r="TDI54" s="1"/>
      <c r="TDJ54" s="1"/>
      <c r="TDK54" s="1"/>
      <c r="TDL54" s="1"/>
      <c r="TDM54" s="1"/>
      <c r="TDN54" s="1"/>
      <c r="TDO54" s="1"/>
      <c r="TDP54" s="1"/>
      <c r="TDQ54" s="1"/>
      <c r="TDR54" s="1"/>
      <c r="TDS54" s="1"/>
      <c r="TDT54" s="1"/>
      <c r="TDU54" s="1"/>
      <c r="TDV54" s="1"/>
      <c r="TDW54" s="1"/>
      <c r="TDX54" s="1"/>
      <c r="TDY54" s="1"/>
      <c r="TDZ54" s="1"/>
      <c r="TEA54" s="1"/>
      <c r="TEB54" s="1"/>
      <c r="TEC54" s="1"/>
      <c r="TED54" s="1"/>
      <c r="TEE54" s="1"/>
      <c r="TEF54" s="1"/>
      <c r="TEG54" s="1"/>
      <c r="TEH54" s="1"/>
      <c r="TEI54" s="1"/>
      <c r="TEJ54" s="1"/>
      <c r="TEK54" s="1"/>
      <c r="TEL54" s="1"/>
      <c r="TEM54" s="1"/>
      <c r="TEN54" s="1"/>
      <c r="TEO54" s="1"/>
      <c r="TEP54" s="1"/>
      <c r="TEQ54" s="1"/>
      <c r="TER54" s="1"/>
      <c r="TES54" s="1"/>
      <c r="TET54" s="1"/>
      <c r="TEU54" s="1"/>
      <c r="TEV54" s="1"/>
      <c r="TEW54" s="1"/>
      <c r="TEX54" s="1"/>
      <c r="TEY54" s="1"/>
      <c r="TEZ54" s="1"/>
      <c r="TFA54" s="1"/>
      <c r="TFB54" s="1"/>
      <c r="TFC54" s="1"/>
      <c r="TFD54" s="1"/>
      <c r="TFE54" s="1"/>
      <c r="TFF54" s="1"/>
      <c r="TFG54" s="1"/>
      <c r="TFH54" s="1"/>
      <c r="TFI54" s="1"/>
      <c r="TFJ54" s="1"/>
      <c r="TFK54" s="1"/>
      <c r="TFL54" s="1"/>
      <c r="TFM54" s="1"/>
      <c r="TFN54" s="1"/>
      <c r="TFO54" s="1"/>
      <c r="TFP54" s="1"/>
      <c r="TFQ54" s="1"/>
      <c r="TFR54" s="1"/>
      <c r="TFS54" s="1"/>
      <c r="TFT54" s="1"/>
      <c r="TFU54" s="1"/>
      <c r="TFV54" s="1"/>
      <c r="TFW54" s="1"/>
      <c r="TFX54" s="1"/>
      <c r="TFY54" s="1"/>
      <c r="TFZ54" s="1"/>
      <c r="TGA54" s="1"/>
      <c r="TGB54" s="1"/>
      <c r="TGC54" s="1"/>
      <c r="TGD54" s="1"/>
      <c r="TGE54" s="1"/>
      <c r="TGF54" s="1"/>
      <c r="TGG54" s="1"/>
      <c r="TGH54" s="1"/>
      <c r="TGI54" s="1"/>
      <c r="TGJ54" s="1"/>
      <c r="TGK54" s="1"/>
      <c r="TGL54" s="1"/>
      <c r="TGM54" s="1"/>
      <c r="TGN54" s="1"/>
      <c r="TGO54" s="1"/>
      <c r="TGP54" s="1"/>
      <c r="TGQ54" s="1"/>
      <c r="TGR54" s="1"/>
      <c r="TGS54" s="1"/>
      <c r="TGT54" s="1"/>
      <c r="TGU54" s="1"/>
      <c r="TGV54" s="1"/>
      <c r="TGW54" s="1"/>
      <c r="TGX54" s="1"/>
      <c r="TGY54" s="1"/>
      <c r="TGZ54" s="1"/>
      <c r="THA54" s="1"/>
      <c r="THB54" s="1"/>
      <c r="THC54" s="1"/>
      <c r="THD54" s="1"/>
      <c r="THE54" s="1"/>
      <c r="THF54" s="1"/>
      <c r="THG54" s="1"/>
      <c r="THH54" s="1"/>
      <c r="THI54" s="1"/>
      <c r="THJ54" s="1"/>
      <c r="THK54" s="1"/>
      <c r="THL54" s="1"/>
      <c r="THM54" s="1"/>
      <c r="THN54" s="1"/>
      <c r="THO54" s="1"/>
      <c r="THP54" s="1"/>
      <c r="THQ54" s="1"/>
      <c r="THR54" s="1"/>
      <c r="THS54" s="1"/>
      <c r="THT54" s="1"/>
      <c r="THU54" s="1"/>
      <c r="THV54" s="1"/>
      <c r="THW54" s="1"/>
      <c r="THX54" s="1"/>
      <c r="THY54" s="1"/>
      <c r="THZ54" s="1"/>
      <c r="TIA54" s="1"/>
      <c r="TIB54" s="1"/>
      <c r="TIC54" s="1"/>
      <c r="TID54" s="1"/>
      <c r="TIE54" s="1"/>
      <c r="TIF54" s="1"/>
      <c r="TIG54" s="1"/>
      <c r="TIH54" s="1"/>
      <c r="TII54" s="1"/>
      <c r="TIJ54" s="1"/>
      <c r="TIK54" s="1"/>
      <c r="TIL54" s="1"/>
      <c r="TIM54" s="1"/>
      <c r="TIN54" s="1"/>
      <c r="TIO54" s="1"/>
      <c r="TIP54" s="1"/>
      <c r="TIQ54" s="1"/>
      <c r="TIR54" s="1"/>
      <c r="TIS54" s="1"/>
      <c r="TIT54" s="1"/>
      <c r="TIU54" s="1"/>
      <c r="TIV54" s="1"/>
      <c r="TIW54" s="1"/>
      <c r="TIX54" s="1"/>
      <c r="TIY54" s="1"/>
      <c r="TIZ54" s="1"/>
      <c r="TJA54" s="1"/>
      <c r="TJB54" s="1"/>
      <c r="TJC54" s="1"/>
      <c r="TJD54" s="1"/>
      <c r="TJE54" s="1"/>
      <c r="TJF54" s="1"/>
      <c r="TJG54" s="1"/>
      <c r="TJH54" s="1"/>
      <c r="TJI54" s="1"/>
      <c r="TJJ54" s="1"/>
      <c r="TJK54" s="1"/>
      <c r="TJL54" s="1"/>
      <c r="TJM54" s="1"/>
      <c r="TJN54" s="1"/>
      <c r="TJO54" s="1"/>
      <c r="TJP54" s="1"/>
      <c r="TJQ54" s="1"/>
      <c r="TJR54" s="1"/>
      <c r="TJS54" s="1"/>
      <c r="TJT54" s="1"/>
      <c r="TJU54" s="1"/>
      <c r="TJV54" s="1"/>
      <c r="TJW54" s="1"/>
      <c r="TJX54" s="1"/>
      <c r="TJY54" s="1"/>
      <c r="TJZ54" s="1"/>
      <c r="TKA54" s="1"/>
      <c r="TKB54" s="1"/>
      <c r="TKC54" s="1"/>
      <c r="TKD54" s="1"/>
      <c r="TKE54" s="1"/>
      <c r="TKF54" s="1"/>
      <c r="TKG54" s="1"/>
      <c r="TKH54" s="1"/>
      <c r="TKI54" s="1"/>
      <c r="TKJ54" s="1"/>
      <c r="TKK54" s="1"/>
      <c r="TKL54" s="1"/>
      <c r="TKM54" s="1"/>
      <c r="TKN54" s="1"/>
      <c r="TKO54" s="1"/>
      <c r="TKP54" s="1"/>
      <c r="TKQ54" s="1"/>
      <c r="TKR54" s="1"/>
      <c r="TKS54" s="1"/>
      <c r="TKT54" s="1"/>
      <c r="TKU54" s="1"/>
      <c r="TKV54" s="1"/>
      <c r="TKW54" s="1"/>
      <c r="TKX54" s="1"/>
      <c r="TKY54" s="1"/>
      <c r="TKZ54" s="1"/>
      <c r="TLA54" s="1"/>
      <c r="TLB54" s="1"/>
      <c r="TLC54" s="1"/>
      <c r="TLD54" s="1"/>
      <c r="TLE54" s="1"/>
      <c r="TLF54" s="1"/>
      <c r="TLG54" s="1"/>
      <c r="TLH54" s="1"/>
      <c r="TLI54" s="1"/>
      <c r="TLJ54" s="1"/>
      <c r="TLK54" s="1"/>
      <c r="TLL54" s="1"/>
      <c r="TLM54" s="1"/>
      <c r="TLN54" s="1"/>
      <c r="TLO54" s="1"/>
      <c r="TLP54" s="1"/>
      <c r="TLQ54" s="1"/>
      <c r="TLR54" s="1"/>
      <c r="TLS54" s="1"/>
      <c r="TLT54" s="1"/>
      <c r="TLU54" s="1"/>
      <c r="TLV54" s="1"/>
      <c r="TLW54" s="1"/>
      <c r="TLX54" s="1"/>
      <c r="TLY54" s="1"/>
      <c r="TLZ54" s="1"/>
      <c r="TMA54" s="1"/>
      <c r="TMB54" s="1"/>
      <c r="TMC54" s="1"/>
      <c r="TMD54" s="1"/>
      <c r="TME54" s="1"/>
      <c r="TMF54" s="1"/>
      <c r="TMG54" s="1"/>
      <c r="TMH54" s="1"/>
      <c r="TMI54" s="1"/>
      <c r="TMJ54" s="1"/>
      <c r="TMK54" s="1"/>
      <c r="TML54" s="1"/>
      <c r="TMM54" s="1"/>
      <c r="TMN54" s="1"/>
      <c r="TMO54" s="1"/>
      <c r="TMP54" s="1"/>
      <c r="TMQ54" s="1"/>
      <c r="TMR54" s="1"/>
      <c r="TMS54" s="1"/>
      <c r="TMT54" s="1"/>
      <c r="TMU54" s="1"/>
      <c r="TMV54" s="1"/>
      <c r="TMW54" s="1"/>
      <c r="TMX54" s="1"/>
      <c r="TMY54" s="1"/>
      <c r="TMZ54" s="1"/>
      <c r="TNA54" s="1"/>
      <c r="TNB54" s="1"/>
      <c r="TNC54" s="1"/>
      <c r="TND54" s="1"/>
      <c r="TNE54" s="1"/>
      <c r="TNF54" s="1"/>
      <c r="TNG54" s="1"/>
      <c r="TNH54" s="1"/>
      <c r="TNI54" s="1"/>
      <c r="TNJ54" s="1"/>
      <c r="TNK54" s="1"/>
      <c r="TNL54" s="1"/>
      <c r="TNM54" s="1"/>
      <c r="TNN54" s="1"/>
      <c r="TNO54" s="1"/>
      <c r="TNP54" s="1"/>
      <c r="TNQ54" s="1"/>
      <c r="TNR54" s="1"/>
      <c r="TNS54" s="1"/>
      <c r="TNT54" s="1"/>
      <c r="TNU54" s="1"/>
      <c r="TNV54" s="1"/>
      <c r="TNW54" s="1"/>
      <c r="TNX54" s="1"/>
      <c r="TNY54" s="1"/>
      <c r="TNZ54" s="1"/>
      <c r="TOA54" s="1"/>
      <c r="TOB54" s="1"/>
      <c r="TOC54" s="1"/>
      <c r="TOD54" s="1"/>
      <c r="TOE54" s="1"/>
      <c r="TOF54" s="1"/>
      <c r="TOG54" s="1"/>
      <c r="TOH54" s="1"/>
      <c r="TOI54" s="1"/>
      <c r="TOJ54" s="1"/>
      <c r="TOK54" s="1"/>
      <c r="TOL54" s="1"/>
      <c r="TOM54" s="1"/>
      <c r="TON54" s="1"/>
      <c r="TOO54" s="1"/>
      <c r="TOP54" s="1"/>
      <c r="TOQ54" s="1"/>
      <c r="TOR54" s="1"/>
      <c r="TOS54" s="1"/>
      <c r="TOT54" s="1"/>
      <c r="TOU54" s="1"/>
      <c r="TOV54" s="1"/>
      <c r="TOW54" s="1"/>
      <c r="TOX54" s="1"/>
      <c r="TOY54" s="1"/>
      <c r="TOZ54" s="1"/>
      <c r="TPA54" s="1"/>
      <c r="TPB54" s="1"/>
      <c r="TPC54" s="1"/>
      <c r="TPD54" s="1"/>
      <c r="TPE54" s="1"/>
      <c r="TPF54" s="1"/>
      <c r="TPG54" s="1"/>
      <c r="TPH54" s="1"/>
      <c r="TPI54" s="1"/>
      <c r="TPJ54" s="1"/>
      <c r="TPK54" s="1"/>
      <c r="TPL54" s="1"/>
      <c r="TPM54" s="1"/>
      <c r="TPN54" s="1"/>
      <c r="TPO54" s="1"/>
      <c r="TPP54" s="1"/>
      <c r="TPQ54" s="1"/>
      <c r="TPR54" s="1"/>
      <c r="TPS54" s="1"/>
      <c r="TPT54" s="1"/>
      <c r="TPU54" s="1"/>
      <c r="TPV54" s="1"/>
      <c r="TPW54" s="1"/>
      <c r="TPX54" s="1"/>
      <c r="TPY54" s="1"/>
      <c r="TPZ54" s="1"/>
      <c r="TQA54" s="1"/>
      <c r="TQB54" s="1"/>
      <c r="TQC54" s="1"/>
      <c r="TQD54" s="1"/>
      <c r="TQE54" s="1"/>
      <c r="TQF54" s="1"/>
      <c r="TQG54" s="1"/>
      <c r="TQH54" s="1"/>
      <c r="TQI54" s="1"/>
      <c r="TQJ54" s="1"/>
      <c r="TQK54" s="1"/>
      <c r="TQL54" s="1"/>
      <c r="TQM54" s="1"/>
      <c r="TQN54" s="1"/>
      <c r="TQO54" s="1"/>
      <c r="TQP54" s="1"/>
      <c r="TQQ54" s="1"/>
      <c r="TQR54" s="1"/>
      <c r="TQS54" s="1"/>
      <c r="TQT54" s="1"/>
      <c r="TQU54" s="1"/>
      <c r="TQV54" s="1"/>
      <c r="TQW54" s="1"/>
      <c r="TQX54" s="1"/>
      <c r="TQY54" s="1"/>
      <c r="TQZ54" s="1"/>
      <c r="TRA54" s="1"/>
      <c r="TRB54" s="1"/>
      <c r="TRC54" s="1"/>
      <c r="TRD54" s="1"/>
      <c r="TRE54" s="1"/>
      <c r="TRF54" s="1"/>
      <c r="TRG54" s="1"/>
      <c r="TRH54" s="1"/>
      <c r="TRI54" s="1"/>
      <c r="TRJ54" s="1"/>
      <c r="TRK54" s="1"/>
      <c r="TRL54" s="1"/>
      <c r="TRM54" s="1"/>
      <c r="TRN54" s="1"/>
      <c r="TRO54" s="1"/>
      <c r="TRP54" s="1"/>
      <c r="TRQ54" s="1"/>
      <c r="TRR54" s="1"/>
      <c r="TRS54" s="1"/>
      <c r="TRT54" s="1"/>
      <c r="TRU54" s="1"/>
      <c r="TRV54" s="1"/>
      <c r="TRW54" s="1"/>
      <c r="TRX54" s="1"/>
      <c r="TRY54" s="1"/>
      <c r="TRZ54" s="1"/>
      <c r="TSA54" s="1"/>
      <c r="TSB54" s="1"/>
      <c r="TSC54" s="1"/>
      <c r="TSD54" s="1"/>
      <c r="TSE54" s="1"/>
      <c r="TSF54" s="1"/>
      <c r="TSG54" s="1"/>
      <c r="TSH54" s="1"/>
      <c r="TSI54" s="1"/>
      <c r="TSJ54" s="1"/>
      <c r="TSK54" s="1"/>
      <c r="TSL54" s="1"/>
      <c r="TSM54" s="1"/>
      <c r="TSN54" s="1"/>
      <c r="TSO54" s="1"/>
      <c r="TSP54" s="1"/>
      <c r="TSQ54" s="1"/>
      <c r="TSR54" s="1"/>
      <c r="TSS54" s="1"/>
      <c r="TST54" s="1"/>
      <c r="TSU54" s="1"/>
      <c r="TSV54" s="1"/>
      <c r="TSW54" s="1"/>
      <c r="TSX54" s="1"/>
      <c r="TSY54" s="1"/>
      <c r="TSZ54" s="1"/>
      <c r="TTA54" s="1"/>
      <c r="TTB54" s="1"/>
      <c r="TTC54" s="1"/>
      <c r="TTD54" s="1"/>
      <c r="TTE54" s="1"/>
      <c r="TTF54" s="1"/>
      <c r="TTG54" s="1"/>
      <c r="TTH54" s="1"/>
      <c r="TTI54" s="1"/>
      <c r="TTJ54" s="1"/>
      <c r="TTK54" s="1"/>
      <c r="TTL54" s="1"/>
      <c r="TTM54" s="1"/>
      <c r="TTN54" s="1"/>
      <c r="TTO54" s="1"/>
      <c r="TTP54" s="1"/>
      <c r="TTQ54" s="1"/>
      <c r="TTR54" s="1"/>
      <c r="TTS54" s="1"/>
      <c r="TTT54" s="1"/>
      <c r="TTU54" s="1"/>
      <c r="TTV54" s="1"/>
      <c r="TTW54" s="1"/>
      <c r="TTX54" s="1"/>
      <c r="TTY54" s="1"/>
      <c r="TTZ54" s="1"/>
      <c r="TUA54" s="1"/>
      <c r="TUB54" s="1"/>
      <c r="TUC54" s="1"/>
      <c r="TUD54" s="1"/>
      <c r="TUE54" s="1"/>
      <c r="TUF54" s="1"/>
      <c r="TUG54" s="1"/>
      <c r="TUH54" s="1"/>
      <c r="TUI54" s="1"/>
      <c r="TUJ54" s="1"/>
      <c r="TUK54" s="1"/>
      <c r="TUL54" s="1"/>
      <c r="TUM54" s="1"/>
      <c r="TUN54" s="1"/>
      <c r="TUO54" s="1"/>
      <c r="TUP54" s="1"/>
      <c r="TUQ54" s="1"/>
      <c r="TUR54" s="1"/>
      <c r="TUS54" s="1"/>
      <c r="TUT54" s="1"/>
      <c r="TUU54" s="1"/>
      <c r="TUV54" s="1"/>
      <c r="TUW54" s="1"/>
      <c r="TUX54" s="1"/>
      <c r="TUY54" s="1"/>
      <c r="TUZ54" s="1"/>
      <c r="TVA54" s="1"/>
      <c r="TVB54" s="1"/>
      <c r="TVC54" s="1"/>
      <c r="TVD54" s="1"/>
      <c r="TVE54" s="1"/>
      <c r="TVF54" s="1"/>
      <c r="TVG54" s="1"/>
      <c r="TVH54" s="1"/>
      <c r="TVI54" s="1"/>
      <c r="TVJ54" s="1"/>
      <c r="TVK54" s="1"/>
      <c r="TVL54" s="1"/>
      <c r="TVM54" s="1"/>
      <c r="TVN54" s="1"/>
      <c r="TVO54" s="1"/>
      <c r="TVP54" s="1"/>
      <c r="TVQ54" s="1"/>
      <c r="TVR54" s="1"/>
      <c r="TVS54" s="1"/>
      <c r="TVT54" s="1"/>
      <c r="TVU54" s="1"/>
      <c r="TVV54" s="1"/>
      <c r="TVW54" s="1"/>
      <c r="TVX54" s="1"/>
      <c r="TVY54" s="1"/>
      <c r="TVZ54" s="1"/>
      <c r="TWA54" s="1"/>
      <c r="TWB54" s="1"/>
      <c r="TWC54" s="1"/>
      <c r="TWD54" s="1"/>
      <c r="TWE54" s="1"/>
      <c r="TWF54" s="1"/>
      <c r="TWG54" s="1"/>
      <c r="TWH54" s="1"/>
      <c r="TWI54" s="1"/>
      <c r="TWJ54" s="1"/>
      <c r="TWK54" s="1"/>
      <c r="TWL54" s="1"/>
      <c r="TWM54" s="1"/>
      <c r="TWN54" s="1"/>
      <c r="TWO54" s="1"/>
      <c r="TWP54" s="1"/>
      <c r="TWQ54" s="1"/>
      <c r="TWR54" s="1"/>
      <c r="TWS54" s="1"/>
      <c r="TWT54" s="1"/>
      <c r="TWU54" s="1"/>
      <c r="TWV54" s="1"/>
      <c r="TWW54" s="1"/>
      <c r="TWX54" s="1"/>
      <c r="TWY54" s="1"/>
      <c r="TWZ54" s="1"/>
      <c r="TXA54" s="1"/>
      <c r="TXB54" s="1"/>
      <c r="TXC54" s="1"/>
      <c r="TXD54" s="1"/>
      <c r="TXE54" s="1"/>
      <c r="TXF54" s="1"/>
      <c r="TXG54" s="1"/>
      <c r="TXH54" s="1"/>
      <c r="TXI54" s="1"/>
      <c r="TXJ54" s="1"/>
      <c r="TXK54" s="1"/>
      <c r="TXL54" s="1"/>
      <c r="TXM54" s="1"/>
      <c r="TXN54" s="1"/>
      <c r="TXO54" s="1"/>
      <c r="TXP54" s="1"/>
      <c r="TXQ54" s="1"/>
      <c r="TXR54" s="1"/>
      <c r="TXS54" s="1"/>
      <c r="TXT54" s="1"/>
      <c r="TXU54" s="1"/>
      <c r="TXV54" s="1"/>
      <c r="TXW54" s="1"/>
      <c r="TXX54" s="1"/>
      <c r="TXY54" s="1"/>
      <c r="TXZ54" s="1"/>
      <c r="TYA54" s="1"/>
      <c r="TYB54" s="1"/>
      <c r="TYC54" s="1"/>
      <c r="TYD54" s="1"/>
      <c r="TYE54" s="1"/>
      <c r="TYF54" s="1"/>
      <c r="TYG54" s="1"/>
      <c r="TYH54" s="1"/>
      <c r="TYI54" s="1"/>
      <c r="TYJ54" s="1"/>
      <c r="TYK54" s="1"/>
      <c r="TYL54" s="1"/>
      <c r="TYM54" s="1"/>
      <c r="TYN54" s="1"/>
      <c r="TYO54" s="1"/>
      <c r="TYP54" s="1"/>
      <c r="TYQ54" s="1"/>
      <c r="TYR54" s="1"/>
      <c r="TYS54" s="1"/>
      <c r="TYT54" s="1"/>
      <c r="TYU54" s="1"/>
      <c r="TYV54" s="1"/>
      <c r="TYW54" s="1"/>
      <c r="TYX54" s="1"/>
      <c r="TYY54" s="1"/>
      <c r="TYZ54" s="1"/>
      <c r="TZA54" s="1"/>
      <c r="TZB54" s="1"/>
      <c r="TZC54" s="1"/>
      <c r="TZD54" s="1"/>
      <c r="TZE54" s="1"/>
      <c r="TZF54" s="1"/>
      <c r="TZG54" s="1"/>
      <c r="TZH54" s="1"/>
      <c r="TZI54" s="1"/>
      <c r="TZJ54" s="1"/>
      <c r="TZK54" s="1"/>
      <c r="TZL54" s="1"/>
      <c r="TZM54" s="1"/>
      <c r="TZN54" s="1"/>
      <c r="TZO54" s="1"/>
      <c r="TZP54" s="1"/>
      <c r="TZQ54" s="1"/>
      <c r="TZR54" s="1"/>
      <c r="TZS54" s="1"/>
      <c r="TZT54" s="1"/>
      <c r="TZU54" s="1"/>
      <c r="TZV54" s="1"/>
      <c r="TZW54" s="1"/>
      <c r="TZX54" s="1"/>
      <c r="TZY54" s="1"/>
      <c r="TZZ54" s="1"/>
      <c r="UAA54" s="1"/>
      <c r="UAB54" s="1"/>
      <c r="UAC54" s="1"/>
      <c r="UAD54" s="1"/>
      <c r="UAE54" s="1"/>
      <c r="UAF54" s="1"/>
      <c r="UAG54" s="1"/>
      <c r="UAH54" s="1"/>
      <c r="UAI54" s="1"/>
      <c r="UAJ54" s="1"/>
      <c r="UAK54" s="1"/>
      <c r="UAL54" s="1"/>
      <c r="UAM54" s="1"/>
      <c r="UAN54" s="1"/>
      <c r="UAO54" s="1"/>
      <c r="UAP54" s="1"/>
      <c r="UAQ54" s="1"/>
      <c r="UAR54" s="1"/>
      <c r="UAS54" s="1"/>
      <c r="UAT54" s="1"/>
      <c r="UAU54" s="1"/>
      <c r="UAV54" s="1"/>
      <c r="UAW54" s="1"/>
      <c r="UAX54" s="1"/>
      <c r="UAY54" s="1"/>
      <c r="UAZ54" s="1"/>
      <c r="UBA54" s="1"/>
      <c r="UBB54" s="1"/>
      <c r="UBC54" s="1"/>
      <c r="UBD54" s="1"/>
      <c r="UBE54" s="1"/>
      <c r="UBF54" s="1"/>
      <c r="UBG54" s="1"/>
      <c r="UBH54" s="1"/>
      <c r="UBI54" s="1"/>
      <c r="UBJ54" s="1"/>
      <c r="UBK54" s="1"/>
      <c r="UBL54" s="1"/>
      <c r="UBM54" s="1"/>
      <c r="UBN54" s="1"/>
      <c r="UBO54" s="1"/>
      <c r="UBP54" s="1"/>
      <c r="UBQ54" s="1"/>
      <c r="UBR54" s="1"/>
      <c r="UBS54" s="1"/>
      <c r="UBT54" s="1"/>
      <c r="UBU54" s="1"/>
      <c r="UBV54" s="1"/>
      <c r="UBW54" s="1"/>
      <c r="UBX54" s="1"/>
      <c r="UBY54" s="1"/>
      <c r="UBZ54" s="1"/>
      <c r="UCA54" s="1"/>
      <c r="UCB54" s="1"/>
      <c r="UCC54" s="1"/>
      <c r="UCD54" s="1"/>
      <c r="UCE54" s="1"/>
      <c r="UCF54" s="1"/>
      <c r="UCG54" s="1"/>
      <c r="UCH54" s="1"/>
      <c r="UCI54" s="1"/>
      <c r="UCJ54" s="1"/>
      <c r="UCK54" s="1"/>
      <c r="UCL54" s="1"/>
      <c r="UCM54" s="1"/>
      <c r="UCN54" s="1"/>
      <c r="UCO54" s="1"/>
      <c r="UCP54" s="1"/>
      <c r="UCQ54" s="1"/>
      <c r="UCR54" s="1"/>
      <c r="UCS54" s="1"/>
      <c r="UCT54" s="1"/>
      <c r="UCU54" s="1"/>
      <c r="UCV54" s="1"/>
      <c r="UCW54" s="1"/>
      <c r="UCX54" s="1"/>
      <c r="UCY54" s="1"/>
      <c r="UCZ54" s="1"/>
      <c r="UDA54" s="1"/>
      <c r="UDB54" s="1"/>
      <c r="UDC54" s="1"/>
      <c r="UDD54" s="1"/>
      <c r="UDE54" s="1"/>
      <c r="UDF54" s="1"/>
      <c r="UDG54" s="1"/>
      <c r="UDH54" s="1"/>
      <c r="UDI54" s="1"/>
      <c r="UDJ54" s="1"/>
      <c r="UDK54" s="1"/>
      <c r="UDL54" s="1"/>
      <c r="UDM54" s="1"/>
      <c r="UDN54" s="1"/>
      <c r="UDO54" s="1"/>
      <c r="UDP54" s="1"/>
      <c r="UDQ54" s="1"/>
      <c r="UDR54" s="1"/>
      <c r="UDS54" s="1"/>
      <c r="UDT54" s="1"/>
      <c r="UDU54" s="1"/>
      <c r="UDV54" s="1"/>
      <c r="UDW54" s="1"/>
      <c r="UDX54" s="1"/>
      <c r="UDY54" s="1"/>
      <c r="UDZ54" s="1"/>
      <c r="UEA54" s="1"/>
      <c r="UEB54" s="1"/>
      <c r="UEC54" s="1"/>
      <c r="UED54" s="1"/>
      <c r="UEE54" s="1"/>
      <c r="UEF54" s="1"/>
      <c r="UEG54" s="1"/>
      <c r="UEH54" s="1"/>
      <c r="UEI54" s="1"/>
      <c r="UEJ54" s="1"/>
      <c r="UEK54" s="1"/>
      <c r="UEL54" s="1"/>
      <c r="UEM54" s="1"/>
      <c r="UEN54" s="1"/>
      <c r="UEO54" s="1"/>
      <c r="UEP54" s="1"/>
      <c r="UEQ54" s="1"/>
      <c r="UER54" s="1"/>
      <c r="UES54" s="1"/>
      <c r="UET54" s="1"/>
      <c r="UEU54" s="1"/>
      <c r="UEV54" s="1"/>
      <c r="UEW54" s="1"/>
      <c r="UEX54" s="1"/>
      <c r="UEY54" s="1"/>
      <c r="UEZ54" s="1"/>
      <c r="UFA54" s="1"/>
      <c r="UFB54" s="1"/>
      <c r="UFC54" s="1"/>
      <c r="UFD54" s="1"/>
      <c r="UFE54" s="1"/>
      <c r="UFF54" s="1"/>
      <c r="UFG54" s="1"/>
      <c r="UFH54" s="1"/>
      <c r="UFI54" s="1"/>
      <c r="UFJ54" s="1"/>
      <c r="UFK54" s="1"/>
      <c r="UFL54" s="1"/>
      <c r="UFM54" s="1"/>
      <c r="UFN54" s="1"/>
      <c r="UFO54" s="1"/>
      <c r="UFP54" s="1"/>
      <c r="UFQ54" s="1"/>
      <c r="UFR54" s="1"/>
      <c r="UFS54" s="1"/>
      <c r="UFT54" s="1"/>
      <c r="UFU54" s="1"/>
      <c r="UFV54" s="1"/>
      <c r="UFW54" s="1"/>
      <c r="UFX54" s="1"/>
      <c r="UFY54" s="1"/>
      <c r="UFZ54" s="1"/>
      <c r="UGA54" s="1"/>
      <c r="UGB54" s="1"/>
      <c r="UGC54" s="1"/>
      <c r="UGD54" s="1"/>
      <c r="UGE54" s="1"/>
      <c r="UGF54" s="1"/>
      <c r="UGG54" s="1"/>
      <c r="UGH54" s="1"/>
      <c r="UGI54" s="1"/>
      <c r="UGJ54" s="1"/>
      <c r="UGK54" s="1"/>
      <c r="UGL54" s="1"/>
      <c r="UGM54" s="1"/>
      <c r="UGN54" s="1"/>
      <c r="UGO54" s="1"/>
      <c r="UGP54" s="1"/>
      <c r="UGQ54" s="1"/>
      <c r="UGR54" s="1"/>
      <c r="UGS54" s="1"/>
      <c r="UGT54" s="1"/>
      <c r="UGU54" s="1"/>
      <c r="UGV54" s="1"/>
      <c r="UGW54" s="1"/>
      <c r="UGX54" s="1"/>
      <c r="UGY54" s="1"/>
      <c r="UGZ54" s="1"/>
      <c r="UHA54" s="1"/>
      <c r="UHB54" s="1"/>
      <c r="UHC54" s="1"/>
      <c r="UHD54" s="1"/>
      <c r="UHE54" s="1"/>
      <c r="UHF54" s="1"/>
      <c r="UHG54" s="1"/>
      <c r="UHH54" s="1"/>
      <c r="UHI54" s="1"/>
      <c r="UHJ54" s="1"/>
      <c r="UHK54" s="1"/>
      <c r="UHL54" s="1"/>
      <c r="UHM54" s="1"/>
      <c r="UHN54" s="1"/>
      <c r="UHO54" s="1"/>
      <c r="UHP54" s="1"/>
      <c r="UHQ54" s="1"/>
      <c r="UHR54" s="1"/>
      <c r="UHS54" s="1"/>
      <c r="UHT54" s="1"/>
      <c r="UHU54" s="1"/>
      <c r="UHV54" s="1"/>
      <c r="UHW54" s="1"/>
      <c r="UHX54" s="1"/>
      <c r="UHY54" s="1"/>
      <c r="UHZ54" s="1"/>
      <c r="UIA54" s="1"/>
      <c r="UIB54" s="1"/>
      <c r="UIC54" s="1"/>
      <c r="UID54" s="1"/>
      <c r="UIE54" s="1"/>
      <c r="UIF54" s="1"/>
      <c r="UIG54" s="1"/>
      <c r="UIH54" s="1"/>
      <c r="UII54" s="1"/>
      <c r="UIJ54" s="1"/>
      <c r="UIK54" s="1"/>
      <c r="UIL54" s="1"/>
      <c r="UIM54" s="1"/>
      <c r="UIN54" s="1"/>
      <c r="UIO54" s="1"/>
      <c r="UIP54" s="1"/>
      <c r="UIQ54" s="1"/>
      <c r="UIR54" s="1"/>
      <c r="UIS54" s="1"/>
      <c r="UIT54" s="1"/>
      <c r="UIU54" s="1"/>
      <c r="UIV54" s="1"/>
      <c r="UIW54" s="1"/>
      <c r="UIX54" s="1"/>
      <c r="UIY54" s="1"/>
      <c r="UIZ54" s="1"/>
      <c r="UJA54" s="1"/>
      <c r="UJB54" s="1"/>
      <c r="UJC54" s="1"/>
      <c r="UJD54" s="1"/>
      <c r="UJE54" s="1"/>
      <c r="UJF54" s="1"/>
      <c r="UJG54" s="1"/>
      <c r="UJH54" s="1"/>
      <c r="UJI54" s="1"/>
      <c r="UJJ54" s="1"/>
      <c r="UJK54" s="1"/>
      <c r="UJL54" s="1"/>
      <c r="UJM54" s="1"/>
      <c r="UJN54" s="1"/>
      <c r="UJO54" s="1"/>
      <c r="UJP54" s="1"/>
      <c r="UJQ54" s="1"/>
      <c r="UJR54" s="1"/>
      <c r="UJS54" s="1"/>
      <c r="UJT54" s="1"/>
      <c r="UJU54" s="1"/>
      <c r="UJV54" s="1"/>
      <c r="UJW54" s="1"/>
      <c r="UJX54" s="1"/>
      <c r="UJY54" s="1"/>
      <c r="UJZ54" s="1"/>
      <c r="UKA54" s="1"/>
      <c r="UKB54" s="1"/>
      <c r="UKC54" s="1"/>
      <c r="UKD54" s="1"/>
      <c r="UKE54" s="1"/>
      <c r="UKF54" s="1"/>
      <c r="UKG54" s="1"/>
      <c r="UKH54" s="1"/>
      <c r="UKI54" s="1"/>
      <c r="UKJ54" s="1"/>
      <c r="UKK54" s="1"/>
      <c r="UKL54" s="1"/>
      <c r="UKM54" s="1"/>
      <c r="UKN54" s="1"/>
      <c r="UKO54" s="1"/>
      <c r="UKP54" s="1"/>
      <c r="UKQ54" s="1"/>
      <c r="UKR54" s="1"/>
      <c r="UKS54" s="1"/>
      <c r="UKT54" s="1"/>
      <c r="UKU54" s="1"/>
      <c r="UKV54" s="1"/>
      <c r="UKW54" s="1"/>
      <c r="UKX54" s="1"/>
      <c r="UKY54" s="1"/>
      <c r="UKZ54" s="1"/>
      <c r="ULA54" s="1"/>
      <c r="ULB54" s="1"/>
      <c r="ULC54" s="1"/>
      <c r="ULD54" s="1"/>
      <c r="ULE54" s="1"/>
      <c r="ULF54" s="1"/>
      <c r="ULG54" s="1"/>
      <c r="ULH54" s="1"/>
      <c r="ULI54" s="1"/>
      <c r="ULJ54" s="1"/>
      <c r="ULK54" s="1"/>
      <c r="ULL54" s="1"/>
      <c r="ULM54" s="1"/>
      <c r="ULN54" s="1"/>
      <c r="ULO54" s="1"/>
      <c r="ULP54" s="1"/>
      <c r="ULQ54" s="1"/>
      <c r="ULR54" s="1"/>
      <c r="ULS54" s="1"/>
      <c r="ULT54" s="1"/>
      <c r="ULU54" s="1"/>
      <c r="ULV54" s="1"/>
      <c r="ULW54" s="1"/>
      <c r="ULX54" s="1"/>
      <c r="ULY54" s="1"/>
      <c r="ULZ54" s="1"/>
      <c r="UMA54" s="1"/>
      <c r="UMB54" s="1"/>
      <c r="UMC54" s="1"/>
      <c r="UMD54" s="1"/>
      <c r="UME54" s="1"/>
      <c r="UMF54" s="1"/>
      <c r="UMG54" s="1"/>
      <c r="UMH54" s="1"/>
      <c r="UMI54" s="1"/>
      <c r="UMJ54" s="1"/>
      <c r="UMK54" s="1"/>
      <c r="UML54" s="1"/>
      <c r="UMM54" s="1"/>
      <c r="UMN54" s="1"/>
      <c r="UMO54" s="1"/>
      <c r="UMP54" s="1"/>
      <c r="UMQ54" s="1"/>
      <c r="UMR54" s="1"/>
      <c r="UMS54" s="1"/>
      <c r="UMT54" s="1"/>
      <c r="UMU54" s="1"/>
      <c r="UMV54" s="1"/>
      <c r="UMW54" s="1"/>
      <c r="UMX54" s="1"/>
      <c r="UMY54" s="1"/>
      <c r="UMZ54" s="1"/>
      <c r="UNA54" s="1"/>
      <c r="UNB54" s="1"/>
      <c r="UNC54" s="1"/>
      <c r="UND54" s="1"/>
      <c r="UNE54" s="1"/>
      <c r="UNF54" s="1"/>
      <c r="UNG54" s="1"/>
      <c r="UNH54" s="1"/>
      <c r="UNI54" s="1"/>
      <c r="UNJ54" s="1"/>
      <c r="UNK54" s="1"/>
      <c r="UNL54" s="1"/>
      <c r="UNM54" s="1"/>
      <c r="UNN54" s="1"/>
      <c r="UNO54" s="1"/>
      <c r="UNP54" s="1"/>
      <c r="UNQ54" s="1"/>
      <c r="UNR54" s="1"/>
      <c r="UNS54" s="1"/>
      <c r="UNT54" s="1"/>
      <c r="UNU54" s="1"/>
      <c r="UNV54" s="1"/>
      <c r="UNW54" s="1"/>
      <c r="UNX54" s="1"/>
      <c r="UNY54" s="1"/>
      <c r="UNZ54" s="1"/>
      <c r="UOA54" s="1"/>
      <c r="UOB54" s="1"/>
      <c r="UOC54" s="1"/>
      <c r="UOD54" s="1"/>
      <c r="UOE54" s="1"/>
      <c r="UOF54" s="1"/>
      <c r="UOG54" s="1"/>
      <c r="UOH54" s="1"/>
      <c r="UOI54" s="1"/>
      <c r="UOJ54" s="1"/>
      <c r="UOK54" s="1"/>
      <c r="UOL54" s="1"/>
      <c r="UOM54" s="1"/>
      <c r="UON54" s="1"/>
      <c r="UOO54" s="1"/>
      <c r="UOP54" s="1"/>
      <c r="UOQ54" s="1"/>
      <c r="UOR54" s="1"/>
      <c r="UOS54" s="1"/>
      <c r="UOT54" s="1"/>
      <c r="UOU54" s="1"/>
      <c r="UOV54" s="1"/>
      <c r="UOW54" s="1"/>
      <c r="UOX54" s="1"/>
      <c r="UOY54" s="1"/>
      <c r="UOZ54" s="1"/>
      <c r="UPA54" s="1"/>
      <c r="UPB54" s="1"/>
      <c r="UPC54" s="1"/>
      <c r="UPD54" s="1"/>
      <c r="UPE54" s="1"/>
      <c r="UPF54" s="1"/>
      <c r="UPG54" s="1"/>
      <c r="UPH54" s="1"/>
      <c r="UPI54" s="1"/>
      <c r="UPJ54" s="1"/>
      <c r="UPK54" s="1"/>
      <c r="UPL54" s="1"/>
      <c r="UPM54" s="1"/>
      <c r="UPN54" s="1"/>
      <c r="UPO54" s="1"/>
      <c r="UPP54" s="1"/>
      <c r="UPQ54" s="1"/>
      <c r="UPR54" s="1"/>
      <c r="UPS54" s="1"/>
      <c r="UPT54" s="1"/>
      <c r="UPU54" s="1"/>
      <c r="UPV54" s="1"/>
      <c r="UPW54" s="1"/>
      <c r="UPX54" s="1"/>
      <c r="UPY54" s="1"/>
      <c r="UPZ54" s="1"/>
      <c r="UQA54" s="1"/>
      <c r="UQB54" s="1"/>
      <c r="UQC54" s="1"/>
      <c r="UQD54" s="1"/>
      <c r="UQE54" s="1"/>
      <c r="UQF54" s="1"/>
      <c r="UQG54" s="1"/>
      <c r="UQH54" s="1"/>
      <c r="UQI54" s="1"/>
      <c r="UQJ54" s="1"/>
      <c r="UQK54" s="1"/>
      <c r="UQL54" s="1"/>
      <c r="UQM54" s="1"/>
      <c r="UQN54" s="1"/>
      <c r="UQO54" s="1"/>
      <c r="UQP54" s="1"/>
      <c r="UQQ54" s="1"/>
      <c r="UQR54" s="1"/>
      <c r="UQS54" s="1"/>
      <c r="UQT54" s="1"/>
      <c r="UQU54" s="1"/>
      <c r="UQV54" s="1"/>
      <c r="UQW54" s="1"/>
      <c r="UQX54" s="1"/>
      <c r="UQY54" s="1"/>
      <c r="UQZ54" s="1"/>
      <c r="URA54" s="1"/>
      <c r="URB54" s="1"/>
      <c r="URC54" s="1"/>
      <c r="URD54" s="1"/>
      <c r="URE54" s="1"/>
      <c r="URF54" s="1"/>
      <c r="URG54" s="1"/>
      <c r="URH54" s="1"/>
      <c r="URI54" s="1"/>
      <c r="URJ54" s="1"/>
      <c r="URK54" s="1"/>
      <c r="URL54" s="1"/>
      <c r="URM54" s="1"/>
      <c r="URN54" s="1"/>
      <c r="URO54" s="1"/>
      <c r="URP54" s="1"/>
      <c r="URQ54" s="1"/>
      <c r="URR54" s="1"/>
      <c r="URS54" s="1"/>
      <c r="URT54" s="1"/>
      <c r="URU54" s="1"/>
      <c r="URV54" s="1"/>
      <c r="URW54" s="1"/>
      <c r="URX54" s="1"/>
      <c r="URY54" s="1"/>
      <c r="URZ54" s="1"/>
      <c r="USA54" s="1"/>
      <c r="USB54" s="1"/>
      <c r="USC54" s="1"/>
      <c r="USD54" s="1"/>
      <c r="USE54" s="1"/>
      <c r="USF54" s="1"/>
      <c r="USG54" s="1"/>
      <c r="USH54" s="1"/>
      <c r="USI54" s="1"/>
      <c r="USJ54" s="1"/>
      <c r="USK54" s="1"/>
      <c r="USL54" s="1"/>
      <c r="USM54" s="1"/>
      <c r="USN54" s="1"/>
      <c r="USO54" s="1"/>
      <c r="USP54" s="1"/>
      <c r="USQ54" s="1"/>
      <c r="USR54" s="1"/>
      <c r="USS54" s="1"/>
      <c r="UST54" s="1"/>
      <c r="USU54" s="1"/>
      <c r="USV54" s="1"/>
      <c r="USW54" s="1"/>
      <c r="USX54" s="1"/>
      <c r="USY54" s="1"/>
      <c r="USZ54" s="1"/>
      <c r="UTA54" s="1"/>
      <c r="UTB54" s="1"/>
      <c r="UTC54" s="1"/>
      <c r="UTD54" s="1"/>
      <c r="UTE54" s="1"/>
      <c r="UTF54" s="1"/>
      <c r="UTG54" s="1"/>
      <c r="UTH54" s="1"/>
      <c r="UTI54" s="1"/>
      <c r="UTJ54" s="1"/>
      <c r="UTK54" s="1"/>
      <c r="UTL54" s="1"/>
      <c r="UTM54" s="1"/>
      <c r="UTN54" s="1"/>
      <c r="UTO54" s="1"/>
      <c r="UTP54" s="1"/>
      <c r="UTQ54" s="1"/>
      <c r="UTR54" s="1"/>
      <c r="UTS54" s="1"/>
      <c r="UTT54" s="1"/>
      <c r="UTU54" s="1"/>
      <c r="UTV54" s="1"/>
      <c r="UTW54" s="1"/>
      <c r="UTX54" s="1"/>
      <c r="UTY54" s="1"/>
      <c r="UTZ54" s="1"/>
      <c r="UUA54" s="1"/>
      <c r="UUB54" s="1"/>
      <c r="UUC54" s="1"/>
      <c r="UUD54" s="1"/>
      <c r="UUE54" s="1"/>
      <c r="UUF54" s="1"/>
      <c r="UUG54" s="1"/>
      <c r="UUH54" s="1"/>
      <c r="UUI54" s="1"/>
      <c r="UUJ54" s="1"/>
      <c r="UUK54" s="1"/>
      <c r="UUL54" s="1"/>
      <c r="UUM54" s="1"/>
      <c r="UUN54" s="1"/>
      <c r="UUO54" s="1"/>
      <c r="UUP54" s="1"/>
      <c r="UUQ54" s="1"/>
      <c r="UUR54" s="1"/>
      <c r="UUS54" s="1"/>
      <c r="UUT54" s="1"/>
      <c r="UUU54" s="1"/>
      <c r="UUV54" s="1"/>
      <c r="UUW54" s="1"/>
      <c r="UUX54" s="1"/>
      <c r="UUY54" s="1"/>
      <c r="UUZ54" s="1"/>
      <c r="UVA54" s="1"/>
      <c r="UVB54" s="1"/>
      <c r="UVC54" s="1"/>
      <c r="UVD54" s="1"/>
      <c r="UVE54" s="1"/>
      <c r="UVF54" s="1"/>
      <c r="UVG54" s="1"/>
      <c r="UVH54" s="1"/>
      <c r="UVI54" s="1"/>
      <c r="UVJ54" s="1"/>
      <c r="UVK54" s="1"/>
      <c r="UVL54" s="1"/>
      <c r="UVM54" s="1"/>
      <c r="UVN54" s="1"/>
      <c r="UVO54" s="1"/>
      <c r="UVP54" s="1"/>
      <c r="UVQ54" s="1"/>
      <c r="UVR54" s="1"/>
      <c r="UVS54" s="1"/>
      <c r="UVT54" s="1"/>
      <c r="UVU54" s="1"/>
      <c r="UVV54" s="1"/>
      <c r="UVW54" s="1"/>
      <c r="UVX54" s="1"/>
      <c r="UVY54" s="1"/>
      <c r="UVZ54" s="1"/>
      <c r="UWA54" s="1"/>
      <c r="UWB54" s="1"/>
      <c r="UWC54" s="1"/>
      <c r="UWD54" s="1"/>
      <c r="UWE54" s="1"/>
      <c r="UWF54" s="1"/>
      <c r="UWG54" s="1"/>
      <c r="UWH54" s="1"/>
      <c r="UWI54" s="1"/>
      <c r="UWJ54" s="1"/>
      <c r="UWK54" s="1"/>
      <c r="UWL54" s="1"/>
      <c r="UWM54" s="1"/>
      <c r="UWN54" s="1"/>
      <c r="UWO54" s="1"/>
      <c r="UWP54" s="1"/>
      <c r="UWQ54" s="1"/>
      <c r="UWR54" s="1"/>
      <c r="UWS54" s="1"/>
      <c r="UWT54" s="1"/>
      <c r="UWU54" s="1"/>
      <c r="UWV54" s="1"/>
      <c r="UWW54" s="1"/>
      <c r="UWX54" s="1"/>
      <c r="UWY54" s="1"/>
      <c r="UWZ54" s="1"/>
      <c r="UXA54" s="1"/>
      <c r="UXB54" s="1"/>
      <c r="UXC54" s="1"/>
      <c r="UXD54" s="1"/>
      <c r="UXE54" s="1"/>
      <c r="UXF54" s="1"/>
      <c r="UXG54" s="1"/>
      <c r="UXH54" s="1"/>
      <c r="UXI54" s="1"/>
      <c r="UXJ54" s="1"/>
      <c r="UXK54" s="1"/>
      <c r="UXL54" s="1"/>
      <c r="UXM54" s="1"/>
      <c r="UXN54" s="1"/>
      <c r="UXO54" s="1"/>
      <c r="UXP54" s="1"/>
      <c r="UXQ54" s="1"/>
      <c r="UXR54" s="1"/>
      <c r="UXS54" s="1"/>
      <c r="UXT54" s="1"/>
      <c r="UXU54" s="1"/>
      <c r="UXV54" s="1"/>
      <c r="UXW54" s="1"/>
      <c r="UXX54" s="1"/>
      <c r="UXY54" s="1"/>
      <c r="UXZ54" s="1"/>
      <c r="UYA54" s="1"/>
      <c r="UYB54" s="1"/>
      <c r="UYC54" s="1"/>
      <c r="UYD54" s="1"/>
      <c r="UYE54" s="1"/>
      <c r="UYF54" s="1"/>
      <c r="UYG54" s="1"/>
      <c r="UYH54" s="1"/>
      <c r="UYI54" s="1"/>
      <c r="UYJ54" s="1"/>
      <c r="UYK54" s="1"/>
      <c r="UYL54" s="1"/>
      <c r="UYM54" s="1"/>
      <c r="UYN54" s="1"/>
      <c r="UYO54" s="1"/>
      <c r="UYP54" s="1"/>
      <c r="UYQ54" s="1"/>
      <c r="UYR54" s="1"/>
      <c r="UYS54" s="1"/>
      <c r="UYT54" s="1"/>
      <c r="UYU54" s="1"/>
      <c r="UYV54" s="1"/>
      <c r="UYW54" s="1"/>
      <c r="UYX54" s="1"/>
      <c r="UYY54" s="1"/>
      <c r="UYZ54" s="1"/>
      <c r="UZA54" s="1"/>
      <c r="UZB54" s="1"/>
      <c r="UZC54" s="1"/>
      <c r="UZD54" s="1"/>
      <c r="UZE54" s="1"/>
      <c r="UZF54" s="1"/>
      <c r="UZG54" s="1"/>
      <c r="UZH54" s="1"/>
      <c r="UZI54" s="1"/>
      <c r="UZJ54" s="1"/>
      <c r="UZK54" s="1"/>
      <c r="UZL54" s="1"/>
      <c r="UZM54" s="1"/>
      <c r="UZN54" s="1"/>
      <c r="UZO54" s="1"/>
      <c r="UZP54" s="1"/>
      <c r="UZQ54" s="1"/>
      <c r="UZR54" s="1"/>
      <c r="UZS54" s="1"/>
      <c r="UZT54" s="1"/>
      <c r="UZU54" s="1"/>
      <c r="UZV54" s="1"/>
      <c r="UZW54" s="1"/>
      <c r="UZX54" s="1"/>
      <c r="UZY54" s="1"/>
      <c r="UZZ54" s="1"/>
      <c r="VAA54" s="1"/>
      <c r="VAB54" s="1"/>
      <c r="VAC54" s="1"/>
      <c r="VAD54" s="1"/>
      <c r="VAE54" s="1"/>
      <c r="VAF54" s="1"/>
      <c r="VAG54" s="1"/>
      <c r="VAH54" s="1"/>
      <c r="VAI54" s="1"/>
      <c r="VAJ54" s="1"/>
      <c r="VAK54" s="1"/>
      <c r="VAL54" s="1"/>
      <c r="VAM54" s="1"/>
      <c r="VAN54" s="1"/>
      <c r="VAO54" s="1"/>
      <c r="VAP54" s="1"/>
      <c r="VAQ54" s="1"/>
      <c r="VAR54" s="1"/>
      <c r="VAS54" s="1"/>
      <c r="VAT54" s="1"/>
      <c r="VAU54" s="1"/>
      <c r="VAV54" s="1"/>
      <c r="VAW54" s="1"/>
      <c r="VAX54" s="1"/>
      <c r="VAY54" s="1"/>
      <c r="VAZ54" s="1"/>
      <c r="VBA54" s="1"/>
      <c r="VBB54" s="1"/>
      <c r="VBC54" s="1"/>
      <c r="VBD54" s="1"/>
      <c r="VBE54" s="1"/>
      <c r="VBF54" s="1"/>
      <c r="VBG54" s="1"/>
      <c r="VBH54" s="1"/>
      <c r="VBI54" s="1"/>
      <c r="VBJ54" s="1"/>
      <c r="VBK54" s="1"/>
      <c r="VBL54" s="1"/>
      <c r="VBM54" s="1"/>
      <c r="VBN54" s="1"/>
      <c r="VBO54" s="1"/>
      <c r="VBP54" s="1"/>
      <c r="VBQ54" s="1"/>
      <c r="VBR54" s="1"/>
      <c r="VBS54" s="1"/>
      <c r="VBT54" s="1"/>
      <c r="VBU54" s="1"/>
      <c r="VBV54" s="1"/>
      <c r="VBW54" s="1"/>
      <c r="VBX54" s="1"/>
      <c r="VBY54" s="1"/>
      <c r="VBZ54" s="1"/>
      <c r="VCA54" s="1"/>
      <c r="VCB54" s="1"/>
      <c r="VCC54" s="1"/>
      <c r="VCD54" s="1"/>
      <c r="VCE54" s="1"/>
      <c r="VCF54" s="1"/>
      <c r="VCG54" s="1"/>
      <c r="VCH54" s="1"/>
      <c r="VCI54" s="1"/>
      <c r="VCJ54" s="1"/>
      <c r="VCK54" s="1"/>
      <c r="VCL54" s="1"/>
      <c r="VCM54" s="1"/>
      <c r="VCN54" s="1"/>
      <c r="VCO54" s="1"/>
      <c r="VCP54" s="1"/>
      <c r="VCQ54" s="1"/>
      <c r="VCR54" s="1"/>
      <c r="VCS54" s="1"/>
      <c r="VCT54" s="1"/>
      <c r="VCU54" s="1"/>
      <c r="VCV54" s="1"/>
      <c r="VCW54" s="1"/>
      <c r="VCX54" s="1"/>
      <c r="VCY54" s="1"/>
      <c r="VCZ54" s="1"/>
      <c r="VDA54" s="1"/>
      <c r="VDB54" s="1"/>
      <c r="VDC54" s="1"/>
      <c r="VDD54" s="1"/>
      <c r="VDE54" s="1"/>
      <c r="VDF54" s="1"/>
      <c r="VDG54" s="1"/>
      <c r="VDH54" s="1"/>
      <c r="VDI54" s="1"/>
      <c r="VDJ54" s="1"/>
      <c r="VDK54" s="1"/>
      <c r="VDL54" s="1"/>
      <c r="VDM54" s="1"/>
      <c r="VDN54" s="1"/>
      <c r="VDO54" s="1"/>
      <c r="VDP54" s="1"/>
      <c r="VDQ54" s="1"/>
      <c r="VDR54" s="1"/>
      <c r="VDS54" s="1"/>
      <c r="VDT54" s="1"/>
      <c r="VDU54" s="1"/>
      <c r="VDV54" s="1"/>
      <c r="VDW54" s="1"/>
      <c r="VDX54" s="1"/>
      <c r="VDY54" s="1"/>
      <c r="VDZ54" s="1"/>
      <c r="VEA54" s="1"/>
      <c r="VEB54" s="1"/>
      <c r="VEC54" s="1"/>
      <c r="VED54" s="1"/>
      <c r="VEE54" s="1"/>
      <c r="VEF54" s="1"/>
      <c r="VEG54" s="1"/>
      <c r="VEH54" s="1"/>
      <c r="VEI54" s="1"/>
      <c r="VEJ54" s="1"/>
      <c r="VEK54" s="1"/>
      <c r="VEL54" s="1"/>
      <c r="VEM54" s="1"/>
      <c r="VEN54" s="1"/>
      <c r="VEO54" s="1"/>
      <c r="VEP54" s="1"/>
      <c r="VEQ54" s="1"/>
      <c r="VER54" s="1"/>
      <c r="VES54" s="1"/>
      <c r="VET54" s="1"/>
      <c r="VEU54" s="1"/>
      <c r="VEV54" s="1"/>
      <c r="VEW54" s="1"/>
      <c r="VEX54" s="1"/>
      <c r="VEY54" s="1"/>
      <c r="VEZ54" s="1"/>
      <c r="VFA54" s="1"/>
      <c r="VFB54" s="1"/>
      <c r="VFC54" s="1"/>
      <c r="VFD54" s="1"/>
      <c r="VFE54" s="1"/>
      <c r="VFF54" s="1"/>
      <c r="VFG54" s="1"/>
      <c r="VFH54" s="1"/>
      <c r="VFI54" s="1"/>
      <c r="VFJ54" s="1"/>
      <c r="VFK54" s="1"/>
      <c r="VFL54" s="1"/>
      <c r="VFM54" s="1"/>
      <c r="VFN54" s="1"/>
      <c r="VFO54" s="1"/>
      <c r="VFP54" s="1"/>
      <c r="VFQ54" s="1"/>
      <c r="VFR54" s="1"/>
      <c r="VFS54" s="1"/>
      <c r="VFT54" s="1"/>
      <c r="VFU54" s="1"/>
      <c r="VFV54" s="1"/>
      <c r="VFW54" s="1"/>
      <c r="VFX54" s="1"/>
      <c r="VFY54" s="1"/>
      <c r="VFZ54" s="1"/>
      <c r="VGA54" s="1"/>
      <c r="VGB54" s="1"/>
      <c r="VGC54" s="1"/>
      <c r="VGD54" s="1"/>
      <c r="VGE54" s="1"/>
      <c r="VGF54" s="1"/>
      <c r="VGG54" s="1"/>
      <c r="VGH54" s="1"/>
      <c r="VGI54" s="1"/>
      <c r="VGJ54" s="1"/>
      <c r="VGK54" s="1"/>
      <c r="VGL54" s="1"/>
      <c r="VGM54" s="1"/>
      <c r="VGN54" s="1"/>
      <c r="VGO54" s="1"/>
      <c r="VGP54" s="1"/>
      <c r="VGQ54" s="1"/>
      <c r="VGR54" s="1"/>
      <c r="VGS54" s="1"/>
      <c r="VGT54" s="1"/>
      <c r="VGU54" s="1"/>
      <c r="VGV54" s="1"/>
      <c r="VGW54" s="1"/>
      <c r="VGX54" s="1"/>
      <c r="VGY54" s="1"/>
      <c r="VGZ54" s="1"/>
      <c r="VHA54" s="1"/>
      <c r="VHB54" s="1"/>
      <c r="VHC54" s="1"/>
      <c r="VHD54" s="1"/>
      <c r="VHE54" s="1"/>
      <c r="VHF54" s="1"/>
      <c r="VHG54" s="1"/>
      <c r="VHH54" s="1"/>
      <c r="VHI54" s="1"/>
      <c r="VHJ54" s="1"/>
      <c r="VHK54" s="1"/>
      <c r="VHL54" s="1"/>
      <c r="VHM54" s="1"/>
      <c r="VHN54" s="1"/>
      <c r="VHO54" s="1"/>
      <c r="VHP54" s="1"/>
      <c r="VHQ54" s="1"/>
      <c r="VHR54" s="1"/>
      <c r="VHS54" s="1"/>
      <c r="VHT54" s="1"/>
      <c r="VHU54" s="1"/>
      <c r="VHV54" s="1"/>
      <c r="VHW54" s="1"/>
      <c r="VHX54" s="1"/>
      <c r="VHY54" s="1"/>
      <c r="VHZ54" s="1"/>
      <c r="VIA54" s="1"/>
      <c r="VIB54" s="1"/>
      <c r="VIC54" s="1"/>
      <c r="VID54" s="1"/>
      <c r="VIE54" s="1"/>
      <c r="VIF54" s="1"/>
      <c r="VIG54" s="1"/>
      <c r="VIH54" s="1"/>
      <c r="VII54" s="1"/>
      <c r="VIJ54" s="1"/>
      <c r="VIK54" s="1"/>
      <c r="VIL54" s="1"/>
      <c r="VIM54" s="1"/>
      <c r="VIN54" s="1"/>
      <c r="VIO54" s="1"/>
      <c r="VIP54" s="1"/>
      <c r="VIQ54" s="1"/>
      <c r="VIR54" s="1"/>
      <c r="VIS54" s="1"/>
      <c r="VIT54" s="1"/>
      <c r="VIU54" s="1"/>
      <c r="VIV54" s="1"/>
      <c r="VIW54" s="1"/>
      <c r="VIX54" s="1"/>
      <c r="VIY54" s="1"/>
      <c r="VIZ54" s="1"/>
      <c r="VJA54" s="1"/>
      <c r="VJB54" s="1"/>
      <c r="VJC54" s="1"/>
      <c r="VJD54" s="1"/>
      <c r="VJE54" s="1"/>
      <c r="VJF54" s="1"/>
      <c r="VJG54" s="1"/>
      <c r="VJH54" s="1"/>
      <c r="VJI54" s="1"/>
      <c r="VJJ54" s="1"/>
      <c r="VJK54" s="1"/>
      <c r="VJL54" s="1"/>
      <c r="VJM54" s="1"/>
      <c r="VJN54" s="1"/>
      <c r="VJO54" s="1"/>
      <c r="VJP54" s="1"/>
      <c r="VJQ54" s="1"/>
      <c r="VJR54" s="1"/>
      <c r="VJS54" s="1"/>
      <c r="VJT54" s="1"/>
      <c r="VJU54" s="1"/>
      <c r="VJV54" s="1"/>
      <c r="VJW54" s="1"/>
      <c r="VJX54" s="1"/>
      <c r="VJY54" s="1"/>
      <c r="VJZ54" s="1"/>
      <c r="VKA54" s="1"/>
      <c r="VKB54" s="1"/>
      <c r="VKC54" s="1"/>
      <c r="VKD54" s="1"/>
      <c r="VKE54" s="1"/>
      <c r="VKF54" s="1"/>
      <c r="VKG54" s="1"/>
      <c r="VKH54" s="1"/>
      <c r="VKI54" s="1"/>
      <c r="VKJ54" s="1"/>
      <c r="VKK54" s="1"/>
      <c r="VKL54" s="1"/>
      <c r="VKM54" s="1"/>
      <c r="VKN54" s="1"/>
      <c r="VKO54" s="1"/>
      <c r="VKP54" s="1"/>
      <c r="VKQ54" s="1"/>
      <c r="VKR54" s="1"/>
      <c r="VKS54" s="1"/>
      <c r="VKT54" s="1"/>
      <c r="VKU54" s="1"/>
      <c r="VKV54" s="1"/>
      <c r="VKW54" s="1"/>
      <c r="VKX54" s="1"/>
      <c r="VKY54" s="1"/>
      <c r="VKZ54" s="1"/>
      <c r="VLA54" s="1"/>
      <c r="VLB54" s="1"/>
      <c r="VLC54" s="1"/>
      <c r="VLD54" s="1"/>
      <c r="VLE54" s="1"/>
      <c r="VLF54" s="1"/>
      <c r="VLG54" s="1"/>
      <c r="VLH54" s="1"/>
      <c r="VLI54" s="1"/>
      <c r="VLJ54" s="1"/>
      <c r="VLK54" s="1"/>
      <c r="VLL54" s="1"/>
      <c r="VLM54" s="1"/>
      <c r="VLN54" s="1"/>
      <c r="VLO54" s="1"/>
      <c r="VLP54" s="1"/>
      <c r="VLQ54" s="1"/>
      <c r="VLR54" s="1"/>
      <c r="VLS54" s="1"/>
      <c r="VLT54" s="1"/>
      <c r="VLU54" s="1"/>
      <c r="VLV54" s="1"/>
      <c r="VLW54" s="1"/>
      <c r="VLX54" s="1"/>
      <c r="VLY54" s="1"/>
      <c r="VLZ54" s="1"/>
      <c r="VMA54" s="1"/>
      <c r="VMB54" s="1"/>
      <c r="VMC54" s="1"/>
      <c r="VMD54" s="1"/>
      <c r="VME54" s="1"/>
      <c r="VMF54" s="1"/>
      <c r="VMG54" s="1"/>
      <c r="VMH54" s="1"/>
      <c r="VMI54" s="1"/>
      <c r="VMJ54" s="1"/>
      <c r="VMK54" s="1"/>
      <c r="VML54" s="1"/>
      <c r="VMM54" s="1"/>
      <c r="VMN54" s="1"/>
      <c r="VMO54" s="1"/>
      <c r="VMP54" s="1"/>
      <c r="VMQ54" s="1"/>
      <c r="VMR54" s="1"/>
      <c r="VMS54" s="1"/>
      <c r="VMT54" s="1"/>
      <c r="VMU54" s="1"/>
      <c r="VMV54" s="1"/>
      <c r="VMW54" s="1"/>
      <c r="VMX54" s="1"/>
      <c r="VMY54" s="1"/>
      <c r="VMZ54" s="1"/>
      <c r="VNA54" s="1"/>
      <c r="VNB54" s="1"/>
      <c r="VNC54" s="1"/>
      <c r="VND54" s="1"/>
      <c r="VNE54" s="1"/>
      <c r="VNF54" s="1"/>
      <c r="VNG54" s="1"/>
      <c r="VNH54" s="1"/>
      <c r="VNI54" s="1"/>
      <c r="VNJ54" s="1"/>
      <c r="VNK54" s="1"/>
      <c r="VNL54" s="1"/>
      <c r="VNM54" s="1"/>
      <c r="VNN54" s="1"/>
      <c r="VNO54" s="1"/>
      <c r="VNP54" s="1"/>
      <c r="VNQ54" s="1"/>
      <c r="VNR54" s="1"/>
      <c r="VNS54" s="1"/>
      <c r="VNT54" s="1"/>
      <c r="VNU54" s="1"/>
      <c r="VNV54" s="1"/>
      <c r="VNW54" s="1"/>
      <c r="VNX54" s="1"/>
      <c r="VNY54" s="1"/>
      <c r="VNZ54" s="1"/>
      <c r="VOA54" s="1"/>
      <c r="VOB54" s="1"/>
      <c r="VOC54" s="1"/>
      <c r="VOD54" s="1"/>
      <c r="VOE54" s="1"/>
      <c r="VOF54" s="1"/>
      <c r="VOG54" s="1"/>
      <c r="VOH54" s="1"/>
      <c r="VOI54" s="1"/>
      <c r="VOJ54" s="1"/>
      <c r="VOK54" s="1"/>
      <c r="VOL54" s="1"/>
      <c r="VOM54" s="1"/>
      <c r="VON54" s="1"/>
      <c r="VOO54" s="1"/>
      <c r="VOP54" s="1"/>
      <c r="VOQ54" s="1"/>
      <c r="VOR54" s="1"/>
      <c r="VOS54" s="1"/>
      <c r="VOT54" s="1"/>
      <c r="VOU54" s="1"/>
      <c r="VOV54" s="1"/>
      <c r="VOW54" s="1"/>
      <c r="VOX54" s="1"/>
      <c r="VOY54" s="1"/>
      <c r="VOZ54" s="1"/>
      <c r="VPA54" s="1"/>
      <c r="VPB54" s="1"/>
      <c r="VPC54" s="1"/>
      <c r="VPD54" s="1"/>
      <c r="VPE54" s="1"/>
      <c r="VPF54" s="1"/>
      <c r="VPG54" s="1"/>
      <c r="VPH54" s="1"/>
      <c r="VPI54" s="1"/>
      <c r="VPJ54" s="1"/>
      <c r="VPK54" s="1"/>
      <c r="VPL54" s="1"/>
      <c r="VPM54" s="1"/>
      <c r="VPN54" s="1"/>
      <c r="VPO54" s="1"/>
      <c r="VPP54" s="1"/>
      <c r="VPQ54" s="1"/>
      <c r="VPR54" s="1"/>
      <c r="VPS54" s="1"/>
      <c r="VPT54" s="1"/>
      <c r="VPU54" s="1"/>
      <c r="VPV54" s="1"/>
      <c r="VPW54" s="1"/>
      <c r="VPX54" s="1"/>
      <c r="VPY54" s="1"/>
      <c r="VPZ54" s="1"/>
      <c r="VQA54" s="1"/>
      <c r="VQB54" s="1"/>
      <c r="VQC54" s="1"/>
      <c r="VQD54" s="1"/>
      <c r="VQE54" s="1"/>
      <c r="VQF54" s="1"/>
      <c r="VQG54" s="1"/>
      <c r="VQH54" s="1"/>
      <c r="VQI54" s="1"/>
      <c r="VQJ54" s="1"/>
      <c r="VQK54" s="1"/>
      <c r="VQL54" s="1"/>
      <c r="VQM54" s="1"/>
      <c r="VQN54" s="1"/>
      <c r="VQO54" s="1"/>
      <c r="VQP54" s="1"/>
      <c r="VQQ54" s="1"/>
      <c r="VQR54" s="1"/>
      <c r="VQS54" s="1"/>
      <c r="VQT54" s="1"/>
      <c r="VQU54" s="1"/>
      <c r="VQV54" s="1"/>
      <c r="VQW54" s="1"/>
      <c r="VQX54" s="1"/>
      <c r="VQY54" s="1"/>
      <c r="VQZ54" s="1"/>
      <c r="VRA54" s="1"/>
      <c r="VRB54" s="1"/>
      <c r="VRC54" s="1"/>
      <c r="VRD54" s="1"/>
      <c r="VRE54" s="1"/>
      <c r="VRF54" s="1"/>
      <c r="VRG54" s="1"/>
      <c r="VRH54" s="1"/>
      <c r="VRI54" s="1"/>
      <c r="VRJ54" s="1"/>
      <c r="VRK54" s="1"/>
      <c r="VRL54" s="1"/>
      <c r="VRM54" s="1"/>
      <c r="VRN54" s="1"/>
      <c r="VRO54" s="1"/>
      <c r="VRP54" s="1"/>
      <c r="VRQ54" s="1"/>
      <c r="VRR54" s="1"/>
      <c r="VRS54" s="1"/>
      <c r="VRT54" s="1"/>
      <c r="VRU54" s="1"/>
      <c r="VRV54" s="1"/>
      <c r="VRW54" s="1"/>
      <c r="VRX54" s="1"/>
      <c r="VRY54" s="1"/>
      <c r="VRZ54" s="1"/>
      <c r="VSA54" s="1"/>
      <c r="VSB54" s="1"/>
      <c r="VSC54" s="1"/>
      <c r="VSD54" s="1"/>
      <c r="VSE54" s="1"/>
      <c r="VSF54" s="1"/>
      <c r="VSG54" s="1"/>
      <c r="VSH54" s="1"/>
      <c r="VSI54" s="1"/>
      <c r="VSJ54" s="1"/>
      <c r="VSK54" s="1"/>
      <c r="VSL54" s="1"/>
      <c r="VSM54" s="1"/>
      <c r="VSN54" s="1"/>
      <c r="VSO54" s="1"/>
      <c r="VSP54" s="1"/>
      <c r="VSQ54" s="1"/>
      <c r="VSR54" s="1"/>
      <c r="VSS54" s="1"/>
      <c r="VST54" s="1"/>
      <c r="VSU54" s="1"/>
      <c r="VSV54" s="1"/>
      <c r="VSW54" s="1"/>
      <c r="VSX54" s="1"/>
      <c r="VSY54" s="1"/>
      <c r="VSZ54" s="1"/>
      <c r="VTA54" s="1"/>
      <c r="VTB54" s="1"/>
      <c r="VTC54" s="1"/>
      <c r="VTD54" s="1"/>
      <c r="VTE54" s="1"/>
      <c r="VTF54" s="1"/>
      <c r="VTG54" s="1"/>
      <c r="VTH54" s="1"/>
      <c r="VTI54" s="1"/>
      <c r="VTJ54" s="1"/>
      <c r="VTK54" s="1"/>
      <c r="VTL54" s="1"/>
      <c r="VTM54" s="1"/>
      <c r="VTN54" s="1"/>
      <c r="VTO54" s="1"/>
      <c r="VTP54" s="1"/>
      <c r="VTQ54" s="1"/>
      <c r="VTR54" s="1"/>
      <c r="VTS54" s="1"/>
      <c r="VTT54" s="1"/>
      <c r="VTU54" s="1"/>
      <c r="VTV54" s="1"/>
      <c r="VTW54" s="1"/>
      <c r="VTX54" s="1"/>
      <c r="VTY54" s="1"/>
      <c r="VTZ54" s="1"/>
      <c r="VUA54" s="1"/>
      <c r="VUB54" s="1"/>
      <c r="VUC54" s="1"/>
      <c r="VUD54" s="1"/>
      <c r="VUE54" s="1"/>
      <c r="VUF54" s="1"/>
      <c r="VUG54" s="1"/>
      <c r="VUH54" s="1"/>
      <c r="VUI54" s="1"/>
      <c r="VUJ54" s="1"/>
      <c r="VUK54" s="1"/>
      <c r="VUL54" s="1"/>
      <c r="VUM54" s="1"/>
      <c r="VUN54" s="1"/>
      <c r="VUO54" s="1"/>
      <c r="VUP54" s="1"/>
      <c r="VUQ54" s="1"/>
      <c r="VUR54" s="1"/>
      <c r="VUS54" s="1"/>
      <c r="VUT54" s="1"/>
      <c r="VUU54" s="1"/>
      <c r="VUV54" s="1"/>
      <c r="VUW54" s="1"/>
      <c r="VUX54" s="1"/>
      <c r="VUY54" s="1"/>
      <c r="VUZ54" s="1"/>
      <c r="VVA54" s="1"/>
      <c r="VVB54" s="1"/>
      <c r="VVC54" s="1"/>
      <c r="VVD54" s="1"/>
      <c r="VVE54" s="1"/>
      <c r="VVF54" s="1"/>
      <c r="VVG54" s="1"/>
      <c r="VVH54" s="1"/>
      <c r="VVI54" s="1"/>
      <c r="VVJ54" s="1"/>
      <c r="VVK54" s="1"/>
      <c r="VVL54" s="1"/>
      <c r="VVM54" s="1"/>
      <c r="VVN54" s="1"/>
      <c r="VVO54" s="1"/>
      <c r="VVP54" s="1"/>
      <c r="VVQ54" s="1"/>
      <c r="VVR54" s="1"/>
      <c r="VVS54" s="1"/>
      <c r="VVT54" s="1"/>
      <c r="VVU54" s="1"/>
      <c r="VVV54" s="1"/>
      <c r="VVW54" s="1"/>
      <c r="VVX54" s="1"/>
      <c r="VVY54" s="1"/>
      <c r="VVZ54" s="1"/>
      <c r="VWA54" s="1"/>
      <c r="VWB54" s="1"/>
      <c r="VWC54" s="1"/>
      <c r="VWD54" s="1"/>
      <c r="VWE54" s="1"/>
      <c r="VWF54" s="1"/>
      <c r="VWG54" s="1"/>
      <c r="VWH54" s="1"/>
      <c r="VWI54" s="1"/>
      <c r="VWJ54" s="1"/>
      <c r="VWK54" s="1"/>
      <c r="VWL54" s="1"/>
      <c r="VWM54" s="1"/>
      <c r="VWN54" s="1"/>
      <c r="VWO54" s="1"/>
      <c r="VWP54" s="1"/>
      <c r="VWQ54" s="1"/>
      <c r="VWR54" s="1"/>
      <c r="VWS54" s="1"/>
      <c r="VWT54" s="1"/>
      <c r="VWU54" s="1"/>
      <c r="VWV54" s="1"/>
      <c r="VWW54" s="1"/>
      <c r="VWX54" s="1"/>
      <c r="VWY54" s="1"/>
      <c r="VWZ54" s="1"/>
      <c r="VXA54" s="1"/>
      <c r="VXB54" s="1"/>
      <c r="VXC54" s="1"/>
      <c r="VXD54" s="1"/>
      <c r="VXE54" s="1"/>
      <c r="VXF54" s="1"/>
      <c r="VXG54" s="1"/>
      <c r="VXH54" s="1"/>
      <c r="VXI54" s="1"/>
      <c r="VXJ54" s="1"/>
      <c r="VXK54" s="1"/>
      <c r="VXL54" s="1"/>
      <c r="VXM54" s="1"/>
      <c r="VXN54" s="1"/>
      <c r="VXO54" s="1"/>
      <c r="VXP54" s="1"/>
      <c r="VXQ54" s="1"/>
      <c r="VXR54" s="1"/>
      <c r="VXS54" s="1"/>
      <c r="VXT54" s="1"/>
      <c r="VXU54" s="1"/>
      <c r="VXV54" s="1"/>
      <c r="VXW54" s="1"/>
      <c r="VXX54" s="1"/>
      <c r="VXY54" s="1"/>
      <c r="VXZ54" s="1"/>
      <c r="VYA54" s="1"/>
      <c r="VYB54" s="1"/>
      <c r="VYC54" s="1"/>
      <c r="VYD54" s="1"/>
      <c r="VYE54" s="1"/>
      <c r="VYF54" s="1"/>
      <c r="VYG54" s="1"/>
      <c r="VYH54" s="1"/>
      <c r="VYI54" s="1"/>
      <c r="VYJ54" s="1"/>
      <c r="VYK54" s="1"/>
      <c r="VYL54" s="1"/>
      <c r="VYM54" s="1"/>
      <c r="VYN54" s="1"/>
      <c r="VYO54" s="1"/>
      <c r="VYP54" s="1"/>
      <c r="VYQ54" s="1"/>
      <c r="VYR54" s="1"/>
      <c r="VYS54" s="1"/>
      <c r="VYT54" s="1"/>
      <c r="VYU54" s="1"/>
      <c r="VYV54" s="1"/>
      <c r="VYW54" s="1"/>
      <c r="VYX54" s="1"/>
      <c r="VYY54" s="1"/>
      <c r="VYZ54" s="1"/>
      <c r="VZA54" s="1"/>
      <c r="VZB54" s="1"/>
      <c r="VZC54" s="1"/>
      <c r="VZD54" s="1"/>
      <c r="VZE54" s="1"/>
      <c r="VZF54" s="1"/>
      <c r="VZG54" s="1"/>
      <c r="VZH54" s="1"/>
      <c r="VZI54" s="1"/>
      <c r="VZJ54" s="1"/>
      <c r="VZK54" s="1"/>
      <c r="VZL54" s="1"/>
      <c r="VZM54" s="1"/>
      <c r="VZN54" s="1"/>
      <c r="VZO54" s="1"/>
      <c r="VZP54" s="1"/>
      <c r="VZQ54" s="1"/>
      <c r="VZR54" s="1"/>
      <c r="VZS54" s="1"/>
      <c r="VZT54" s="1"/>
      <c r="VZU54" s="1"/>
      <c r="VZV54" s="1"/>
      <c r="VZW54" s="1"/>
      <c r="VZX54" s="1"/>
      <c r="VZY54" s="1"/>
      <c r="VZZ54" s="1"/>
      <c r="WAA54" s="1"/>
      <c r="WAB54" s="1"/>
      <c r="WAC54" s="1"/>
      <c r="WAD54" s="1"/>
      <c r="WAE54" s="1"/>
      <c r="WAF54" s="1"/>
      <c r="WAG54" s="1"/>
      <c r="WAH54" s="1"/>
      <c r="WAI54" s="1"/>
      <c r="WAJ54" s="1"/>
      <c r="WAK54" s="1"/>
      <c r="WAL54" s="1"/>
      <c r="WAM54" s="1"/>
      <c r="WAN54" s="1"/>
      <c r="WAO54" s="1"/>
      <c r="WAP54" s="1"/>
      <c r="WAQ54" s="1"/>
      <c r="WAR54" s="1"/>
      <c r="WAS54" s="1"/>
      <c r="WAT54" s="1"/>
      <c r="WAU54" s="1"/>
      <c r="WAV54" s="1"/>
      <c r="WAW54" s="1"/>
      <c r="WAX54" s="1"/>
      <c r="WAY54" s="1"/>
      <c r="WAZ54" s="1"/>
      <c r="WBA54" s="1"/>
      <c r="WBB54" s="1"/>
      <c r="WBC54" s="1"/>
      <c r="WBD54" s="1"/>
      <c r="WBE54" s="1"/>
      <c r="WBF54" s="1"/>
      <c r="WBG54" s="1"/>
      <c r="WBH54" s="1"/>
      <c r="WBI54" s="1"/>
      <c r="WBJ54" s="1"/>
      <c r="WBK54" s="1"/>
      <c r="WBL54" s="1"/>
      <c r="WBM54" s="1"/>
      <c r="WBN54" s="1"/>
      <c r="WBO54" s="1"/>
      <c r="WBP54" s="1"/>
      <c r="WBQ54" s="1"/>
      <c r="WBR54" s="1"/>
      <c r="WBS54" s="1"/>
      <c r="WBT54" s="1"/>
      <c r="WBU54" s="1"/>
      <c r="WBV54" s="1"/>
      <c r="WBW54" s="1"/>
      <c r="WBX54" s="1"/>
      <c r="WBY54" s="1"/>
      <c r="WBZ54" s="1"/>
      <c r="WCA54" s="1"/>
      <c r="WCB54" s="1"/>
      <c r="WCC54" s="1"/>
      <c r="WCD54" s="1"/>
      <c r="WCE54" s="1"/>
      <c r="WCF54" s="1"/>
      <c r="WCG54" s="1"/>
      <c r="WCH54" s="1"/>
      <c r="WCI54" s="1"/>
      <c r="WCJ54" s="1"/>
      <c r="WCK54" s="1"/>
      <c r="WCL54" s="1"/>
      <c r="WCM54" s="1"/>
      <c r="WCN54" s="1"/>
      <c r="WCO54" s="1"/>
      <c r="WCP54" s="1"/>
      <c r="WCQ54" s="1"/>
      <c r="WCR54" s="1"/>
      <c r="WCS54" s="1"/>
      <c r="WCT54" s="1"/>
      <c r="WCU54" s="1"/>
      <c r="WCV54" s="1"/>
      <c r="WCW54" s="1"/>
      <c r="WCX54" s="1"/>
      <c r="WCY54" s="1"/>
      <c r="WCZ54" s="1"/>
      <c r="WDA54" s="1"/>
      <c r="WDB54" s="1"/>
      <c r="WDC54" s="1"/>
      <c r="WDD54" s="1"/>
      <c r="WDE54" s="1"/>
      <c r="WDF54" s="1"/>
      <c r="WDG54" s="1"/>
      <c r="WDH54" s="1"/>
      <c r="WDI54" s="1"/>
      <c r="WDJ54" s="1"/>
      <c r="WDK54" s="1"/>
      <c r="WDL54" s="1"/>
      <c r="WDM54" s="1"/>
      <c r="WDN54" s="1"/>
      <c r="WDO54" s="1"/>
      <c r="WDP54" s="1"/>
      <c r="WDQ54" s="1"/>
      <c r="WDR54" s="1"/>
      <c r="WDS54" s="1"/>
      <c r="WDT54" s="1"/>
      <c r="WDU54" s="1"/>
      <c r="WDV54" s="1"/>
      <c r="WDW54" s="1"/>
      <c r="WDX54" s="1"/>
      <c r="WDY54" s="1"/>
      <c r="WDZ54" s="1"/>
      <c r="WEA54" s="1"/>
      <c r="WEB54" s="1"/>
      <c r="WEC54" s="1"/>
      <c r="WED54" s="1"/>
      <c r="WEE54" s="1"/>
      <c r="WEF54" s="1"/>
      <c r="WEG54" s="1"/>
      <c r="WEH54" s="1"/>
      <c r="WEI54" s="1"/>
      <c r="WEJ54" s="1"/>
      <c r="WEK54" s="1"/>
      <c r="WEL54" s="1"/>
      <c r="WEM54" s="1"/>
      <c r="WEN54" s="1"/>
      <c r="WEO54" s="1"/>
      <c r="WEP54" s="1"/>
      <c r="WEQ54" s="1"/>
      <c r="WER54" s="1"/>
      <c r="WES54" s="1"/>
      <c r="WET54" s="1"/>
      <c r="WEU54" s="1"/>
      <c r="WEV54" s="1"/>
      <c r="WEW54" s="1"/>
      <c r="WEX54" s="1"/>
      <c r="WEY54" s="1"/>
      <c r="WEZ54" s="1"/>
      <c r="WFA54" s="1"/>
      <c r="WFB54" s="1"/>
      <c r="WFC54" s="1"/>
      <c r="WFD54" s="1"/>
      <c r="WFE54" s="1"/>
      <c r="WFF54" s="1"/>
      <c r="WFG54" s="1"/>
      <c r="WFH54" s="1"/>
      <c r="WFI54" s="1"/>
      <c r="WFJ54" s="1"/>
      <c r="WFK54" s="1"/>
      <c r="WFL54" s="1"/>
      <c r="WFM54" s="1"/>
      <c r="WFN54" s="1"/>
      <c r="WFO54" s="1"/>
      <c r="WFP54" s="1"/>
      <c r="WFQ54" s="1"/>
      <c r="WFR54" s="1"/>
      <c r="WFS54" s="1"/>
      <c r="WFT54" s="1"/>
      <c r="WFU54" s="1"/>
      <c r="WFV54" s="1"/>
      <c r="WFW54" s="1"/>
      <c r="WFX54" s="1"/>
      <c r="WFY54" s="1"/>
      <c r="WFZ54" s="1"/>
      <c r="WGA54" s="1"/>
      <c r="WGB54" s="1"/>
      <c r="WGC54" s="1"/>
      <c r="WGD54" s="1"/>
      <c r="WGE54" s="1"/>
      <c r="WGF54" s="1"/>
      <c r="WGG54" s="1"/>
      <c r="WGH54" s="1"/>
      <c r="WGI54" s="1"/>
      <c r="WGJ54" s="1"/>
      <c r="WGK54" s="1"/>
      <c r="WGL54" s="1"/>
      <c r="WGM54" s="1"/>
      <c r="WGN54" s="1"/>
      <c r="WGO54" s="1"/>
      <c r="WGP54" s="1"/>
      <c r="WGQ54" s="1"/>
      <c r="WGR54" s="1"/>
      <c r="WGS54" s="1"/>
      <c r="WGT54" s="1"/>
      <c r="WGU54" s="1"/>
      <c r="WGV54" s="1"/>
      <c r="WGW54" s="1"/>
      <c r="WGX54" s="1"/>
      <c r="WGY54" s="1"/>
      <c r="WGZ54" s="1"/>
      <c r="WHA54" s="1"/>
      <c r="WHB54" s="1"/>
      <c r="WHC54" s="1"/>
      <c r="WHD54" s="1"/>
      <c r="WHE54" s="1"/>
      <c r="WHF54" s="1"/>
      <c r="WHG54" s="1"/>
      <c r="WHH54" s="1"/>
      <c r="WHI54" s="1"/>
      <c r="WHJ54" s="1"/>
      <c r="WHK54" s="1"/>
      <c r="WHL54" s="1"/>
      <c r="WHM54" s="1"/>
      <c r="WHN54" s="1"/>
      <c r="WHO54" s="1"/>
      <c r="WHP54" s="1"/>
      <c r="WHQ54" s="1"/>
      <c r="WHR54" s="1"/>
      <c r="WHS54" s="1"/>
      <c r="WHT54" s="1"/>
      <c r="WHU54" s="1"/>
      <c r="WHV54" s="1"/>
      <c r="WHW54" s="1"/>
      <c r="WHX54" s="1"/>
      <c r="WHY54" s="1"/>
      <c r="WHZ54" s="1"/>
      <c r="WIA54" s="1"/>
      <c r="WIB54" s="1"/>
      <c r="WIC54" s="1"/>
      <c r="WID54" s="1"/>
      <c r="WIE54" s="1"/>
      <c r="WIF54" s="1"/>
      <c r="WIG54" s="1"/>
      <c r="WIH54" s="1"/>
      <c r="WII54" s="1"/>
      <c r="WIJ54" s="1"/>
      <c r="WIK54" s="1"/>
      <c r="WIL54" s="1"/>
      <c r="WIM54" s="1"/>
      <c r="WIN54" s="1"/>
      <c r="WIO54" s="1"/>
      <c r="WIP54" s="1"/>
      <c r="WIQ54" s="1"/>
      <c r="WIR54" s="1"/>
      <c r="WIS54" s="1"/>
      <c r="WIT54" s="1"/>
      <c r="WIU54" s="1"/>
      <c r="WIV54" s="1"/>
      <c r="WIW54" s="1"/>
      <c r="WIX54" s="1"/>
      <c r="WIY54" s="1"/>
      <c r="WIZ54" s="1"/>
      <c r="WJA54" s="1"/>
      <c r="WJB54" s="1"/>
      <c r="WJC54" s="1"/>
      <c r="WJD54" s="1"/>
      <c r="WJE54" s="1"/>
      <c r="WJF54" s="1"/>
      <c r="WJG54" s="1"/>
      <c r="WJH54" s="1"/>
      <c r="WJI54" s="1"/>
      <c r="WJJ54" s="1"/>
      <c r="WJK54" s="1"/>
      <c r="WJL54" s="1"/>
      <c r="WJM54" s="1"/>
      <c r="WJN54" s="1"/>
      <c r="WJO54" s="1"/>
      <c r="WJP54" s="1"/>
      <c r="WJQ54" s="1"/>
      <c r="WJR54" s="1"/>
      <c r="WJS54" s="1"/>
      <c r="WJT54" s="1"/>
      <c r="WJU54" s="1"/>
      <c r="WJV54" s="1"/>
      <c r="WJW54" s="1"/>
      <c r="WJX54" s="1"/>
      <c r="WJY54" s="1"/>
      <c r="WJZ54" s="1"/>
      <c r="WKA54" s="1"/>
      <c r="WKB54" s="1"/>
      <c r="WKC54" s="1"/>
      <c r="WKD54" s="1"/>
      <c r="WKE54" s="1"/>
      <c r="WKF54" s="1"/>
      <c r="WKG54" s="1"/>
      <c r="WKH54" s="1"/>
      <c r="WKI54" s="1"/>
      <c r="WKJ54" s="1"/>
      <c r="WKK54" s="1"/>
      <c r="WKL54" s="1"/>
      <c r="WKM54" s="1"/>
      <c r="WKN54" s="1"/>
      <c r="WKO54" s="1"/>
      <c r="WKP54" s="1"/>
      <c r="WKQ54" s="1"/>
      <c r="WKR54" s="1"/>
      <c r="WKS54" s="1"/>
      <c r="WKT54" s="1"/>
      <c r="WKU54" s="1"/>
      <c r="WKV54" s="1"/>
      <c r="WKW54" s="1"/>
      <c r="WKX54" s="1"/>
      <c r="WKY54" s="1"/>
      <c r="WKZ54" s="1"/>
      <c r="WLA54" s="1"/>
      <c r="WLB54" s="1"/>
      <c r="WLC54" s="1"/>
      <c r="WLD54" s="1"/>
      <c r="WLE54" s="1"/>
      <c r="WLF54" s="1"/>
      <c r="WLG54" s="1"/>
      <c r="WLH54" s="1"/>
      <c r="WLI54" s="1"/>
      <c r="WLJ54" s="1"/>
      <c r="WLK54" s="1"/>
      <c r="WLL54" s="1"/>
      <c r="WLM54" s="1"/>
      <c r="WLN54" s="1"/>
      <c r="WLO54" s="1"/>
      <c r="WLP54" s="1"/>
      <c r="WLQ54" s="1"/>
      <c r="WLR54" s="1"/>
      <c r="WLS54" s="1"/>
      <c r="WLT54" s="1"/>
      <c r="WLU54" s="1"/>
      <c r="WLV54" s="1"/>
      <c r="WLW54" s="1"/>
      <c r="WLX54" s="1"/>
      <c r="WLY54" s="1"/>
      <c r="WLZ54" s="1"/>
      <c r="WMA54" s="1"/>
      <c r="WMB54" s="1"/>
      <c r="WMC54" s="1"/>
      <c r="WMD54" s="1"/>
      <c r="WME54" s="1"/>
      <c r="WMF54" s="1"/>
      <c r="WMG54" s="1"/>
      <c r="WMH54" s="1"/>
      <c r="WMI54" s="1"/>
      <c r="WMJ54" s="1"/>
      <c r="WMK54" s="1"/>
      <c r="WML54" s="1"/>
      <c r="WMM54" s="1"/>
      <c r="WMN54" s="1"/>
      <c r="WMO54" s="1"/>
      <c r="WMP54" s="1"/>
      <c r="WMQ54" s="1"/>
      <c r="WMR54" s="1"/>
      <c r="WMS54" s="1"/>
      <c r="WMT54" s="1"/>
      <c r="WMU54" s="1"/>
      <c r="WMV54" s="1"/>
      <c r="WMW54" s="1"/>
      <c r="WMX54" s="1"/>
      <c r="WMY54" s="1"/>
      <c r="WMZ54" s="1"/>
      <c r="WNA54" s="1"/>
      <c r="WNB54" s="1"/>
      <c r="WNC54" s="1"/>
      <c r="WND54" s="1"/>
      <c r="WNE54" s="1"/>
      <c r="WNF54" s="1"/>
      <c r="WNG54" s="1"/>
      <c r="WNH54" s="1"/>
      <c r="WNI54" s="1"/>
      <c r="WNJ54" s="1"/>
      <c r="WNK54" s="1"/>
      <c r="WNL54" s="1"/>
      <c r="WNM54" s="1"/>
      <c r="WNN54" s="1"/>
      <c r="WNO54" s="1"/>
      <c r="WNP54" s="1"/>
      <c r="WNQ54" s="1"/>
      <c r="WNR54" s="1"/>
      <c r="WNS54" s="1"/>
      <c r="WNT54" s="1"/>
      <c r="WNU54" s="1"/>
      <c r="WNV54" s="1"/>
      <c r="WNW54" s="1"/>
      <c r="WNX54" s="1"/>
      <c r="WNY54" s="1"/>
      <c r="WNZ54" s="1"/>
      <c r="WOA54" s="1"/>
      <c r="WOB54" s="1"/>
      <c r="WOC54" s="1"/>
      <c r="WOD54" s="1"/>
      <c r="WOE54" s="1"/>
      <c r="WOF54" s="1"/>
      <c r="WOG54" s="1"/>
      <c r="WOH54" s="1"/>
      <c r="WOI54" s="1"/>
      <c r="WOJ54" s="1"/>
      <c r="WOK54" s="1"/>
      <c r="WOL54" s="1"/>
      <c r="WOM54" s="1"/>
      <c r="WON54" s="1"/>
      <c r="WOO54" s="1"/>
      <c r="WOP54" s="1"/>
      <c r="WOQ54" s="1"/>
      <c r="WOR54" s="1"/>
      <c r="WOS54" s="1"/>
      <c r="WOT54" s="1"/>
      <c r="WOU54" s="1"/>
      <c r="WOV54" s="1"/>
      <c r="WOW54" s="1"/>
      <c r="WOX54" s="1"/>
      <c r="WOY54" s="1"/>
      <c r="WOZ54" s="1"/>
      <c r="WPA54" s="1"/>
      <c r="WPB54" s="1"/>
      <c r="WPC54" s="1"/>
      <c r="WPD54" s="1"/>
      <c r="WPE54" s="1"/>
      <c r="WPF54" s="1"/>
      <c r="WPG54" s="1"/>
      <c r="WPH54" s="1"/>
      <c r="WPI54" s="1"/>
      <c r="WPJ54" s="1"/>
      <c r="WPK54" s="1"/>
      <c r="WPL54" s="1"/>
      <c r="WPM54" s="1"/>
      <c r="WPN54" s="1"/>
      <c r="WPO54" s="1"/>
      <c r="WPP54" s="1"/>
      <c r="WPQ54" s="1"/>
      <c r="WPR54" s="1"/>
      <c r="WPS54" s="1"/>
      <c r="WPT54" s="1"/>
      <c r="WPU54" s="1"/>
      <c r="WPV54" s="1"/>
      <c r="WPW54" s="1"/>
      <c r="WPX54" s="1"/>
      <c r="WPY54" s="1"/>
      <c r="WPZ54" s="1"/>
      <c r="WQA54" s="1"/>
      <c r="WQB54" s="1"/>
      <c r="WQC54" s="1"/>
      <c r="WQD54" s="1"/>
      <c r="WQE54" s="1"/>
      <c r="WQF54" s="1"/>
      <c r="WQG54" s="1"/>
      <c r="WQH54" s="1"/>
      <c r="WQI54" s="1"/>
      <c r="WQJ54" s="1"/>
      <c r="WQK54" s="1"/>
      <c r="WQL54" s="1"/>
      <c r="WQM54" s="1"/>
      <c r="WQN54" s="1"/>
      <c r="WQO54" s="1"/>
      <c r="WQP54" s="1"/>
      <c r="WQQ54" s="1"/>
      <c r="WQR54" s="1"/>
      <c r="WQS54" s="1"/>
      <c r="WQT54" s="1"/>
      <c r="WQU54" s="1"/>
      <c r="WQV54" s="1"/>
      <c r="WQW54" s="1"/>
      <c r="WQX54" s="1"/>
      <c r="WQY54" s="1"/>
      <c r="WQZ54" s="1"/>
      <c r="WRA54" s="1"/>
      <c r="WRB54" s="1"/>
      <c r="WRC54" s="1"/>
      <c r="WRD54" s="1"/>
      <c r="WRE54" s="1"/>
      <c r="WRF54" s="1"/>
      <c r="WRG54" s="1"/>
      <c r="WRH54" s="1"/>
      <c r="WRI54" s="1"/>
      <c r="WRJ54" s="1"/>
      <c r="WRK54" s="1"/>
      <c r="WRL54" s="1"/>
      <c r="WRM54" s="1"/>
      <c r="WRN54" s="1"/>
      <c r="WRO54" s="1"/>
      <c r="WRP54" s="1"/>
      <c r="WRQ54" s="1"/>
      <c r="WRR54" s="1"/>
      <c r="WRS54" s="1"/>
      <c r="WRT54" s="1"/>
      <c r="WRU54" s="1"/>
      <c r="WRV54" s="1"/>
      <c r="WRW54" s="1"/>
      <c r="WRX54" s="1"/>
      <c r="WRY54" s="1"/>
      <c r="WRZ54" s="1"/>
      <c r="WSA54" s="1"/>
      <c r="WSB54" s="1"/>
      <c r="WSC54" s="1"/>
      <c r="WSD54" s="1"/>
      <c r="WSE54" s="1"/>
      <c r="WSF54" s="1"/>
      <c r="WSG54" s="1"/>
      <c r="WSH54" s="1"/>
      <c r="WSI54" s="1"/>
      <c r="WSJ54" s="1"/>
      <c r="WSK54" s="1"/>
      <c r="WSL54" s="1"/>
      <c r="WSM54" s="1"/>
      <c r="WSN54" s="1"/>
      <c r="WSO54" s="1"/>
      <c r="WSP54" s="1"/>
      <c r="WSQ54" s="1"/>
      <c r="WSR54" s="1"/>
      <c r="WSS54" s="1"/>
      <c r="WST54" s="1"/>
      <c r="WSU54" s="1"/>
      <c r="WSV54" s="1"/>
      <c r="WSW54" s="1"/>
      <c r="WSX54" s="1"/>
      <c r="WSY54" s="1"/>
      <c r="WSZ54" s="1"/>
      <c r="WTA54" s="1"/>
      <c r="WTB54" s="1"/>
      <c r="WTC54" s="1"/>
      <c r="WTD54" s="1"/>
      <c r="WTE54" s="1"/>
      <c r="WTF54" s="1"/>
      <c r="WTG54" s="1"/>
      <c r="WTH54" s="1"/>
      <c r="WTI54" s="1"/>
      <c r="WTJ54" s="1"/>
      <c r="WTK54" s="1"/>
      <c r="WTL54" s="1"/>
      <c r="WTM54" s="1"/>
      <c r="WTN54" s="1"/>
      <c r="WTO54" s="1"/>
      <c r="WTP54" s="1"/>
      <c r="WTQ54" s="1"/>
      <c r="WTR54" s="1"/>
      <c r="WTS54" s="1"/>
      <c r="WTT54" s="1"/>
      <c r="WTU54" s="1"/>
      <c r="WTV54" s="1"/>
      <c r="WTW54" s="1"/>
      <c r="WTX54" s="1"/>
      <c r="WTY54" s="1"/>
      <c r="WTZ54" s="1"/>
      <c r="WUA54" s="1"/>
      <c r="WUB54" s="1"/>
      <c r="WUC54" s="1"/>
      <c r="WUD54" s="1"/>
      <c r="WUE54" s="1"/>
      <c r="WUF54" s="1"/>
      <c r="WUG54" s="1"/>
      <c r="WUH54" s="1"/>
      <c r="WUI54" s="1"/>
      <c r="WUJ54" s="1"/>
      <c r="WUK54" s="1"/>
      <c r="WUL54" s="1"/>
      <c r="WUM54" s="1"/>
      <c r="WUN54" s="1"/>
      <c r="WUO54" s="1"/>
      <c r="WUP54" s="1"/>
      <c r="WUQ54" s="1"/>
      <c r="WUR54" s="1"/>
      <c r="WUS54" s="1"/>
      <c r="WUT54" s="1"/>
      <c r="WUU54" s="1"/>
      <c r="WUV54" s="1"/>
      <c r="WUW54" s="1"/>
      <c r="WUX54" s="1"/>
      <c r="WUY54" s="1"/>
      <c r="WUZ54" s="1"/>
      <c r="WVA54" s="1"/>
      <c r="WVB54" s="1"/>
      <c r="WVC54" s="1"/>
      <c r="WVD54" s="1"/>
      <c r="WVE54" s="1"/>
      <c r="WVF54" s="1"/>
      <c r="WVG54" s="1"/>
      <c r="WVH54" s="1"/>
      <c r="WVI54" s="1"/>
      <c r="WVJ54" s="1"/>
      <c r="WVK54" s="1"/>
      <c r="WVL54" s="1"/>
      <c r="WVM54" s="1"/>
      <c r="WVN54" s="1"/>
      <c r="WVO54" s="1"/>
      <c r="WVP54" s="1"/>
      <c r="WVQ54" s="1"/>
      <c r="WVR54" s="1"/>
      <c r="WVS54" s="1"/>
      <c r="WVT54" s="1"/>
      <c r="WVU54" s="1"/>
      <c r="WVV54" s="1"/>
      <c r="WVW54" s="1"/>
      <c r="WVX54" s="1"/>
      <c r="WVY54" s="1"/>
      <c r="WVZ54" s="1"/>
      <c r="WWA54" s="1"/>
      <c r="WWB54" s="1"/>
      <c r="WWC54" s="1"/>
      <c r="WWD54" s="1"/>
      <c r="WWE54" s="1"/>
      <c r="WWF54" s="1"/>
      <c r="WWG54" s="1"/>
      <c r="WWH54" s="1"/>
      <c r="WWI54" s="1"/>
      <c r="WWJ54" s="1"/>
      <c r="WWK54" s="1"/>
      <c r="WWL54" s="1"/>
      <c r="WWM54" s="1"/>
      <c r="WWN54" s="1"/>
      <c r="WWO54" s="1"/>
      <c r="WWP54" s="1"/>
      <c r="WWQ54" s="1"/>
      <c r="WWR54" s="1"/>
      <c r="WWS54" s="1"/>
      <c r="WWT54" s="1"/>
      <c r="WWU54" s="1"/>
      <c r="WWV54" s="1"/>
      <c r="WWW54" s="1"/>
      <c r="WWX54" s="1"/>
      <c r="WWY54" s="1"/>
      <c r="WWZ54" s="1"/>
      <c r="WXA54" s="1"/>
      <c r="WXB54" s="1"/>
      <c r="WXC54" s="1"/>
      <c r="WXD54" s="1"/>
      <c r="WXE54" s="1"/>
      <c r="WXF54" s="1"/>
      <c r="WXG54" s="1"/>
      <c r="WXH54" s="1"/>
      <c r="WXI54" s="1"/>
      <c r="WXJ54" s="1"/>
      <c r="WXK54" s="1"/>
      <c r="WXL54" s="1"/>
      <c r="WXM54" s="1"/>
      <c r="WXN54" s="1"/>
      <c r="WXO54" s="1"/>
      <c r="WXP54" s="1"/>
      <c r="WXQ54" s="1"/>
      <c r="WXR54" s="1"/>
      <c r="WXS54" s="1"/>
      <c r="WXT54" s="1"/>
      <c r="WXU54" s="1"/>
      <c r="WXV54" s="1"/>
      <c r="WXW54" s="1"/>
      <c r="WXX54" s="1"/>
      <c r="WXY54" s="1"/>
      <c r="WXZ54" s="1"/>
      <c r="WYA54" s="1"/>
      <c r="WYB54" s="1"/>
      <c r="WYC54" s="1"/>
      <c r="WYD54" s="1"/>
      <c r="WYE54" s="1"/>
      <c r="WYF54" s="1"/>
      <c r="WYG54" s="1"/>
      <c r="WYH54" s="1"/>
      <c r="WYI54" s="1"/>
      <c r="WYJ54" s="1"/>
      <c r="WYK54" s="1"/>
      <c r="WYL54" s="1"/>
      <c r="WYM54" s="1"/>
      <c r="WYN54" s="1"/>
      <c r="WYO54" s="1"/>
      <c r="WYP54" s="1"/>
      <c r="WYQ54" s="1"/>
      <c r="WYR54" s="1"/>
      <c r="WYS54" s="1"/>
      <c r="WYT54" s="1"/>
      <c r="WYU54" s="1"/>
      <c r="WYV54" s="1"/>
      <c r="WYW54" s="1"/>
      <c r="WYX54" s="1"/>
      <c r="WYY54" s="1"/>
      <c r="WYZ54" s="1"/>
      <c r="WZA54" s="1"/>
      <c r="WZB54" s="1"/>
      <c r="WZC54" s="1"/>
      <c r="WZD54" s="1"/>
      <c r="WZE54" s="1"/>
      <c r="WZF54" s="1"/>
      <c r="WZG54" s="1"/>
      <c r="WZH54" s="1"/>
      <c r="WZI54" s="1"/>
      <c r="WZJ54" s="1"/>
      <c r="WZK54" s="1"/>
      <c r="WZL54" s="1"/>
      <c r="WZM54" s="1"/>
      <c r="WZN54" s="1"/>
      <c r="WZO54" s="1"/>
      <c r="WZP54" s="1"/>
      <c r="WZQ54" s="1"/>
      <c r="WZR54" s="1"/>
      <c r="WZS54" s="1"/>
      <c r="WZT54" s="1"/>
      <c r="WZU54" s="1"/>
      <c r="WZV54" s="1"/>
      <c r="WZW54" s="1"/>
      <c r="WZX54" s="1"/>
      <c r="WZY54" s="1"/>
      <c r="WZZ54" s="1"/>
      <c r="XAA54" s="1"/>
      <c r="XAB54" s="1"/>
      <c r="XAC54" s="1"/>
      <c r="XAD54" s="1"/>
      <c r="XAE54" s="1"/>
      <c r="XAF54" s="1"/>
      <c r="XAG54" s="1"/>
      <c r="XAH54" s="1"/>
      <c r="XAI54" s="1"/>
      <c r="XAJ54" s="1"/>
      <c r="XAK54" s="1"/>
      <c r="XAL54" s="1"/>
      <c r="XAM54" s="1"/>
      <c r="XAN54" s="1"/>
      <c r="XAO54" s="1"/>
      <c r="XAP54" s="1"/>
      <c r="XAQ54" s="1"/>
      <c r="XAR54" s="1"/>
      <c r="XAS54" s="1"/>
      <c r="XAT54" s="1"/>
      <c r="XAU54" s="1"/>
      <c r="XAV54" s="1"/>
      <c r="XAW54" s="1"/>
      <c r="XAX54" s="1"/>
      <c r="XAY54" s="1"/>
      <c r="XAZ54" s="1"/>
      <c r="XBA54" s="1"/>
      <c r="XBB54" s="1"/>
      <c r="XBC54" s="1"/>
      <c r="XBD54" s="1"/>
      <c r="XBE54" s="1"/>
      <c r="XBF54" s="1"/>
      <c r="XBG54" s="1"/>
      <c r="XBH54" s="1"/>
      <c r="XBI54" s="1"/>
      <c r="XBJ54" s="1"/>
      <c r="XBK54" s="1"/>
      <c r="XBL54" s="1"/>
      <c r="XBM54" s="1"/>
      <c r="XBN54" s="1"/>
      <c r="XBO54" s="1"/>
      <c r="XBP54" s="1"/>
      <c r="XBQ54" s="1"/>
      <c r="XBR54" s="1"/>
      <c r="XBS54" s="1"/>
      <c r="XBT54" s="1"/>
      <c r="XBU54" s="1"/>
      <c r="XBV54" s="1"/>
      <c r="XBW54" s="1"/>
      <c r="XBX54" s="1"/>
      <c r="XBY54" s="1"/>
      <c r="XBZ54" s="1"/>
      <c r="XCA54" s="1"/>
      <c r="XCB54" s="1"/>
      <c r="XCC54" s="1"/>
      <c r="XCD54" s="1"/>
      <c r="XCE54" s="1"/>
      <c r="XCF54" s="1"/>
      <c r="XCG54" s="1"/>
      <c r="XCH54" s="1"/>
      <c r="XCI54" s="1"/>
      <c r="XCJ54" s="1"/>
      <c r="XCK54" s="1"/>
      <c r="XCL54" s="1"/>
      <c r="XCM54" s="1"/>
      <c r="XCN54" s="1"/>
      <c r="XCO54" s="1"/>
      <c r="XCP54" s="1"/>
      <c r="XCQ54" s="1"/>
      <c r="XCR54" s="1"/>
      <c r="XCS54" s="1"/>
      <c r="XCT54" s="1"/>
      <c r="XCU54" s="1"/>
      <c r="XCV54" s="1"/>
      <c r="XCW54" s="1"/>
      <c r="XCX54" s="1"/>
      <c r="XCY54" s="1"/>
      <c r="XCZ54" s="1"/>
      <c r="XDA54" s="1"/>
      <c r="XDB54" s="1"/>
      <c r="XDC54" s="1"/>
      <c r="XDD54" s="1"/>
      <c r="XDE54" s="1"/>
      <c r="XDF54" s="1"/>
      <c r="XDG54" s="1"/>
      <c r="XDH54" s="1"/>
      <c r="XDI54" s="1"/>
      <c r="XDJ54" s="1"/>
      <c r="XDK54" s="1"/>
      <c r="XDL54" s="1"/>
      <c r="XDM54" s="1"/>
      <c r="XDN54" s="1"/>
      <c r="XDO54" s="1"/>
      <c r="XDP54" s="1"/>
      <c r="XDQ54" s="1"/>
      <c r="XDR54" s="1"/>
      <c r="XDS54" s="1"/>
      <c r="XDT54" s="1"/>
      <c r="XDU54" s="1"/>
      <c r="XDV54" s="1"/>
      <c r="XDW54" s="1"/>
      <c r="XDX54" s="1"/>
      <c r="XDY54" s="1"/>
      <c r="XDZ54" s="1"/>
      <c r="XEA54" s="1"/>
      <c r="XEB54" s="1"/>
      <c r="XEC54" s="1"/>
      <c r="XED54" s="1"/>
      <c r="XEE54" s="1"/>
      <c r="XEF54" s="1"/>
      <c r="XEG54" s="1"/>
      <c r="XEH54" s="1"/>
      <c r="XEI54" s="1"/>
      <c r="XEJ54" s="1"/>
      <c r="XEK54" s="1"/>
      <c r="XEL54" s="1"/>
      <c r="XEM54" s="1"/>
      <c r="XEN54" s="1"/>
      <c r="XEO54" s="1"/>
      <c r="XEP54" s="1"/>
      <c r="XEQ54" s="1"/>
      <c r="XER54" s="1"/>
      <c r="XES54" s="1"/>
      <c r="XET54" s="1"/>
      <c r="XEU54" s="1"/>
      <c r="XEV54" s="1"/>
      <c r="XEW54" s="1"/>
      <c r="XEX54" s="1"/>
      <c r="XEY54" s="1"/>
      <c r="XEZ54" s="1"/>
      <c r="XFA54" s="1"/>
      <c r="XFB54" s="1"/>
      <c r="XFC54" s="1"/>
      <c r="XFD54" s="1"/>
    </row>
    <row r="55" spans="1:16384" s="8" customFormat="1" x14ac:dyDescent="0.25">
      <c r="A55" s="21"/>
      <c r="B55" s="192"/>
      <c r="C55" s="191"/>
      <c r="D55" s="191"/>
      <c r="E55" s="191"/>
      <c r="F55" s="191"/>
      <c r="G55" s="191"/>
      <c r="H55" s="191"/>
      <c r="I55" s="191"/>
      <c r="J55" s="191"/>
      <c r="K55" s="191"/>
      <c r="L55" s="191"/>
      <c r="M55" s="191"/>
      <c r="N55" s="191"/>
      <c r="O55" s="191"/>
      <c r="P55" s="191"/>
      <c r="Q55" s="191"/>
      <c r="R55" s="191"/>
      <c r="S55" s="191"/>
      <c r="T55" s="191"/>
      <c r="U55" s="191"/>
      <c r="V55" s="191"/>
      <c r="W55" s="2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C55" s="1"/>
      <c r="ND55" s="1"/>
      <c r="NE55" s="1"/>
      <c r="NF55" s="1"/>
      <c r="NG55" s="1"/>
      <c r="NH55" s="1"/>
      <c r="NI55" s="1"/>
      <c r="NJ55" s="1"/>
      <c r="NK55" s="1"/>
      <c r="NL55" s="1"/>
      <c r="NM55" s="1"/>
      <c r="NN55" s="1"/>
      <c r="NO55" s="1"/>
      <c r="NP55" s="1"/>
      <c r="NQ55" s="1"/>
      <c r="NR55" s="1"/>
      <c r="NS55" s="1"/>
      <c r="NT55" s="1"/>
      <c r="NU55" s="1"/>
      <c r="NV55" s="1"/>
      <c r="NW55" s="1"/>
      <c r="NX55" s="1"/>
      <c r="NY55" s="1"/>
      <c r="NZ55" s="1"/>
      <c r="OA55" s="1"/>
      <c r="OB55" s="1"/>
      <c r="OC55" s="1"/>
      <c r="OD55" s="1"/>
      <c r="OE55" s="1"/>
      <c r="OF55" s="1"/>
      <c r="OG55" s="1"/>
      <c r="OH55" s="1"/>
      <c r="OI55" s="1"/>
      <c r="OJ55" s="1"/>
      <c r="OK55" s="1"/>
      <c r="OL55" s="1"/>
      <c r="OM55" s="1"/>
      <c r="ON55" s="1"/>
      <c r="OO55" s="1"/>
      <c r="OP55" s="1"/>
      <c r="OQ55" s="1"/>
      <c r="OR55" s="1"/>
      <c r="OS55" s="1"/>
      <c r="OT55" s="1"/>
      <c r="OU55" s="1"/>
      <c r="OV55" s="1"/>
      <c r="OW55" s="1"/>
      <c r="OX55" s="1"/>
      <c r="OY55" s="1"/>
      <c r="OZ55" s="1"/>
      <c r="PA55" s="1"/>
      <c r="PB55" s="1"/>
      <c r="PC55" s="1"/>
      <c r="PD55" s="1"/>
      <c r="PE55" s="1"/>
      <c r="PF55" s="1"/>
      <c r="PG55" s="1"/>
      <c r="PH55" s="1"/>
      <c r="PI55" s="1"/>
      <c r="PJ55" s="1"/>
      <c r="PK55" s="1"/>
      <c r="PL55" s="1"/>
      <c r="PM55" s="1"/>
      <c r="PN55" s="1"/>
      <c r="PO55" s="1"/>
      <c r="PP55" s="1"/>
      <c r="PQ55" s="1"/>
      <c r="PR55" s="1"/>
      <c r="PS55" s="1"/>
      <c r="PT55" s="1"/>
      <c r="PU55" s="1"/>
      <c r="PV55" s="1"/>
      <c r="PW55" s="1"/>
      <c r="PX55" s="1"/>
      <c r="PY55" s="1"/>
      <c r="PZ55" s="1"/>
      <c r="QA55" s="1"/>
      <c r="QB55" s="1"/>
      <c r="QC55" s="1"/>
      <c r="QD55" s="1"/>
      <c r="QE55" s="1"/>
      <c r="QF55" s="1"/>
      <c r="QG55" s="1"/>
      <c r="QH55" s="1"/>
      <c r="QI55" s="1"/>
      <c r="QJ55" s="1"/>
      <c r="QK55" s="1"/>
      <c r="QL55" s="1"/>
      <c r="QM55" s="1"/>
      <c r="QN55" s="1"/>
      <c r="QO55" s="1"/>
      <c r="QP55" s="1"/>
      <c r="QQ55" s="1"/>
      <c r="QR55" s="1"/>
      <c r="QS55" s="1"/>
      <c r="QT55" s="1"/>
      <c r="QU55" s="1"/>
      <c r="QV55" s="1"/>
      <c r="QW55" s="1"/>
      <c r="QX55" s="1"/>
      <c r="QY55" s="1"/>
      <c r="QZ55" s="1"/>
      <c r="RA55" s="1"/>
      <c r="RB55" s="1"/>
      <c r="RC55" s="1"/>
      <c r="RD55" s="1"/>
      <c r="RE55" s="1"/>
      <c r="RF55" s="1"/>
      <c r="RG55" s="1"/>
      <c r="RH55" s="1"/>
      <c r="RI55" s="1"/>
      <c r="RJ55" s="1"/>
      <c r="RK55" s="1"/>
      <c r="RL55" s="1"/>
      <c r="RM55" s="1"/>
      <c r="RN55" s="1"/>
      <c r="RO55" s="1"/>
      <c r="RP55" s="1"/>
      <c r="RQ55" s="1"/>
      <c r="RR55" s="1"/>
      <c r="RS55" s="1"/>
      <c r="RT55" s="1"/>
      <c r="RU55" s="1"/>
      <c r="RV55" s="1"/>
      <c r="RW55" s="1"/>
      <c r="RX55" s="1"/>
      <c r="RY55" s="1"/>
      <c r="RZ55" s="1"/>
      <c r="SA55" s="1"/>
      <c r="SB55" s="1"/>
      <c r="SC55" s="1"/>
      <c r="SD55" s="1"/>
      <c r="SE55" s="1"/>
      <c r="SF55" s="1"/>
      <c r="SG55" s="1"/>
      <c r="SH55" s="1"/>
      <c r="SI55" s="1"/>
      <c r="SJ55" s="1"/>
      <c r="SK55" s="1"/>
      <c r="SL55" s="1"/>
      <c r="SM55" s="1"/>
      <c r="SN55" s="1"/>
      <c r="SO55" s="1"/>
      <c r="SP55" s="1"/>
      <c r="SQ55" s="1"/>
      <c r="SR55" s="1"/>
      <c r="SS55" s="1"/>
      <c r="ST55" s="1"/>
      <c r="SU55" s="1"/>
      <c r="SV55" s="1"/>
      <c r="SW55" s="1"/>
      <c r="SX55" s="1"/>
      <c r="SY55" s="1"/>
      <c r="SZ55" s="1"/>
      <c r="TA55" s="1"/>
      <c r="TB55" s="1"/>
      <c r="TC55" s="1"/>
      <c r="TD55" s="1"/>
      <c r="TE55" s="1"/>
      <c r="TF55" s="1"/>
      <c r="TG55" s="1"/>
      <c r="TH55" s="1"/>
      <c r="TI55" s="1"/>
      <c r="TJ55" s="1"/>
      <c r="TK55" s="1"/>
      <c r="TL55" s="1"/>
      <c r="TM55" s="1"/>
      <c r="TN55" s="1"/>
      <c r="TO55" s="1"/>
      <c r="TP55" s="1"/>
      <c r="TQ55" s="1"/>
      <c r="TR55" s="1"/>
      <c r="TS55" s="1"/>
      <c r="TT55" s="1"/>
      <c r="TU55" s="1"/>
      <c r="TV55" s="1"/>
      <c r="TW55" s="1"/>
      <c r="TX55" s="1"/>
      <c r="TY55" s="1"/>
      <c r="TZ55" s="1"/>
      <c r="UA55" s="1"/>
      <c r="UB55" s="1"/>
      <c r="UC55" s="1"/>
      <c r="UD55" s="1"/>
      <c r="UE55" s="1"/>
      <c r="UF55" s="1"/>
      <c r="UG55" s="1"/>
      <c r="UH55" s="1"/>
      <c r="UI55" s="1"/>
      <c r="UJ55" s="1"/>
      <c r="UK55" s="1"/>
      <c r="UL55" s="1"/>
      <c r="UM55" s="1"/>
      <c r="UN55" s="1"/>
      <c r="UO55" s="1"/>
      <c r="UP55" s="1"/>
      <c r="UQ55" s="1"/>
      <c r="UR55" s="1"/>
      <c r="US55" s="1"/>
      <c r="UT55" s="1"/>
      <c r="UU55" s="1"/>
      <c r="UV55" s="1"/>
      <c r="UW55" s="1"/>
      <c r="UX55" s="1"/>
      <c r="UY55" s="1"/>
      <c r="UZ55" s="1"/>
      <c r="VA55" s="1"/>
      <c r="VB55" s="1"/>
      <c r="VC55" s="1"/>
      <c r="VD55" s="1"/>
      <c r="VE55" s="1"/>
      <c r="VF55" s="1"/>
      <c r="VG55" s="1"/>
      <c r="VH55" s="1"/>
      <c r="VI55" s="1"/>
      <c r="VJ55" s="1"/>
      <c r="VK55" s="1"/>
      <c r="VL55" s="1"/>
      <c r="VM55" s="1"/>
      <c r="VN55" s="1"/>
      <c r="VO55" s="1"/>
      <c r="VP55" s="1"/>
      <c r="VQ55" s="1"/>
      <c r="VR55" s="1"/>
      <c r="VS55" s="1"/>
      <c r="VT55" s="1"/>
      <c r="VU55" s="1"/>
      <c r="VV55" s="1"/>
      <c r="VW55" s="1"/>
      <c r="VX55" s="1"/>
      <c r="VY55" s="1"/>
      <c r="VZ55" s="1"/>
      <c r="WA55" s="1"/>
      <c r="WB55" s="1"/>
      <c r="WC55" s="1"/>
      <c r="WD55" s="1"/>
      <c r="WE55" s="1"/>
      <c r="WF55" s="1"/>
      <c r="WG55" s="1"/>
      <c r="WH55" s="1"/>
      <c r="WI55" s="1"/>
      <c r="WJ55" s="1"/>
      <c r="WK55" s="1"/>
      <c r="WL55" s="1"/>
      <c r="WM55" s="1"/>
      <c r="WN55" s="1"/>
      <c r="WO55" s="1"/>
      <c r="WP55" s="1"/>
      <c r="WQ55" s="1"/>
      <c r="WR55" s="1"/>
      <c r="WS55" s="1"/>
      <c r="WT55" s="1"/>
      <c r="WU55" s="1"/>
      <c r="WV55" s="1"/>
      <c r="WW55" s="1"/>
      <c r="WX55" s="1"/>
      <c r="WY55" s="1"/>
      <c r="WZ55" s="1"/>
      <c r="XA55" s="1"/>
      <c r="XB55" s="1"/>
      <c r="XC55" s="1"/>
      <c r="XD55" s="1"/>
      <c r="XE55" s="1"/>
      <c r="XF55" s="1"/>
      <c r="XG55" s="1"/>
      <c r="XH55" s="1"/>
      <c r="XI55" s="1"/>
      <c r="XJ55" s="1"/>
      <c r="XK55" s="1"/>
      <c r="XL55" s="1"/>
      <c r="XM55" s="1"/>
      <c r="XN55" s="1"/>
      <c r="XO55" s="1"/>
      <c r="XP55" s="1"/>
      <c r="XQ55" s="1"/>
      <c r="XR55" s="1"/>
      <c r="XS55" s="1"/>
      <c r="XT55" s="1"/>
      <c r="XU55" s="1"/>
      <c r="XV55" s="1"/>
      <c r="XW55" s="1"/>
      <c r="XX55" s="1"/>
      <c r="XY55" s="1"/>
      <c r="XZ55" s="1"/>
      <c r="YA55" s="1"/>
      <c r="YB55" s="1"/>
      <c r="YC55" s="1"/>
      <c r="YD55" s="1"/>
      <c r="YE55" s="1"/>
      <c r="YF55" s="1"/>
      <c r="YG55" s="1"/>
      <c r="YH55" s="1"/>
      <c r="YI55" s="1"/>
      <c r="YJ55" s="1"/>
      <c r="YK55" s="1"/>
      <c r="YL55" s="1"/>
      <c r="YM55" s="1"/>
      <c r="YN55" s="1"/>
      <c r="YO55" s="1"/>
      <c r="YP55" s="1"/>
      <c r="YQ55" s="1"/>
      <c r="YR55" s="1"/>
      <c r="YS55" s="1"/>
      <c r="YT55" s="1"/>
      <c r="YU55" s="1"/>
      <c r="YV55" s="1"/>
      <c r="YW55" s="1"/>
      <c r="YX55" s="1"/>
      <c r="YY55" s="1"/>
      <c r="YZ55" s="1"/>
      <c r="ZA55" s="1"/>
      <c r="ZB55" s="1"/>
      <c r="ZC55" s="1"/>
      <c r="ZD55" s="1"/>
      <c r="ZE55" s="1"/>
      <c r="ZF55" s="1"/>
      <c r="ZG55" s="1"/>
      <c r="ZH55" s="1"/>
      <c r="ZI55" s="1"/>
      <c r="ZJ55" s="1"/>
      <c r="ZK55" s="1"/>
      <c r="ZL55" s="1"/>
      <c r="ZM55" s="1"/>
      <c r="ZN55" s="1"/>
      <c r="ZO55" s="1"/>
      <c r="ZP55" s="1"/>
      <c r="ZQ55" s="1"/>
      <c r="ZR55" s="1"/>
      <c r="ZS55" s="1"/>
      <c r="ZT55" s="1"/>
      <c r="ZU55" s="1"/>
      <c r="ZV55" s="1"/>
      <c r="ZW55" s="1"/>
      <c r="ZX55" s="1"/>
      <c r="ZY55" s="1"/>
      <c r="ZZ55" s="1"/>
      <c r="AAA55" s="1"/>
      <c r="AAB55" s="1"/>
      <c r="AAC55" s="1"/>
      <c r="AAD55" s="1"/>
      <c r="AAE55" s="1"/>
      <c r="AAF55" s="1"/>
      <c r="AAG55" s="1"/>
      <c r="AAH55" s="1"/>
      <c r="AAI55" s="1"/>
      <c r="AAJ55" s="1"/>
      <c r="AAK55" s="1"/>
      <c r="AAL55" s="1"/>
      <c r="AAM55" s="1"/>
      <c r="AAN55" s="1"/>
      <c r="AAO55" s="1"/>
      <c r="AAP55" s="1"/>
      <c r="AAQ55" s="1"/>
      <c r="AAR55" s="1"/>
      <c r="AAS55" s="1"/>
      <c r="AAT55" s="1"/>
      <c r="AAU55" s="1"/>
      <c r="AAV55" s="1"/>
      <c r="AAW55" s="1"/>
      <c r="AAX55" s="1"/>
      <c r="AAY55" s="1"/>
      <c r="AAZ55" s="1"/>
      <c r="ABA55" s="1"/>
      <c r="ABB55" s="1"/>
      <c r="ABC55" s="1"/>
      <c r="ABD55" s="1"/>
      <c r="ABE55" s="1"/>
      <c r="ABF55" s="1"/>
      <c r="ABG55" s="1"/>
      <c r="ABH55" s="1"/>
      <c r="ABI55" s="1"/>
      <c r="ABJ55" s="1"/>
      <c r="ABK55" s="1"/>
      <c r="ABL55" s="1"/>
      <c r="ABM55" s="1"/>
      <c r="ABN55" s="1"/>
      <c r="ABO55" s="1"/>
      <c r="ABP55" s="1"/>
      <c r="ABQ55" s="1"/>
      <c r="ABR55" s="1"/>
      <c r="ABS55" s="1"/>
      <c r="ABT55" s="1"/>
      <c r="ABU55" s="1"/>
      <c r="ABV55" s="1"/>
      <c r="ABW55" s="1"/>
      <c r="ABX55" s="1"/>
      <c r="ABY55" s="1"/>
      <c r="ABZ55" s="1"/>
      <c r="ACA55" s="1"/>
      <c r="ACB55" s="1"/>
      <c r="ACC55" s="1"/>
      <c r="ACD55" s="1"/>
      <c r="ACE55" s="1"/>
      <c r="ACF55" s="1"/>
      <c r="ACG55" s="1"/>
      <c r="ACH55" s="1"/>
      <c r="ACI55" s="1"/>
      <c r="ACJ55" s="1"/>
      <c r="ACK55" s="1"/>
      <c r="ACL55" s="1"/>
      <c r="ACM55" s="1"/>
      <c r="ACN55" s="1"/>
      <c r="ACO55" s="1"/>
      <c r="ACP55" s="1"/>
      <c r="ACQ55" s="1"/>
      <c r="ACR55" s="1"/>
      <c r="ACS55" s="1"/>
      <c r="ACT55" s="1"/>
      <c r="ACU55" s="1"/>
      <c r="ACV55" s="1"/>
      <c r="ACW55" s="1"/>
      <c r="ACX55" s="1"/>
      <c r="ACY55" s="1"/>
      <c r="ACZ55" s="1"/>
      <c r="ADA55" s="1"/>
      <c r="ADB55" s="1"/>
      <c r="ADC55" s="1"/>
      <c r="ADD55" s="1"/>
      <c r="ADE55" s="1"/>
      <c r="ADF55" s="1"/>
      <c r="ADG55" s="1"/>
      <c r="ADH55" s="1"/>
      <c r="ADI55" s="1"/>
      <c r="ADJ55" s="1"/>
      <c r="ADK55" s="1"/>
      <c r="ADL55" s="1"/>
      <c r="ADM55" s="1"/>
      <c r="ADN55" s="1"/>
      <c r="ADO55" s="1"/>
      <c r="ADP55" s="1"/>
      <c r="ADQ55" s="1"/>
      <c r="ADR55" s="1"/>
      <c r="ADS55" s="1"/>
      <c r="ADT55" s="1"/>
      <c r="ADU55" s="1"/>
      <c r="ADV55" s="1"/>
      <c r="ADW55" s="1"/>
      <c r="ADX55" s="1"/>
      <c r="ADY55" s="1"/>
      <c r="ADZ55" s="1"/>
      <c r="AEA55" s="1"/>
      <c r="AEB55" s="1"/>
      <c r="AEC55" s="1"/>
      <c r="AED55" s="1"/>
      <c r="AEE55" s="1"/>
      <c r="AEF55" s="1"/>
      <c r="AEG55" s="1"/>
      <c r="AEH55" s="1"/>
      <c r="AEI55" s="1"/>
      <c r="AEJ55" s="1"/>
      <c r="AEK55" s="1"/>
      <c r="AEL55" s="1"/>
      <c r="AEM55" s="1"/>
      <c r="AEN55" s="1"/>
      <c r="AEO55" s="1"/>
      <c r="AEP55" s="1"/>
      <c r="AEQ55" s="1"/>
      <c r="AER55" s="1"/>
      <c r="AES55" s="1"/>
      <c r="AET55" s="1"/>
      <c r="AEU55" s="1"/>
      <c r="AEV55" s="1"/>
      <c r="AEW55" s="1"/>
      <c r="AEX55" s="1"/>
      <c r="AEY55" s="1"/>
      <c r="AEZ55" s="1"/>
      <c r="AFA55" s="1"/>
      <c r="AFB55" s="1"/>
      <c r="AFC55" s="1"/>
      <c r="AFD55" s="1"/>
      <c r="AFE55" s="1"/>
      <c r="AFF55" s="1"/>
      <c r="AFG55" s="1"/>
      <c r="AFH55" s="1"/>
      <c r="AFI55" s="1"/>
      <c r="AFJ55" s="1"/>
      <c r="AFK55" s="1"/>
      <c r="AFL55" s="1"/>
      <c r="AFM55" s="1"/>
      <c r="AFN55" s="1"/>
      <c r="AFO55" s="1"/>
      <c r="AFP55" s="1"/>
      <c r="AFQ55" s="1"/>
      <c r="AFR55" s="1"/>
      <c r="AFS55" s="1"/>
      <c r="AFT55" s="1"/>
      <c r="AFU55" s="1"/>
      <c r="AFV55" s="1"/>
      <c r="AFW55" s="1"/>
      <c r="AFX55" s="1"/>
      <c r="AFY55" s="1"/>
      <c r="AFZ55" s="1"/>
      <c r="AGA55" s="1"/>
      <c r="AGB55" s="1"/>
      <c r="AGC55" s="1"/>
      <c r="AGD55" s="1"/>
      <c r="AGE55" s="1"/>
      <c r="AGF55" s="1"/>
      <c r="AGG55" s="1"/>
      <c r="AGH55" s="1"/>
      <c r="AGI55" s="1"/>
      <c r="AGJ55" s="1"/>
      <c r="AGK55" s="1"/>
      <c r="AGL55" s="1"/>
      <c r="AGM55" s="1"/>
      <c r="AGN55" s="1"/>
      <c r="AGO55" s="1"/>
      <c r="AGP55" s="1"/>
      <c r="AGQ55" s="1"/>
      <c r="AGR55" s="1"/>
      <c r="AGS55" s="1"/>
      <c r="AGT55" s="1"/>
      <c r="AGU55" s="1"/>
      <c r="AGV55" s="1"/>
      <c r="AGW55" s="1"/>
      <c r="AGX55" s="1"/>
      <c r="AGY55" s="1"/>
      <c r="AGZ55" s="1"/>
      <c r="AHA55" s="1"/>
      <c r="AHB55" s="1"/>
      <c r="AHC55" s="1"/>
      <c r="AHD55" s="1"/>
      <c r="AHE55" s="1"/>
      <c r="AHF55" s="1"/>
      <c r="AHG55" s="1"/>
      <c r="AHH55" s="1"/>
      <c r="AHI55" s="1"/>
      <c r="AHJ55" s="1"/>
      <c r="AHK55" s="1"/>
      <c r="AHL55" s="1"/>
      <c r="AHM55" s="1"/>
      <c r="AHN55" s="1"/>
      <c r="AHO55" s="1"/>
      <c r="AHP55" s="1"/>
      <c r="AHQ55" s="1"/>
      <c r="AHR55" s="1"/>
      <c r="AHS55" s="1"/>
      <c r="AHT55" s="1"/>
      <c r="AHU55" s="1"/>
      <c r="AHV55" s="1"/>
      <c r="AHW55" s="1"/>
      <c r="AHX55" s="1"/>
      <c r="AHY55" s="1"/>
      <c r="AHZ55" s="1"/>
      <c r="AIA55" s="1"/>
      <c r="AIB55" s="1"/>
      <c r="AIC55" s="1"/>
      <c r="AID55" s="1"/>
      <c r="AIE55" s="1"/>
      <c r="AIF55" s="1"/>
      <c r="AIG55" s="1"/>
      <c r="AIH55" s="1"/>
      <c r="AII55" s="1"/>
      <c r="AIJ55" s="1"/>
      <c r="AIK55" s="1"/>
      <c r="AIL55" s="1"/>
      <c r="AIM55" s="1"/>
      <c r="AIN55" s="1"/>
      <c r="AIO55" s="1"/>
      <c r="AIP55" s="1"/>
      <c r="AIQ55" s="1"/>
      <c r="AIR55" s="1"/>
      <c r="AIS55" s="1"/>
      <c r="AIT55" s="1"/>
      <c r="AIU55" s="1"/>
      <c r="AIV55" s="1"/>
      <c r="AIW55" s="1"/>
      <c r="AIX55" s="1"/>
      <c r="AIY55" s="1"/>
      <c r="AIZ55" s="1"/>
      <c r="AJA55" s="1"/>
      <c r="AJB55" s="1"/>
      <c r="AJC55" s="1"/>
      <c r="AJD55" s="1"/>
      <c r="AJE55" s="1"/>
      <c r="AJF55" s="1"/>
      <c r="AJG55" s="1"/>
      <c r="AJH55" s="1"/>
      <c r="AJI55" s="1"/>
      <c r="AJJ55" s="1"/>
      <c r="AJK55" s="1"/>
      <c r="AJL55" s="1"/>
      <c r="AJM55" s="1"/>
      <c r="AJN55" s="1"/>
      <c r="AJO55" s="1"/>
      <c r="AJP55" s="1"/>
      <c r="AJQ55" s="1"/>
      <c r="AJR55" s="1"/>
      <c r="AJS55" s="1"/>
      <c r="AJT55" s="1"/>
      <c r="AJU55" s="1"/>
      <c r="AJV55" s="1"/>
      <c r="AJW55" s="1"/>
      <c r="AJX55" s="1"/>
      <c r="AJY55" s="1"/>
      <c r="AJZ55" s="1"/>
      <c r="AKA55" s="1"/>
      <c r="AKB55" s="1"/>
      <c r="AKC55" s="1"/>
      <c r="AKD55" s="1"/>
      <c r="AKE55" s="1"/>
      <c r="AKF55" s="1"/>
      <c r="AKG55" s="1"/>
      <c r="AKH55" s="1"/>
      <c r="AKI55" s="1"/>
      <c r="AKJ55" s="1"/>
      <c r="AKK55" s="1"/>
      <c r="AKL55" s="1"/>
      <c r="AKM55" s="1"/>
      <c r="AKN55" s="1"/>
      <c r="AKO55" s="1"/>
      <c r="AKP55" s="1"/>
      <c r="AKQ55" s="1"/>
      <c r="AKR55" s="1"/>
      <c r="AKS55" s="1"/>
      <c r="AKT55" s="1"/>
      <c r="AKU55" s="1"/>
      <c r="AKV55" s="1"/>
      <c r="AKW55" s="1"/>
      <c r="AKX55" s="1"/>
      <c r="AKY55" s="1"/>
      <c r="AKZ55" s="1"/>
      <c r="ALA55" s="1"/>
      <c r="ALB55" s="1"/>
      <c r="ALC55" s="1"/>
      <c r="ALD55" s="1"/>
      <c r="ALE55" s="1"/>
      <c r="ALF55" s="1"/>
      <c r="ALG55" s="1"/>
      <c r="ALH55" s="1"/>
      <c r="ALI55" s="1"/>
      <c r="ALJ55" s="1"/>
      <c r="ALK55" s="1"/>
      <c r="ALL55" s="1"/>
      <c r="ALM55" s="1"/>
      <c r="ALN55" s="1"/>
      <c r="ALO55" s="1"/>
      <c r="ALP55" s="1"/>
      <c r="ALQ55" s="1"/>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c r="BOB55" s="1"/>
      <c r="BOC55" s="1"/>
      <c r="BOD55" s="1"/>
      <c r="BOE55" s="1"/>
      <c r="BOF55" s="1"/>
      <c r="BOG55" s="1"/>
      <c r="BOH55" s="1"/>
      <c r="BOI55" s="1"/>
      <c r="BOJ55" s="1"/>
      <c r="BOK55" s="1"/>
      <c r="BOL55" s="1"/>
      <c r="BOM55" s="1"/>
      <c r="BON55" s="1"/>
      <c r="BOO55" s="1"/>
      <c r="BOP55" s="1"/>
      <c r="BOQ55" s="1"/>
      <c r="BOR55" s="1"/>
      <c r="BOS55" s="1"/>
      <c r="BOT55" s="1"/>
      <c r="BOU55" s="1"/>
      <c r="BOV55" s="1"/>
      <c r="BOW55" s="1"/>
      <c r="BOX55" s="1"/>
      <c r="BOY55" s="1"/>
      <c r="BOZ55" s="1"/>
      <c r="BPA55" s="1"/>
      <c r="BPB55" s="1"/>
      <c r="BPC55" s="1"/>
      <c r="BPD55" s="1"/>
      <c r="BPE55" s="1"/>
      <c r="BPF55" s="1"/>
      <c r="BPG55" s="1"/>
      <c r="BPH55" s="1"/>
      <c r="BPI55" s="1"/>
      <c r="BPJ55" s="1"/>
      <c r="BPK55" s="1"/>
      <c r="BPL55" s="1"/>
      <c r="BPM55" s="1"/>
      <c r="BPN55" s="1"/>
      <c r="BPO55" s="1"/>
      <c r="BPP55" s="1"/>
      <c r="BPQ55" s="1"/>
      <c r="BPR55" s="1"/>
      <c r="BPS55" s="1"/>
      <c r="BPT55" s="1"/>
      <c r="BPU55" s="1"/>
      <c r="BPV55" s="1"/>
      <c r="BPW55" s="1"/>
      <c r="BPX55" s="1"/>
      <c r="BPY55" s="1"/>
      <c r="BPZ55" s="1"/>
      <c r="BQA55" s="1"/>
      <c r="BQB55" s="1"/>
      <c r="BQC55" s="1"/>
      <c r="BQD55" s="1"/>
      <c r="BQE55" s="1"/>
      <c r="BQF55" s="1"/>
      <c r="BQG55" s="1"/>
      <c r="BQH55" s="1"/>
      <c r="BQI55" s="1"/>
      <c r="BQJ55" s="1"/>
      <c r="BQK55" s="1"/>
      <c r="BQL55" s="1"/>
      <c r="BQM55" s="1"/>
      <c r="BQN55" s="1"/>
      <c r="BQO55" s="1"/>
      <c r="BQP55" s="1"/>
      <c r="BQQ55" s="1"/>
      <c r="BQR55" s="1"/>
      <c r="BQS55" s="1"/>
      <c r="BQT55" s="1"/>
      <c r="BQU55" s="1"/>
      <c r="BQV55" s="1"/>
      <c r="BQW55" s="1"/>
      <c r="BQX55" s="1"/>
      <c r="BQY55" s="1"/>
      <c r="BQZ55" s="1"/>
      <c r="BRA55" s="1"/>
      <c r="BRB55" s="1"/>
      <c r="BRC55" s="1"/>
      <c r="BRD55" s="1"/>
      <c r="BRE55" s="1"/>
      <c r="BRF55" s="1"/>
      <c r="BRG55" s="1"/>
      <c r="BRH55" s="1"/>
      <c r="BRI55" s="1"/>
      <c r="BRJ55" s="1"/>
      <c r="BRK55" s="1"/>
      <c r="BRL55" s="1"/>
      <c r="BRM55" s="1"/>
      <c r="BRN55" s="1"/>
      <c r="BRO55" s="1"/>
      <c r="BRP55" s="1"/>
      <c r="BRQ55" s="1"/>
      <c r="BRR55" s="1"/>
      <c r="BRS55" s="1"/>
      <c r="BRT55" s="1"/>
      <c r="BRU55" s="1"/>
      <c r="BRV55" s="1"/>
      <c r="BRW55" s="1"/>
      <c r="BRX55" s="1"/>
      <c r="BRY55" s="1"/>
      <c r="BRZ55" s="1"/>
      <c r="BSA55" s="1"/>
      <c r="BSB55" s="1"/>
      <c r="BSC55" s="1"/>
      <c r="BSD55" s="1"/>
      <c r="BSE55" s="1"/>
      <c r="BSF55" s="1"/>
      <c r="BSG55" s="1"/>
      <c r="BSH55" s="1"/>
      <c r="BSI55" s="1"/>
      <c r="BSJ55" s="1"/>
      <c r="BSK55" s="1"/>
      <c r="BSL55" s="1"/>
      <c r="BSM55" s="1"/>
      <c r="BSN55" s="1"/>
      <c r="BSO55" s="1"/>
      <c r="BSP55" s="1"/>
      <c r="BSQ55" s="1"/>
      <c r="BSR55" s="1"/>
      <c r="BSS55" s="1"/>
      <c r="BST55" s="1"/>
      <c r="BSU55" s="1"/>
      <c r="BSV55" s="1"/>
      <c r="BSW55" s="1"/>
      <c r="BSX55" s="1"/>
      <c r="BSY55" s="1"/>
      <c r="BSZ55" s="1"/>
      <c r="BTA55" s="1"/>
      <c r="BTB55" s="1"/>
      <c r="BTC55" s="1"/>
      <c r="BTD55" s="1"/>
      <c r="BTE55" s="1"/>
      <c r="BTF55" s="1"/>
      <c r="BTG55" s="1"/>
      <c r="BTH55" s="1"/>
      <c r="BTI55" s="1"/>
      <c r="BTJ55" s="1"/>
      <c r="BTK55" s="1"/>
      <c r="BTL55" s="1"/>
      <c r="BTM55" s="1"/>
      <c r="BTN55" s="1"/>
      <c r="BTO55" s="1"/>
      <c r="BTP55" s="1"/>
      <c r="BTQ55" s="1"/>
      <c r="BTR55" s="1"/>
      <c r="BTS55" s="1"/>
      <c r="BTT55" s="1"/>
      <c r="BTU55" s="1"/>
      <c r="BTV55" s="1"/>
      <c r="BTW55" s="1"/>
      <c r="BTX55" s="1"/>
      <c r="BTY55" s="1"/>
      <c r="BTZ55" s="1"/>
      <c r="BUA55" s="1"/>
      <c r="BUB55" s="1"/>
      <c r="BUC55" s="1"/>
      <c r="BUD55" s="1"/>
      <c r="BUE55" s="1"/>
      <c r="BUF55" s="1"/>
      <c r="BUG55" s="1"/>
      <c r="BUH55" s="1"/>
      <c r="BUI55" s="1"/>
      <c r="BUJ55" s="1"/>
      <c r="BUK55" s="1"/>
      <c r="BUL55" s="1"/>
      <c r="BUM55" s="1"/>
      <c r="BUN55" s="1"/>
      <c r="BUO55" s="1"/>
      <c r="BUP55" s="1"/>
      <c r="BUQ55" s="1"/>
      <c r="BUR55" s="1"/>
      <c r="BUS55" s="1"/>
      <c r="BUT55" s="1"/>
      <c r="BUU55" s="1"/>
      <c r="BUV55" s="1"/>
      <c r="BUW55" s="1"/>
      <c r="BUX55" s="1"/>
      <c r="BUY55" s="1"/>
      <c r="BUZ55" s="1"/>
      <c r="BVA55" s="1"/>
      <c r="BVB55" s="1"/>
      <c r="BVC55" s="1"/>
      <c r="BVD55" s="1"/>
      <c r="BVE55" s="1"/>
      <c r="BVF55" s="1"/>
      <c r="BVG55" s="1"/>
      <c r="BVH55" s="1"/>
      <c r="BVI55" s="1"/>
      <c r="BVJ55" s="1"/>
      <c r="BVK55" s="1"/>
      <c r="BVL55" s="1"/>
      <c r="BVM55" s="1"/>
      <c r="BVN55" s="1"/>
      <c r="BVO55" s="1"/>
      <c r="BVP55" s="1"/>
      <c r="BVQ55" s="1"/>
      <c r="BVR55" s="1"/>
      <c r="BVS55" s="1"/>
      <c r="BVT55" s="1"/>
      <c r="BVU55" s="1"/>
      <c r="BVV55" s="1"/>
      <c r="BVW55" s="1"/>
      <c r="BVX55" s="1"/>
      <c r="BVY55" s="1"/>
      <c r="BVZ55" s="1"/>
      <c r="BWA55" s="1"/>
      <c r="BWB55" s="1"/>
      <c r="BWC55" s="1"/>
      <c r="BWD55" s="1"/>
      <c r="BWE55" s="1"/>
      <c r="BWF55" s="1"/>
      <c r="BWG55" s="1"/>
      <c r="BWH55" s="1"/>
      <c r="BWI55" s="1"/>
      <c r="BWJ55" s="1"/>
      <c r="BWK55" s="1"/>
      <c r="BWL55" s="1"/>
      <c r="BWM55" s="1"/>
      <c r="BWN55" s="1"/>
      <c r="BWO55" s="1"/>
      <c r="BWP55" s="1"/>
      <c r="BWQ55" s="1"/>
      <c r="BWR55" s="1"/>
      <c r="BWS55" s="1"/>
      <c r="BWT55" s="1"/>
      <c r="BWU55" s="1"/>
      <c r="BWV55" s="1"/>
      <c r="BWW55" s="1"/>
      <c r="BWX55" s="1"/>
      <c r="BWY55" s="1"/>
      <c r="BWZ55" s="1"/>
      <c r="BXA55" s="1"/>
      <c r="BXB55" s="1"/>
      <c r="BXC55" s="1"/>
      <c r="BXD55" s="1"/>
      <c r="BXE55" s="1"/>
      <c r="BXF55" s="1"/>
      <c r="BXG55" s="1"/>
      <c r="BXH55" s="1"/>
      <c r="BXI55" s="1"/>
      <c r="BXJ55" s="1"/>
      <c r="BXK55" s="1"/>
      <c r="BXL55" s="1"/>
      <c r="BXM55" s="1"/>
      <c r="BXN55" s="1"/>
      <c r="BXO55" s="1"/>
      <c r="BXP55" s="1"/>
      <c r="BXQ55" s="1"/>
      <c r="BXR55" s="1"/>
      <c r="BXS55" s="1"/>
      <c r="BXT55" s="1"/>
      <c r="BXU55" s="1"/>
      <c r="BXV55" s="1"/>
      <c r="BXW55" s="1"/>
      <c r="BXX55" s="1"/>
      <c r="BXY55" s="1"/>
      <c r="BXZ55" s="1"/>
      <c r="BYA55" s="1"/>
      <c r="BYB55" s="1"/>
      <c r="BYC55" s="1"/>
      <c r="BYD55" s="1"/>
      <c r="BYE55" s="1"/>
      <c r="BYF55" s="1"/>
      <c r="BYG55" s="1"/>
      <c r="BYH55" s="1"/>
      <c r="BYI55" s="1"/>
      <c r="BYJ55" s="1"/>
      <c r="BYK55" s="1"/>
      <c r="BYL55" s="1"/>
      <c r="BYM55" s="1"/>
      <c r="BYN55" s="1"/>
      <c r="BYO55" s="1"/>
      <c r="BYP55" s="1"/>
      <c r="BYQ55" s="1"/>
      <c r="BYR55" s="1"/>
      <c r="BYS55" s="1"/>
      <c r="BYT55" s="1"/>
      <c r="BYU55" s="1"/>
      <c r="BYV55" s="1"/>
      <c r="BYW55" s="1"/>
      <c r="BYX55" s="1"/>
      <c r="BYY55" s="1"/>
      <c r="BYZ55" s="1"/>
      <c r="BZA55" s="1"/>
      <c r="BZB55" s="1"/>
      <c r="BZC55" s="1"/>
      <c r="BZD55" s="1"/>
      <c r="BZE55" s="1"/>
      <c r="BZF55" s="1"/>
      <c r="BZG55" s="1"/>
      <c r="BZH55" s="1"/>
      <c r="BZI55" s="1"/>
      <c r="BZJ55" s="1"/>
      <c r="BZK55" s="1"/>
      <c r="BZL55" s="1"/>
      <c r="BZM55" s="1"/>
      <c r="BZN55" s="1"/>
      <c r="BZO55" s="1"/>
      <c r="BZP55" s="1"/>
      <c r="BZQ55" s="1"/>
      <c r="BZR55" s="1"/>
      <c r="BZS55" s="1"/>
      <c r="BZT55" s="1"/>
      <c r="BZU55" s="1"/>
      <c r="BZV55" s="1"/>
      <c r="BZW55" s="1"/>
      <c r="BZX55" s="1"/>
      <c r="BZY55" s="1"/>
      <c r="BZZ55" s="1"/>
      <c r="CAA55" s="1"/>
      <c r="CAB55" s="1"/>
      <c r="CAC55" s="1"/>
      <c r="CAD55" s="1"/>
      <c r="CAE55" s="1"/>
      <c r="CAF55" s="1"/>
      <c r="CAG55" s="1"/>
      <c r="CAH55" s="1"/>
      <c r="CAI55" s="1"/>
      <c r="CAJ55" s="1"/>
      <c r="CAK55" s="1"/>
      <c r="CAL55" s="1"/>
      <c r="CAM55" s="1"/>
      <c r="CAN55" s="1"/>
      <c r="CAO55" s="1"/>
      <c r="CAP55" s="1"/>
      <c r="CAQ55" s="1"/>
      <c r="CAR55" s="1"/>
      <c r="CAS55" s="1"/>
      <c r="CAT55" s="1"/>
      <c r="CAU55" s="1"/>
      <c r="CAV55" s="1"/>
      <c r="CAW55" s="1"/>
      <c r="CAX55" s="1"/>
      <c r="CAY55" s="1"/>
      <c r="CAZ55" s="1"/>
      <c r="CBA55" s="1"/>
      <c r="CBB55" s="1"/>
      <c r="CBC55" s="1"/>
      <c r="CBD55" s="1"/>
      <c r="CBE55" s="1"/>
      <c r="CBF55" s="1"/>
      <c r="CBG55" s="1"/>
      <c r="CBH55" s="1"/>
      <c r="CBI55" s="1"/>
      <c r="CBJ55" s="1"/>
      <c r="CBK55" s="1"/>
      <c r="CBL55" s="1"/>
      <c r="CBM55" s="1"/>
      <c r="CBN55" s="1"/>
      <c r="CBO55" s="1"/>
      <c r="CBP55" s="1"/>
      <c r="CBQ55" s="1"/>
      <c r="CBR55" s="1"/>
      <c r="CBS55" s="1"/>
      <c r="CBT55" s="1"/>
      <c r="CBU55" s="1"/>
      <c r="CBV55" s="1"/>
      <c r="CBW55" s="1"/>
      <c r="CBX55" s="1"/>
      <c r="CBY55" s="1"/>
      <c r="CBZ55" s="1"/>
      <c r="CCA55" s="1"/>
      <c r="CCB55" s="1"/>
      <c r="CCC55" s="1"/>
      <c r="CCD55" s="1"/>
      <c r="CCE55" s="1"/>
      <c r="CCF55" s="1"/>
      <c r="CCG55" s="1"/>
      <c r="CCH55" s="1"/>
      <c r="CCI55" s="1"/>
      <c r="CCJ55" s="1"/>
      <c r="CCK55" s="1"/>
      <c r="CCL55" s="1"/>
      <c r="CCM55" s="1"/>
      <c r="CCN55" s="1"/>
      <c r="CCO55" s="1"/>
      <c r="CCP55" s="1"/>
      <c r="CCQ55" s="1"/>
      <c r="CCR55" s="1"/>
      <c r="CCS55" s="1"/>
      <c r="CCT55" s="1"/>
      <c r="CCU55" s="1"/>
      <c r="CCV55" s="1"/>
      <c r="CCW55" s="1"/>
      <c r="CCX55" s="1"/>
      <c r="CCY55" s="1"/>
      <c r="CCZ55" s="1"/>
      <c r="CDA55" s="1"/>
      <c r="CDB55" s="1"/>
      <c r="CDC55" s="1"/>
      <c r="CDD55" s="1"/>
      <c r="CDE55" s="1"/>
      <c r="CDF55" s="1"/>
      <c r="CDG55" s="1"/>
      <c r="CDH55" s="1"/>
      <c r="CDI55" s="1"/>
      <c r="CDJ55" s="1"/>
      <c r="CDK55" s="1"/>
      <c r="CDL55" s="1"/>
      <c r="CDM55" s="1"/>
      <c r="CDN55" s="1"/>
      <c r="CDO55" s="1"/>
      <c r="CDP55" s="1"/>
      <c r="CDQ55" s="1"/>
      <c r="CDR55" s="1"/>
      <c r="CDS55" s="1"/>
      <c r="CDT55" s="1"/>
      <c r="CDU55" s="1"/>
      <c r="CDV55" s="1"/>
      <c r="CDW55" s="1"/>
      <c r="CDX55" s="1"/>
      <c r="CDY55" s="1"/>
      <c r="CDZ55" s="1"/>
      <c r="CEA55" s="1"/>
      <c r="CEB55" s="1"/>
      <c r="CEC55" s="1"/>
      <c r="CED55" s="1"/>
      <c r="CEE55" s="1"/>
      <c r="CEF55" s="1"/>
      <c r="CEG55" s="1"/>
      <c r="CEH55" s="1"/>
      <c r="CEI55" s="1"/>
      <c r="CEJ55" s="1"/>
      <c r="CEK55" s="1"/>
      <c r="CEL55" s="1"/>
      <c r="CEM55" s="1"/>
      <c r="CEN55" s="1"/>
      <c r="CEO55" s="1"/>
      <c r="CEP55" s="1"/>
      <c r="CEQ55" s="1"/>
      <c r="CER55" s="1"/>
      <c r="CES55" s="1"/>
      <c r="CET55" s="1"/>
      <c r="CEU55" s="1"/>
      <c r="CEV55" s="1"/>
      <c r="CEW55" s="1"/>
      <c r="CEX55" s="1"/>
      <c r="CEY55" s="1"/>
      <c r="CEZ55" s="1"/>
      <c r="CFA55" s="1"/>
      <c r="CFB55" s="1"/>
      <c r="CFC55" s="1"/>
      <c r="CFD55" s="1"/>
      <c r="CFE55" s="1"/>
      <c r="CFF55" s="1"/>
      <c r="CFG55" s="1"/>
      <c r="CFH55" s="1"/>
      <c r="CFI55" s="1"/>
      <c r="CFJ55" s="1"/>
      <c r="CFK55" s="1"/>
      <c r="CFL55" s="1"/>
      <c r="CFM55" s="1"/>
      <c r="CFN55" s="1"/>
      <c r="CFO55" s="1"/>
      <c r="CFP55" s="1"/>
      <c r="CFQ55" s="1"/>
      <c r="CFR55" s="1"/>
      <c r="CFS55" s="1"/>
      <c r="CFT55" s="1"/>
      <c r="CFU55" s="1"/>
      <c r="CFV55" s="1"/>
      <c r="CFW55" s="1"/>
      <c r="CFX55" s="1"/>
      <c r="CFY55" s="1"/>
      <c r="CFZ55" s="1"/>
      <c r="CGA55" s="1"/>
      <c r="CGB55" s="1"/>
      <c r="CGC55" s="1"/>
      <c r="CGD55" s="1"/>
      <c r="CGE55" s="1"/>
      <c r="CGF55" s="1"/>
      <c r="CGG55" s="1"/>
      <c r="CGH55" s="1"/>
      <c r="CGI55" s="1"/>
      <c r="CGJ55" s="1"/>
      <c r="CGK55" s="1"/>
      <c r="CGL55" s="1"/>
      <c r="CGM55" s="1"/>
      <c r="CGN55" s="1"/>
      <c r="CGO55" s="1"/>
      <c r="CGP55" s="1"/>
      <c r="CGQ55" s="1"/>
      <c r="CGR55" s="1"/>
      <c r="CGS55" s="1"/>
      <c r="CGT55" s="1"/>
      <c r="CGU55" s="1"/>
      <c r="CGV55" s="1"/>
      <c r="CGW55" s="1"/>
      <c r="CGX55" s="1"/>
      <c r="CGY55" s="1"/>
      <c r="CGZ55" s="1"/>
      <c r="CHA55" s="1"/>
      <c r="CHB55" s="1"/>
      <c r="CHC55" s="1"/>
      <c r="CHD55" s="1"/>
      <c r="CHE55" s="1"/>
      <c r="CHF55" s="1"/>
      <c r="CHG55" s="1"/>
      <c r="CHH55" s="1"/>
      <c r="CHI55" s="1"/>
      <c r="CHJ55" s="1"/>
      <c r="CHK55" s="1"/>
      <c r="CHL55" s="1"/>
      <c r="CHM55" s="1"/>
      <c r="CHN55" s="1"/>
      <c r="CHO55" s="1"/>
      <c r="CHP55" s="1"/>
      <c r="CHQ55" s="1"/>
      <c r="CHR55" s="1"/>
      <c r="CHS55" s="1"/>
      <c r="CHT55" s="1"/>
      <c r="CHU55" s="1"/>
      <c r="CHV55" s="1"/>
      <c r="CHW55" s="1"/>
      <c r="CHX55" s="1"/>
      <c r="CHY55" s="1"/>
      <c r="CHZ55" s="1"/>
      <c r="CIA55" s="1"/>
      <c r="CIB55" s="1"/>
      <c r="CIC55" s="1"/>
      <c r="CID55" s="1"/>
      <c r="CIE55" s="1"/>
      <c r="CIF55" s="1"/>
      <c r="CIG55" s="1"/>
      <c r="CIH55" s="1"/>
      <c r="CII55" s="1"/>
      <c r="CIJ55" s="1"/>
      <c r="CIK55" s="1"/>
      <c r="CIL55" s="1"/>
      <c r="CIM55" s="1"/>
      <c r="CIN55" s="1"/>
      <c r="CIO55" s="1"/>
      <c r="CIP55" s="1"/>
      <c r="CIQ55" s="1"/>
      <c r="CIR55" s="1"/>
      <c r="CIS55" s="1"/>
      <c r="CIT55" s="1"/>
      <c r="CIU55" s="1"/>
      <c r="CIV55" s="1"/>
      <c r="CIW55" s="1"/>
      <c r="CIX55" s="1"/>
      <c r="CIY55" s="1"/>
      <c r="CIZ55" s="1"/>
      <c r="CJA55" s="1"/>
      <c r="CJB55" s="1"/>
      <c r="CJC55" s="1"/>
      <c r="CJD55" s="1"/>
      <c r="CJE55" s="1"/>
      <c r="CJF55" s="1"/>
      <c r="CJG55" s="1"/>
      <c r="CJH55" s="1"/>
      <c r="CJI55" s="1"/>
      <c r="CJJ55" s="1"/>
      <c r="CJK55" s="1"/>
      <c r="CJL55" s="1"/>
      <c r="CJM55" s="1"/>
      <c r="CJN55" s="1"/>
      <c r="CJO55" s="1"/>
      <c r="CJP55" s="1"/>
      <c r="CJQ55" s="1"/>
      <c r="CJR55" s="1"/>
      <c r="CJS55" s="1"/>
      <c r="CJT55" s="1"/>
      <c r="CJU55" s="1"/>
      <c r="CJV55" s="1"/>
      <c r="CJW55" s="1"/>
      <c r="CJX55" s="1"/>
      <c r="CJY55" s="1"/>
      <c r="CJZ55" s="1"/>
      <c r="CKA55" s="1"/>
      <c r="CKB55" s="1"/>
      <c r="CKC55" s="1"/>
      <c r="CKD55" s="1"/>
      <c r="CKE55" s="1"/>
      <c r="CKF55" s="1"/>
      <c r="CKG55" s="1"/>
      <c r="CKH55" s="1"/>
      <c r="CKI55" s="1"/>
      <c r="CKJ55" s="1"/>
      <c r="CKK55" s="1"/>
      <c r="CKL55" s="1"/>
      <c r="CKM55" s="1"/>
      <c r="CKN55" s="1"/>
      <c r="CKO55" s="1"/>
      <c r="CKP55" s="1"/>
      <c r="CKQ55" s="1"/>
      <c r="CKR55" s="1"/>
      <c r="CKS55" s="1"/>
      <c r="CKT55" s="1"/>
      <c r="CKU55" s="1"/>
      <c r="CKV55" s="1"/>
      <c r="CKW55" s="1"/>
      <c r="CKX55" s="1"/>
      <c r="CKY55" s="1"/>
      <c r="CKZ55" s="1"/>
      <c r="CLA55" s="1"/>
      <c r="CLB55" s="1"/>
      <c r="CLC55" s="1"/>
      <c r="CLD55" s="1"/>
      <c r="CLE55" s="1"/>
      <c r="CLF55" s="1"/>
      <c r="CLG55" s="1"/>
      <c r="CLH55" s="1"/>
      <c r="CLI55" s="1"/>
      <c r="CLJ55" s="1"/>
      <c r="CLK55" s="1"/>
      <c r="CLL55" s="1"/>
      <c r="CLM55" s="1"/>
      <c r="CLN55" s="1"/>
      <c r="CLO55" s="1"/>
      <c r="CLP55" s="1"/>
      <c r="CLQ55" s="1"/>
      <c r="CLR55" s="1"/>
      <c r="CLS55" s="1"/>
      <c r="CLT55" s="1"/>
      <c r="CLU55" s="1"/>
      <c r="CLV55" s="1"/>
      <c r="CLW55" s="1"/>
      <c r="CLX55" s="1"/>
      <c r="CLY55" s="1"/>
      <c r="CLZ55" s="1"/>
      <c r="CMA55" s="1"/>
      <c r="CMB55" s="1"/>
      <c r="CMC55" s="1"/>
      <c r="CMD55" s="1"/>
      <c r="CME55" s="1"/>
      <c r="CMF55" s="1"/>
      <c r="CMG55" s="1"/>
      <c r="CMH55" s="1"/>
      <c r="CMI55" s="1"/>
      <c r="CMJ55" s="1"/>
      <c r="CMK55" s="1"/>
      <c r="CML55" s="1"/>
      <c r="CMM55" s="1"/>
      <c r="CMN55" s="1"/>
      <c r="CMO55" s="1"/>
      <c r="CMP55" s="1"/>
      <c r="CMQ55" s="1"/>
      <c r="CMR55" s="1"/>
      <c r="CMS55" s="1"/>
      <c r="CMT55" s="1"/>
      <c r="CMU55" s="1"/>
      <c r="CMV55" s="1"/>
      <c r="CMW55" s="1"/>
      <c r="CMX55" s="1"/>
      <c r="CMY55" s="1"/>
      <c r="CMZ55" s="1"/>
      <c r="CNA55" s="1"/>
      <c r="CNB55" s="1"/>
      <c r="CNC55" s="1"/>
      <c r="CND55" s="1"/>
      <c r="CNE55" s="1"/>
      <c r="CNF55" s="1"/>
      <c r="CNG55" s="1"/>
      <c r="CNH55" s="1"/>
      <c r="CNI55" s="1"/>
      <c r="CNJ55" s="1"/>
      <c r="CNK55" s="1"/>
      <c r="CNL55" s="1"/>
      <c r="CNM55" s="1"/>
      <c r="CNN55" s="1"/>
      <c r="CNO55" s="1"/>
      <c r="CNP55" s="1"/>
      <c r="CNQ55" s="1"/>
      <c r="CNR55" s="1"/>
      <c r="CNS55" s="1"/>
      <c r="CNT55" s="1"/>
      <c r="CNU55" s="1"/>
      <c r="CNV55" s="1"/>
      <c r="CNW55" s="1"/>
      <c r="CNX55" s="1"/>
      <c r="CNY55" s="1"/>
      <c r="CNZ55" s="1"/>
      <c r="COA55" s="1"/>
      <c r="COB55" s="1"/>
      <c r="COC55" s="1"/>
      <c r="COD55" s="1"/>
      <c r="COE55" s="1"/>
      <c r="COF55" s="1"/>
      <c r="COG55" s="1"/>
      <c r="COH55" s="1"/>
      <c r="COI55" s="1"/>
      <c r="COJ55" s="1"/>
      <c r="COK55" s="1"/>
      <c r="COL55" s="1"/>
      <c r="COM55" s="1"/>
      <c r="CON55" s="1"/>
      <c r="COO55" s="1"/>
      <c r="COP55" s="1"/>
      <c r="COQ55" s="1"/>
      <c r="COR55" s="1"/>
      <c r="COS55" s="1"/>
      <c r="COT55" s="1"/>
      <c r="COU55" s="1"/>
      <c r="COV55" s="1"/>
      <c r="COW55" s="1"/>
      <c r="COX55" s="1"/>
      <c r="COY55" s="1"/>
      <c r="COZ55" s="1"/>
      <c r="CPA55" s="1"/>
      <c r="CPB55" s="1"/>
      <c r="CPC55" s="1"/>
      <c r="CPD55" s="1"/>
      <c r="CPE55" s="1"/>
      <c r="CPF55" s="1"/>
      <c r="CPG55" s="1"/>
      <c r="CPH55" s="1"/>
      <c r="CPI55" s="1"/>
      <c r="CPJ55" s="1"/>
      <c r="CPK55" s="1"/>
      <c r="CPL55" s="1"/>
      <c r="CPM55" s="1"/>
      <c r="CPN55" s="1"/>
      <c r="CPO55" s="1"/>
      <c r="CPP55" s="1"/>
      <c r="CPQ55" s="1"/>
      <c r="CPR55" s="1"/>
      <c r="CPS55" s="1"/>
      <c r="CPT55" s="1"/>
      <c r="CPU55" s="1"/>
      <c r="CPV55" s="1"/>
      <c r="CPW55" s="1"/>
      <c r="CPX55" s="1"/>
      <c r="CPY55" s="1"/>
      <c r="CPZ55" s="1"/>
      <c r="CQA55" s="1"/>
      <c r="CQB55" s="1"/>
      <c r="CQC55" s="1"/>
      <c r="CQD55" s="1"/>
      <c r="CQE55" s="1"/>
      <c r="CQF55" s="1"/>
      <c r="CQG55" s="1"/>
      <c r="CQH55" s="1"/>
      <c r="CQI55" s="1"/>
      <c r="CQJ55" s="1"/>
      <c r="CQK55" s="1"/>
      <c r="CQL55" s="1"/>
      <c r="CQM55" s="1"/>
      <c r="CQN55" s="1"/>
      <c r="CQO55" s="1"/>
      <c r="CQP55" s="1"/>
      <c r="CQQ55" s="1"/>
      <c r="CQR55" s="1"/>
      <c r="CQS55" s="1"/>
      <c r="CQT55" s="1"/>
      <c r="CQU55" s="1"/>
      <c r="CQV55" s="1"/>
      <c r="CQW55" s="1"/>
      <c r="CQX55" s="1"/>
      <c r="CQY55" s="1"/>
      <c r="CQZ55" s="1"/>
      <c r="CRA55" s="1"/>
      <c r="CRB55" s="1"/>
      <c r="CRC55" s="1"/>
      <c r="CRD55" s="1"/>
      <c r="CRE55" s="1"/>
      <c r="CRF55" s="1"/>
      <c r="CRG55" s="1"/>
      <c r="CRH55" s="1"/>
      <c r="CRI55" s="1"/>
      <c r="CRJ55" s="1"/>
      <c r="CRK55" s="1"/>
      <c r="CRL55" s="1"/>
      <c r="CRM55" s="1"/>
      <c r="CRN55" s="1"/>
      <c r="CRO55" s="1"/>
      <c r="CRP55" s="1"/>
      <c r="CRQ55" s="1"/>
      <c r="CRR55" s="1"/>
      <c r="CRS55" s="1"/>
      <c r="CRT55" s="1"/>
      <c r="CRU55" s="1"/>
      <c r="CRV55" s="1"/>
      <c r="CRW55" s="1"/>
      <c r="CRX55" s="1"/>
      <c r="CRY55" s="1"/>
      <c r="CRZ55" s="1"/>
      <c r="CSA55" s="1"/>
      <c r="CSB55" s="1"/>
      <c r="CSC55" s="1"/>
      <c r="CSD55" s="1"/>
      <c r="CSE55" s="1"/>
      <c r="CSF55" s="1"/>
      <c r="CSG55" s="1"/>
      <c r="CSH55" s="1"/>
      <c r="CSI55" s="1"/>
      <c r="CSJ55" s="1"/>
      <c r="CSK55" s="1"/>
      <c r="CSL55" s="1"/>
      <c r="CSM55" s="1"/>
      <c r="CSN55" s="1"/>
      <c r="CSO55" s="1"/>
      <c r="CSP55" s="1"/>
      <c r="CSQ55" s="1"/>
      <c r="CSR55" s="1"/>
      <c r="CSS55" s="1"/>
      <c r="CST55" s="1"/>
      <c r="CSU55" s="1"/>
      <c r="CSV55" s="1"/>
      <c r="CSW55" s="1"/>
      <c r="CSX55" s="1"/>
      <c r="CSY55" s="1"/>
      <c r="CSZ55" s="1"/>
      <c r="CTA55" s="1"/>
      <c r="CTB55" s="1"/>
      <c r="CTC55" s="1"/>
      <c r="CTD55" s="1"/>
      <c r="CTE55" s="1"/>
      <c r="CTF55" s="1"/>
      <c r="CTG55" s="1"/>
      <c r="CTH55" s="1"/>
      <c r="CTI55" s="1"/>
      <c r="CTJ55" s="1"/>
      <c r="CTK55" s="1"/>
      <c r="CTL55" s="1"/>
      <c r="CTM55" s="1"/>
      <c r="CTN55" s="1"/>
      <c r="CTO55" s="1"/>
      <c r="CTP55" s="1"/>
      <c r="CTQ55" s="1"/>
      <c r="CTR55" s="1"/>
      <c r="CTS55" s="1"/>
      <c r="CTT55" s="1"/>
      <c r="CTU55" s="1"/>
      <c r="CTV55" s="1"/>
      <c r="CTW55" s="1"/>
      <c r="CTX55" s="1"/>
      <c r="CTY55" s="1"/>
      <c r="CTZ55" s="1"/>
      <c r="CUA55" s="1"/>
      <c r="CUB55" s="1"/>
      <c r="CUC55" s="1"/>
      <c r="CUD55" s="1"/>
      <c r="CUE55" s="1"/>
      <c r="CUF55" s="1"/>
      <c r="CUG55" s="1"/>
      <c r="CUH55" s="1"/>
      <c r="CUI55" s="1"/>
      <c r="CUJ55" s="1"/>
      <c r="CUK55" s="1"/>
      <c r="CUL55" s="1"/>
      <c r="CUM55" s="1"/>
      <c r="CUN55" s="1"/>
      <c r="CUO55" s="1"/>
      <c r="CUP55" s="1"/>
      <c r="CUQ55" s="1"/>
      <c r="CUR55" s="1"/>
      <c r="CUS55" s="1"/>
      <c r="CUT55" s="1"/>
      <c r="CUU55" s="1"/>
      <c r="CUV55" s="1"/>
      <c r="CUW55" s="1"/>
      <c r="CUX55" s="1"/>
      <c r="CUY55" s="1"/>
      <c r="CUZ55" s="1"/>
      <c r="CVA55" s="1"/>
      <c r="CVB55" s="1"/>
      <c r="CVC55" s="1"/>
      <c r="CVD55" s="1"/>
      <c r="CVE55" s="1"/>
      <c r="CVF55" s="1"/>
      <c r="CVG55" s="1"/>
      <c r="CVH55" s="1"/>
      <c r="CVI55" s="1"/>
      <c r="CVJ55" s="1"/>
      <c r="CVK55" s="1"/>
      <c r="CVL55" s="1"/>
      <c r="CVM55" s="1"/>
      <c r="CVN55" s="1"/>
      <c r="CVO55" s="1"/>
      <c r="CVP55" s="1"/>
      <c r="CVQ55" s="1"/>
      <c r="CVR55" s="1"/>
      <c r="CVS55" s="1"/>
      <c r="CVT55" s="1"/>
      <c r="CVU55" s="1"/>
      <c r="CVV55" s="1"/>
      <c r="CVW55" s="1"/>
      <c r="CVX55" s="1"/>
      <c r="CVY55" s="1"/>
      <c r="CVZ55" s="1"/>
      <c r="CWA55" s="1"/>
      <c r="CWB55" s="1"/>
      <c r="CWC55" s="1"/>
      <c r="CWD55" s="1"/>
      <c r="CWE55" s="1"/>
      <c r="CWF55" s="1"/>
      <c r="CWG55" s="1"/>
      <c r="CWH55" s="1"/>
      <c r="CWI55" s="1"/>
      <c r="CWJ55" s="1"/>
      <c r="CWK55" s="1"/>
      <c r="CWL55" s="1"/>
      <c r="CWM55" s="1"/>
      <c r="CWN55" s="1"/>
      <c r="CWO55" s="1"/>
      <c r="CWP55" s="1"/>
      <c r="CWQ55" s="1"/>
      <c r="CWR55" s="1"/>
      <c r="CWS55" s="1"/>
      <c r="CWT55" s="1"/>
      <c r="CWU55" s="1"/>
      <c r="CWV55" s="1"/>
      <c r="CWW55" s="1"/>
      <c r="CWX55" s="1"/>
      <c r="CWY55" s="1"/>
      <c r="CWZ55" s="1"/>
      <c r="CXA55" s="1"/>
      <c r="CXB55" s="1"/>
      <c r="CXC55" s="1"/>
      <c r="CXD55" s="1"/>
      <c r="CXE55" s="1"/>
      <c r="CXF55" s="1"/>
      <c r="CXG55" s="1"/>
      <c r="CXH55" s="1"/>
      <c r="CXI55" s="1"/>
      <c r="CXJ55" s="1"/>
      <c r="CXK55" s="1"/>
      <c r="CXL55" s="1"/>
      <c r="CXM55" s="1"/>
      <c r="CXN55" s="1"/>
      <c r="CXO55" s="1"/>
      <c r="CXP55" s="1"/>
      <c r="CXQ55" s="1"/>
      <c r="CXR55" s="1"/>
      <c r="CXS55" s="1"/>
      <c r="CXT55" s="1"/>
      <c r="CXU55" s="1"/>
      <c r="CXV55" s="1"/>
      <c r="CXW55" s="1"/>
      <c r="CXX55" s="1"/>
      <c r="CXY55" s="1"/>
      <c r="CXZ55" s="1"/>
      <c r="CYA55" s="1"/>
      <c r="CYB55" s="1"/>
      <c r="CYC55" s="1"/>
      <c r="CYD55" s="1"/>
      <c r="CYE55" s="1"/>
      <c r="CYF55" s="1"/>
      <c r="CYG55" s="1"/>
      <c r="CYH55" s="1"/>
      <c r="CYI55" s="1"/>
      <c r="CYJ55" s="1"/>
      <c r="CYK55" s="1"/>
      <c r="CYL55" s="1"/>
      <c r="CYM55" s="1"/>
      <c r="CYN55" s="1"/>
      <c r="CYO55" s="1"/>
      <c r="CYP55" s="1"/>
      <c r="CYQ55" s="1"/>
      <c r="CYR55" s="1"/>
      <c r="CYS55" s="1"/>
      <c r="CYT55" s="1"/>
      <c r="CYU55" s="1"/>
      <c r="CYV55" s="1"/>
      <c r="CYW55" s="1"/>
      <c r="CYX55" s="1"/>
      <c r="CYY55" s="1"/>
      <c r="CYZ55" s="1"/>
      <c r="CZA55" s="1"/>
      <c r="CZB55" s="1"/>
      <c r="CZC55" s="1"/>
      <c r="CZD55" s="1"/>
      <c r="CZE55" s="1"/>
      <c r="CZF55" s="1"/>
      <c r="CZG55" s="1"/>
      <c r="CZH55" s="1"/>
      <c r="CZI55" s="1"/>
      <c r="CZJ55" s="1"/>
      <c r="CZK55" s="1"/>
      <c r="CZL55" s="1"/>
      <c r="CZM55" s="1"/>
      <c r="CZN55" s="1"/>
      <c r="CZO55" s="1"/>
      <c r="CZP55" s="1"/>
      <c r="CZQ55" s="1"/>
      <c r="CZR55" s="1"/>
      <c r="CZS55" s="1"/>
      <c r="CZT55" s="1"/>
      <c r="CZU55" s="1"/>
      <c r="CZV55" s="1"/>
      <c r="CZW55" s="1"/>
      <c r="CZX55" s="1"/>
      <c r="CZY55" s="1"/>
      <c r="CZZ55" s="1"/>
      <c r="DAA55" s="1"/>
      <c r="DAB55" s="1"/>
      <c r="DAC55" s="1"/>
      <c r="DAD55" s="1"/>
      <c r="DAE55" s="1"/>
      <c r="DAF55" s="1"/>
      <c r="DAG55" s="1"/>
      <c r="DAH55" s="1"/>
      <c r="DAI55" s="1"/>
      <c r="DAJ55" s="1"/>
      <c r="DAK55" s="1"/>
      <c r="DAL55" s="1"/>
      <c r="DAM55" s="1"/>
      <c r="DAN55" s="1"/>
      <c r="DAO55" s="1"/>
      <c r="DAP55" s="1"/>
      <c r="DAQ55" s="1"/>
      <c r="DAR55" s="1"/>
      <c r="DAS55" s="1"/>
      <c r="DAT55" s="1"/>
      <c r="DAU55" s="1"/>
      <c r="DAV55" s="1"/>
      <c r="DAW55" s="1"/>
      <c r="DAX55" s="1"/>
      <c r="DAY55" s="1"/>
      <c r="DAZ55" s="1"/>
      <c r="DBA55" s="1"/>
      <c r="DBB55" s="1"/>
      <c r="DBC55" s="1"/>
      <c r="DBD55" s="1"/>
      <c r="DBE55" s="1"/>
      <c r="DBF55" s="1"/>
      <c r="DBG55" s="1"/>
      <c r="DBH55" s="1"/>
      <c r="DBI55" s="1"/>
      <c r="DBJ55" s="1"/>
      <c r="DBK55" s="1"/>
      <c r="DBL55" s="1"/>
      <c r="DBM55" s="1"/>
      <c r="DBN55" s="1"/>
      <c r="DBO55" s="1"/>
      <c r="DBP55" s="1"/>
      <c r="DBQ55" s="1"/>
      <c r="DBR55" s="1"/>
      <c r="DBS55" s="1"/>
      <c r="DBT55" s="1"/>
      <c r="DBU55" s="1"/>
      <c r="DBV55" s="1"/>
      <c r="DBW55" s="1"/>
      <c r="DBX55" s="1"/>
      <c r="DBY55" s="1"/>
      <c r="DBZ55" s="1"/>
      <c r="DCA55" s="1"/>
      <c r="DCB55" s="1"/>
      <c r="DCC55" s="1"/>
      <c r="DCD55" s="1"/>
      <c r="DCE55" s="1"/>
      <c r="DCF55" s="1"/>
      <c r="DCG55" s="1"/>
      <c r="DCH55" s="1"/>
      <c r="DCI55" s="1"/>
      <c r="DCJ55" s="1"/>
      <c r="DCK55" s="1"/>
      <c r="DCL55" s="1"/>
      <c r="DCM55" s="1"/>
      <c r="DCN55" s="1"/>
      <c r="DCO55" s="1"/>
      <c r="DCP55" s="1"/>
      <c r="DCQ55" s="1"/>
      <c r="DCR55" s="1"/>
      <c r="DCS55" s="1"/>
      <c r="DCT55" s="1"/>
      <c r="DCU55" s="1"/>
      <c r="DCV55" s="1"/>
      <c r="DCW55" s="1"/>
      <c r="DCX55" s="1"/>
      <c r="DCY55" s="1"/>
      <c r="DCZ55" s="1"/>
      <c r="DDA55" s="1"/>
      <c r="DDB55" s="1"/>
      <c r="DDC55" s="1"/>
      <c r="DDD55" s="1"/>
      <c r="DDE55" s="1"/>
      <c r="DDF55" s="1"/>
      <c r="DDG55" s="1"/>
      <c r="DDH55" s="1"/>
      <c r="DDI55" s="1"/>
      <c r="DDJ55" s="1"/>
      <c r="DDK55" s="1"/>
      <c r="DDL55" s="1"/>
      <c r="DDM55" s="1"/>
      <c r="DDN55" s="1"/>
      <c r="DDO55" s="1"/>
      <c r="DDP55" s="1"/>
      <c r="DDQ55" s="1"/>
      <c r="DDR55" s="1"/>
      <c r="DDS55" s="1"/>
      <c r="DDT55" s="1"/>
      <c r="DDU55" s="1"/>
      <c r="DDV55" s="1"/>
      <c r="DDW55" s="1"/>
      <c r="DDX55" s="1"/>
      <c r="DDY55" s="1"/>
      <c r="DDZ55" s="1"/>
      <c r="DEA55" s="1"/>
      <c r="DEB55" s="1"/>
      <c r="DEC55" s="1"/>
      <c r="DED55" s="1"/>
      <c r="DEE55" s="1"/>
      <c r="DEF55" s="1"/>
      <c r="DEG55" s="1"/>
      <c r="DEH55" s="1"/>
      <c r="DEI55" s="1"/>
      <c r="DEJ55" s="1"/>
      <c r="DEK55" s="1"/>
      <c r="DEL55" s="1"/>
      <c r="DEM55" s="1"/>
      <c r="DEN55" s="1"/>
      <c r="DEO55" s="1"/>
      <c r="DEP55" s="1"/>
      <c r="DEQ55" s="1"/>
      <c r="DER55" s="1"/>
      <c r="DES55" s="1"/>
      <c r="DET55" s="1"/>
      <c r="DEU55" s="1"/>
      <c r="DEV55" s="1"/>
      <c r="DEW55" s="1"/>
      <c r="DEX55" s="1"/>
      <c r="DEY55" s="1"/>
      <c r="DEZ55" s="1"/>
      <c r="DFA55" s="1"/>
      <c r="DFB55" s="1"/>
      <c r="DFC55" s="1"/>
      <c r="DFD55" s="1"/>
      <c r="DFE55" s="1"/>
      <c r="DFF55" s="1"/>
      <c r="DFG55" s="1"/>
      <c r="DFH55" s="1"/>
      <c r="DFI55" s="1"/>
      <c r="DFJ55" s="1"/>
      <c r="DFK55" s="1"/>
      <c r="DFL55" s="1"/>
      <c r="DFM55" s="1"/>
      <c r="DFN55" s="1"/>
      <c r="DFO55" s="1"/>
      <c r="DFP55" s="1"/>
      <c r="DFQ55" s="1"/>
      <c r="DFR55" s="1"/>
      <c r="DFS55" s="1"/>
      <c r="DFT55" s="1"/>
      <c r="DFU55" s="1"/>
      <c r="DFV55" s="1"/>
      <c r="DFW55" s="1"/>
      <c r="DFX55" s="1"/>
      <c r="DFY55" s="1"/>
      <c r="DFZ55" s="1"/>
      <c r="DGA55" s="1"/>
      <c r="DGB55" s="1"/>
      <c r="DGC55" s="1"/>
      <c r="DGD55" s="1"/>
      <c r="DGE55" s="1"/>
      <c r="DGF55" s="1"/>
      <c r="DGG55" s="1"/>
      <c r="DGH55" s="1"/>
      <c r="DGI55" s="1"/>
      <c r="DGJ55" s="1"/>
      <c r="DGK55" s="1"/>
      <c r="DGL55" s="1"/>
      <c r="DGM55" s="1"/>
      <c r="DGN55" s="1"/>
      <c r="DGO55" s="1"/>
      <c r="DGP55" s="1"/>
      <c r="DGQ55" s="1"/>
      <c r="DGR55" s="1"/>
      <c r="DGS55" s="1"/>
      <c r="DGT55" s="1"/>
      <c r="DGU55" s="1"/>
      <c r="DGV55" s="1"/>
      <c r="DGW55" s="1"/>
      <c r="DGX55" s="1"/>
      <c r="DGY55" s="1"/>
      <c r="DGZ55" s="1"/>
      <c r="DHA55" s="1"/>
      <c r="DHB55" s="1"/>
      <c r="DHC55" s="1"/>
      <c r="DHD55" s="1"/>
      <c r="DHE55" s="1"/>
      <c r="DHF55" s="1"/>
      <c r="DHG55" s="1"/>
      <c r="DHH55" s="1"/>
      <c r="DHI55" s="1"/>
      <c r="DHJ55" s="1"/>
      <c r="DHK55" s="1"/>
      <c r="DHL55" s="1"/>
      <c r="DHM55" s="1"/>
      <c r="DHN55" s="1"/>
      <c r="DHO55" s="1"/>
      <c r="DHP55" s="1"/>
      <c r="DHQ55" s="1"/>
      <c r="DHR55" s="1"/>
      <c r="DHS55" s="1"/>
      <c r="DHT55" s="1"/>
      <c r="DHU55" s="1"/>
      <c r="DHV55" s="1"/>
      <c r="DHW55" s="1"/>
      <c r="DHX55" s="1"/>
      <c r="DHY55" s="1"/>
      <c r="DHZ55" s="1"/>
      <c r="DIA55" s="1"/>
      <c r="DIB55" s="1"/>
      <c r="DIC55" s="1"/>
      <c r="DID55" s="1"/>
      <c r="DIE55" s="1"/>
      <c r="DIF55" s="1"/>
      <c r="DIG55" s="1"/>
      <c r="DIH55" s="1"/>
      <c r="DII55" s="1"/>
      <c r="DIJ55" s="1"/>
      <c r="DIK55" s="1"/>
      <c r="DIL55" s="1"/>
      <c r="DIM55" s="1"/>
      <c r="DIN55" s="1"/>
      <c r="DIO55" s="1"/>
      <c r="DIP55" s="1"/>
      <c r="DIQ55" s="1"/>
      <c r="DIR55" s="1"/>
      <c r="DIS55" s="1"/>
      <c r="DIT55" s="1"/>
      <c r="DIU55" s="1"/>
      <c r="DIV55" s="1"/>
      <c r="DIW55" s="1"/>
      <c r="DIX55" s="1"/>
      <c r="DIY55" s="1"/>
      <c r="DIZ55" s="1"/>
      <c r="DJA55" s="1"/>
      <c r="DJB55" s="1"/>
      <c r="DJC55" s="1"/>
      <c r="DJD55" s="1"/>
      <c r="DJE55" s="1"/>
      <c r="DJF55" s="1"/>
      <c r="DJG55" s="1"/>
      <c r="DJH55" s="1"/>
      <c r="DJI55" s="1"/>
      <c r="DJJ55" s="1"/>
      <c r="DJK55" s="1"/>
      <c r="DJL55" s="1"/>
      <c r="DJM55" s="1"/>
      <c r="DJN55" s="1"/>
      <c r="DJO55" s="1"/>
      <c r="DJP55" s="1"/>
      <c r="DJQ55" s="1"/>
      <c r="DJR55" s="1"/>
      <c r="DJS55" s="1"/>
      <c r="DJT55" s="1"/>
      <c r="DJU55" s="1"/>
      <c r="DJV55" s="1"/>
      <c r="DJW55" s="1"/>
      <c r="DJX55" s="1"/>
      <c r="DJY55" s="1"/>
      <c r="DJZ55" s="1"/>
      <c r="DKA55" s="1"/>
      <c r="DKB55" s="1"/>
      <c r="DKC55" s="1"/>
      <c r="DKD55" s="1"/>
      <c r="DKE55" s="1"/>
      <c r="DKF55" s="1"/>
      <c r="DKG55" s="1"/>
      <c r="DKH55" s="1"/>
      <c r="DKI55" s="1"/>
      <c r="DKJ55" s="1"/>
      <c r="DKK55" s="1"/>
      <c r="DKL55" s="1"/>
      <c r="DKM55" s="1"/>
      <c r="DKN55" s="1"/>
      <c r="DKO55" s="1"/>
      <c r="DKP55" s="1"/>
      <c r="DKQ55" s="1"/>
      <c r="DKR55" s="1"/>
      <c r="DKS55" s="1"/>
      <c r="DKT55" s="1"/>
      <c r="DKU55" s="1"/>
      <c r="DKV55" s="1"/>
      <c r="DKW55" s="1"/>
      <c r="DKX55" s="1"/>
      <c r="DKY55" s="1"/>
      <c r="DKZ55" s="1"/>
      <c r="DLA55" s="1"/>
      <c r="DLB55" s="1"/>
      <c r="DLC55" s="1"/>
      <c r="DLD55" s="1"/>
      <c r="DLE55" s="1"/>
      <c r="DLF55" s="1"/>
      <c r="DLG55" s="1"/>
      <c r="DLH55" s="1"/>
      <c r="DLI55" s="1"/>
      <c r="DLJ55" s="1"/>
      <c r="DLK55" s="1"/>
      <c r="DLL55" s="1"/>
      <c r="DLM55" s="1"/>
      <c r="DLN55" s="1"/>
      <c r="DLO55" s="1"/>
      <c r="DLP55" s="1"/>
      <c r="DLQ55" s="1"/>
      <c r="DLR55" s="1"/>
      <c r="DLS55" s="1"/>
      <c r="DLT55" s="1"/>
      <c r="DLU55" s="1"/>
      <c r="DLV55" s="1"/>
      <c r="DLW55" s="1"/>
      <c r="DLX55" s="1"/>
      <c r="DLY55" s="1"/>
      <c r="DLZ55" s="1"/>
      <c r="DMA55" s="1"/>
      <c r="DMB55" s="1"/>
      <c r="DMC55" s="1"/>
      <c r="DMD55" s="1"/>
      <c r="DME55" s="1"/>
      <c r="DMF55" s="1"/>
      <c r="DMG55" s="1"/>
      <c r="DMH55" s="1"/>
      <c r="DMI55" s="1"/>
      <c r="DMJ55" s="1"/>
      <c r="DMK55" s="1"/>
      <c r="DML55" s="1"/>
      <c r="DMM55" s="1"/>
      <c r="DMN55" s="1"/>
      <c r="DMO55" s="1"/>
      <c r="DMP55" s="1"/>
      <c r="DMQ55" s="1"/>
      <c r="DMR55" s="1"/>
      <c r="DMS55" s="1"/>
      <c r="DMT55" s="1"/>
      <c r="DMU55" s="1"/>
      <c r="DMV55" s="1"/>
      <c r="DMW55" s="1"/>
      <c r="DMX55" s="1"/>
      <c r="DMY55" s="1"/>
      <c r="DMZ55" s="1"/>
      <c r="DNA55" s="1"/>
      <c r="DNB55" s="1"/>
      <c r="DNC55" s="1"/>
      <c r="DND55" s="1"/>
      <c r="DNE55" s="1"/>
      <c r="DNF55" s="1"/>
      <c r="DNG55" s="1"/>
      <c r="DNH55" s="1"/>
      <c r="DNI55" s="1"/>
      <c r="DNJ55" s="1"/>
      <c r="DNK55" s="1"/>
      <c r="DNL55" s="1"/>
      <c r="DNM55" s="1"/>
      <c r="DNN55" s="1"/>
      <c r="DNO55" s="1"/>
      <c r="DNP55" s="1"/>
      <c r="DNQ55" s="1"/>
      <c r="DNR55" s="1"/>
      <c r="DNS55" s="1"/>
      <c r="DNT55" s="1"/>
      <c r="DNU55" s="1"/>
      <c r="DNV55" s="1"/>
      <c r="DNW55" s="1"/>
      <c r="DNX55" s="1"/>
      <c r="DNY55" s="1"/>
      <c r="DNZ55" s="1"/>
      <c r="DOA55" s="1"/>
      <c r="DOB55" s="1"/>
      <c r="DOC55" s="1"/>
      <c r="DOD55" s="1"/>
      <c r="DOE55" s="1"/>
      <c r="DOF55" s="1"/>
      <c r="DOG55" s="1"/>
      <c r="DOH55" s="1"/>
      <c r="DOI55" s="1"/>
      <c r="DOJ55" s="1"/>
      <c r="DOK55" s="1"/>
      <c r="DOL55" s="1"/>
      <c r="DOM55" s="1"/>
      <c r="DON55" s="1"/>
      <c r="DOO55" s="1"/>
      <c r="DOP55" s="1"/>
      <c r="DOQ55" s="1"/>
      <c r="DOR55" s="1"/>
      <c r="DOS55" s="1"/>
      <c r="DOT55" s="1"/>
      <c r="DOU55" s="1"/>
      <c r="DOV55" s="1"/>
      <c r="DOW55" s="1"/>
      <c r="DOX55" s="1"/>
      <c r="DOY55" s="1"/>
      <c r="DOZ55" s="1"/>
      <c r="DPA55" s="1"/>
      <c r="DPB55" s="1"/>
      <c r="DPC55" s="1"/>
      <c r="DPD55" s="1"/>
      <c r="DPE55" s="1"/>
      <c r="DPF55" s="1"/>
      <c r="DPG55" s="1"/>
      <c r="DPH55" s="1"/>
      <c r="DPI55" s="1"/>
      <c r="DPJ55" s="1"/>
      <c r="DPK55" s="1"/>
      <c r="DPL55" s="1"/>
      <c r="DPM55" s="1"/>
      <c r="DPN55" s="1"/>
      <c r="DPO55" s="1"/>
      <c r="DPP55" s="1"/>
      <c r="DPQ55" s="1"/>
      <c r="DPR55" s="1"/>
      <c r="DPS55" s="1"/>
      <c r="DPT55" s="1"/>
      <c r="DPU55" s="1"/>
      <c r="DPV55" s="1"/>
      <c r="DPW55" s="1"/>
      <c r="DPX55" s="1"/>
      <c r="DPY55" s="1"/>
      <c r="DPZ55" s="1"/>
      <c r="DQA55" s="1"/>
      <c r="DQB55" s="1"/>
      <c r="DQC55" s="1"/>
      <c r="DQD55" s="1"/>
      <c r="DQE55" s="1"/>
      <c r="DQF55" s="1"/>
      <c r="DQG55" s="1"/>
      <c r="DQH55" s="1"/>
      <c r="DQI55" s="1"/>
      <c r="DQJ55" s="1"/>
      <c r="DQK55" s="1"/>
      <c r="DQL55" s="1"/>
      <c r="DQM55" s="1"/>
      <c r="DQN55" s="1"/>
      <c r="DQO55" s="1"/>
      <c r="DQP55" s="1"/>
      <c r="DQQ55" s="1"/>
      <c r="DQR55" s="1"/>
      <c r="DQS55" s="1"/>
      <c r="DQT55" s="1"/>
      <c r="DQU55" s="1"/>
      <c r="DQV55" s="1"/>
      <c r="DQW55" s="1"/>
      <c r="DQX55" s="1"/>
      <c r="DQY55" s="1"/>
      <c r="DQZ55" s="1"/>
      <c r="DRA55" s="1"/>
      <c r="DRB55" s="1"/>
      <c r="DRC55" s="1"/>
      <c r="DRD55" s="1"/>
      <c r="DRE55" s="1"/>
      <c r="DRF55" s="1"/>
      <c r="DRG55" s="1"/>
      <c r="DRH55" s="1"/>
      <c r="DRI55" s="1"/>
      <c r="DRJ55" s="1"/>
      <c r="DRK55" s="1"/>
      <c r="DRL55" s="1"/>
      <c r="DRM55" s="1"/>
      <c r="DRN55" s="1"/>
      <c r="DRO55" s="1"/>
      <c r="DRP55" s="1"/>
      <c r="DRQ55" s="1"/>
      <c r="DRR55" s="1"/>
      <c r="DRS55" s="1"/>
      <c r="DRT55" s="1"/>
      <c r="DRU55" s="1"/>
      <c r="DRV55" s="1"/>
      <c r="DRW55" s="1"/>
      <c r="DRX55" s="1"/>
      <c r="DRY55" s="1"/>
      <c r="DRZ55" s="1"/>
      <c r="DSA55" s="1"/>
      <c r="DSB55" s="1"/>
      <c r="DSC55" s="1"/>
      <c r="DSD55" s="1"/>
      <c r="DSE55" s="1"/>
      <c r="DSF55" s="1"/>
      <c r="DSG55" s="1"/>
      <c r="DSH55" s="1"/>
      <c r="DSI55" s="1"/>
      <c r="DSJ55" s="1"/>
      <c r="DSK55" s="1"/>
      <c r="DSL55" s="1"/>
      <c r="DSM55" s="1"/>
      <c r="DSN55" s="1"/>
      <c r="DSO55" s="1"/>
      <c r="DSP55" s="1"/>
      <c r="DSQ55" s="1"/>
      <c r="DSR55" s="1"/>
      <c r="DSS55" s="1"/>
      <c r="DST55" s="1"/>
      <c r="DSU55" s="1"/>
      <c r="DSV55" s="1"/>
      <c r="DSW55" s="1"/>
      <c r="DSX55" s="1"/>
      <c r="DSY55" s="1"/>
      <c r="DSZ55" s="1"/>
      <c r="DTA55" s="1"/>
      <c r="DTB55" s="1"/>
      <c r="DTC55" s="1"/>
      <c r="DTD55" s="1"/>
      <c r="DTE55" s="1"/>
      <c r="DTF55" s="1"/>
      <c r="DTG55" s="1"/>
      <c r="DTH55" s="1"/>
      <c r="DTI55" s="1"/>
      <c r="DTJ55" s="1"/>
      <c r="DTK55" s="1"/>
      <c r="DTL55" s="1"/>
      <c r="DTM55" s="1"/>
      <c r="DTN55" s="1"/>
      <c r="DTO55" s="1"/>
      <c r="DTP55" s="1"/>
      <c r="DTQ55" s="1"/>
      <c r="DTR55" s="1"/>
      <c r="DTS55" s="1"/>
      <c r="DTT55" s="1"/>
      <c r="DTU55" s="1"/>
      <c r="DTV55" s="1"/>
      <c r="DTW55" s="1"/>
      <c r="DTX55" s="1"/>
      <c r="DTY55" s="1"/>
      <c r="DTZ55" s="1"/>
      <c r="DUA55" s="1"/>
      <c r="DUB55" s="1"/>
      <c r="DUC55" s="1"/>
      <c r="DUD55" s="1"/>
      <c r="DUE55" s="1"/>
      <c r="DUF55" s="1"/>
      <c r="DUG55" s="1"/>
      <c r="DUH55" s="1"/>
      <c r="DUI55" s="1"/>
      <c r="DUJ55" s="1"/>
      <c r="DUK55" s="1"/>
      <c r="DUL55" s="1"/>
      <c r="DUM55" s="1"/>
      <c r="DUN55" s="1"/>
      <c r="DUO55" s="1"/>
      <c r="DUP55" s="1"/>
      <c r="DUQ55" s="1"/>
      <c r="DUR55" s="1"/>
      <c r="DUS55" s="1"/>
      <c r="DUT55" s="1"/>
      <c r="DUU55" s="1"/>
      <c r="DUV55" s="1"/>
      <c r="DUW55" s="1"/>
      <c r="DUX55" s="1"/>
      <c r="DUY55" s="1"/>
      <c r="DUZ55" s="1"/>
      <c r="DVA55" s="1"/>
      <c r="DVB55" s="1"/>
      <c r="DVC55" s="1"/>
      <c r="DVD55" s="1"/>
      <c r="DVE55" s="1"/>
      <c r="DVF55" s="1"/>
      <c r="DVG55" s="1"/>
      <c r="DVH55" s="1"/>
      <c r="DVI55" s="1"/>
      <c r="DVJ55" s="1"/>
      <c r="DVK55" s="1"/>
      <c r="DVL55" s="1"/>
      <c r="DVM55" s="1"/>
      <c r="DVN55" s="1"/>
      <c r="DVO55" s="1"/>
      <c r="DVP55" s="1"/>
      <c r="DVQ55" s="1"/>
      <c r="DVR55" s="1"/>
      <c r="DVS55" s="1"/>
      <c r="DVT55" s="1"/>
      <c r="DVU55" s="1"/>
      <c r="DVV55" s="1"/>
      <c r="DVW55" s="1"/>
      <c r="DVX55" s="1"/>
      <c r="DVY55" s="1"/>
      <c r="DVZ55" s="1"/>
      <c r="DWA55" s="1"/>
      <c r="DWB55" s="1"/>
      <c r="DWC55" s="1"/>
      <c r="DWD55" s="1"/>
      <c r="DWE55" s="1"/>
      <c r="DWF55" s="1"/>
      <c r="DWG55" s="1"/>
      <c r="DWH55" s="1"/>
      <c r="DWI55" s="1"/>
      <c r="DWJ55" s="1"/>
      <c r="DWK55" s="1"/>
      <c r="DWL55" s="1"/>
      <c r="DWM55" s="1"/>
      <c r="DWN55" s="1"/>
      <c r="DWO55" s="1"/>
      <c r="DWP55" s="1"/>
      <c r="DWQ55" s="1"/>
      <c r="DWR55" s="1"/>
      <c r="DWS55" s="1"/>
      <c r="DWT55" s="1"/>
      <c r="DWU55" s="1"/>
      <c r="DWV55" s="1"/>
      <c r="DWW55" s="1"/>
      <c r="DWX55" s="1"/>
      <c r="DWY55" s="1"/>
      <c r="DWZ55" s="1"/>
      <c r="DXA55" s="1"/>
      <c r="DXB55" s="1"/>
      <c r="DXC55" s="1"/>
      <c r="DXD55" s="1"/>
      <c r="DXE55" s="1"/>
      <c r="DXF55" s="1"/>
      <c r="DXG55" s="1"/>
      <c r="DXH55" s="1"/>
      <c r="DXI55" s="1"/>
      <c r="DXJ55" s="1"/>
      <c r="DXK55" s="1"/>
      <c r="DXL55" s="1"/>
      <c r="DXM55" s="1"/>
      <c r="DXN55" s="1"/>
      <c r="DXO55" s="1"/>
      <c r="DXP55" s="1"/>
      <c r="DXQ55" s="1"/>
      <c r="DXR55" s="1"/>
      <c r="DXS55" s="1"/>
      <c r="DXT55" s="1"/>
      <c r="DXU55" s="1"/>
      <c r="DXV55" s="1"/>
      <c r="DXW55" s="1"/>
      <c r="DXX55" s="1"/>
      <c r="DXY55" s="1"/>
      <c r="DXZ55" s="1"/>
      <c r="DYA55" s="1"/>
      <c r="DYB55" s="1"/>
      <c r="DYC55" s="1"/>
      <c r="DYD55" s="1"/>
      <c r="DYE55" s="1"/>
      <c r="DYF55" s="1"/>
      <c r="DYG55" s="1"/>
      <c r="DYH55" s="1"/>
      <c r="DYI55" s="1"/>
      <c r="DYJ55" s="1"/>
      <c r="DYK55" s="1"/>
      <c r="DYL55" s="1"/>
      <c r="DYM55" s="1"/>
      <c r="DYN55" s="1"/>
      <c r="DYO55" s="1"/>
      <c r="DYP55" s="1"/>
      <c r="DYQ55" s="1"/>
      <c r="DYR55" s="1"/>
      <c r="DYS55" s="1"/>
      <c r="DYT55" s="1"/>
      <c r="DYU55" s="1"/>
      <c r="DYV55" s="1"/>
      <c r="DYW55" s="1"/>
      <c r="DYX55" s="1"/>
      <c r="DYY55" s="1"/>
      <c r="DYZ55" s="1"/>
      <c r="DZA55" s="1"/>
      <c r="DZB55" s="1"/>
      <c r="DZC55" s="1"/>
      <c r="DZD55" s="1"/>
      <c r="DZE55" s="1"/>
      <c r="DZF55" s="1"/>
      <c r="DZG55" s="1"/>
      <c r="DZH55" s="1"/>
      <c r="DZI55" s="1"/>
      <c r="DZJ55" s="1"/>
      <c r="DZK55" s="1"/>
      <c r="DZL55" s="1"/>
      <c r="DZM55" s="1"/>
      <c r="DZN55" s="1"/>
      <c r="DZO55" s="1"/>
      <c r="DZP55" s="1"/>
      <c r="DZQ55" s="1"/>
      <c r="DZR55" s="1"/>
      <c r="DZS55" s="1"/>
      <c r="DZT55" s="1"/>
      <c r="DZU55" s="1"/>
      <c r="DZV55" s="1"/>
      <c r="DZW55" s="1"/>
      <c r="DZX55" s="1"/>
      <c r="DZY55" s="1"/>
      <c r="DZZ55" s="1"/>
      <c r="EAA55" s="1"/>
      <c r="EAB55" s="1"/>
      <c r="EAC55" s="1"/>
      <c r="EAD55" s="1"/>
      <c r="EAE55" s="1"/>
      <c r="EAF55" s="1"/>
      <c r="EAG55" s="1"/>
      <c r="EAH55" s="1"/>
      <c r="EAI55" s="1"/>
      <c r="EAJ55" s="1"/>
      <c r="EAK55" s="1"/>
      <c r="EAL55" s="1"/>
      <c r="EAM55" s="1"/>
      <c r="EAN55" s="1"/>
      <c r="EAO55" s="1"/>
      <c r="EAP55" s="1"/>
      <c r="EAQ55" s="1"/>
      <c r="EAR55" s="1"/>
      <c r="EAS55" s="1"/>
      <c r="EAT55" s="1"/>
      <c r="EAU55" s="1"/>
      <c r="EAV55" s="1"/>
      <c r="EAW55" s="1"/>
      <c r="EAX55" s="1"/>
      <c r="EAY55" s="1"/>
      <c r="EAZ55" s="1"/>
      <c r="EBA55" s="1"/>
      <c r="EBB55" s="1"/>
      <c r="EBC55" s="1"/>
      <c r="EBD55" s="1"/>
      <c r="EBE55" s="1"/>
      <c r="EBF55" s="1"/>
      <c r="EBG55" s="1"/>
      <c r="EBH55" s="1"/>
      <c r="EBI55" s="1"/>
      <c r="EBJ55" s="1"/>
      <c r="EBK55" s="1"/>
      <c r="EBL55" s="1"/>
      <c r="EBM55" s="1"/>
      <c r="EBN55" s="1"/>
      <c r="EBO55" s="1"/>
      <c r="EBP55" s="1"/>
      <c r="EBQ55" s="1"/>
      <c r="EBR55" s="1"/>
      <c r="EBS55" s="1"/>
      <c r="EBT55" s="1"/>
      <c r="EBU55" s="1"/>
      <c r="EBV55" s="1"/>
      <c r="EBW55" s="1"/>
      <c r="EBX55" s="1"/>
      <c r="EBY55" s="1"/>
      <c r="EBZ55" s="1"/>
      <c r="ECA55" s="1"/>
      <c r="ECB55" s="1"/>
      <c r="ECC55" s="1"/>
      <c r="ECD55" s="1"/>
      <c r="ECE55" s="1"/>
      <c r="ECF55" s="1"/>
      <c r="ECG55" s="1"/>
      <c r="ECH55" s="1"/>
      <c r="ECI55" s="1"/>
      <c r="ECJ55" s="1"/>
      <c r="ECK55" s="1"/>
      <c r="ECL55" s="1"/>
      <c r="ECM55" s="1"/>
      <c r="ECN55" s="1"/>
      <c r="ECO55" s="1"/>
      <c r="ECP55" s="1"/>
      <c r="ECQ55" s="1"/>
      <c r="ECR55" s="1"/>
      <c r="ECS55" s="1"/>
      <c r="ECT55" s="1"/>
      <c r="ECU55" s="1"/>
      <c r="ECV55" s="1"/>
      <c r="ECW55" s="1"/>
      <c r="ECX55" s="1"/>
      <c r="ECY55" s="1"/>
      <c r="ECZ55" s="1"/>
      <c r="EDA55" s="1"/>
      <c r="EDB55" s="1"/>
      <c r="EDC55" s="1"/>
      <c r="EDD55" s="1"/>
      <c r="EDE55" s="1"/>
      <c r="EDF55" s="1"/>
      <c r="EDG55" s="1"/>
      <c r="EDH55" s="1"/>
      <c r="EDI55" s="1"/>
      <c r="EDJ55" s="1"/>
      <c r="EDK55" s="1"/>
      <c r="EDL55" s="1"/>
      <c r="EDM55" s="1"/>
      <c r="EDN55" s="1"/>
      <c r="EDO55" s="1"/>
      <c r="EDP55" s="1"/>
      <c r="EDQ55" s="1"/>
      <c r="EDR55" s="1"/>
      <c r="EDS55" s="1"/>
      <c r="EDT55" s="1"/>
      <c r="EDU55" s="1"/>
      <c r="EDV55" s="1"/>
      <c r="EDW55" s="1"/>
      <c r="EDX55" s="1"/>
      <c r="EDY55" s="1"/>
      <c r="EDZ55" s="1"/>
      <c r="EEA55" s="1"/>
      <c r="EEB55" s="1"/>
      <c r="EEC55" s="1"/>
      <c r="EED55" s="1"/>
      <c r="EEE55" s="1"/>
      <c r="EEF55" s="1"/>
      <c r="EEG55" s="1"/>
      <c r="EEH55" s="1"/>
      <c r="EEI55" s="1"/>
      <c r="EEJ55" s="1"/>
      <c r="EEK55" s="1"/>
      <c r="EEL55" s="1"/>
      <c r="EEM55" s="1"/>
      <c r="EEN55" s="1"/>
      <c r="EEO55" s="1"/>
      <c r="EEP55" s="1"/>
      <c r="EEQ55" s="1"/>
      <c r="EER55" s="1"/>
      <c r="EES55" s="1"/>
      <c r="EET55" s="1"/>
      <c r="EEU55" s="1"/>
      <c r="EEV55" s="1"/>
      <c r="EEW55" s="1"/>
      <c r="EEX55" s="1"/>
      <c r="EEY55" s="1"/>
      <c r="EEZ55" s="1"/>
      <c r="EFA55" s="1"/>
      <c r="EFB55" s="1"/>
      <c r="EFC55" s="1"/>
      <c r="EFD55" s="1"/>
      <c r="EFE55" s="1"/>
      <c r="EFF55" s="1"/>
      <c r="EFG55" s="1"/>
      <c r="EFH55" s="1"/>
      <c r="EFI55" s="1"/>
      <c r="EFJ55" s="1"/>
      <c r="EFK55" s="1"/>
      <c r="EFL55" s="1"/>
      <c r="EFM55" s="1"/>
      <c r="EFN55" s="1"/>
      <c r="EFO55" s="1"/>
      <c r="EFP55" s="1"/>
      <c r="EFQ55" s="1"/>
      <c r="EFR55" s="1"/>
      <c r="EFS55" s="1"/>
      <c r="EFT55" s="1"/>
      <c r="EFU55" s="1"/>
      <c r="EFV55" s="1"/>
      <c r="EFW55" s="1"/>
      <c r="EFX55" s="1"/>
      <c r="EFY55" s="1"/>
      <c r="EFZ55" s="1"/>
      <c r="EGA55" s="1"/>
      <c r="EGB55" s="1"/>
      <c r="EGC55" s="1"/>
      <c r="EGD55" s="1"/>
      <c r="EGE55" s="1"/>
      <c r="EGF55" s="1"/>
      <c r="EGG55" s="1"/>
      <c r="EGH55" s="1"/>
      <c r="EGI55" s="1"/>
      <c r="EGJ55" s="1"/>
      <c r="EGK55" s="1"/>
      <c r="EGL55" s="1"/>
      <c r="EGM55" s="1"/>
      <c r="EGN55" s="1"/>
      <c r="EGO55" s="1"/>
      <c r="EGP55" s="1"/>
      <c r="EGQ55" s="1"/>
      <c r="EGR55" s="1"/>
      <c r="EGS55" s="1"/>
      <c r="EGT55" s="1"/>
      <c r="EGU55" s="1"/>
      <c r="EGV55" s="1"/>
      <c r="EGW55" s="1"/>
      <c r="EGX55" s="1"/>
      <c r="EGY55" s="1"/>
      <c r="EGZ55" s="1"/>
      <c r="EHA55" s="1"/>
      <c r="EHB55" s="1"/>
      <c r="EHC55" s="1"/>
      <c r="EHD55" s="1"/>
      <c r="EHE55" s="1"/>
      <c r="EHF55" s="1"/>
      <c r="EHG55" s="1"/>
      <c r="EHH55" s="1"/>
      <c r="EHI55" s="1"/>
      <c r="EHJ55" s="1"/>
      <c r="EHK55" s="1"/>
      <c r="EHL55" s="1"/>
      <c r="EHM55" s="1"/>
      <c r="EHN55" s="1"/>
      <c r="EHO55" s="1"/>
      <c r="EHP55" s="1"/>
      <c r="EHQ55" s="1"/>
      <c r="EHR55" s="1"/>
      <c r="EHS55" s="1"/>
      <c r="EHT55" s="1"/>
      <c r="EHU55" s="1"/>
      <c r="EHV55" s="1"/>
      <c r="EHW55" s="1"/>
      <c r="EHX55" s="1"/>
      <c r="EHY55" s="1"/>
      <c r="EHZ55" s="1"/>
      <c r="EIA55" s="1"/>
      <c r="EIB55" s="1"/>
      <c r="EIC55" s="1"/>
      <c r="EID55" s="1"/>
      <c r="EIE55" s="1"/>
      <c r="EIF55" s="1"/>
      <c r="EIG55" s="1"/>
      <c r="EIH55" s="1"/>
      <c r="EII55" s="1"/>
      <c r="EIJ55" s="1"/>
      <c r="EIK55" s="1"/>
      <c r="EIL55" s="1"/>
      <c r="EIM55" s="1"/>
      <c r="EIN55" s="1"/>
      <c r="EIO55" s="1"/>
      <c r="EIP55" s="1"/>
      <c r="EIQ55" s="1"/>
      <c r="EIR55" s="1"/>
      <c r="EIS55" s="1"/>
      <c r="EIT55" s="1"/>
      <c r="EIU55" s="1"/>
      <c r="EIV55" s="1"/>
      <c r="EIW55" s="1"/>
      <c r="EIX55" s="1"/>
      <c r="EIY55" s="1"/>
      <c r="EIZ55" s="1"/>
      <c r="EJA55" s="1"/>
      <c r="EJB55" s="1"/>
      <c r="EJC55" s="1"/>
      <c r="EJD55" s="1"/>
      <c r="EJE55" s="1"/>
      <c r="EJF55" s="1"/>
      <c r="EJG55" s="1"/>
      <c r="EJH55" s="1"/>
      <c r="EJI55" s="1"/>
      <c r="EJJ55" s="1"/>
      <c r="EJK55" s="1"/>
      <c r="EJL55" s="1"/>
      <c r="EJM55" s="1"/>
      <c r="EJN55" s="1"/>
      <c r="EJO55" s="1"/>
      <c r="EJP55" s="1"/>
      <c r="EJQ55" s="1"/>
      <c r="EJR55" s="1"/>
      <c r="EJS55" s="1"/>
      <c r="EJT55" s="1"/>
      <c r="EJU55" s="1"/>
      <c r="EJV55" s="1"/>
      <c r="EJW55" s="1"/>
      <c r="EJX55" s="1"/>
      <c r="EJY55" s="1"/>
      <c r="EJZ55" s="1"/>
      <c r="EKA55" s="1"/>
      <c r="EKB55" s="1"/>
      <c r="EKC55" s="1"/>
      <c r="EKD55" s="1"/>
      <c r="EKE55" s="1"/>
      <c r="EKF55" s="1"/>
      <c r="EKG55" s="1"/>
      <c r="EKH55" s="1"/>
      <c r="EKI55" s="1"/>
      <c r="EKJ55" s="1"/>
      <c r="EKK55" s="1"/>
      <c r="EKL55" s="1"/>
      <c r="EKM55" s="1"/>
      <c r="EKN55" s="1"/>
      <c r="EKO55" s="1"/>
      <c r="EKP55" s="1"/>
      <c r="EKQ55" s="1"/>
      <c r="EKR55" s="1"/>
      <c r="EKS55" s="1"/>
      <c r="EKT55" s="1"/>
      <c r="EKU55" s="1"/>
      <c r="EKV55" s="1"/>
      <c r="EKW55" s="1"/>
      <c r="EKX55" s="1"/>
      <c r="EKY55" s="1"/>
      <c r="EKZ55" s="1"/>
      <c r="ELA55" s="1"/>
      <c r="ELB55" s="1"/>
      <c r="ELC55" s="1"/>
      <c r="ELD55" s="1"/>
      <c r="ELE55" s="1"/>
      <c r="ELF55" s="1"/>
      <c r="ELG55" s="1"/>
      <c r="ELH55" s="1"/>
      <c r="ELI55" s="1"/>
      <c r="ELJ55" s="1"/>
      <c r="ELK55" s="1"/>
      <c r="ELL55" s="1"/>
      <c r="ELM55" s="1"/>
      <c r="ELN55" s="1"/>
      <c r="ELO55" s="1"/>
      <c r="ELP55" s="1"/>
      <c r="ELQ55" s="1"/>
      <c r="ELR55" s="1"/>
      <c r="ELS55" s="1"/>
      <c r="ELT55" s="1"/>
      <c r="ELU55" s="1"/>
      <c r="ELV55" s="1"/>
      <c r="ELW55" s="1"/>
      <c r="ELX55" s="1"/>
      <c r="ELY55" s="1"/>
      <c r="ELZ55" s="1"/>
      <c r="EMA55" s="1"/>
      <c r="EMB55" s="1"/>
      <c r="EMC55" s="1"/>
      <c r="EMD55" s="1"/>
      <c r="EME55" s="1"/>
      <c r="EMF55" s="1"/>
      <c r="EMG55" s="1"/>
      <c r="EMH55" s="1"/>
      <c r="EMI55" s="1"/>
      <c r="EMJ55" s="1"/>
      <c r="EMK55" s="1"/>
      <c r="EML55" s="1"/>
      <c r="EMM55" s="1"/>
      <c r="EMN55" s="1"/>
      <c r="EMO55" s="1"/>
      <c r="EMP55" s="1"/>
      <c r="EMQ55" s="1"/>
      <c r="EMR55" s="1"/>
      <c r="EMS55" s="1"/>
      <c r="EMT55" s="1"/>
      <c r="EMU55" s="1"/>
      <c r="EMV55" s="1"/>
      <c r="EMW55" s="1"/>
      <c r="EMX55" s="1"/>
      <c r="EMY55" s="1"/>
      <c r="EMZ55" s="1"/>
      <c r="ENA55" s="1"/>
      <c r="ENB55" s="1"/>
      <c r="ENC55" s="1"/>
      <c r="END55" s="1"/>
      <c r="ENE55" s="1"/>
      <c r="ENF55" s="1"/>
      <c r="ENG55" s="1"/>
      <c r="ENH55" s="1"/>
      <c r="ENI55" s="1"/>
      <c r="ENJ55" s="1"/>
      <c r="ENK55" s="1"/>
      <c r="ENL55" s="1"/>
      <c r="ENM55" s="1"/>
      <c r="ENN55" s="1"/>
      <c r="ENO55" s="1"/>
      <c r="ENP55" s="1"/>
      <c r="ENQ55" s="1"/>
      <c r="ENR55" s="1"/>
      <c r="ENS55" s="1"/>
      <c r="ENT55" s="1"/>
      <c r="ENU55" s="1"/>
      <c r="ENV55" s="1"/>
      <c r="ENW55" s="1"/>
      <c r="ENX55" s="1"/>
      <c r="ENY55" s="1"/>
      <c r="ENZ55" s="1"/>
      <c r="EOA55" s="1"/>
      <c r="EOB55" s="1"/>
      <c r="EOC55" s="1"/>
      <c r="EOD55" s="1"/>
      <c r="EOE55" s="1"/>
      <c r="EOF55" s="1"/>
      <c r="EOG55" s="1"/>
      <c r="EOH55" s="1"/>
      <c r="EOI55" s="1"/>
      <c r="EOJ55" s="1"/>
      <c r="EOK55" s="1"/>
      <c r="EOL55" s="1"/>
      <c r="EOM55" s="1"/>
      <c r="EON55" s="1"/>
      <c r="EOO55" s="1"/>
      <c r="EOP55" s="1"/>
      <c r="EOQ55" s="1"/>
      <c r="EOR55" s="1"/>
      <c r="EOS55" s="1"/>
      <c r="EOT55" s="1"/>
      <c r="EOU55" s="1"/>
      <c r="EOV55" s="1"/>
      <c r="EOW55" s="1"/>
      <c r="EOX55" s="1"/>
      <c r="EOY55" s="1"/>
      <c r="EOZ55" s="1"/>
      <c r="EPA55" s="1"/>
      <c r="EPB55" s="1"/>
      <c r="EPC55" s="1"/>
      <c r="EPD55" s="1"/>
      <c r="EPE55" s="1"/>
      <c r="EPF55" s="1"/>
      <c r="EPG55" s="1"/>
      <c r="EPH55" s="1"/>
      <c r="EPI55" s="1"/>
      <c r="EPJ55" s="1"/>
      <c r="EPK55" s="1"/>
      <c r="EPL55" s="1"/>
      <c r="EPM55" s="1"/>
      <c r="EPN55" s="1"/>
      <c r="EPO55" s="1"/>
      <c r="EPP55" s="1"/>
      <c r="EPQ55" s="1"/>
      <c r="EPR55" s="1"/>
      <c r="EPS55" s="1"/>
      <c r="EPT55" s="1"/>
      <c r="EPU55" s="1"/>
      <c r="EPV55" s="1"/>
      <c r="EPW55" s="1"/>
      <c r="EPX55" s="1"/>
      <c r="EPY55" s="1"/>
      <c r="EPZ55" s="1"/>
      <c r="EQA55" s="1"/>
      <c r="EQB55" s="1"/>
      <c r="EQC55" s="1"/>
      <c r="EQD55" s="1"/>
      <c r="EQE55" s="1"/>
      <c r="EQF55" s="1"/>
      <c r="EQG55" s="1"/>
      <c r="EQH55" s="1"/>
      <c r="EQI55" s="1"/>
      <c r="EQJ55" s="1"/>
      <c r="EQK55" s="1"/>
      <c r="EQL55" s="1"/>
      <c r="EQM55" s="1"/>
      <c r="EQN55" s="1"/>
      <c r="EQO55" s="1"/>
      <c r="EQP55" s="1"/>
      <c r="EQQ55" s="1"/>
      <c r="EQR55" s="1"/>
      <c r="EQS55" s="1"/>
      <c r="EQT55" s="1"/>
      <c r="EQU55" s="1"/>
      <c r="EQV55" s="1"/>
      <c r="EQW55" s="1"/>
      <c r="EQX55" s="1"/>
      <c r="EQY55" s="1"/>
      <c r="EQZ55" s="1"/>
      <c r="ERA55" s="1"/>
      <c r="ERB55" s="1"/>
      <c r="ERC55" s="1"/>
      <c r="ERD55" s="1"/>
      <c r="ERE55" s="1"/>
      <c r="ERF55" s="1"/>
      <c r="ERG55" s="1"/>
      <c r="ERH55" s="1"/>
      <c r="ERI55" s="1"/>
      <c r="ERJ55" s="1"/>
      <c r="ERK55" s="1"/>
      <c r="ERL55" s="1"/>
      <c r="ERM55" s="1"/>
      <c r="ERN55" s="1"/>
      <c r="ERO55" s="1"/>
      <c r="ERP55" s="1"/>
      <c r="ERQ55" s="1"/>
      <c r="ERR55" s="1"/>
      <c r="ERS55" s="1"/>
      <c r="ERT55" s="1"/>
      <c r="ERU55" s="1"/>
      <c r="ERV55" s="1"/>
      <c r="ERW55" s="1"/>
      <c r="ERX55" s="1"/>
      <c r="ERY55" s="1"/>
      <c r="ERZ55" s="1"/>
      <c r="ESA55" s="1"/>
      <c r="ESB55" s="1"/>
      <c r="ESC55" s="1"/>
      <c r="ESD55" s="1"/>
      <c r="ESE55" s="1"/>
      <c r="ESF55" s="1"/>
      <c r="ESG55" s="1"/>
      <c r="ESH55" s="1"/>
      <c r="ESI55" s="1"/>
      <c r="ESJ55" s="1"/>
      <c r="ESK55" s="1"/>
      <c r="ESL55" s="1"/>
      <c r="ESM55" s="1"/>
      <c r="ESN55" s="1"/>
      <c r="ESO55" s="1"/>
      <c r="ESP55" s="1"/>
      <c r="ESQ55" s="1"/>
      <c r="ESR55" s="1"/>
      <c r="ESS55" s="1"/>
      <c r="EST55" s="1"/>
      <c r="ESU55" s="1"/>
      <c r="ESV55" s="1"/>
      <c r="ESW55" s="1"/>
      <c r="ESX55" s="1"/>
      <c r="ESY55" s="1"/>
      <c r="ESZ55" s="1"/>
      <c r="ETA55" s="1"/>
      <c r="ETB55" s="1"/>
      <c r="ETC55" s="1"/>
      <c r="ETD55" s="1"/>
      <c r="ETE55" s="1"/>
      <c r="ETF55" s="1"/>
      <c r="ETG55" s="1"/>
      <c r="ETH55" s="1"/>
      <c r="ETI55" s="1"/>
      <c r="ETJ55" s="1"/>
      <c r="ETK55" s="1"/>
      <c r="ETL55" s="1"/>
      <c r="ETM55" s="1"/>
      <c r="ETN55" s="1"/>
      <c r="ETO55" s="1"/>
      <c r="ETP55" s="1"/>
      <c r="ETQ55" s="1"/>
      <c r="ETR55" s="1"/>
      <c r="ETS55" s="1"/>
      <c r="ETT55" s="1"/>
      <c r="ETU55" s="1"/>
      <c r="ETV55" s="1"/>
      <c r="ETW55" s="1"/>
      <c r="ETX55" s="1"/>
      <c r="ETY55" s="1"/>
      <c r="ETZ55" s="1"/>
      <c r="EUA55" s="1"/>
      <c r="EUB55" s="1"/>
      <c r="EUC55" s="1"/>
      <c r="EUD55" s="1"/>
      <c r="EUE55" s="1"/>
      <c r="EUF55" s="1"/>
      <c r="EUG55" s="1"/>
      <c r="EUH55" s="1"/>
      <c r="EUI55" s="1"/>
      <c r="EUJ55" s="1"/>
      <c r="EUK55" s="1"/>
      <c r="EUL55" s="1"/>
      <c r="EUM55" s="1"/>
      <c r="EUN55" s="1"/>
      <c r="EUO55" s="1"/>
      <c r="EUP55" s="1"/>
      <c r="EUQ55" s="1"/>
      <c r="EUR55" s="1"/>
      <c r="EUS55" s="1"/>
      <c r="EUT55" s="1"/>
      <c r="EUU55" s="1"/>
      <c r="EUV55" s="1"/>
      <c r="EUW55" s="1"/>
      <c r="EUX55" s="1"/>
      <c r="EUY55" s="1"/>
      <c r="EUZ55" s="1"/>
      <c r="EVA55" s="1"/>
      <c r="EVB55" s="1"/>
      <c r="EVC55" s="1"/>
      <c r="EVD55" s="1"/>
      <c r="EVE55" s="1"/>
      <c r="EVF55" s="1"/>
      <c r="EVG55" s="1"/>
      <c r="EVH55" s="1"/>
      <c r="EVI55" s="1"/>
      <c r="EVJ55" s="1"/>
      <c r="EVK55" s="1"/>
      <c r="EVL55" s="1"/>
      <c r="EVM55" s="1"/>
      <c r="EVN55" s="1"/>
      <c r="EVO55" s="1"/>
      <c r="EVP55" s="1"/>
      <c r="EVQ55" s="1"/>
      <c r="EVR55" s="1"/>
      <c r="EVS55" s="1"/>
      <c r="EVT55" s="1"/>
      <c r="EVU55" s="1"/>
      <c r="EVV55" s="1"/>
      <c r="EVW55" s="1"/>
      <c r="EVX55" s="1"/>
      <c r="EVY55" s="1"/>
      <c r="EVZ55" s="1"/>
      <c r="EWA55" s="1"/>
      <c r="EWB55" s="1"/>
      <c r="EWC55" s="1"/>
      <c r="EWD55" s="1"/>
      <c r="EWE55" s="1"/>
      <c r="EWF55" s="1"/>
      <c r="EWG55" s="1"/>
      <c r="EWH55" s="1"/>
      <c r="EWI55" s="1"/>
      <c r="EWJ55" s="1"/>
      <c r="EWK55" s="1"/>
      <c r="EWL55" s="1"/>
      <c r="EWM55" s="1"/>
      <c r="EWN55" s="1"/>
      <c r="EWO55" s="1"/>
      <c r="EWP55" s="1"/>
      <c r="EWQ55" s="1"/>
      <c r="EWR55" s="1"/>
      <c r="EWS55" s="1"/>
      <c r="EWT55" s="1"/>
      <c r="EWU55" s="1"/>
      <c r="EWV55" s="1"/>
      <c r="EWW55" s="1"/>
      <c r="EWX55" s="1"/>
      <c r="EWY55" s="1"/>
      <c r="EWZ55" s="1"/>
      <c r="EXA55" s="1"/>
      <c r="EXB55" s="1"/>
      <c r="EXC55" s="1"/>
      <c r="EXD55" s="1"/>
      <c r="EXE55" s="1"/>
      <c r="EXF55" s="1"/>
      <c r="EXG55" s="1"/>
      <c r="EXH55" s="1"/>
      <c r="EXI55" s="1"/>
      <c r="EXJ55" s="1"/>
      <c r="EXK55" s="1"/>
      <c r="EXL55" s="1"/>
      <c r="EXM55" s="1"/>
      <c r="EXN55" s="1"/>
      <c r="EXO55" s="1"/>
      <c r="EXP55" s="1"/>
      <c r="EXQ55" s="1"/>
      <c r="EXR55" s="1"/>
      <c r="EXS55" s="1"/>
      <c r="EXT55" s="1"/>
      <c r="EXU55" s="1"/>
      <c r="EXV55" s="1"/>
      <c r="EXW55" s="1"/>
      <c r="EXX55" s="1"/>
      <c r="EXY55" s="1"/>
      <c r="EXZ55" s="1"/>
      <c r="EYA55" s="1"/>
      <c r="EYB55" s="1"/>
      <c r="EYC55" s="1"/>
      <c r="EYD55" s="1"/>
      <c r="EYE55" s="1"/>
      <c r="EYF55" s="1"/>
      <c r="EYG55" s="1"/>
      <c r="EYH55" s="1"/>
      <c r="EYI55" s="1"/>
      <c r="EYJ55" s="1"/>
      <c r="EYK55" s="1"/>
      <c r="EYL55" s="1"/>
      <c r="EYM55" s="1"/>
      <c r="EYN55" s="1"/>
      <c r="EYO55" s="1"/>
      <c r="EYP55" s="1"/>
      <c r="EYQ55" s="1"/>
      <c r="EYR55" s="1"/>
      <c r="EYS55" s="1"/>
      <c r="EYT55" s="1"/>
      <c r="EYU55" s="1"/>
      <c r="EYV55" s="1"/>
      <c r="EYW55" s="1"/>
      <c r="EYX55" s="1"/>
      <c r="EYY55" s="1"/>
      <c r="EYZ55" s="1"/>
      <c r="EZA55" s="1"/>
      <c r="EZB55" s="1"/>
      <c r="EZC55" s="1"/>
      <c r="EZD55" s="1"/>
      <c r="EZE55" s="1"/>
      <c r="EZF55" s="1"/>
      <c r="EZG55" s="1"/>
      <c r="EZH55" s="1"/>
      <c r="EZI55" s="1"/>
      <c r="EZJ55" s="1"/>
      <c r="EZK55" s="1"/>
      <c r="EZL55" s="1"/>
      <c r="EZM55" s="1"/>
      <c r="EZN55" s="1"/>
      <c r="EZO55" s="1"/>
      <c r="EZP55" s="1"/>
      <c r="EZQ55" s="1"/>
      <c r="EZR55" s="1"/>
      <c r="EZS55" s="1"/>
      <c r="EZT55" s="1"/>
      <c r="EZU55" s="1"/>
      <c r="EZV55" s="1"/>
      <c r="EZW55" s="1"/>
      <c r="EZX55" s="1"/>
      <c r="EZY55" s="1"/>
      <c r="EZZ55" s="1"/>
      <c r="FAA55" s="1"/>
      <c r="FAB55" s="1"/>
      <c r="FAC55" s="1"/>
      <c r="FAD55" s="1"/>
      <c r="FAE55" s="1"/>
      <c r="FAF55" s="1"/>
      <c r="FAG55" s="1"/>
      <c r="FAH55" s="1"/>
      <c r="FAI55" s="1"/>
      <c r="FAJ55" s="1"/>
      <c r="FAK55" s="1"/>
      <c r="FAL55" s="1"/>
      <c r="FAM55" s="1"/>
      <c r="FAN55" s="1"/>
      <c r="FAO55" s="1"/>
      <c r="FAP55" s="1"/>
      <c r="FAQ55" s="1"/>
      <c r="FAR55" s="1"/>
      <c r="FAS55" s="1"/>
      <c r="FAT55" s="1"/>
      <c r="FAU55" s="1"/>
      <c r="FAV55" s="1"/>
      <c r="FAW55" s="1"/>
      <c r="FAX55" s="1"/>
      <c r="FAY55" s="1"/>
      <c r="FAZ55" s="1"/>
      <c r="FBA55" s="1"/>
      <c r="FBB55" s="1"/>
      <c r="FBC55" s="1"/>
      <c r="FBD55" s="1"/>
      <c r="FBE55" s="1"/>
      <c r="FBF55" s="1"/>
      <c r="FBG55" s="1"/>
      <c r="FBH55" s="1"/>
      <c r="FBI55" s="1"/>
      <c r="FBJ55" s="1"/>
      <c r="FBK55" s="1"/>
      <c r="FBL55" s="1"/>
      <c r="FBM55" s="1"/>
      <c r="FBN55" s="1"/>
      <c r="FBO55" s="1"/>
      <c r="FBP55" s="1"/>
      <c r="FBQ55" s="1"/>
      <c r="FBR55" s="1"/>
      <c r="FBS55" s="1"/>
      <c r="FBT55" s="1"/>
      <c r="FBU55" s="1"/>
      <c r="FBV55" s="1"/>
      <c r="FBW55" s="1"/>
      <c r="FBX55" s="1"/>
      <c r="FBY55" s="1"/>
      <c r="FBZ55" s="1"/>
      <c r="FCA55" s="1"/>
      <c r="FCB55" s="1"/>
      <c r="FCC55" s="1"/>
      <c r="FCD55" s="1"/>
      <c r="FCE55" s="1"/>
      <c r="FCF55" s="1"/>
      <c r="FCG55" s="1"/>
      <c r="FCH55" s="1"/>
      <c r="FCI55" s="1"/>
      <c r="FCJ55" s="1"/>
      <c r="FCK55" s="1"/>
      <c r="FCL55" s="1"/>
      <c r="FCM55" s="1"/>
      <c r="FCN55" s="1"/>
      <c r="FCO55" s="1"/>
      <c r="FCP55" s="1"/>
      <c r="FCQ55" s="1"/>
      <c r="FCR55" s="1"/>
      <c r="FCS55" s="1"/>
      <c r="FCT55" s="1"/>
      <c r="FCU55" s="1"/>
      <c r="FCV55" s="1"/>
      <c r="FCW55" s="1"/>
      <c r="FCX55" s="1"/>
      <c r="FCY55" s="1"/>
      <c r="FCZ55" s="1"/>
      <c r="FDA55" s="1"/>
      <c r="FDB55" s="1"/>
      <c r="FDC55" s="1"/>
      <c r="FDD55" s="1"/>
      <c r="FDE55" s="1"/>
      <c r="FDF55" s="1"/>
      <c r="FDG55" s="1"/>
      <c r="FDH55" s="1"/>
      <c r="FDI55" s="1"/>
      <c r="FDJ55" s="1"/>
      <c r="FDK55" s="1"/>
      <c r="FDL55" s="1"/>
      <c r="FDM55" s="1"/>
      <c r="FDN55" s="1"/>
      <c r="FDO55" s="1"/>
      <c r="FDP55" s="1"/>
      <c r="FDQ55" s="1"/>
      <c r="FDR55" s="1"/>
      <c r="FDS55" s="1"/>
      <c r="FDT55" s="1"/>
      <c r="FDU55" s="1"/>
      <c r="FDV55" s="1"/>
      <c r="FDW55" s="1"/>
      <c r="FDX55" s="1"/>
      <c r="FDY55" s="1"/>
      <c r="FDZ55" s="1"/>
      <c r="FEA55" s="1"/>
      <c r="FEB55" s="1"/>
      <c r="FEC55" s="1"/>
      <c r="FED55" s="1"/>
      <c r="FEE55" s="1"/>
      <c r="FEF55" s="1"/>
      <c r="FEG55" s="1"/>
      <c r="FEH55" s="1"/>
      <c r="FEI55" s="1"/>
      <c r="FEJ55" s="1"/>
      <c r="FEK55" s="1"/>
      <c r="FEL55" s="1"/>
      <c r="FEM55" s="1"/>
      <c r="FEN55" s="1"/>
      <c r="FEO55" s="1"/>
      <c r="FEP55" s="1"/>
      <c r="FEQ55" s="1"/>
      <c r="FER55" s="1"/>
      <c r="FES55" s="1"/>
      <c r="FET55" s="1"/>
      <c r="FEU55" s="1"/>
      <c r="FEV55" s="1"/>
      <c r="FEW55" s="1"/>
      <c r="FEX55" s="1"/>
      <c r="FEY55" s="1"/>
      <c r="FEZ55" s="1"/>
      <c r="FFA55" s="1"/>
      <c r="FFB55" s="1"/>
      <c r="FFC55" s="1"/>
      <c r="FFD55" s="1"/>
      <c r="FFE55" s="1"/>
      <c r="FFF55" s="1"/>
      <c r="FFG55" s="1"/>
      <c r="FFH55" s="1"/>
      <c r="FFI55" s="1"/>
      <c r="FFJ55" s="1"/>
      <c r="FFK55" s="1"/>
      <c r="FFL55" s="1"/>
      <c r="FFM55" s="1"/>
      <c r="FFN55" s="1"/>
      <c r="FFO55" s="1"/>
      <c r="FFP55" s="1"/>
      <c r="FFQ55" s="1"/>
      <c r="FFR55" s="1"/>
      <c r="FFS55" s="1"/>
      <c r="FFT55" s="1"/>
      <c r="FFU55" s="1"/>
      <c r="FFV55" s="1"/>
      <c r="FFW55" s="1"/>
      <c r="FFX55" s="1"/>
      <c r="FFY55" s="1"/>
      <c r="FFZ55" s="1"/>
      <c r="FGA55" s="1"/>
      <c r="FGB55" s="1"/>
      <c r="FGC55" s="1"/>
      <c r="FGD55" s="1"/>
      <c r="FGE55" s="1"/>
      <c r="FGF55" s="1"/>
      <c r="FGG55" s="1"/>
      <c r="FGH55" s="1"/>
      <c r="FGI55" s="1"/>
      <c r="FGJ55" s="1"/>
      <c r="FGK55" s="1"/>
      <c r="FGL55" s="1"/>
      <c r="FGM55" s="1"/>
      <c r="FGN55" s="1"/>
      <c r="FGO55" s="1"/>
      <c r="FGP55" s="1"/>
      <c r="FGQ55" s="1"/>
      <c r="FGR55" s="1"/>
      <c r="FGS55" s="1"/>
      <c r="FGT55" s="1"/>
      <c r="FGU55" s="1"/>
      <c r="FGV55" s="1"/>
      <c r="FGW55" s="1"/>
      <c r="FGX55" s="1"/>
      <c r="FGY55" s="1"/>
      <c r="FGZ55" s="1"/>
      <c r="FHA55" s="1"/>
      <c r="FHB55" s="1"/>
      <c r="FHC55" s="1"/>
      <c r="FHD55" s="1"/>
      <c r="FHE55" s="1"/>
      <c r="FHF55" s="1"/>
      <c r="FHG55" s="1"/>
      <c r="FHH55" s="1"/>
      <c r="FHI55" s="1"/>
      <c r="FHJ55" s="1"/>
      <c r="FHK55" s="1"/>
      <c r="FHL55" s="1"/>
      <c r="FHM55" s="1"/>
      <c r="FHN55" s="1"/>
      <c r="FHO55" s="1"/>
      <c r="FHP55" s="1"/>
      <c r="FHQ55" s="1"/>
      <c r="FHR55" s="1"/>
      <c r="FHS55" s="1"/>
      <c r="FHT55" s="1"/>
      <c r="FHU55" s="1"/>
      <c r="FHV55" s="1"/>
      <c r="FHW55" s="1"/>
      <c r="FHX55" s="1"/>
      <c r="FHY55" s="1"/>
      <c r="FHZ55" s="1"/>
      <c r="FIA55" s="1"/>
      <c r="FIB55" s="1"/>
      <c r="FIC55" s="1"/>
      <c r="FID55" s="1"/>
      <c r="FIE55" s="1"/>
      <c r="FIF55" s="1"/>
      <c r="FIG55" s="1"/>
      <c r="FIH55" s="1"/>
      <c r="FII55" s="1"/>
      <c r="FIJ55" s="1"/>
      <c r="FIK55" s="1"/>
      <c r="FIL55" s="1"/>
      <c r="FIM55" s="1"/>
      <c r="FIN55" s="1"/>
      <c r="FIO55" s="1"/>
      <c r="FIP55" s="1"/>
      <c r="FIQ55" s="1"/>
      <c r="FIR55" s="1"/>
      <c r="FIS55" s="1"/>
      <c r="FIT55" s="1"/>
      <c r="FIU55" s="1"/>
      <c r="FIV55" s="1"/>
      <c r="FIW55" s="1"/>
      <c r="FIX55" s="1"/>
      <c r="FIY55" s="1"/>
      <c r="FIZ55" s="1"/>
      <c r="FJA55" s="1"/>
      <c r="FJB55" s="1"/>
      <c r="FJC55" s="1"/>
      <c r="FJD55" s="1"/>
      <c r="FJE55" s="1"/>
      <c r="FJF55" s="1"/>
      <c r="FJG55" s="1"/>
      <c r="FJH55" s="1"/>
      <c r="FJI55" s="1"/>
      <c r="FJJ55" s="1"/>
      <c r="FJK55" s="1"/>
      <c r="FJL55" s="1"/>
      <c r="FJM55" s="1"/>
      <c r="FJN55" s="1"/>
      <c r="FJO55" s="1"/>
      <c r="FJP55" s="1"/>
      <c r="FJQ55" s="1"/>
      <c r="FJR55" s="1"/>
      <c r="FJS55" s="1"/>
      <c r="FJT55" s="1"/>
      <c r="FJU55" s="1"/>
      <c r="FJV55" s="1"/>
      <c r="FJW55" s="1"/>
      <c r="FJX55" s="1"/>
      <c r="FJY55" s="1"/>
      <c r="FJZ55" s="1"/>
      <c r="FKA55" s="1"/>
      <c r="FKB55" s="1"/>
      <c r="FKC55" s="1"/>
      <c r="FKD55" s="1"/>
      <c r="FKE55" s="1"/>
      <c r="FKF55" s="1"/>
      <c r="FKG55" s="1"/>
      <c r="FKH55" s="1"/>
      <c r="FKI55" s="1"/>
      <c r="FKJ55" s="1"/>
      <c r="FKK55" s="1"/>
      <c r="FKL55" s="1"/>
      <c r="FKM55" s="1"/>
      <c r="FKN55" s="1"/>
      <c r="FKO55" s="1"/>
      <c r="FKP55" s="1"/>
      <c r="FKQ55" s="1"/>
      <c r="FKR55" s="1"/>
      <c r="FKS55" s="1"/>
      <c r="FKT55" s="1"/>
      <c r="FKU55" s="1"/>
      <c r="FKV55" s="1"/>
      <c r="FKW55" s="1"/>
      <c r="FKX55" s="1"/>
      <c r="FKY55" s="1"/>
      <c r="FKZ55" s="1"/>
      <c r="FLA55" s="1"/>
      <c r="FLB55" s="1"/>
      <c r="FLC55" s="1"/>
      <c r="FLD55" s="1"/>
      <c r="FLE55" s="1"/>
      <c r="FLF55" s="1"/>
      <c r="FLG55" s="1"/>
      <c r="FLH55" s="1"/>
      <c r="FLI55" s="1"/>
      <c r="FLJ55" s="1"/>
      <c r="FLK55" s="1"/>
      <c r="FLL55" s="1"/>
      <c r="FLM55" s="1"/>
      <c r="FLN55" s="1"/>
      <c r="FLO55" s="1"/>
      <c r="FLP55" s="1"/>
      <c r="FLQ55" s="1"/>
      <c r="FLR55" s="1"/>
      <c r="FLS55" s="1"/>
      <c r="FLT55" s="1"/>
      <c r="FLU55" s="1"/>
      <c r="FLV55" s="1"/>
      <c r="FLW55" s="1"/>
      <c r="FLX55" s="1"/>
      <c r="FLY55" s="1"/>
      <c r="FLZ55" s="1"/>
      <c r="FMA55" s="1"/>
      <c r="FMB55" s="1"/>
      <c r="FMC55" s="1"/>
      <c r="FMD55" s="1"/>
      <c r="FME55" s="1"/>
      <c r="FMF55" s="1"/>
      <c r="FMG55" s="1"/>
      <c r="FMH55" s="1"/>
      <c r="FMI55" s="1"/>
      <c r="FMJ55" s="1"/>
      <c r="FMK55" s="1"/>
      <c r="FML55" s="1"/>
      <c r="FMM55" s="1"/>
      <c r="FMN55" s="1"/>
      <c r="FMO55" s="1"/>
      <c r="FMP55" s="1"/>
      <c r="FMQ55" s="1"/>
      <c r="FMR55" s="1"/>
      <c r="FMS55" s="1"/>
      <c r="FMT55" s="1"/>
      <c r="FMU55" s="1"/>
      <c r="FMV55" s="1"/>
      <c r="FMW55" s="1"/>
      <c r="FMX55" s="1"/>
      <c r="FMY55" s="1"/>
      <c r="FMZ55" s="1"/>
      <c r="FNA55" s="1"/>
      <c r="FNB55" s="1"/>
      <c r="FNC55" s="1"/>
      <c r="FND55" s="1"/>
      <c r="FNE55" s="1"/>
      <c r="FNF55" s="1"/>
      <c r="FNG55" s="1"/>
      <c r="FNH55" s="1"/>
      <c r="FNI55" s="1"/>
      <c r="FNJ55" s="1"/>
      <c r="FNK55" s="1"/>
      <c r="FNL55" s="1"/>
      <c r="FNM55" s="1"/>
      <c r="FNN55" s="1"/>
      <c r="FNO55" s="1"/>
      <c r="FNP55" s="1"/>
      <c r="FNQ55" s="1"/>
      <c r="FNR55" s="1"/>
      <c r="FNS55" s="1"/>
      <c r="FNT55" s="1"/>
      <c r="FNU55" s="1"/>
      <c r="FNV55" s="1"/>
      <c r="FNW55" s="1"/>
      <c r="FNX55" s="1"/>
      <c r="FNY55" s="1"/>
      <c r="FNZ55" s="1"/>
      <c r="FOA55" s="1"/>
      <c r="FOB55" s="1"/>
      <c r="FOC55" s="1"/>
      <c r="FOD55" s="1"/>
      <c r="FOE55" s="1"/>
      <c r="FOF55" s="1"/>
      <c r="FOG55" s="1"/>
      <c r="FOH55" s="1"/>
      <c r="FOI55" s="1"/>
      <c r="FOJ55" s="1"/>
      <c r="FOK55" s="1"/>
      <c r="FOL55" s="1"/>
      <c r="FOM55" s="1"/>
      <c r="FON55" s="1"/>
      <c r="FOO55" s="1"/>
      <c r="FOP55" s="1"/>
      <c r="FOQ55" s="1"/>
      <c r="FOR55" s="1"/>
      <c r="FOS55" s="1"/>
      <c r="FOT55" s="1"/>
      <c r="FOU55" s="1"/>
      <c r="FOV55" s="1"/>
      <c r="FOW55" s="1"/>
      <c r="FOX55" s="1"/>
      <c r="FOY55" s="1"/>
      <c r="FOZ55" s="1"/>
      <c r="FPA55" s="1"/>
      <c r="FPB55" s="1"/>
      <c r="FPC55" s="1"/>
      <c r="FPD55" s="1"/>
      <c r="FPE55" s="1"/>
      <c r="FPF55" s="1"/>
      <c r="FPG55" s="1"/>
      <c r="FPH55" s="1"/>
      <c r="FPI55" s="1"/>
      <c r="FPJ55" s="1"/>
      <c r="FPK55" s="1"/>
      <c r="FPL55" s="1"/>
      <c r="FPM55" s="1"/>
      <c r="FPN55" s="1"/>
      <c r="FPO55" s="1"/>
      <c r="FPP55" s="1"/>
      <c r="FPQ55" s="1"/>
      <c r="FPR55" s="1"/>
      <c r="FPS55" s="1"/>
      <c r="FPT55" s="1"/>
      <c r="FPU55" s="1"/>
      <c r="FPV55" s="1"/>
      <c r="FPW55" s="1"/>
      <c r="FPX55" s="1"/>
      <c r="FPY55" s="1"/>
      <c r="FPZ55" s="1"/>
      <c r="FQA55" s="1"/>
      <c r="FQB55" s="1"/>
      <c r="FQC55" s="1"/>
      <c r="FQD55" s="1"/>
      <c r="FQE55" s="1"/>
      <c r="FQF55" s="1"/>
      <c r="FQG55" s="1"/>
      <c r="FQH55" s="1"/>
      <c r="FQI55" s="1"/>
      <c r="FQJ55" s="1"/>
      <c r="FQK55" s="1"/>
      <c r="FQL55" s="1"/>
      <c r="FQM55" s="1"/>
      <c r="FQN55" s="1"/>
      <c r="FQO55" s="1"/>
      <c r="FQP55" s="1"/>
      <c r="FQQ55" s="1"/>
      <c r="FQR55" s="1"/>
      <c r="FQS55" s="1"/>
      <c r="FQT55" s="1"/>
      <c r="FQU55" s="1"/>
      <c r="FQV55" s="1"/>
      <c r="FQW55" s="1"/>
      <c r="FQX55" s="1"/>
      <c r="FQY55" s="1"/>
      <c r="FQZ55" s="1"/>
      <c r="FRA55" s="1"/>
      <c r="FRB55" s="1"/>
      <c r="FRC55" s="1"/>
      <c r="FRD55" s="1"/>
      <c r="FRE55" s="1"/>
      <c r="FRF55" s="1"/>
      <c r="FRG55" s="1"/>
      <c r="FRH55" s="1"/>
      <c r="FRI55" s="1"/>
      <c r="FRJ55" s="1"/>
      <c r="FRK55" s="1"/>
      <c r="FRL55" s="1"/>
      <c r="FRM55" s="1"/>
      <c r="FRN55" s="1"/>
      <c r="FRO55" s="1"/>
      <c r="FRP55" s="1"/>
      <c r="FRQ55" s="1"/>
      <c r="FRR55" s="1"/>
      <c r="FRS55" s="1"/>
      <c r="FRT55" s="1"/>
      <c r="FRU55" s="1"/>
      <c r="FRV55" s="1"/>
      <c r="FRW55" s="1"/>
      <c r="FRX55" s="1"/>
      <c r="FRY55" s="1"/>
      <c r="FRZ55" s="1"/>
      <c r="FSA55" s="1"/>
      <c r="FSB55" s="1"/>
      <c r="FSC55" s="1"/>
      <c r="FSD55" s="1"/>
      <c r="FSE55" s="1"/>
      <c r="FSF55" s="1"/>
      <c r="FSG55" s="1"/>
      <c r="FSH55" s="1"/>
      <c r="FSI55" s="1"/>
      <c r="FSJ55" s="1"/>
      <c r="FSK55" s="1"/>
      <c r="FSL55" s="1"/>
      <c r="FSM55" s="1"/>
      <c r="FSN55" s="1"/>
      <c r="FSO55" s="1"/>
      <c r="FSP55" s="1"/>
      <c r="FSQ55" s="1"/>
      <c r="FSR55" s="1"/>
      <c r="FSS55" s="1"/>
      <c r="FST55" s="1"/>
      <c r="FSU55" s="1"/>
      <c r="FSV55" s="1"/>
      <c r="FSW55" s="1"/>
      <c r="FSX55" s="1"/>
      <c r="FSY55" s="1"/>
      <c r="FSZ55" s="1"/>
      <c r="FTA55" s="1"/>
      <c r="FTB55" s="1"/>
      <c r="FTC55" s="1"/>
      <c r="FTD55" s="1"/>
      <c r="FTE55" s="1"/>
      <c r="FTF55" s="1"/>
      <c r="FTG55" s="1"/>
      <c r="FTH55" s="1"/>
      <c r="FTI55" s="1"/>
      <c r="FTJ55" s="1"/>
      <c r="FTK55" s="1"/>
      <c r="FTL55" s="1"/>
      <c r="FTM55" s="1"/>
      <c r="FTN55" s="1"/>
      <c r="FTO55" s="1"/>
      <c r="FTP55" s="1"/>
      <c r="FTQ55" s="1"/>
      <c r="FTR55" s="1"/>
      <c r="FTS55" s="1"/>
      <c r="FTT55" s="1"/>
      <c r="FTU55" s="1"/>
      <c r="FTV55" s="1"/>
      <c r="FTW55" s="1"/>
      <c r="FTX55" s="1"/>
      <c r="FTY55" s="1"/>
      <c r="FTZ55" s="1"/>
      <c r="FUA55" s="1"/>
      <c r="FUB55" s="1"/>
      <c r="FUC55" s="1"/>
      <c r="FUD55" s="1"/>
      <c r="FUE55" s="1"/>
      <c r="FUF55" s="1"/>
      <c r="FUG55" s="1"/>
      <c r="FUH55" s="1"/>
      <c r="FUI55" s="1"/>
      <c r="FUJ55" s="1"/>
      <c r="FUK55" s="1"/>
      <c r="FUL55" s="1"/>
      <c r="FUM55" s="1"/>
      <c r="FUN55" s="1"/>
      <c r="FUO55" s="1"/>
      <c r="FUP55" s="1"/>
      <c r="FUQ55" s="1"/>
      <c r="FUR55" s="1"/>
      <c r="FUS55" s="1"/>
      <c r="FUT55" s="1"/>
      <c r="FUU55" s="1"/>
      <c r="FUV55" s="1"/>
      <c r="FUW55" s="1"/>
      <c r="FUX55" s="1"/>
      <c r="FUY55" s="1"/>
      <c r="FUZ55" s="1"/>
      <c r="FVA55" s="1"/>
      <c r="FVB55" s="1"/>
      <c r="FVC55" s="1"/>
      <c r="FVD55" s="1"/>
      <c r="FVE55" s="1"/>
      <c r="FVF55" s="1"/>
      <c r="FVG55" s="1"/>
      <c r="FVH55" s="1"/>
      <c r="FVI55" s="1"/>
      <c r="FVJ55" s="1"/>
      <c r="FVK55" s="1"/>
      <c r="FVL55" s="1"/>
      <c r="FVM55" s="1"/>
      <c r="FVN55" s="1"/>
      <c r="FVO55" s="1"/>
      <c r="FVP55" s="1"/>
      <c r="FVQ55" s="1"/>
      <c r="FVR55" s="1"/>
      <c r="FVS55" s="1"/>
      <c r="FVT55" s="1"/>
      <c r="FVU55" s="1"/>
      <c r="FVV55" s="1"/>
      <c r="FVW55" s="1"/>
      <c r="FVX55" s="1"/>
      <c r="FVY55" s="1"/>
      <c r="FVZ55" s="1"/>
      <c r="FWA55" s="1"/>
      <c r="FWB55" s="1"/>
      <c r="FWC55" s="1"/>
      <c r="FWD55" s="1"/>
      <c r="FWE55" s="1"/>
      <c r="FWF55" s="1"/>
      <c r="FWG55" s="1"/>
      <c r="FWH55" s="1"/>
      <c r="FWI55" s="1"/>
      <c r="FWJ55" s="1"/>
      <c r="FWK55" s="1"/>
      <c r="FWL55" s="1"/>
      <c r="FWM55" s="1"/>
      <c r="FWN55" s="1"/>
      <c r="FWO55" s="1"/>
      <c r="FWP55" s="1"/>
      <c r="FWQ55" s="1"/>
      <c r="FWR55" s="1"/>
      <c r="FWS55" s="1"/>
      <c r="FWT55" s="1"/>
      <c r="FWU55" s="1"/>
      <c r="FWV55" s="1"/>
      <c r="FWW55" s="1"/>
      <c r="FWX55" s="1"/>
      <c r="FWY55" s="1"/>
      <c r="FWZ55" s="1"/>
      <c r="FXA55" s="1"/>
      <c r="FXB55" s="1"/>
      <c r="FXC55" s="1"/>
      <c r="FXD55" s="1"/>
      <c r="FXE55" s="1"/>
      <c r="FXF55" s="1"/>
      <c r="FXG55" s="1"/>
      <c r="FXH55" s="1"/>
      <c r="FXI55" s="1"/>
      <c r="FXJ55" s="1"/>
      <c r="FXK55" s="1"/>
      <c r="FXL55" s="1"/>
      <c r="FXM55" s="1"/>
      <c r="FXN55" s="1"/>
      <c r="FXO55" s="1"/>
      <c r="FXP55" s="1"/>
      <c r="FXQ55" s="1"/>
      <c r="FXR55" s="1"/>
      <c r="FXS55" s="1"/>
      <c r="FXT55" s="1"/>
      <c r="FXU55" s="1"/>
      <c r="FXV55" s="1"/>
      <c r="FXW55" s="1"/>
      <c r="FXX55" s="1"/>
      <c r="FXY55" s="1"/>
      <c r="FXZ55" s="1"/>
      <c r="FYA55" s="1"/>
      <c r="FYB55" s="1"/>
      <c r="FYC55" s="1"/>
      <c r="FYD55" s="1"/>
      <c r="FYE55" s="1"/>
      <c r="FYF55" s="1"/>
      <c r="FYG55" s="1"/>
      <c r="FYH55" s="1"/>
      <c r="FYI55" s="1"/>
      <c r="FYJ55" s="1"/>
      <c r="FYK55" s="1"/>
      <c r="FYL55" s="1"/>
      <c r="FYM55" s="1"/>
      <c r="FYN55" s="1"/>
      <c r="FYO55" s="1"/>
      <c r="FYP55" s="1"/>
      <c r="FYQ55" s="1"/>
      <c r="FYR55" s="1"/>
      <c r="FYS55" s="1"/>
      <c r="FYT55" s="1"/>
      <c r="FYU55" s="1"/>
      <c r="FYV55" s="1"/>
      <c r="FYW55" s="1"/>
      <c r="FYX55" s="1"/>
      <c r="FYY55" s="1"/>
      <c r="FYZ55" s="1"/>
      <c r="FZA55" s="1"/>
      <c r="FZB55" s="1"/>
      <c r="FZC55" s="1"/>
      <c r="FZD55" s="1"/>
      <c r="FZE55" s="1"/>
      <c r="FZF55" s="1"/>
      <c r="FZG55" s="1"/>
      <c r="FZH55" s="1"/>
      <c r="FZI55" s="1"/>
      <c r="FZJ55" s="1"/>
      <c r="FZK55" s="1"/>
      <c r="FZL55" s="1"/>
      <c r="FZM55" s="1"/>
      <c r="FZN55" s="1"/>
      <c r="FZO55" s="1"/>
      <c r="FZP55" s="1"/>
      <c r="FZQ55" s="1"/>
      <c r="FZR55" s="1"/>
      <c r="FZS55" s="1"/>
      <c r="FZT55" s="1"/>
      <c r="FZU55" s="1"/>
      <c r="FZV55" s="1"/>
      <c r="FZW55" s="1"/>
      <c r="FZX55" s="1"/>
      <c r="FZY55" s="1"/>
      <c r="FZZ55" s="1"/>
      <c r="GAA55" s="1"/>
      <c r="GAB55" s="1"/>
      <c r="GAC55" s="1"/>
      <c r="GAD55" s="1"/>
      <c r="GAE55" s="1"/>
      <c r="GAF55" s="1"/>
      <c r="GAG55" s="1"/>
      <c r="GAH55" s="1"/>
      <c r="GAI55" s="1"/>
      <c r="GAJ55" s="1"/>
      <c r="GAK55" s="1"/>
      <c r="GAL55" s="1"/>
      <c r="GAM55" s="1"/>
      <c r="GAN55" s="1"/>
      <c r="GAO55" s="1"/>
      <c r="GAP55" s="1"/>
      <c r="GAQ55" s="1"/>
      <c r="GAR55" s="1"/>
      <c r="GAS55" s="1"/>
      <c r="GAT55" s="1"/>
      <c r="GAU55" s="1"/>
      <c r="GAV55" s="1"/>
      <c r="GAW55" s="1"/>
      <c r="GAX55" s="1"/>
      <c r="GAY55" s="1"/>
      <c r="GAZ55" s="1"/>
      <c r="GBA55" s="1"/>
      <c r="GBB55" s="1"/>
      <c r="GBC55" s="1"/>
      <c r="GBD55" s="1"/>
      <c r="GBE55" s="1"/>
      <c r="GBF55" s="1"/>
      <c r="GBG55" s="1"/>
      <c r="GBH55" s="1"/>
      <c r="GBI55" s="1"/>
      <c r="GBJ55" s="1"/>
      <c r="GBK55" s="1"/>
      <c r="GBL55" s="1"/>
      <c r="GBM55" s="1"/>
      <c r="GBN55" s="1"/>
      <c r="GBO55" s="1"/>
      <c r="GBP55" s="1"/>
      <c r="GBQ55" s="1"/>
      <c r="GBR55" s="1"/>
      <c r="GBS55" s="1"/>
      <c r="GBT55" s="1"/>
      <c r="GBU55" s="1"/>
      <c r="GBV55" s="1"/>
      <c r="GBW55" s="1"/>
      <c r="GBX55" s="1"/>
      <c r="GBY55" s="1"/>
      <c r="GBZ55" s="1"/>
      <c r="GCA55" s="1"/>
      <c r="GCB55" s="1"/>
      <c r="GCC55" s="1"/>
      <c r="GCD55" s="1"/>
      <c r="GCE55" s="1"/>
      <c r="GCF55" s="1"/>
      <c r="GCG55" s="1"/>
      <c r="GCH55" s="1"/>
      <c r="GCI55" s="1"/>
      <c r="GCJ55" s="1"/>
      <c r="GCK55" s="1"/>
      <c r="GCL55" s="1"/>
      <c r="GCM55" s="1"/>
      <c r="GCN55" s="1"/>
      <c r="GCO55" s="1"/>
      <c r="GCP55" s="1"/>
      <c r="GCQ55" s="1"/>
      <c r="GCR55" s="1"/>
      <c r="GCS55" s="1"/>
      <c r="GCT55" s="1"/>
      <c r="GCU55" s="1"/>
      <c r="GCV55" s="1"/>
      <c r="GCW55" s="1"/>
      <c r="GCX55" s="1"/>
      <c r="GCY55" s="1"/>
      <c r="GCZ55" s="1"/>
      <c r="GDA55" s="1"/>
      <c r="GDB55" s="1"/>
      <c r="GDC55" s="1"/>
      <c r="GDD55" s="1"/>
      <c r="GDE55" s="1"/>
      <c r="GDF55" s="1"/>
      <c r="GDG55" s="1"/>
      <c r="GDH55" s="1"/>
      <c r="GDI55" s="1"/>
      <c r="GDJ55" s="1"/>
      <c r="GDK55" s="1"/>
      <c r="GDL55" s="1"/>
      <c r="GDM55" s="1"/>
      <c r="GDN55" s="1"/>
      <c r="GDO55" s="1"/>
      <c r="GDP55" s="1"/>
      <c r="GDQ55" s="1"/>
      <c r="GDR55" s="1"/>
      <c r="GDS55" s="1"/>
      <c r="GDT55" s="1"/>
      <c r="GDU55" s="1"/>
      <c r="GDV55" s="1"/>
      <c r="GDW55" s="1"/>
      <c r="GDX55" s="1"/>
      <c r="GDY55" s="1"/>
      <c r="GDZ55" s="1"/>
      <c r="GEA55" s="1"/>
      <c r="GEB55" s="1"/>
      <c r="GEC55" s="1"/>
      <c r="GED55" s="1"/>
      <c r="GEE55" s="1"/>
      <c r="GEF55" s="1"/>
      <c r="GEG55" s="1"/>
      <c r="GEH55" s="1"/>
      <c r="GEI55" s="1"/>
      <c r="GEJ55" s="1"/>
      <c r="GEK55" s="1"/>
      <c r="GEL55" s="1"/>
      <c r="GEM55" s="1"/>
      <c r="GEN55" s="1"/>
      <c r="GEO55" s="1"/>
      <c r="GEP55" s="1"/>
      <c r="GEQ55" s="1"/>
      <c r="GER55" s="1"/>
      <c r="GES55" s="1"/>
      <c r="GET55" s="1"/>
      <c r="GEU55" s="1"/>
      <c r="GEV55" s="1"/>
      <c r="GEW55" s="1"/>
      <c r="GEX55" s="1"/>
      <c r="GEY55" s="1"/>
      <c r="GEZ55" s="1"/>
      <c r="GFA55" s="1"/>
      <c r="GFB55" s="1"/>
      <c r="GFC55" s="1"/>
      <c r="GFD55" s="1"/>
      <c r="GFE55" s="1"/>
      <c r="GFF55" s="1"/>
      <c r="GFG55" s="1"/>
      <c r="GFH55" s="1"/>
      <c r="GFI55" s="1"/>
      <c r="GFJ55" s="1"/>
      <c r="GFK55" s="1"/>
      <c r="GFL55" s="1"/>
      <c r="GFM55" s="1"/>
      <c r="GFN55" s="1"/>
      <c r="GFO55" s="1"/>
      <c r="GFP55" s="1"/>
      <c r="GFQ55" s="1"/>
      <c r="GFR55" s="1"/>
      <c r="GFS55" s="1"/>
      <c r="GFT55" s="1"/>
      <c r="GFU55" s="1"/>
      <c r="GFV55" s="1"/>
      <c r="GFW55" s="1"/>
      <c r="GFX55" s="1"/>
      <c r="GFY55" s="1"/>
      <c r="GFZ55" s="1"/>
      <c r="GGA55" s="1"/>
      <c r="GGB55" s="1"/>
      <c r="GGC55" s="1"/>
      <c r="GGD55" s="1"/>
      <c r="GGE55" s="1"/>
      <c r="GGF55" s="1"/>
      <c r="GGG55" s="1"/>
      <c r="GGH55" s="1"/>
      <c r="GGI55" s="1"/>
      <c r="GGJ55" s="1"/>
      <c r="GGK55" s="1"/>
      <c r="GGL55" s="1"/>
      <c r="GGM55" s="1"/>
      <c r="GGN55" s="1"/>
      <c r="GGO55" s="1"/>
      <c r="GGP55" s="1"/>
      <c r="GGQ55" s="1"/>
      <c r="GGR55" s="1"/>
      <c r="GGS55" s="1"/>
      <c r="GGT55" s="1"/>
      <c r="GGU55" s="1"/>
      <c r="GGV55" s="1"/>
      <c r="GGW55" s="1"/>
      <c r="GGX55" s="1"/>
      <c r="GGY55" s="1"/>
      <c r="GGZ55" s="1"/>
      <c r="GHA55" s="1"/>
      <c r="GHB55" s="1"/>
      <c r="GHC55" s="1"/>
      <c r="GHD55" s="1"/>
      <c r="GHE55" s="1"/>
      <c r="GHF55" s="1"/>
      <c r="GHG55" s="1"/>
      <c r="GHH55" s="1"/>
      <c r="GHI55" s="1"/>
      <c r="GHJ55" s="1"/>
      <c r="GHK55" s="1"/>
      <c r="GHL55" s="1"/>
      <c r="GHM55" s="1"/>
      <c r="GHN55" s="1"/>
      <c r="GHO55" s="1"/>
      <c r="GHP55" s="1"/>
      <c r="GHQ55" s="1"/>
      <c r="GHR55" s="1"/>
      <c r="GHS55" s="1"/>
      <c r="GHT55" s="1"/>
      <c r="GHU55" s="1"/>
      <c r="GHV55" s="1"/>
      <c r="GHW55" s="1"/>
      <c r="GHX55" s="1"/>
      <c r="GHY55" s="1"/>
      <c r="GHZ55" s="1"/>
      <c r="GIA55" s="1"/>
      <c r="GIB55" s="1"/>
      <c r="GIC55" s="1"/>
      <c r="GID55" s="1"/>
      <c r="GIE55" s="1"/>
      <c r="GIF55" s="1"/>
      <c r="GIG55" s="1"/>
      <c r="GIH55" s="1"/>
      <c r="GII55" s="1"/>
      <c r="GIJ55" s="1"/>
      <c r="GIK55" s="1"/>
      <c r="GIL55" s="1"/>
      <c r="GIM55" s="1"/>
      <c r="GIN55" s="1"/>
      <c r="GIO55" s="1"/>
      <c r="GIP55" s="1"/>
      <c r="GIQ55" s="1"/>
      <c r="GIR55" s="1"/>
      <c r="GIS55" s="1"/>
      <c r="GIT55" s="1"/>
      <c r="GIU55" s="1"/>
      <c r="GIV55" s="1"/>
      <c r="GIW55" s="1"/>
      <c r="GIX55" s="1"/>
      <c r="GIY55" s="1"/>
      <c r="GIZ55" s="1"/>
      <c r="GJA55" s="1"/>
      <c r="GJB55" s="1"/>
      <c r="GJC55" s="1"/>
      <c r="GJD55" s="1"/>
      <c r="GJE55" s="1"/>
      <c r="GJF55" s="1"/>
      <c r="GJG55" s="1"/>
      <c r="GJH55" s="1"/>
      <c r="GJI55" s="1"/>
      <c r="GJJ55" s="1"/>
      <c r="GJK55" s="1"/>
      <c r="GJL55" s="1"/>
      <c r="GJM55" s="1"/>
      <c r="GJN55" s="1"/>
      <c r="GJO55" s="1"/>
      <c r="GJP55" s="1"/>
      <c r="GJQ55" s="1"/>
      <c r="GJR55" s="1"/>
      <c r="GJS55" s="1"/>
      <c r="GJT55" s="1"/>
      <c r="GJU55" s="1"/>
      <c r="GJV55" s="1"/>
      <c r="GJW55" s="1"/>
      <c r="GJX55" s="1"/>
      <c r="GJY55" s="1"/>
      <c r="GJZ55" s="1"/>
      <c r="GKA55" s="1"/>
      <c r="GKB55" s="1"/>
      <c r="GKC55" s="1"/>
      <c r="GKD55" s="1"/>
      <c r="GKE55" s="1"/>
      <c r="GKF55" s="1"/>
      <c r="GKG55" s="1"/>
      <c r="GKH55" s="1"/>
      <c r="GKI55" s="1"/>
      <c r="GKJ55" s="1"/>
      <c r="GKK55" s="1"/>
      <c r="GKL55" s="1"/>
      <c r="GKM55" s="1"/>
      <c r="GKN55" s="1"/>
      <c r="GKO55" s="1"/>
      <c r="GKP55" s="1"/>
      <c r="GKQ55" s="1"/>
      <c r="GKR55" s="1"/>
      <c r="GKS55" s="1"/>
      <c r="GKT55" s="1"/>
      <c r="GKU55" s="1"/>
      <c r="GKV55" s="1"/>
      <c r="GKW55" s="1"/>
      <c r="GKX55" s="1"/>
      <c r="GKY55" s="1"/>
      <c r="GKZ55" s="1"/>
      <c r="GLA55" s="1"/>
      <c r="GLB55" s="1"/>
      <c r="GLC55" s="1"/>
      <c r="GLD55" s="1"/>
      <c r="GLE55" s="1"/>
      <c r="GLF55" s="1"/>
      <c r="GLG55" s="1"/>
      <c r="GLH55" s="1"/>
      <c r="GLI55" s="1"/>
      <c r="GLJ55" s="1"/>
      <c r="GLK55" s="1"/>
      <c r="GLL55" s="1"/>
      <c r="GLM55" s="1"/>
      <c r="GLN55" s="1"/>
      <c r="GLO55" s="1"/>
      <c r="GLP55" s="1"/>
      <c r="GLQ55" s="1"/>
      <c r="GLR55" s="1"/>
      <c r="GLS55" s="1"/>
      <c r="GLT55" s="1"/>
      <c r="GLU55" s="1"/>
      <c r="GLV55" s="1"/>
      <c r="GLW55" s="1"/>
      <c r="GLX55" s="1"/>
      <c r="GLY55" s="1"/>
      <c r="GLZ55" s="1"/>
      <c r="GMA55" s="1"/>
      <c r="GMB55" s="1"/>
      <c r="GMC55" s="1"/>
      <c r="GMD55" s="1"/>
      <c r="GME55" s="1"/>
      <c r="GMF55" s="1"/>
      <c r="GMG55" s="1"/>
      <c r="GMH55" s="1"/>
      <c r="GMI55" s="1"/>
      <c r="GMJ55" s="1"/>
      <c r="GMK55" s="1"/>
      <c r="GML55" s="1"/>
      <c r="GMM55" s="1"/>
      <c r="GMN55" s="1"/>
      <c r="GMO55" s="1"/>
      <c r="GMP55" s="1"/>
      <c r="GMQ55" s="1"/>
      <c r="GMR55" s="1"/>
      <c r="GMS55" s="1"/>
      <c r="GMT55" s="1"/>
      <c r="GMU55" s="1"/>
      <c r="GMV55" s="1"/>
      <c r="GMW55" s="1"/>
      <c r="GMX55" s="1"/>
      <c r="GMY55" s="1"/>
      <c r="GMZ55" s="1"/>
      <c r="GNA55" s="1"/>
      <c r="GNB55" s="1"/>
      <c r="GNC55" s="1"/>
      <c r="GND55" s="1"/>
      <c r="GNE55" s="1"/>
      <c r="GNF55" s="1"/>
      <c r="GNG55" s="1"/>
      <c r="GNH55" s="1"/>
      <c r="GNI55" s="1"/>
      <c r="GNJ55" s="1"/>
      <c r="GNK55" s="1"/>
      <c r="GNL55" s="1"/>
      <c r="GNM55" s="1"/>
      <c r="GNN55" s="1"/>
      <c r="GNO55" s="1"/>
      <c r="GNP55" s="1"/>
      <c r="GNQ55" s="1"/>
      <c r="GNR55" s="1"/>
      <c r="GNS55" s="1"/>
      <c r="GNT55" s="1"/>
      <c r="GNU55" s="1"/>
      <c r="GNV55" s="1"/>
      <c r="GNW55" s="1"/>
      <c r="GNX55" s="1"/>
      <c r="GNY55" s="1"/>
      <c r="GNZ55" s="1"/>
      <c r="GOA55" s="1"/>
      <c r="GOB55" s="1"/>
      <c r="GOC55" s="1"/>
      <c r="GOD55" s="1"/>
      <c r="GOE55" s="1"/>
      <c r="GOF55" s="1"/>
      <c r="GOG55" s="1"/>
      <c r="GOH55" s="1"/>
      <c r="GOI55" s="1"/>
      <c r="GOJ55" s="1"/>
      <c r="GOK55" s="1"/>
      <c r="GOL55" s="1"/>
      <c r="GOM55" s="1"/>
      <c r="GON55" s="1"/>
      <c r="GOO55" s="1"/>
      <c r="GOP55" s="1"/>
      <c r="GOQ55" s="1"/>
      <c r="GOR55" s="1"/>
      <c r="GOS55" s="1"/>
      <c r="GOT55" s="1"/>
      <c r="GOU55" s="1"/>
      <c r="GOV55" s="1"/>
      <c r="GOW55" s="1"/>
      <c r="GOX55" s="1"/>
      <c r="GOY55" s="1"/>
      <c r="GOZ55" s="1"/>
      <c r="GPA55" s="1"/>
      <c r="GPB55" s="1"/>
      <c r="GPC55" s="1"/>
      <c r="GPD55" s="1"/>
      <c r="GPE55" s="1"/>
      <c r="GPF55" s="1"/>
      <c r="GPG55" s="1"/>
      <c r="GPH55" s="1"/>
      <c r="GPI55" s="1"/>
      <c r="GPJ55" s="1"/>
      <c r="GPK55" s="1"/>
      <c r="GPL55" s="1"/>
      <c r="GPM55" s="1"/>
      <c r="GPN55" s="1"/>
      <c r="GPO55" s="1"/>
      <c r="GPP55" s="1"/>
      <c r="GPQ55" s="1"/>
      <c r="GPR55" s="1"/>
      <c r="GPS55" s="1"/>
      <c r="GPT55" s="1"/>
      <c r="GPU55" s="1"/>
      <c r="GPV55" s="1"/>
      <c r="GPW55" s="1"/>
      <c r="GPX55" s="1"/>
      <c r="GPY55" s="1"/>
      <c r="GPZ55" s="1"/>
      <c r="GQA55" s="1"/>
      <c r="GQB55" s="1"/>
      <c r="GQC55" s="1"/>
      <c r="GQD55" s="1"/>
      <c r="GQE55" s="1"/>
      <c r="GQF55" s="1"/>
      <c r="GQG55" s="1"/>
      <c r="GQH55" s="1"/>
      <c r="GQI55" s="1"/>
      <c r="GQJ55" s="1"/>
      <c r="GQK55" s="1"/>
      <c r="GQL55" s="1"/>
      <c r="GQM55" s="1"/>
      <c r="GQN55" s="1"/>
      <c r="GQO55" s="1"/>
      <c r="GQP55" s="1"/>
      <c r="GQQ55" s="1"/>
      <c r="GQR55" s="1"/>
      <c r="GQS55" s="1"/>
      <c r="GQT55" s="1"/>
      <c r="GQU55" s="1"/>
      <c r="GQV55" s="1"/>
      <c r="GQW55" s="1"/>
      <c r="GQX55" s="1"/>
      <c r="GQY55" s="1"/>
      <c r="GQZ55" s="1"/>
      <c r="GRA55" s="1"/>
      <c r="GRB55" s="1"/>
      <c r="GRC55" s="1"/>
      <c r="GRD55" s="1"/>
      <c r="GRE55" s="1"/>
      <c r="GRF55" s="1"/>
      <c r="GRG55" s="1"/>
      <c r="GRH55" s="1"/>
      <c r="GRI55" s="1"/>
      <c r="GRJ55" s="1"/>
      <c r="GRK55" s="1"/>
      <c r="GRL55" s="1"/>
      <c r="GRM55" s="1"/>
      <c r="GRN55" s="1"/>
      <c r="GRO55" s="1"/>
      <c r="GRP55" s="1"/>
      <c r="GRQ55" s="1"/>
      <c r="GRR55" s="1"/>
      <c r="GRS55" s="1"/>
      <c r="GRT55" s="1"/>
      <c r="GRU55" s="1"/>
      <c r="GRV55" s="1"/>
      <c r="GRW55" s="1"/>
      <c r="GRX55" s="1"/>
      <c r="GRY55" s="1"/>
      <c r="GRZ55" s="1"/>
      <c r="GSA55" s="1"/>
      <c r="GSB55" s="1"/>
      <c r="GSC55" s="1"/>
      <c r="GSD55" s="1"/>
      <c r="GSE55" s="1"/>
      <c r="GSF55" s="1"/>
      <c r="GSG55" s="1"/>
      <c r="GSH55" s="1"/>
      <c r="GSI55" s="1"/>
      <c r="GSJ55" s="1"/>
      <c r="GSK55" s="1"/>
      <c r="GSL55" s="1"/>
      <c r="GSM55" s="1"/>
      <c r="GSN55" s="1"/>
      <c r="GSO55" s="1"/>
      <c r="GSP55" s="1"/>
      <c r="GSQ55" s="1"/>
      <c r="GSR55" s="1"/>
      <c r="GSS55" s="1"/>
      <c r="GST55" s="1"/>
      <c r="GSU55" s="1"/>
      <c r="GSV55" s="1"/>
      <c r="GSW55" s="1"/>
      <c r="GSX55" s="1"/>
      <c r="GSY55" s="1"/>
      <c r="GSZ55" s="1"/>
      <c r="GTA55" s="1"/>
      <c r="GTB55" s="1"/>
      <c r="GTC55" s="1"/>
      <c r="GTD55" s="1"/>
      <c r="GTE55" s="1"/>
      <c r="GTF55" s="1"/>
      <c r="GTG55" s="1"/>
      <c r="GTH55" s="1"/>
      <c r="GTI55" s="1"/>
      <c r="GTJ55" s="1"/>
      <c r="GTK55" s="1"/>
      <c r="GTL55" s="1"/>
      <c r="GTM55" s="1"/>
      <c r="GTN55" s="1"/>
      <c r="GTO55" s="1"/>
      <c r="GTP55" s="1"/>
      <c r="GTQ55" s="1"/>
      <c r="GTR55" s="1"/>
      <c r="GTS55" s="1"/>
      <c r="GTT55" s="1"/>
      <c r="GTU55" s="1"/>
      <c r="GTV55" s="1"/>
      <c r="GTW55" s="1"/>
      <c r="GTX55" s="1"/>
      <c r="GTY55" s="1"/>
      <c r="GTZ55" s="1"/>
      <c r="GUA55" s="1"/>
      <c r="GUB55" s="1"/>
      <c r="GUC55" s="1"/>
      <c r="GUD55" s="1"/>
      <c r="GUE55" s="1"/>
      <c r="GUF55" s="1"/>
      <c r="GUG55" s="1"/>
      <c r="GUH55" s="1"/>
      <c r="GUI55" s="1"/>
      <c r="GUJ55" s="1"/>
      <c r="GUK55" s="1"/>
      <c r="GUL55" s="1"/>
      <c r="GUM55" s="1"/>
      <c r="GUN55" s="1"/>
      <c r="GUO55" s="1"/>
      <c r="GUP55" s="1"/>
      <c r="GUQ55" s="1"/>
      <c r="GUR55" s="1"/>
      <c r="GUS55" s="1"/>
      <c r="GUT55" s="1"/>
      <c r="GUU55" s="1"/>
      <c r="GUV55" s="1"/>
      <c r="GUW55" s="1"/>
      <c r="GUX55" s="1"/>
      <c r="GUY55" s="1"/>
      <c r="GUZ55" s="1"/>
      <c r="GVA55" s="1"/>
      <c r="GVB55" s="1"/>
      <c r="GVC55" s="1"/>
      <c r="GVD55" s="1"/>
      <c r="GVE55" s="1"/>
      <c r="GVF55" s="1"/>
      <c r="GVG55" s="1"/>
      <c r="GVH55" s="1"/>
      <c r="GVI55" s="1"/>
      <c r="GVJ55" s="1"/>
      <c r="GVK55" s="1"/>
      <c r="GVL55" s="1"/>
      <c r="GVM55" s="1"/>
      <c r="GVN55" s="1"/>
      <c r="GVO55" s="1"/>
      <c r="GVP55" s="1"/>
      <c r="GVQ55" s="1"/>
      <c r="GVR55" s="1"/>
      <c r="GVS55" s="1"/>
      <c r="GVT55" s="1"/>
      <c r="GVU55" s="1"/>
      <c r="GVV55" s="1"/>
      <c r="GVW55" s="1"/>
      <c r="GVX55" s="1"/>
      <c r="GVY55" s="1"/>
      <c r="GVZ55" s="1"/>
      <c r="GWA55" s="1"/>
      <c r="GWB55" s="1"/>
      <c r="GWC55" s="1"/>
      <c r="GWD55" s="1"/>
      <c r="GWE55" s="1"/>
      <c r="GWF55" s="1"/>
      <c r="GWG55" s="1"/>
      <c r="GWH55" s="1"/>
      <c r="GWI55" s="1"/>
      <c r="GWJ55" s="1"/>
      <c r="GWK55" s="1"/>
      <c r="GWL55" s="1"/>
      <c r="GWM55" s="1"/>
      <c r="GWN55" s="1"/>
      <c r="GWO55" s="1"/>
      <c r="GWP55" s="1"/>
      <c r="GWQ55" s="1"/>
      <c r="GWR55" s="1"/>
      <c r="GWS55" s="1"/>
      <c r="GWT55" s="1"/>
      <c r="GWU55" s="1"/>
      <c r="GWV55" s="1"/>
      <c r="GWW55" s="1"/>
      <c r="GWX55" s="1"/>
      <c r="GWY55" s="1"/>
      <c r="GWZ55" s="1"/>
      <c r="GXA55" s="1"/>
      <c r="GXB55" s="1"/>
      <c r="GXC55" s="1"/>
      <c r="GXD55" s="1"/>
      <c r="GXE55" s="1"/>
      <c r="GXF55" s="1"/>
      <c r="GXG55" s="1"/>
      <c r="GXH55" s="1"/>
      <c r="GXI55" s="1"/>
      <c r="GXJ55" s="1"/>
      <c r="GXK55" s="1"/>
      <c r="GXL55" s="1"/>
      <c r="GXM55" s="1"/>
      <c r="GXN55" s="1"/>
      <c r="GXO55" s="1"/>
      <c r="GXP55" s="1"/>
      <c r="GXQ55" s="1"/>
      <c r="GXR55" s="1"/>
      <c r="GXS55" s="1"/>
      <c r="GXT55" s="1"/>
      <c r="GXU55" s="1"/>
      <c r="GXV55" s="1"/>
      <c r="GXW55" s="1"/>
      <c r="GXX55" s="1"/>
      <c r="GXY55" s="1"/>
      <c r="GXZ55" s="1"/>
      <c r="GYA55" s="1"/>
      <c r="GYB55" s="1"/>
      <c r="GYC55" s="1"/>
      <c r="GYD55" s="1"/>
      <c r="GYE55" s="1"/>
      <c r="GYF55" s="1"/>
      <c r="GYG55" s="1"/>
      <c r="GYH55" s="1"/>
      <c r="GYI55" s="1"/>
      <c r="GYJ55" s="1"/>
      <c r="GYK55" s="1"/>
      <c r="GYL55" s="1"/>
      <c r="GYM55" s="1"/>
      <c r="GYN55" s="1"/>
      <c r="GYO55" s="1"/>
      <c r="GYP55" s="1"/>
      <c r="GYQ55" s="1"/>
      <c r="GYR55" s="1"/>
      <c r="GYS55" s="1"/>
      <c r="GYT55" s="1"/>
      <c r="GYU55" s="1"/>
      <c r="GYV55" s="1"/>
      <c r="GYW55" s="1"/>
      <c r="GYX55" s="1"/>
      <c r="GYY55" s="1"/>
      <c r="GYZ55" s="1"/>
      <c r="GZA55" s="1"/>
      <c r="GZB55" s="1"/>
      <c r="GZC55" s="1"/>
      <c r="GZD55" s="1"/>
      <c r="GZE55" s="1"/>
      <c r="GZF55" s="1"/>
      <c r="GZG55" s="1"/>
      <c r="GZH55" s="1"/>
      <c r="GZI55" s="1"/>
      <c r="GZJ55" s="1"/>
      <c r="GZK55" s="1"/>
      <c r="GZL55" s="1"/>
      <c r="GZM55" s="1"/>
      <c r="GZN55" s="1"/>
      <c r="GZO55" s="1"/>
      <c r="GZP55" s="1"/>
      <c r="GZQ55" s="1"/>
      <c r="GZR55" s="1"/>
      <c r="GZS55" s="1"/>
      <c r="GZT55" s="1"/>
      <c r="GZU55" s="1"/>
      <c r="GZV55" s="1"/>
      <c r="GZW55" s="1"/>
      <c r="GZX55" s="1"/>
      <c r="GZY55" s="1"/>
      <c r="GZZ55" s="1"/>
      <c r="HAA55" s="1"/>
      <c r="HAB55" s="1"/>
      <c r="HAC55" s="1"/>
      <c r="HAD55" s="1"/>
      <c r="HAE55" s="1"/>
      <c r="HAF55" s="1"/>
      <c r="HAG55" s="1"/>
      <c r="HAH55" s="1"/>
      <c r="HAI55" s="1"/>
      <c r="HAJ55" s="1"/>
      <c r="HAK55" s="1"/>
      <c r="HAL55" s="1"/>
      <c r="HAM55" s="1"/>
      <c r="HAN55" s="1"/>
      <c r="HAO55" s="1"/>
      <c r="HAP55" s="1"/>
      <c r="HAQ55" s="1"/>
      <c r="HAR55" s="1"/>
      <c r="HAS55" s="1"/>
      <c r="HAT55" s="1"/>
      <c r="HAU55" s="1"/>
      <c r="HAV55" s="1"/>
      <c r="HAW55" s="1"/>
      <c r="HAX55" s="1"/>
      <c r="HAY55" s="1"/>
      <c r="HAZ55" s="1"/>
      <c r="HBA55" s="1"/>
      <c r="HBB55" s="1"/>
      <c r="HBC55" s="1"/>
      <c r="HBD55" s="1"/>
      <c r="HBE55" s="1"/>
      <c r="HBF55" s="1"/>
      <c r="HBG55" s="1"/>
      <c r="HBH55" s="1"/>
      <c r="HBI55" s="1"/>
      <c r="HBJ55" s="1"/>
      <c r="HBK55" s="1"/>
      <c r="HBL55" s="1"/>
      <c r="HBM55" s="1"/>
      <c r="HBN55" s="1"/>
      <c r="HBO55" s="1"/>
      <c r="HBP55" s="1"/>
      <c r="HBQ55" s="1"/>
      <c r="HBR55" s="1"/>
      <c r="HBS55" s="1"/>
      <c r="HBT55" s="1"/>
      <c r="HBU55" s="1"/>
      <c r="HBV55" s="1"/>
      <c r="HBW55" s="1"/>
      <c r="HBX55" s="1"/>
      <c r="HBY55" s="1"/>
      <c r="HBZ55" s="1"/>
      <c r="HCA55" s="1"/>
      <c r="HCB55" s="1"/>
      <c r="HCC55" s="1"/>
      <c r="HCD55" s="1"/>
      <c r="HCE55" s="1"/>
      <c r="HCF55" s="1"/>
      <c r="HCG55" s="1"/>
      <c r="HCH55" s="1"/>
      <c r="HCI55" s="1"/>
      <c r="HCJ55" s="1"/>
      <c r="HCK55" s="1"/>
      <c r="HCL55" s="1"/>
      <c r="HCM55" s="1"/>
      <c r="HCN55" s="1"/>
      <c r="HCO55" s="1"/>
      <c r="HCP55" s="1"/>
      <c r="HCQ55" s="1"/>
      <c r="HCR55" s="1"/>
      <c r="HCS55" s="1"/>
      <c r="HCT55" s="1"/>
      <c r="HCU55" s="1"/>
      <c r="HCV55" s="1"/>
      <c r="HCW55" s="1"/>
      <c r="HCX55" s="1"/>
      <c r="HCY55" s="1"/>
      <c r="HCZ55" s="1"/>
      <c r="HDA55" s="1"/>
      <c r="HDB55" s="1"/>
      <c r="HDC55" s="1"/>
      <c r="HDD55" s="1"/>
      <c r="HDE55" s="1"/>
      <c r="HDF55" s="1"/>
      <c r="HDG55" s="1"/>
      <c r="HDH55" s="1"/>
      <c r="HDI55" s="1"/>
      <c r="HDJ55" s="1"/>
      <c r="HDK55" s="1"/>
      <c r="HDL55" s="1"/>
      <c r="HDM55" s="1"/>
      <c r="HDN55" s="1"/>
      <c r="HDO55" s="1"/>
      <c r="HDP55" s="1"/>
      <c r="HDQ55" s="1"/>
      <c r="HDR55" s="1"/>
      <c r="HDS55" s="1"/>
      <c r="HDT55" s="1"/>
      <c r="HDU55" s="1"/>
      <c r="HDV55" s="1"/>
      <c r="HDW55" s="1"/>
      <c r="HDX55" s="1"/>
      <c r="HDY55" s="1"/>
      <c r="HDZ55" s="1"/>
      <c r="HEA55" s="1"/>
      <c r="HEB55" s="1"/>
      <c r="HEC55" s="1"/>
      <c r="HED55" s="1"/>
      <c r="HEE55" s="1"/>
      <c r="HEF55" s="1"/>
      <c r="HEG55" s="1"/>
      <c r="HEH55" s="1"/>
      <c r="HEI55" s="1"/>
      <c r="HEJ55" s="1"/>
      <c r="HEK55" s="1"/>
      <c r="HEL55" s="1"/>
      <c r="HEM55" s="1"/>
      <c r="HEN55" s="1"/>
      <c r="HEO55" s="1"/>
      <c r="HEP55" s="1"/>
      <c r="HEQ55" s="1"/>
      <c r="HER55" s="1"/>
      <c r="HES55" s="1"/>
      <c r="HET55" s="1"/>
      <c r="HEU55" s="1"/>
      <c r="HEV55" s="1"/>
      <c r="HEW55" s="1"/>
      <c r="HEX55" s="1"/>
      <c r="HEY55" s="1"/>
      <c r="HEZ55" s="1"/>
      <c r="HFA55" s="1"/>
      <c r="HFB55" s="1"/>
      <c r="HFC55" s="1"/>
      <c r="HFD55" s="1"/>
      <c r="HFE55" s="1"/>
      <c r="HFF55" s="1"/>
      <c r="HFG55" s="1"/>
      <c r="HFH55" s="1"/>
      <c r="HFI55" s="1"/>
      <c r="HFJ55" s="1"/>
      <c r="HFK55" s="1"/>
      <c r="HFL55" s="1"/>
      <c r="HFM55" s="1"/>
      <c r="HFN55" s="1"/>
      <c r="HFO55" s="1"/>
      <c r="HFP55" s="1"/>
      <c r="HFQ55" s="1"/>
      <c r="HFR55" s="1"/>
      <c r="HFS55" s="1"/>
      <c r="HFT55" s="1"/>
      <c r="HFU55" s="1"/>
      <c r="HFV55" s="1"/>
      <c r="HFW55" s="1"/>
      <c r="HFX55" s="1"/>
      <c r="HFY55" s="1"/>
      <c r="HFZ55" s="1"/>
      <c r="HGA55" s="1"/>
      <c r="HGB55" s="1"/>
      <c r="HGC55" s="1"/>
      <c r="HGD55" s="1"/>
      <c r="HGE55" s="1"/>
      <c r="HGF55" s="1"/>
      <c r="HGG55" s="1"/>
      <c r="HGH55" s="1"/>
      <c r="HGI55" s="1"/>
      <c r="HGJ55" s="1"/>
      <c r="HGK55" s="1"/>
      <c r="HGL55" s="1"/>
      <c r="HGM55" s="1"/>
      <c r="HGN55" s="1"/>
      <c r="HGO55" s="1"/>
      <c r="HGP55" s="1"/>
      <c r="HGQ55" s="1"/>
      <c r="HGR55" s="1"/>
      <c r="HGS55" s="1"/>
      <c r="HGT55" s="1"/>
      <c r="HGU55" s="1"/>
      <c r="HGV55" s="1"/>
      <c r="HGW55" s="1"/>
      <c r="HGX55" s="1"/>
      <c r="HGY55" s="1"/>
      <c r="HGZ55" s="1"/>
      <c r="HHA55" s="1"/>
      <c r="HHB55" s="1"/>
      <c r="HHC55" s="1"/>
      <c r="HHD55" s="1"/>
      <c r="HHE55" s="1"/>
      <c r="HHF55" s="1"/>
      <c r="HHG55" s="1"/>
      <c r="HHH55" s="1"/>
      <c r="HHI55" s="1"/>
      <c r="HHJ55" s="1"/>
      <c r="HHK55" s="1"/>
      <c r="HHL55" s="1"/>
      <c r="HHM55" s="1"/>
      <c r="HHN55" s="1"/>
      <c r="HHO55" s="1"/>
      <c r="HHP55" s="1"/>
      <c r="HHQ55" s="1"/>
      <c r="HHR55" s="1"/>
      <c r="HHS55" s="1"/>
      <c r="HHT55" s="1"/>
      <c r="HHU55" s="1"/>
      <c r="HHV55" s="1"/>
      <c r="HHW55" s="1"/>
      <c r="HHX55" s="1"/>
      <c r="HHY55" s="1"/>
      <c r="HHZ55" s="1"/>
      <c r="HIA55" s="1"/>
      <c r="HIB55" s="1"/>
      <c r="HIC55" s="1"/>
      <c r="HID55" s="1"/>
      <c r="HIE55" s="1"/>
      <c r="HIF55" s="1"/>
      <c r="HIG55" s="1"/>
      <c r="HIH55" s="1"/>
      <c r="HII55" s="1"/>
      <c r="HIJ55" s="1"/>
      <c r="HIK55" s="1"/>
      <c r="HIL55" s="1"/>
      <c r="HIM55" s="1"/>
      <c r="HIN55" s="1"/>
      <c r="HIO55" s="1"/>
      <c r="HIP55" s="1"/>
      <c r="HIQ55" s="1"/>
      <c r="HIR55" s="1"/>
      <c r="HIS55" s="1"/>
      <c r="HIT55" s="1"/>
      <c r="HIU55" s="1"/>
      <c r="HIV55" s="1"/>
      <c r="HIW55" s="1"/>
      <c r="HIX55" s="1"/>
      <c r="HIY55" s="1"/>
      <c r="HIZ55" s="1"/>
      <c r="HJA55" s="1"/>
      <c r="HJB55" s="1"/>
      <c r="HJC55" s="1"/>
      <c r="HJD55" s="1"/>
      <c r="HJE55" s="1"/>
      <c r="HJF55" s="1"/>
      <c r="HJG55" s="1"/>
      <c r="HJH55" s="1"/>
      <c r="HJI55" s="1"/>
      <c r="HJJ55" s="1"/>
      <c r="HJK55" s="1"/>
      <c r="HJL55" s="1"/>
      <c r="HJM55" s="1"/>
      <c r="HJN55" s="1"/>
      <c r="HJO55" s="1"/>
      <c r="HJP55" s="1"/>
      <c r="HJQ55" s="1"/>
      <c r="HJR55" s="1"/>
      <c r="HJS55" s="1"/>
      <c r="HJT55" s="1"/>
      <c r="HJU55" s="1"/>
      <c r="HJV55" s="1"/>
      <c r="HJW55" s="1"/>
      <c r="HJX55" s="1"/>
      <c r="HJY55" s="1"/>
      <c r="HJZ55" s="1"/>
      <c r="HKA55" s="1"/>
      <c r="HKB55" s="1"/>
      <c r="HKC55" s="1"/>
      <c r="HKD55" s="1"/>
      <c r="HKE55" s="1"/>
      <c r="HKF55" s="1"/>
      <c r="HKG55" s="1"/>
      <c r="HKH55" s="1"/>
      <c r="HKI55" s="1"/>
      <c r="HKJ55" s="1"/>
      <c r="HKK55" s="1"/>
      <c r="HKL55" s="1"/>
      <c r="HKM55" s="1"/>
      <c r="HKN55" s="1"/>
      <c r="HKO55" s="1"/>
      <c r="HKP55" s="1"/>
      <c r="HKQ55" s="1"/>
      <c r="HKR55" s="1"/>
      <c r="HKS55" s="1"/>
      <c r="HKT55" s="1"/>
      <c r="HKU55" s="1"/>
      <c r="HKV55" s="1"/>
      <c r="HKW55" s="1"/>
      <c r="HKX55" s="1"/>
      <c r="HKY55" s="1"/>
      <c r="HKZ55" s="1"/>
      <c r="HLA55" s="1"/>
      <c r="HLB55" s="1"/>
      <c r="HLC55" s="1"/>
      <c r="HLD55" s="1"/>
      <c r="HLE55" s="1"/>
      <c r="HLF55" s="1"/>
      <c r="HLG55" s="1"/>
      <c r="HLH55" s="1"/>
      <c r="HLI55" s="1"/>
      <c r="HLJ55" s="1"/>
      <c r="HLK55" s="1"/>
      <c r="HLL55" s="1"/>
      <c r="HLM55" s="1"/>
      <c r="HLN55" s="1"/>
      <c r="HLO55" s="1"/>
      <c r="HLP55" s="1"/>
      <c r="HLQ55" s="1"/>
      <c r="HLR55" s="1"/>
      <c r="HLS55" s="1"/>
      <c r="HLT55" s="1"/>
      <c r="HLU55" s="1"/>
      <c r="HLV55" s="1"/>
      <c r="HLW55" s="1"/>
      <c r="HLX55" s="1"/>
      <c r="HLY55" s="1"/>
      <c r="HLZ55" s="1"/>
      <c r="HMA55" s="1"/>
      <c r="HMB55" s="1"/>
      <c r="HMC55" s="1"/>
      <c r="HMD55" s="1"/>
      <c r="HME55" s="1"/>
      <c r="HMF55" s="1"/>
      <c r="HMG55" s="1"/>
      <c r="HMH55" s="1"/>
      <c r="HMI55" s="1"/>
      <c r="HMJ55" s="1"/>
      <c r="HMK55" s="1"/>
      <c r="HML55" s="1"/>
      <c r="HMM55" s="1"/>
      <c r="HMN55" s="1"/>
      <c r="HMO55" s="1"/>
      <c r="HMP55" s="1"/>
      <c r="HMQ55" s="1"/>
      <c r="HMR55" s="1"/>
      <c r="HMS55" s="1"/>
      <c r="HMT55" s="1"/>
      <c r="HMU55" s="1"/>
      <c r="HMV55" s="1"/>
      <c r="HMW55" s="1"/>
      <c r="HMX55" s="1"/>
      <c r="HMY55" s="1"/>
      <c r="HMZ55" s="1"/>
      <c r="HNA55" s="1"/>
      <c r="HNB55" s="1"/>
      <c r="HNC55" s="1"/>
      <c r="HND55" s="1"/>
      <c r="HNE55" s="1"/>
      <c r="HNF55" s="1"/>
      <c r="HNG55" s="1"/>
      <c r="HNH55" s="1"/>
      <c r="HNI55" s="1"/>
      <c r="HNJ55" s="1"/>
      <c r="HNK55" s="1"/>
      <c r="HNL55" s="1"/>
      <c r="HNM55" s="1"/>
      <c r="HNN55" s="1"/>
      <c r="HNO55" s="1"/>
      <c r="HNP55" s="1"/>
      <c r="HNQ55" s="1"/>
      <c r="HNR55" s="1"/>
      <c r="HNS55" s="1"/>
      <c r="HNT55" s="1"/>
      <c r="HNU55" s="1"/>
      <c r="HNV55" s="1"/>
      <c r="HNW55" s="1"/>
      <c r="HNX55" s="1"/>
      <c r="HNY55" s="1"/>
      <c r="HNZ55" s="1"/>
      <c r="HOA55" s="1"/>
      <c r="HOB55" s="1"/>
      <c r="HOC55" s="1"/>
      <c r="HOD55" s="1"/>
      <c r="HOE55" s="1"/>
      <c r="HOF55" s="1"/>
      <c r="HOG55" s="1"/>
      <c r="HOH55" s="1"/>
      <c r="HOI55" s="1"/>
      <c r="HOJ55" s="1"/>
      <c r="HOK55" s="1"/>
      <c r="HOL55" s="1"/>
      <c r="HOM55" s="1"/>
      <c r="HON55" s="1"/>
      <c r="HOO55" s="1"/>
      <c r="HOP55" s="1"/>
      <c r="HOQ55" s="1"/>
      <c r="HOR55" s="1"/>
      <c r="HOS55" s="1"/>
      <c r="HOT55" s="1"/>
      <c r="HOU55" s="1"/>
      <c r="HOV55" s="1"/>
      <c r="HOW55" s="1"/>
      <c r="HOX55" s="1"/>
      <c r="HOY55" s="1"/>
      <c r="HOZ55" s="1"/>
      <c r="HPA55" s="1"/>
      <c r="HPB55" s="1"/>
      <c r="HPC55" s="1"/>
      <c r="HPD55" s="1"/>
      <c r="HPE55" s="1"/>
      <c r="HPF55" s="1"/>
      <c r="HPG55" s="1"/>
      <c r="HPH55" s="1"/>
      <c r="HPI55" s="1"/>
      <c r="HPJ55" s="1"/>
      <c r="HPK55" s="1"/>
      <c r="HPL55" s="1"/>
      <c r="HPM55" s="1"/>
      <c r="HPN55" s="1"/>
      <c r="HPO55" s="1"/>
      <c r="HPP55" s="1"/>
      <c r="HPQ55" s="1"/>
      <c r="HPR55" s="1"/>
      <c r="HPS55" s="1"/>
      <c r="HPT55" s="1"/>
      <c r="HPU55" s="1"/>
      <c r="HPV55" s="1"/>
      <c r="HPW55" s="1"/>
      <c r="HPX55" s="1"/>
      <c r="HPY55" s="1"/>
      <c r="HPZ55" s="1"/>
      <c r="HQA55" s="1"/>
      <c r="HQB55" s="1"/>
      <c r="HQC55" s="1"/>
      <c r="HQD55" s="1"/>
      <c r="HQE55" s="1"/>
      <c r="HQF55" s="1"/>
      <c r="HQG55" s="1"/>
      <c r="HQH55" s="1"/>
      <c r="HQI55" s="1"/>
      <c r="HQJ55" s="1"/>
      <c r="HQK55" s="1"/>
      <c r="HQL55" s="1"/>
      <c r="HQM55" s="1"/>
      <c r="HQN55" s="1"/>
      <c r="HQO55" s="1"/>
      <c r="HQP55" s="1"/>
      <c r="HQQ55" s="1"/>
      <c r="HQR55" s="1"/>
      <c r="HQS55" s="1"/>
      <c r="HQT55" s="1"/>
      <c r="HQU55" s="1"/>
      <c r="HQV55" s="1"/>
      <c r="HQW55" s="1"/>
      <c r="HQX55" s="1"/>
      <c r="HQY55" s="1"/>
      <c r="HQZ55" s="1"/>
      <c r="HRA55" s="1"/>
      <c r="HRB55" s="1"/>
      <c r="HRC55" s="1"/>
      <c r="HRD55" s="1"/>
      <c r="HRE55" s="1"/>
      <c r="HRF55" s="1"/>
      <c r="HRG55" s="1"/>
      <c r="HRH55" s="1"/>
      <c r="HRI55" s="1"/>
      <c r="HRJ55" s="1"/>
      <c r="HRK55" s="1"/>
      <c r="HRL55" s="1"/>
      <c r="HRM55" s="1"/>
      <c r="HRN55" s="1"/>
      <c r="HRO55" s="1"/>
      <c r="HRP55" s="1"/>
      <c r="HRQ55" s="1"/>
      <c r="HRR55" s="1"/>
      <c r="HRS55" s="1"/>
      <c r="HRT55" s="1"/>
      <c r="HRU55" s="1"/>
      <c r="HRV55" s="1"/>
      <c r="HRW55" s="1"/>
      <c r="HRX55" s="1"/>
      <c r="HRY55" s="1"/>
      <c r="HRZ55" s="1"/>
      <c r="HSA55" s="1"/>
      <c r="HSB55" s="1"/>
      <c r="HSC55" s="1"/>
      <c r="HSD55" s="1"/>
      <c r="HSE55" s="1"/>
      <c r="HSF55" s="1"/>
      <c r="HSG55" s="1"/>
      <c r="HSH55" s="1"/>
      <c r="HSI55" s="1"/>
      <c r="HSJ55" s="1"/>
      <c r="HSK55" s="1"/>
      <c r="HSL55" s="1"/>
      <c r="HSM55" s="1"/>
      <c r="HSN55" s="1"/>
      <c r="HSO55" s="1"/>
      <c r="HSP55" s="1"/>
      <c r="HSQ55" s="1"/>
      <c r="HSR55" s="1"/>
      <c r="HSS55" s="1"/>
      <c r="HST55" s="1"/>
      <c r="HSU55" s="1"/>
      <c r="HSV55" s="1"/>
      <c r="HSW55" s="1"/>
      <c r="HSX55" s="1"/>
      <c r="HSY55" s="1"/>
      <c r="HSZ55" s="1"/>
      <c r="HTA55" s="1"/>
      <c r="HTB55" s="1"/>
      <c r="HTC55" s="1"/>
      <c r="HTD55" s="1"/>
      <c r="HTE55" s="1"/>
      <c r="HTF55" s="1"/>
      <c r="HTG55" s="1"/>
      <c r="HTH55" s="1"/>
      <c r="HTI55" s="1"/>
      <c r="HTJ55" s="1"/>
      <c r="HTK55" s="1"/>
      <c r="HTL55" s="1"/>
      <c r="HTM55" s="1"/>
      <c r="HTN55" s="1"/>
      <c r="HTO55" s="1"/>
      <c r="HTP55" s="1"/>
      <c r="HTQ55" s="1"/>
      <c r="HTR55" s="1"/>
      <c r="HTS55" s="1"/>
      <c r="HTT55" s="1"/>
      <c r="HTU55" s="1"/>
      <c r="HTV55" s="1"/>
      <c r="HTW55" s="1"/>
      <c r="HTX55" s="1"/>
      <c r="HTY55" s="1"/>
      <c r="HTZ55" s="1"/>
      <c r="HUA55" s="1"/>
      <c r="HUB55" s="1"/>
      <c r="HUC55" s="1"/>
      <c r="HUD55" s="1"/>
      <c r="HUE55" s="1"/>
      <c r="HUF55" s="1"/>
      <c r="HUG55" s="1"/>
      <c r="HUH55" s="1"/>
      <c r="HUI55" s="1"/>
      <c r="HUJ55" s="1"/>
      <c r="HUK55" s="1"/>
      <c r="HUL55" s="1"/>
      <c r="HUM55" s="1"/>
      <c r="HUN55" s="1"/>
      <c r="HUO55" s="1"/>
      <c r="HUP55" s="1"/>
      <c r="HUQ55" s="1"/>
      <c r="HUR55" s="1"/>
      <c r="HUS55" s="1"/>
      <c r="HUT55" s="1"/>
      <c r="HUU55" s="1"/>
      <c r="HUV55" s="1"/>
      <c r="HUW55" s="1"/>
      <c r="HUX55" s="1"/>
      <c r="HUY55" s="1"/>
      <c r="HUZ55" s="1"/>
      <c r="HVA55" s="1"/>
      <c r="HVB55" s="1"/>
      <c r="HVC55" s="1"/>
      <c r="HVD55" s="1"/>
      <c r="HVE55" s="1"/>
      <c r="HVF55" s="1"/>
      <c r="HVG55" s="1"/>
      <c r="HVH55" s="1"/>
      <c r="HVI55" s="1"/>
      <c r="HVJ55" s="1"/>
      <c r="HVK55" s="1"/>
      <c r="HVL55" s="1"/>
      <c r="HVM55" s="1"/>
      <c r="HVN55" s="1"/>
      <c r="HVO55" s="1"/>
      <c r="HVP55" s="1"/>
      <c r="HVQ55" s="1"/>
      <c r="HVR55" s="1"/>
      <c r="HVS55" s="1"/>
      <c r="HVT55" s="1"/>
      <c r="HVU55" s="1"/>
      <c r="HVV55" s="1"/>
      <c r="HVW55" s="1"/>
      <c r="HVX55" s="1"/>
      <c r="HVY55" s="1"/>
      <c r="HVZ55" s="1"/>
      <c r="HWA55" s="1"/>
      <c r="HWB55" s="1"/>
      <c r="HWC55" s="1"/>
      <c r="HWD55" s="1"/>
      <c r="HWE55" s="1"/>
      <c r="HWF55" s="1"/>
      <c r="HWG55" s="1"/>
      <c r="HWH55" s="1"/>
      <c r="HWI55" s="1"/>
      <c r="HWJ55" s="1"/>
      <c r="HWK55" s="1"/>
      <c r="HWL55" s="1"/>
      <c r="HWM55" s="1"/>
      <c r="HWN55" s="1"/>
      <c r="HWO55" s="1"/>
      <c r="HWP55" s="1"/>
      <c r="HWQ55" s="1"/>
      <c r="HWR55" s="1"/>
      <c r="HWS55" s="1"/>
      <c r="HWT55" s="1"/>
      <c r="HWU55" s="1"/>
      <c r="HWV55" s="1"/>
      <c r="HWW55" s="1"/>
      <c r="HWX55" s="1"/>
      <c r="HWY55" s="1"/>
      <c r="HWZ55" s="1"/>
      <c r="HXA55" s="1"/>
      <c r="HXB55" s="1"/>
      <c r="HXC55" s="1"/>
      <c r="HXD55" s="1"/>
      <c r="HXE55" s="1"/>
      <c r="HXF55" s="1"/>
      <c r="HXG55" s="1"/>
      <c r="HXH55" s="1"/>
      <c r="HXI55" s="1"/>
      <c r="HXJ55" s="1"/>
      <c r="HXK55" s="1"/>
      <c r="HXL55" s="1"/>
      <c r="HXM55" s="1"/>
      <c r="HXN55" s="1"/>
      <c r="HXO55" s="1"/>
      <c r="HXP55" s="1"/>
      <c r="HXQ55" s="1"/>
      <c r="HXR55" s="1"/>
      <c r="HXS55" s="1"/>
      <c r="HXT55" s="1"/>
      <c r="HXU55" s="1"/>
      <c r="HXV55" s="1"/>
      <c r="HXW55" s="1"/>
      <c r="HXX55" s="1"/>
      <c r="HXY55" s="1"/>
      <c r="HXZ55" s="1"/>
      <c r="HYA55" s="1"/>
      <c r="HYB55" s="1"/>
      <c r="HYC55" s="1"/>
      <c r="HYD55" s="1"/>
      <c r="HYE55" s="1"/>
      <c r="HYF55" s="1"/>
      <c r="HYG55" s="1"/>
      <c r="HYH55" s="1"/>
      <c r="HYI55" s="1"/>
      <c r="HYJ55" s="1"/>
      <c r="HYK55" s="1"/>
      <c r="HYL55" s="1"/>
      <c r="HYM55" s="1"/>
      <c r="HYN55" s="1"/>
      <c r="HYO55" s="1"/>
      <c r="HYP55" s="1"/>
      <c r="HYQ55" s="1"/>
      <c r="HYR55" s="1"/>
      <c r="HYS55" s="1"/>
      <c r="HYT55" s="1"/>
      <c r="HYU55" s="1"/>
      <c r="HYV55" s="1"/>
      <c r="HYW55" s="1"/>
      <c r="HYX55" s="1"/>
      <c r="HYY55" s="1"/>
      <c r="HYZ55" s="1"/>
      <c r="HZA55" s="1"/>
      <c r="HZB55" s="1"/>
      <c r="HZC55" s="1"/>
      <c r="HZD55" s="1"/>
      <c r="HZE55" s="1"/>
      <c r="HZF55" s="1"/>
      <c r="HZG55" s="1"/>
      <c r="HZH55" s="1"/>
      <c r="HZI55" s="1"/>
      <c r="HZJ55" s="1"/>
      <c r="HZK55" s="1"/>
      <c r="HZL55" s="1"/>
      <c r="HZM55" s="1"/>
      <c r="HZN55" s="1"/>
      <c r="HZO55" s="1"/>
      <c r="HZP55" s="1"/>
      <c r="HZQ55" s="1"/>
      <c r="HZR55" s="1"/>
      <c r="HZS55" s="1"/>
      <c r="HZT55" s="1"/>
      <c r="HZU55" s="1"/>
      <c r="HZV55" s="1"/>
      <c r="HZW55" s="1"/>
      <c r="HZX55" s="1"/>
      <c r="HZY55" s="1"/>
      <c r="HZZ55" s="1"/>
      <c r="IAA55" s="1"/>
      <c r="IAB55" s="1"/>
      <c r="IAC55" s="1"/>
      <c r="IAD55" s="1"/>
      <c r="IAE55" s="1"/>
      <c r="IAF55" s="1"/>
      <c r="IAG55" s="1"/>
      <c r="IAH55" s="1"/>
      <c r="IAI55" s="1"/>
      <c r="IAJ55" s="1"/>
      <c r="IAK55" s="1"/>
      <c r="IAL55" s="1"/>
      <c r="IAM55" s="1"/>
      <c r="IAN55" s="1"/>
      <c r="IAO55" s="1"/>
      <c r="IAP55" s="1"/>
      <c r="IAQ55" s="1"/>
      <c r="IAR55" s="1"/>
      <c r="IAS55" s="1"/>
      <c r="IAT55" s="1"/>
      <c r="IAU55" s="1"/>
      <c r="IAV55" s="1"/>
      <c r="IAW55" s="1"/>
      <c r="IAX55" s="1"/>
      <c r="IAY55" s="1"/>
      <c r="IAZ55" s="1"/>
      <c r="IBA55" s="1"/>
      <c r="IBB55" s="1"/>
      <c r="IBC55" s="1"/>
      <c r="IBD55" s="1"/>
      <c r="IBE55" s="1"/>
      <c r="IBF55" s="1"/>
      <c r="IBG55" s="1"/>
      <c r="IBH55" s="1"/>
      <c r="IBI55" s="1"/>
      <c r="IBJ55" s="1"/>
      <c r="IBK55" s="1"/>
      <c r="IBL55" s="1"/>
      <c r="IBM55" s="1"/>
      <c r="IBN55" s="1"/>
      <c r="IBO55" s="1"/>
      <c r="IBP55" s="1"/>
      <c r="IBQ55" s="1"/>
      <c r="IBR55" s="1"/>
      <c r="IBS55" s="1"/>
      <c r="IBT55" s="1"/>
      <c r="IBU55" s="1"/>
      <c r="IBV55" s="1"/>
      <c r="IBW55" s="1"/>
      <c r="IBX55" s="1"/>
      <c r="IBY55" s="1"/>
      <c r="IBZ55" s="1"/>
      <c r="ICA55" s="1"/>
      <c r="ICB55" s="1"/>
      <c r="ICC55" s="1"/>
      <c r="ICD55" s="1"/>
      <c r="ICE55" s="1"/>
      <c r="ICF55" s="1"/>
      <c r="ICG55" s="1"/>
      <c r="ICH55" s="1"/>
      <c r="ICI55" s="1"/>
      <c r="ICJ55" s="1"/>
      <c r="ICK55" s="1"/>
      <c r="ICL55" s="1"/>
      <c r="ICM55" s="1"/>
      <c r="ICN55" s="1"/>
      <c r="ICO55" s="1"/>
      <c r="ICP55" s="1"/>
      <c r="ICQ55" s="1"/>
      <c r="ICR55" s="1"/>
      <c r="ICS55" s="1"/>
      <c r="ICT55" s="1"/>
      <c r="ICU55" s="1"/>
      <c r="ICV55" s="1"/>
      <c r="ICW55" s="1"/>
      <c r="ICX55" s="1"/>
      <c r="ICY55" s="1"/>
      <c r="ICZ55" s="1"/>
      <c r="IDA55" s="1"/>
      <c r="IDB55" s="1"/>
      <c r="IDC55" s="1"/>
      <c r="IDD55" s="1"/>
      <c r="IDE55" s="1"/>
      <c r="IDF55" s="1"/>
      <c r="IDG55" s="1"/>
      <c r="IDH55" s="1"/>
      <c r="IDI55" s="1"/>
      <c r="IDJ55" s="1"/>
      <c r="IDK55" s="1"/>
      <c r="IDL55" s="1"/>
      <c r="IDM55" s="1"/>
      <c r="IDN55" s="1"/>
      <c r="IDO55" s="1"/>
      <c r="IDP55" s="1"/>
      <c r="IDQ55" s="1"/>
      <c r="IDR55" s="1"/>
      <c r="IDS55" s="1"/>
      <c r="IDT55" s="1"/>
      <c r="IDU55" s="1"/>
      <c r="IDV55" s="1"/>
      <c r="IDW55" s="1"/>
      <c r="IDX55" s="1"/>
      <c r="IDY55" s="1"/>
      <c r="IDZ55" s="1"/>
      <c r="IEA55" s="1"/>
      <c r="IEB55" s="1"/>
      <c r="IEC55" s="1"/>
      <c r="IED55" s="1"/>
      <c r="IEE55" s="1"/>
      <c r="IEF55" s="1"/>
      <c r="IEG55" s="1"/>
      <c r="IEH55" s="1"/>
      <c r="IEI55" s="1"/>
      <c r="IEJ55" s="1"/>
      <c r="IEK55" s="1"/>
      <c r="IEL55" s="1"/>
      <c r="IEM55" s="1"/>
      <c r="IEN55" s="1"/>
      <c r="IEO55" s="1"/>
      <c r="IEP55" s="1"/>
      <c r="IEQ55" s="1"/>
      <c r="IER55" s="1"/>
      <c r="IES55" s="1"/>
      <c r="IET55" s="1"/>
      <c r="IEU55" s="1"/>
      <c r="IEV55" s="1"/>
      <c r="IEW55" s="1"/>
      <c r="IEX55" s="1"/>
      <c r="IEY55" s="1"/>
      <c r="IEZ55" s="1"/>
      <c r="IFA55" s="1"/>
      <c r="IFB55" s="1"/>
      <c r="IFC55" s="1"/>
      <c r="IFD55" s="1"/>
      <c r="IFE55" s="1"/>
      <c r="IFF55" s="1"/>
      <c r="IFG55" s="1"/>
      <c r="IFH55" s="1"/>
      <c r="IFI55" s="1"/>
      <c r="IFJ55" s="1"/>
      <c r="IFK55" s="1"/>
      <c r="IFL55" s="1"/>
      <c r="IFM55" s="1"/>
      <c r="IFN55" s="1"/>
      <c r="IFO55" s="1"/>
      <c r="IFP55" s="1"/>
      <c r="IFQ55" s="1"/>
      <c r="IFR55" s="1"/>
      <c r="IFS55" s="1"/>
      <c r="IFT55" s="1"/>
      <c r="IFU55" s="1"/>
      <c r="IFV55" s="1"/>
      <c r="IFW55" s="1"/>
      <c r="IFX55" s="1"/>
      <c r="IFY55" s="1"/>
      <c r="IFZ55" s="1"/>
      <c r="IGA55" s="1"/>
      <c r="IGB55" s="1"/>
      <c r="IGC55" s="1"/>
      <c r="IGD55" s="1"/>
      <c r="IGE55" s="1"/>
      <c r="IGF55" s="1"/>
      <c r="IGG55" s="1"/>
      <c r="IGH55" s="1"/>
      <c r="IGI55" s="1"/>
      <c r="IGJ55" s="1"/>
      <c r="IGK55" s="1"/>
      <c r="IGL55" s="1"/>
      <c r="IGM55" s="1"/>
      <c r="IGN55" s="1"/>
      <c r="IGO55" s="1"/>
      <c r="IGP55" s="1"/>
      <c r="IGQ55" s="1"/>
      <c r="IGR55" s="1"/>
      <c r="IGS55" s="1"/>
      <c r="IGT55" s="1"/>
      <c r="IGU55" s="1"/>
      <c r="IGV55" s="1"/>
      <c r="IGW55" s="1"/>
      <c r="IGX55" s="1"/>
      <c r="IGY55" s="1"/>
      <c r="IGZ55" s="1"/>
      <c r="IHA55" s="1"/>
      <c r="IHB55" s="1"/>
      <c r="IHC55" s="1"/>
      <c r="IHD55" s="1"/>
      <c r="IHE55" s="1"/>
      <c r="IHF55" s="1"/>
      <c r="IHG55" s="1"/>
      <c r="IHH55" s="1"/>
      <c r="IHI55" s="1"/>
      <c r="IHJ55" s="1"/>
      <c r="IHK55" s="1"/>
      <c r="IHL55" s="1"/>
      <c r="IHM55" s="1"/>
      <c r="IHN55" s="1"/>
      <c r="IHO55" s="1"/>
      <c r="IHP55" s="1"/>
      <c r="IHQ55" s="1"/>
      <c r="IHR55" s="1"/>
      <c r="IHS55" s="1"/>
      <c r="IHT55" s="1"/>
      <c r="IHU55" s="1"/>
      <c r="IHV55" s="1"/>
      <c r="IHW55" s="1"/>
      <c r="IHX55" s="1"/>
      <c r="IHY55" s="1"/>
      <c r="IHZ55" s="1"/>
      <c r="IIA55" s="1"/>
      <c r="IIB55" s="1"/>
      <c r="IIC55" s="1"/>
      <c r="IID55" s="1"/>
      <c r="IIE55" s="1"/>
      <c r="IIF55" s="1"/>
      <c r="IIG55" s="1"/>
      <c r="IIH55" s="1"/>
      <c r="III55" s="1"/>
      <c r="IIJ55" s="1"/>
      <c r="IIK55" s="1"/>
      <c r="IIL55" s="1"/>
      <c r="IIM55" s="1"/>
      <c r="IIN55" s="1"/>
      <c r="IIO55" s="1"/>
      <c r="IIP55" s="1"/>
      <c r="IIQ55" s="1"/>
      <c r="IIR55" s="1"/>
      <c r="IIS55" s="1"/>
      <c r="IIT55" s="1"/>
      <c r="IIU55" s="1"/>
      <c r="IIV55" s="1"/>
      <c r="IIW55" s="1"/>
      <c r="IIX55" s="1"/>
      <c r="IIY55" s="1"/>
      <c r="IIZ55" s="1"/>
      <c r="IJA55" s="1"/>
      <c r="IJB55" s="1"/>
      <c r="IJC55" s="1"/>
      <c r="IJD55" s="1"/>
      <c r="IJE55" s="1"/>
      <c r="IJF55" s="1"/>
      <c r="IJG55" s="1"/>
      <c r="IJH55" s="1"/>
      <c r="IJI55" s="1"/>
      <c r="IJJ55" s="1"/>
      <c r="IJK55" s="1"/>
      <c r="IJL55" s="1"/>
      <c r="IJM55" s="1"/>
      <c r="IJN55" s="1"/>
      <c r="IJO55" s="1"/>
      <c r="IJP55" s="1"/>
      <c r="IJQ55" s="1"/>
      <c r="IJR55" s="1"/>
      <c r="IJS55" s="1"/>
      <c r="IJT55" s="1"/>
      <c r="IJU55" s="1"/>
      <c r="IJV55" s="1"/>
      <c r="IJW55" s="1"/>
      <c r="IJX55" s="1"/>
      <c r="IJY55" s="1"/>
      <c r="IJZ55" s="1"/>
      <c r="IKA55" s="1"/>
      <c r="IKB55" s="1"/>
      <c r="IKC55" s="1"/>
      <c r="IKD55" s="1"/>
      <c r="IKE55" s="1"/>
      <c r="IKF55" s="1"/>
      <c r="IKG55" s="1"/>
      <c r="IKH55" s="1"/>
      <c r="IKI55" s="1"/>
      <c r="IKJ55" s="1"/>
      <c r="IKK55" s="1"/>
      <c r="IKL55" s="1"/>
      <c r="IKM55" s="1"/>
      <c r="IKN55" s="1"/>
      <c r="IKO55" s="1"/>
      <c r="IKP55" s="1"/>
      <c r="IKQ55" s="1"/>
      <c r="IKR55" s="1"/>
      <c r="IKS55" s="1"/>
      <c r="IKT55" s="1"/>
      <c r="IKU55" s="1"/>
      <c r="IKV55" s="1"/>
      <c r="IKW55" s="1"/>
      <c r="IKX55" s="1"/>
      <c r="IKY55" s="1"/>
      <c r="IKZ55" s="1"/>
      <c r="ILA55" s="1"/>
      <c r="ILB55" s="1"/>
      <c r="ILC55" s="1"/>
      <c r="ILD55" s="1"/>
      <c r="ILE55" s="1"/>
      <c r="ILF55" s="1"/>
      <c r="ILG55" s="1"/>
      <c r="ILH55" s="1"/>
      <c r="ILI55" s="1"/>
      <c r="ILJ55" s="1"/>
      <c r="ILK55" s="1"/>
      <c r="ILL55" s="1"/>
      <c r="ILM55" s="1"/>
      <c r="ILN55" s="1"/>
      <c r="ILO55" s="1"/>
      <c r="ILP55" s="1"/>
      <c r="ILQ55" s="1"/>
      <c r="ILR55" s="1"/>
      <c r="ILS55" s="1"/>
      <c r="ILT55" s="1"/>
      <c r="ILU55" s="1"/>
      <c r="ILV55" s="1"/>
      <c r="ILW55" s="1"/>
      <c r="ILX55" s="1"/>
      <c r="ILY55" s="1"/>
      <c r="ILZ55" s="1"/>
      <c r="IMA55" s="1"/>
      <c r="IMB55" s="1"/>
      <c r="IMC55" s="1"/>
      <c r="IMD55" s="1"/>
      <c r="IME55" s="1"/>
      <c r="IMF55" s="1"/>
      <c r="IMG55" s="1"/>
      <c r="IMH55" s="1"/>
      <c r="IMI55" s="1"/>
      <c r="IMJ55" s="1"/>
      <c r="IMK55" s="1"/>
      <c r="IML55" s="1"/>
      <c r="IMM55" s="1"/>
      <c r="IMN55" s="1"/>
      <c r="IMO55" s="1"/>
      <c r="IMP55" s="1"/>
      <c r="IMQ55" s="1"/>
      <c r="IMR55" s="1"/>
      <c r="IMS55" s="1"/>
      <c r="IMT55" s="1"/>
      <c r="IMU55" s="1"/>
      <c r="IMV55" s="1"/>
      <c r="IMW55" s="1"/>
      <c r="IMX55" s="1"/>
      <c r="IMY55" s="1"/>
      <c r="IMZ55" s="1"/>
      <c r="INA55" s="1"/>
      <c r="INB55" s="1"/>
      <c r="INC55" s="1"/>
      <c r="IND55" s="1"/>
      <c r="INE55" s="1"/>
      <c r="INF55" s="1"/>
      <c r="ING55" s="1"/>
      <c r="INH55" s="1"/>
      <c r="INI55" s="1"/>
      <c r="INJ55" s="1"/>
      <c r="INK55" s="1"/>
      <c r="INL55" s="1"/>
      <c r="INM55" s="1"/>
      <c r="INN55" s="1"/>
      <c r="INO55" s="1"/>
      <c r="INP55" s="1"/>
      <c r="INQ55" s="1"/>
      <c r="INR55" s="1"/>
      <c r="INS55" s="1"/>
      <c r="INT55" s="1"/>
      <c r="INU55" s="1"/>
      <c r="INV55" s="1"/>
      <c r="INW55" s="1"/>
      <c r="INX55" s="1"/>
      <c r="INY55" s="1"/>
      <c r="INZ55" s="1"/>
      <c r="IOA55" s="1"/>
      <c r="IOB55" s="1"/>
      <c r="IOC55" s="1"/>
      <c r="IOD55" s="1"/>
      <c r="IOE55" s="1"/>
      <c r="IOF55" s="1"/>
      <c r="IOG55" s="1"/>
      <c r="IOH55" s="1"/>
      <c r="IOI55" s="1"/>
      <c r="IOJ55" s="1"/>
      <c r="IOK55" s="1"/>
      <c r="IOL55" s="1"/>
      <c r="IOM55" s="1"/>
      <c r="ION55" s="1"/>
      <c r="IOO55" s="1"/>
      <c r="IOP55" s="1"/>
      <c r="IOQ55" s="1"/>
      <c r="IOR55" s="1"/>
      <c r="IOS55" s="1"/>
      <c r="IOT55" s="1"/>
      <c r="IOU55" s="1"/>
      <c r="IOV55" s="1"/>
      <c r="IOW55" s="1"/>
      <c r="IOX55" s="1"/>
      <c r="IOY55" s="1"/>
      <c r="IOZ55" s="1"/>
      <c r="IPA55" s="1"/>
      <c r="IPB55" s="1"/>
      <c r="IPC55" s="1"/>
      <c r="IPD55" s="1"/>
      <c r="IPE55" s="1"/>
      <c r="IPF55" s="1"/>
      <c r="IPG55" s="1"/>
      <c r="IPH55" s="1"/>
      <c r="IPI55" s="1"/>
      <c r="IPJ55" s="1"/>
      <c r="IPK55" s="1"/>
      <c r="IPL55" s="1"/>
      <c r="IPM55" s="1"/>
      <c r="IPN55" s="1"/>
      <c r="IPO55" s="1"/>
      <c r="IPP55" s="1"/>
      <c r="IPQ55" s="1"/>
      <c r="IPR55" s="1"/>
      <c r="IPS55" s="1"/>
      <c r="IPT55" s="1"/>
      <c r="IPU55" s="1"/>
      <c r="IPV55" s="1"/>
      <c r="IPW55" s="1"/>
      <c r="IPX55" s="1"/>
      <c r="IPY55" s="1"/>
      <c r="IPZ55" s="1"/>
      <c r="IQA55" s="1"/>
      <c r="IQB55" s="1"/>
      <c r="IQC55" s="1"/>
      <c r="IQD55" s="1"/>
      <c r="IQE55" s="1"/>
      <c r="IQF55" s="1"/>
      <c r="IQG55" s="1"/>
      <c r="IQH55" s="1"/>
      <c r="IQI55" s="1"/>
      <c r="IQJ55" s="1"/>
      <c r="IQK55" s="1"/>
      <c r="IQL55" s="1"/>
      <c r="IQM55" s="1"/>
      <c r="IQN55" s="1"/>
      <c r="IQO55" s="1"/>
      <c r="IQP55" s="1"/>
      <c r="IQQ55" s="1"/>
      <c r="IQR55" s="1"/>
      <c r="IQS55" s="1"/>
      <c r="IQT55" s="1"/>
      <c r="IQU55" s="1"/>
      <c r="IQV55" s="1"/>
      <c r="IQW55" s="1"/>
      <c r="IQX55" s="1"/>
      <c r="IQY55" s="1"/>
      <c r="IQZ55" s="1"/>
      <c r="IRA55" s="1"/>
      <c r="IRB55" s="1"/>
      <c r="IRC55" s="1"/>
      <c r="IRD55" s="1"/>
      <c r="IRE55" s="1"/>
      <c r="IRF55" s="1"/>
      <c r="IRG55" s="1"/>
      <c r="IRH55" s="1"/>
      <c r="IRI55" s="1"/>
      <c r="IRJ55" s="1"/>
      <c r="IRK55" s="1"/>
      <c r="IRL55" s="1"/>
      <c r="IRM55" s="1"/>
      <c r="IRN55" s="1"/>
      <c r="IRO55" s="1"/>
      <c r="IRP55" s="1"/>
      <c r="IRQ55" s="1"/>
      <c r="IRR55" s="1"/>
      <c r="IRS55" s="1"/>
      <c r="IRT55" s="1"/>
      <c r="IRU55" s="1"/>
      <c r="IRV55" s="1"/>
      <c r="IRW55" s="1"/>
      <c r="IRX55" s="1"/>
      <c r="IRY55" s="1"/>
      <c r="IRZ55" s="1"/>
      <c r="ISA55" s="1"/>
      <c r="ISB55" s="1"/>
      <c r="ISC55" s="1"/>
      <c r="ISD55" s="1"/>
      <c r="ISE55" s="1"/>
      <c r="ISF55" s="1"/>
      <c r="ISG55" s="1"/>
      <c r="ISH55" s="1"/>
      <c r="ISI55" s="1"/>
      <c r="ISJ55" s="1"/>
      <c r="ISK55" s="1"/>
      <c r="ISL55" s="1"/>
      <c r="ISM55" s="1"/>
      <c r="ISN55" s="1"/>
      <c r="ISO55" s="1"/>
      <c r="ISP55" s="1"/>
      <c r="ISQ55" s="1"/>
      <c r="ISR55" s="1"/>
      <c r="ISS55" s="1"/>
      <c r="IST55" s="1"/>
      <c r="ISU55" s="1"/>
      <c r="ISV55" s="1"/>
      <c r="ISW55" s="1"/>
      <c r="ISX55" s="1"/>
      <c r="ISY55" s="1"/>
      <c r="ISZ55" s="1"/>
      <c r="ITA55" s="1"/>
      <c r="ITB55" s="1"/>
      <c r="ITC55" s="1"/>
      <c r="ITD55" s="1"/>
      <c r="ITE55" s="1"/>
      <c r="ITF55" s="1"/>
      <c r="ITG55" s="1"/>
      <c r="ITH55" s="1"/>
      <c r="ITI55" s="1"/>
      <c r="ITJ55" s="1"/>
      <c r="ITK55" s="1"/>
      <c r="ITL55" s="1"/>
      <c r="ITM55" s="1"/>
      <c r="ITN55" s="1"/>
      <c r="ITO55" s="1"/>
      <c r="ITP55" s="1"/>
      <c r="ITQ55" s="1"/>
      <c r="ITR55" s="1"/>
      <c r="ITS55" s="1"/>
      <c r="ITT55" s="1"/>
      <c r="ITU55" s="1"/>
      <c r="ITV55" s="1"/>
      <c r="ITW55" s="1"/>
      <c r="ITX55" s="1"/>
      <c r="ITY55" s="1"/>
      <c r="ITZ55" s="1"/>
      <c r="IUA55" s="1"/>
      <c r="IUB55" s="1"/>
      <c r="IUC55" s="1"/>
      <c r="IUD55" s="1"/>
      <c r="IUE55" s="1"/>
      <c r="IUF55" s="1"/>
      <c r="IUG55" s="1"/>
      <c r="IUH55" s="1"/>
      <c r="IUI55" s="1"/>
      <c r="IUJ55" s="1"/>
      <c r="IUK55" s="1"/>
      <c r="IUL55" s="1"/>
      <c r="IUM55" s="1"/>
      <c r="IUN55" s="1"/>
      <c r="IUO55" s="1"/>
      <c r="IUP55" s="1"/>
      <c r="IUQ55" s="1"/>
      <c r="IUR55" s="1"/>
      <c r="IUS55" s="1"/>
      <c r="IUT55" s="1"/>
      <c r="IUU55" s="1"/>
      <c r="IUV55" s="1"/>
      <c r="IUW55" s="1"/>
      <c r="IUX55" s="1"/>
      <c r="IUY55" s="1"/>
      <c r="IUZ55" s="1"/>
      <c r="IVA55" s="1"/>
      <c r="IVB55" s="1"/>
      <c r="IVC55" s="1"/>
      <c r="IVD55" s="1"/>
      <c r="IVE55" s="1"/>
      <c r="IVF55" s="1"/>
      <c r="IVG55" s="1"/>
      <c r="IVH55" s="1"/>
      <c r="IVI55" s="1"/>
      <c r="IVJ55" s="1"/>
      <c r="IVK55" s="1"/>
      <c r="IVL55" s="1"/>
      <c r="IVM55" s="1"/>
      <c r="IVN55" s="1"/>
      <c r="IVO55" s="1"/>
      <c r="IVP55" s="1"/>
      <c r="IVQ55" s="1"/>
      <c r="IVR55" s="1"/>
      <c r="IVS55" s="1"/>
      <c r="IVT55" s="1"/>
      <c r="IVU55" s="1"/>
      <c r="IVV55" s="1"/>
      <c r="IVW55" s="1"/>
      <c r="IVX55" s="1"/>
      <c r="IVY55" s="1"/>
      <c r="IVZ55" s="1"/>
      <c r="IWA55" s="1"/>
      <c r="IWB55" s="1"/>
      <c r="IWC55" s="1"/>
      <c r="IWD55" s="1"/>
      <c r="IWE55" s="1"/>
      <c r="IWF55" s="1"/>
      <c r="IWG55" s="1"/>
      <c r="IWH55" s="1"/>
      <c r="IWI55" s="1"/>
      <c r="IWJ55" s="1"/>
      <c r="IWK55" s="1"/>
      <c r="IWL55" s="1"/>
      <c r="IWM55" s="1"/>
      <c r="IWN55" s="1"/>
      <c r="IWO55" s="1"/>
      <c r="IWP55" s="1"/>
      <c r="IWQ55" s="1"/>
      <c r="IWR55" s="1"/>
      <c r="IWS55" s="1"/>
      <c r="IWT55" s="1"/>
      <c r="IWU55" s="1"/>
      <c r="IWV55" s="1"/>
      <c r="IWW55" s="1"/>
      <c r="IWX55" s="1"/>
      <c r="IWY55" s="1"/>
      <c r="IWZ55" s="1"/>
      <c r="IXA55" s="1"/>
      <c r="IXB55" s="1"/>
      <c r="IXC55" s="1"/>
      <c r="IXD55" s="1"/>
      <c r="IXE55" s="1"/>
      <c r="IXF55" s="1"/>
      <c r="IXG55" s="1"/>
      <c r="IXH55" s="1"/>
      <c r="IXI55" s="1"/>
      <c r="IXJ55" s="1"/>
      <c r="IXK55" s="1"/>
      <c r="IXL55" s="1"/>
      <c r="IXM55" s="1"/>
      <c r="IXN55" s="1"/>
      <c r="IXO55" s="1"/>
      <c r="IXP55" s="1"/>
      <c r="IXQ55" s="1"/>
      <c r="IXR55" s="1"/>
      <c r="IXS55" s="1"/>
      <c r="IXT55" s="1"/>
      <c r="IXU55" s="1"/>
      <c r="IXV55" s="1"/>
      <c r="IXW55" s="1"/>
      <c r="IXX55" s="1"/>
      <c r="IXY55" s="1"/>
      <c r="IXZ55" s="1"/>
      <c r="IYA55" s="1"/>
      <c r="IYB55" s="1"/>
      <c r="IYC55" s="1"/>
      <c r="IYD55" s="1"/>
      <c r="IYE55" s="1"/>
      <c r="IYF55" s="1"/>
      <c r="IYG55" s="1"/>
      <c r="IYH55" s="1"/>
      <c r="IYI55" s="1"/>
      <c r="IYJ55" s="1"/>
      <c r="IYK55" s="1"/>
      <c r="IYL55" s="1"/>
      <c r="IYM55" s="1"/>
      <c r="IYN55" s="1"/>
      <c r="IYO55" s="1"/>
      <c r="IYP55" s="1"/>
      <c r="IYQ55" s="1"/>
      <c r="IYR55" s="1"/>
      <c r="IYS55" s="1"/>
      <c r="IYT55" s="1"/>
      <c r="IYU55" s="1"/>
      <c r="IYV55" s="1"/>
      <c r="IYW55" s="1"/>
      <c r="IYX55" s="1"/>
      <c r="IYY55" s="1"/>
      <c r="IYZ55" s="1"/>
      <c r="IZA55" s="1"/>
      <c r="IZB55" s="1"/>
      <c r="IZC55" s="1"/>
      <c r="IZD55" s="1"/>
      <c r="IZE55" s="1"/>
      <c r="IZF55" s="1"/>
      <c r="IZG55" s="1"/>
      <c r="IZH55" s="1"/>
      <c r="IZI55" s="1"/>
      <c r="IZJ55" s="1"/>
      <c r="IZK55" s="1"/>
      <c r="IZL55" s="1"/>
      <c r="IZM55" s="1"/>
      <c r="IZN55" s="1"/>
      <c r="IZO55" s="1"/>
      <c r="IZP55" s="1"/>
      <c r="IZQ55" s="1"/>
      <c r="IZR55" s="1"/>
      <c r="IZS55" s="1"/>
      <c r="IZT55" s="1"/>
      <c r="IZU55" s="1"/>
      <c r="IZV55" s="1"/>
      <c r="IZW55" s="1"/>
      <c r="IZX55" s="1"/>
      <c r="IZY55" s="1"/>
      <c r="IZZ55" s="1"/>
      <c r="JAA55" s="1"/>
      <c r="JAB55" s="1"/>
      <c r="JAC55" s="1"/>
      <c r="JAD55" s="1"/>
      <c r="JAE55" s="1"/>
      <c r="JAF55" s="1"/>
      <c r="JAG55" s="1"/>
      <c r="JAH55" s="1"/>
      <c r="JAI55" s="1"/>
      <c r="JAJ55" s="1"/>
      <c r="JAK55" s="1"/>
      <c r="JAL55" s="1"/>
      <c r="JAM55" s="1"/>
      <c r="JAN55" s="1"/>
      <c r="JAO55" s="1"/>
      <c r="JAP55" s="1"/>
      <c r="JAQ55" s="1"/>
      <c r="JAR55" s="1"/>
      <c r="JAS55" s="1"/>
      <c r="JAT55" s="1"/>
      <c r="JAU55" s="1"/>
      <c r="JAV55" s="1"/>
      <c r="JAW55" s="1"/>
      <c r="JAX55" s="1"/>
      <c r="JAY55" s="1"/>
      <c r="JAZ55" s="1"/>
      <c r="JBA55" s="1"/>
      <c r="JBB55" s="1"/>
      <c r="JBC55" s="1"/>
      <c r="JBD55" s="1"/>
      <c r="JBE55" s="1"/>
      <c r="JBF55" s="1"/>
      <c r="JBG55" s="1"/>
      <c r="JBH55" s="1"/>
      <c r="JBI55" s="1"/>
      <c r="JBJ55" s="1"/>
      <c r="JBK55" s="1"/>
      <c r="JBL55" s="1"/>
      <c r="JBM55" s="1"/>
      <c r="JBN55" s="1"/>
      <c r="JBO55" s="1"/>
      <c r="JBP55" s="1"/>
      <c r="JBQ55" s="1"/>
      <c r="JBR55" s="1"/>
      <c r="JBS55" s="1"/>
      <c r="JBT55" s="1"/>
      <c r="JBU55" s="1"/>
      <c r="JBV55" s="1"/>
      <c r="JBW55" s="1"/>
      <c r="JBX55" s="1"/>
      <c r="JBY55" s="1"/>
      <c r="JBZ55" s="1"/>
      <c r="JCA55" s="1"/>
      <c r="JCB55" s="1"/>
      <c r="JCC55" s="1"/>
      <c r="JCD55" s="1"/>
      <c r="JCE55" s="1"/>
      <c r="JCF55" s="1"/>
      <c r="JCG55" s="1"/>
      <c r="JCH55" s="1"/>
      <c r="JCI55" s="1"/>
      <c r="JCJ55" s="1"/>
      <c r="JCK55" s="1"/>
      <c r="JCL55" s="1"/>
      <c r="JCM55" s="1"/>
      <c r="JCN55" s="1"/>
      <c r="JCO55" s="1"/>
      <c r="JCP55" s="1"/>
      <c r="JCQ55" s="1"/>
      <c r="JCR55" s="1"/>
      <c r="JCS55" s="1"/>
      <c r="JCT55" s="1"/>
      <c r="JCU55" s="1"/>
      <c r="JCV55" s="1"/>
      <c r="JCW55" s="1"/>
      <c r="JCX55" s="1"/>
      <c r="JCY55" s="1"/>
      <c r="JCZ55" s="1"/>
      <c r="JDA55" s="1"/>
      <c r="JDB55" s="1"/>
      <c r="JDC55" s="1"/>
      <c r="JDD55" s="1"/>
      <c r="JDE55" s="1"/>
      <c r="JDF55" s="1"/>
      <c r="JDG55" s="1"/>
      <c r="JDH55" s="1"/>
      <c r="JDI55" s="1"/>
      <c r="JDJ55" s="1"/>
      <c r="JDK55" s="1"/>
      <c r="JDL55" s="1"/>
      <c r="JDM55" s="1"/>
      <c r="JDN55" s="1"/>
      <c r="JDO55" s="1"/>
      <c r="JDP55" s="1"/>
      <c r="JDQ55" s="1"/>
      <c r="JDR55" s="1"/>
      <c r="JDS55" s="1"/>
      <c r="JDT55" s="1"/>
      <c r="JDU55" s="1"/>
      <c r="JDV55" s="1"/>
      <c r="JDW55" s="1"/>
      <c r="JDX55" s="1"/>
      <c r="JDY55" s="1"/>
      <c r="JDZ55" s="1"/>
      <c r="JEA55" s="1"/>
      <c r="JEB55" s="1"/>
      <c r="JEC55" s="1"/>
      <c r="JED55" s="1"/>
      <c r="JEE55" s="1"/>
      <c r="JEF55" s="1"/>
      <c r="JEG55" s="1"/>
      <c r="JEH55" s="1"/>
      <c r="JEI55" s="1"/>
      <c r="JEJ55" s="1"/>
      <c r="JEK55" s="1"/>
      <c r="JEL55" s="1"/>
      <c r="JEM55" s="1"/>
      <c r="JEN55" s="1"/>
      <c r="JEO55" s="1"/>
      <c r="JEP55" s="1"/>
      <c r="JEQ55" s="1"/>
      <c r="JER55" s="1"/>
      <c r="JES55" s="1"/>
      <c r="JET55" s="1"/>
      <c r="JEU55" s="1"/>
      <c r="JEV55" s="1"/>
      <c r="JEW55" s="1"/>
      <c r="JEX55" s="1"/>
      <c r="JEY55" s="1"/>
      <c r="JEZ55" s="1"/>
      <c r="JFA55" s="1"/>
      <c r="JFB55" s="1"/>
      <c r="JFC55" s="1"/>
      <c r="JFD55" s="1"/>
      <c r="JFE55" s="1"/>
      <c r="JFF55" s="1"/>
      <c r="JFG55" s="1"/>
      <c r="JFH55" s="1"/>
      <c r="JFI55" s="1"/>
      <c r="JFJ55" s="1"/>
      <c r="JFK55" s="1"/>
      <c r="JFL55" s="1"/>
      <c r="JFM55" s="1"/>
      <c r="JFN55" s="1"/>
      <c r="JFO55" s="1"/>
      <c r="JFP55" s="1"/>
      <c r="JFQ55" s="1"/>
      <c r="JFR55" s="1"/>
      <c r="JFS55" s="1"/>
      <c r="JFT55" s="1"/>
      <c r="JFU55" s="1"/>
      <c r="JFV55" s="1"/>
      <c r="JFW55" s="1"/>
      <c r="JFX55" s="1"/>
      <c r="JFY55" s="1"/>
      <c r="JFZ55" s="1"/>
      <c r="JGA55" s="1"/>
      <c r="JGB55" s="1"/>
      <c r="JGC55" s="1"/>
      <c r="JGD55" s="1"/>
      <c r="JGE55" s="1"/>
      <c r="JGF55" s="1"/>
      <c r="JGG55" s="1"/>
      <c r="JGH55" s="1"/>
      <c r="JGI55" s="1"/>
      <c r="JGJ55" s="1"/>
      <c r="JGK55" s="1"/>
      <c r="JGL55" s="1"/>
      <c r="JGM55" s="1"/>
      <c r="JGN55" s="1"/>
      <c r="JGO55" s="1"/>
      <c r="JGP55" s="1"/>
      <c r="JGQ55" s="1"/>
      <c r="JGR55" s="1"/>
      <c r="JGS55" s="1"/>
      <c r="JGT55" s="1"/>
      <c r="JGU55" s="1"/>
      <c r="JGV55" s="1"/>
      <c r="JGW55" s="1"/>
      <c r="JGX55" s="1"/>
      <c r="JGY55" s="1"/>
      <c r="JGZ55" s="1"/>
      <c r="JHA55" s="1"/>
      <c r="JHB55" s="1"/>
      <c r="JHC55" s="1"/>
      <c r="JHD55" s="1"/>
      <c r="JHE55" s="1"/>
      <c r="JHF55" s="1"/>
      <c r="JHG55" s="1"/>
      <c r="JHH55" s="1"/>
      <c r="JHI55" s="1"/>
      <c r="JHJ55" s="1"/>
      <c r="JHK55" s="1"/>
      <c r="JHL55" s="1"/>
      <c r="JHM55" s="1"/>
      <c r="JHN55" s="1"/>
      <c r="JHO55" s="1"/>
      <c r="JHP55" s="1"/>
      <c r="JHQ55" s="1"/>
      <c r="JHR55" s="1"/>
      <c r="JHS55" s="1"/>
      <c r="JHT55" s="1"/>
      <c r="JHU55" s="1"/>
      <c r="JHV55" s="1"/>
      <c r="JHW55" s="1"/>
      <c r="JHX55" s="1"/>
      <c r="JHY55" s="1"/>
      <c r="JHZ55" s="1"/>
      <c r="JIA55" s="1"/>
      <c r="JIB55" s="1"/>
      <c r="JIC55" s="1"/>
      <c r="JID55" s="1"/>
      <c r="JIE55" s="1"/>
      <c r="JIF55" s="1"/>
      <c r="JIG55" s="1"/>
      <c r="JIH55" s="1"/>
      <c r="JII55" s="1"/>
      <c r="JIJ55" s="1"/>
      <c r="JIK55" s="1"/>
      <c r="JIL55" s="1"/>
      <c r="JIM55" s="1"/>
      <c r="JIN55" s="1"/>
      <c r="JIO55" s="1"/>
      <c r="JIP55" s="1"/>
      <c r="JIQ55" s="1"/>
      <c r="JIR55" s="1"/>
      <c r="JIS55" s="1"/>
      <c r="JIT55" s="1"/>
      <c r="JIU55" s="1"/>
      <c r="JIV55" s="1"/>
      <c r="JIW55" s="1"/>
      <c r="JIX55" s="1"/>
      <c r="JIY55" s="1"/>
      <c r="JIZ55" s="1"/>
      <c r="JJA55" s="1"/>
      <c r="JJB55" s="1"/>
      <c r="JJC55" s="1"/>
      <c r="JJD55" s="1"/>
      <c r="JJE55" s="1"/>
      <c r="JJF55" s="1"/>
      <c r="JJG55" s="1"/>
      <c r="JJH55" s="1"/>
      <c r="JJI55" s="1"/>
      <c r="JJJ55" s="1"/>
      <c r="JJK55" s="1"/>
      <c r="JJL55" s="1"/>
      <c r="JJM55" s="1"/>
      <c r="JJN55" s="1"/>
      <c r="JJO55" s="1"/>
      <c r="JJP55" s="1"/>
      <c r="JJQ55" s="1"/>
      <c r="JJR55" s="1"/>
      <c r="JJS55" s="1"/>
      <c r="JJT55" s="1"/>
      <c r="JJU55" s="1"/>
      <c r="JJV55" s="1"/>
      <c r="JJW55" s="1"/>
      <c r="JJX55" s="1"/>
      <c r="JJY55" s="1"/>
      <c r="JJZ55" s="1"/>
      <c r="JKA55" s="1"/>
      <c r="JKB55" s="1"/>
      <c r="JKC55" s="1"/>
      <c r="JKD55" s="1"/>
      <c r="JKE55" s="1"/>
      <c r="JKF55" s="1"/>
      <c r="JKG55" s="1"/>
      <c r="JKH55" s="1"/>
      <c r="JKI55" s="1"/>
      <c r="JKJ55" s="1"/>
      <c r="JKK55" s="1"/>
      <c r="JKL55" s="1"/>
      <c r="JKM55" s="1"/>
      <c r="JKN55" s="1"/>
      <c r="JKO55" s="1"/>
      <c r="JKP55" s="1"/>
      <c r="JKQ55" s="1"/>
      <c r="JKR55" s="1"/>
      <c r="JKS55" s="1"/>
      <c r="JKT55" s="1"/>
      <c r="JKU55" s="1"/>
      <c r="JKV55" s="1"/>
      <c r="JKW55" s="1"/>
      <c r="JKX55" s="1"/>
      <c r="JKY55" s="1"/>
      <c r="JKZ55" s="1"/>
      <c r="JLA55" s="1"/>
      <c r="JLB55" s="1"/>
      <c r="JLC55" s="1"/>
      <c r="JLD55" s="1"/>
      <c r="JLE55" s="1"/>
      <c r="JLF55" s="1"/>
      <c r="JLG55" s="1"/>
      <c r="JLH55" s="1"/>
      <c r="JLI55" s="1"/>
      <c r="JLJ55" s="1"/>
      <c r="JLK55" s="1"/>
      <c r="JLL55" s="1"/>
      <c r="JLM55" s="1"/>
      <c r="JLN55" s="1"/>
      <c r="JLO55" s="1"/>
      <c r="JLP55" s="1"/>
      <c r="JLQ55" s="1"/>
      <c r="JLR55" s="1"/>
      <c r="JLS55" s="1"/>
      <c r="JLT55" s="1"/>
      <c r="JLU55" s="1"/>
      <c r="JLV55" s="1"/>
      <c r="JLW55" s="1"/>
      <c r="JLX55" s="1"/>
      <c r="JLY55" s="1"/>
      <c r="JLZ55" s="1"/>
      <c r="JMA55" s="1"/>
      <c r="JMB55" s="1"/>
      <c r="JMC55" s="1"/>
      <c r="JMD55" s="1"/>
      <c r="JME55" s="1"/>
      <c r="JMF55" s="1"/>
      <c r="JMG55" s="1"/>
      <c r="JMH55" s="1"/>
      <c r="JMI55" s="1"/>
      <c r="JMJ55" s="1"/>
      <c r="JMK55" s="1"/>
      <c r="JML55" s="1"/>
      <c r="JMM55" s="1"/>
      <c r="JMN55" s="1"/>
      <c r="JMO55" s="1"/>
      <c r="JMP55" s="1"/>
      <c r="JMQ55" s="1"/>
      <c r="JMR55" s="1"/>
      <c r="JMS55" s="1"/>
      <c r="JMT55" s="1"/>
      <c r="JMU55" s="1"/>
      <c r="JMV55" s="1"/>
      <c r="JMW55" s="1"/>
      <c r="JMX55" s="1"/>
      <c r="JMY55" s="1"/>
      <c r="JMZ55" s="1"/>
      <c r="JNA55" s="1"/>
      <c r="JNB55" s="1"/>
      <c r="JNC55" s="1"/>
      <c r="JND55" s="1"/>
      <c r="JNE55" s="1"/>
      <c r="JNF55" s="1"/>
      <c r="JNG55" s="1"/>
      <c r="JNH55" s="1"/>
      <c r="JNI55" s="1"/>
      <c r="JNJ55" s="1"/>
      <c r="JNK55" s="1"/>
      <c r="JNL55" s="1"/>
      <c r="JNM55" s="1"/>
      <c r="JNN55" s="1"/>
      <c r="JNO55" s="1"/>
      <c r="JNP55" s="1"/>
      <c r="JNQ55" s="1"/>
      <c r="JNR55" s="1"/>
      <c r="JNS55" s="1"/>
      <c r="JNT55" s="1"/>
      <c r="JNU55" s="1"/>
      <c r="JNV55" s="1"/>
      <c r="JNW55" s="1"/>
      <c r="JNX55" s="1"/>
      <c r="JNY55" s="1"/>
      <c r="JNZ55" s="1"/>
      <c r="JOA55" s="1"/>
      <c r="JOB55" s="1"/>
      <c r="JOC55" s="1"/>
      <c r="JOD55" s="1"/>
      <c r="JOE55" s="1"/>
      <c r="JOF55" s="1"/>
      <c r="JOG55" s="1"/>
      <c r="JOH55" s="1"/>
      <c r="JOI55" s="1"/>
      <c r="JOJ55" s="1"/>
      <c r="JOK55" s="1"/>
      <c r="JOL55" s="1"/>
      <c r="JOM55" s="1"/>
      <c r="JON55" s="1"/>
      <c r="JOO55" s="1"/>
      <c r="JOP55" s="1"/>
      <c r="JOQ55" s="1"/>
      <c r="JOR55" s="1"/>
      <c r="JOS55" s="1"/>
      <c r="JOT55" s="1"/>
      <c r="JOU55" s="1"/>
      <c r="JOV55" s="1"/>
      <c r="JOW55" s="1"/>
      <c r="JOX55" s="1"/>
      <c r="JOY55" s="1"/>
      <c r="JOZ55" s="1"/>
      <c r="JPA55" s="1"/>
      <c r="JPB55" s="1"/>
      <c r="JPC55" s="1"/>
      <c r="JPD55" s="1"/>
      <c r="JPE55" s="1"/>
      <c r="JPF55" s="1"/>
      <c r="JPG55" s="1"/>
      <c r="JPH55" s="1"/>
      <c r="JPI55" s="1"/>
      <c r="JPJ55" s="1"/>
      <c r="JPK55" s="1"/>
      <c r="JPL55" s="1"/>
      <c r="JPM55" s="1"/>
      <c r="JPN55" s="1"/>
      <c r="JPO55" s="1"/>
      <c r="JPP55" s="1"/>
      <c r="JPQ55" s="1"/>
      <c r="JPR55" s="1"/>
      <c r="JPS55" s="1"/>
      <c r="JPT55" s="1"/>
      <c r="JPU55" s="1"/>
      <c r="JPV55" s="1"/>
      <c r="JPW55" s="1"/>
      <c r="JPX55" s="1"/>
      <c r="JPY55" s="1"/>
      <c r="JPZ55" s="1"/>
      <c r="JQA55" s="1"/>
      <c r="JQB55" s="1"/>
      <c r="JQC55" s="1"/>
      <c r="JQD55" s="1"/>
      <c r="JQE55" s="1"/>
      <c r="JQF55" s="1"/>
      <c r="JQG55" s="1"/>
      <c r="JQH55" s="1"/>
      <c r="JQI55" s="1"/>
      <c r="JQJ55" s="1"/>
      <c r="JQK55" s="1"/>
      <c r="JQL55" s="1"/>
      <c r="JQM55" s="1"/>
      <c r="JQN55" s="1"/>
      <c r="JQO55" s="1"/>
      <c r="JQP55" s="1"/>
      <c r="JQQ55" s="1"/>
      <c r="JQR55" s="1"/>
      <c r="JQS55" s="1"/>
      <c r="JQT55" s="1"/>
      <c r="JQU55" s="1"/>
      <c r="JQV55" s="1"/>
      <c r="JQW55" s="1"/>
      <c r="JQX55" s="1"/>
      <c r="JQY55" s="1"/>
      <c r="JQZ55" s="1"/>
      <c r="JRA55" s="1"/>
      <c r="JRB55" s="1"/>
      <c r="JRC55" s="1"/>
      <c r="JRD55" s="1"/>
      <c r="JRE55" s="1"/>
      <c r="JRF55" s="1"/>
      <c r="JRG55" s="1"/>
      <c r="JRH55" s="1"/>
      <c r="JRI55" s="1"/>
      <c r="JRJ55" s="1"/>
      <c r="JRK55" s="1"/>
      <c r="JRL55" s="1"/>
      <c r="JRM55" s="1"/>
      <c r="JRN55" s="1"/>
      <c r="JRO55" s="1"/>
      <c r="JRP55" s="1"/>
      <c r="JRQ55" s="1"/>
      <c r="JRR55" s="1"/>
      <c r="JRS55" s="1"/>
      <c r="JRT55" s="1"/>
      <c r="JRU55" s="1"/>
      <c r="JRV55" s="1"/>
      <c r="JRW55" s="1"/>
      <c r="JRX55" s="1"/>
      <c r="JRY55" s="1"/>
      <c r="JRZ55" s="1"/>
      <c r="JSA55" s="1"/>
      <c r="JSB55" s="1"/>
      <c r="JSC55" s="1"/>
      <c r="JSD55" s="1"/>
      <c r="JSE55" s="1"/>
      <c r="JSF55" s="1"/>
      <c r="JSG55" s="1"/>
      <c r="JSH55" s="1"/>
      <c r="JSI55" s="1"/>
      <c r="JSJ55" s="1"/>
      <c r="JSK55" s="1"/>
      <c r="JSL55" s="1"/>
      <c r="JSM55" s="1"/>
      <c r="JSN55" s="1"/>
      <c r="JSO55" s="1"/>
      <c r="JSP55" s="1"/>
      <c r="JSQ55" s="1"/>
      <c r="JSR55" s="1"/>
      <c r="JSS55" s="1"/>
      <c r="JST55" s="1"/>
      <c r="JSU55" s="1"/>
      <c r="JSV55" s="1"/>
      <c r="JSW55" s="1"/>
      <c r="JSX55" s="1"/>
      <c r="JSY55" s="1"/>
      <c r="JSZ55" s="1"/>
      <c r="JTA55" s="1"/>
      <c r="JTB55" s="1"/>
      <c r="JTC55" s="1"/>
      <c r="JTD55" s="1"/>
      <c r="JTE55" s="1"/>
      <c r="JTF55" s="1"/>
      <c r="JTG55" s="1"/>
      <c r="JTH55" s="1"/>
      <c r="JTI55" s="1"/>
      <c r="JTJ55" s="1"/>
      <c r="JTK55" s="1"/>
      <c r="JTL55" s="1"/>
      <c r="JTM55" s="1"/>
      <c r="JTN55" s="1"/>
      <c r="JTO55" s="1"/>
      <c r="JTP55" s="1"/>
      <c r="JTQ55" s="1"/>
      <c r="JTR55" s="1"/>
      <c r="JTS55" s="1"/>
      <c r="JTT55" s="1"/>
      <c r="JTU55" s="1"/>
      <c r="JTV55" s="1"/>
      <c r="JTW55" s="1"/>
      <c r="JTX55" s="1"/>
      <c r="JTY55" s="1"/>
      <c r="JTZ55" s="1"/>
      <c r="JUA55" s="1"/>
      <c r="JUB55" s="1"/>
      <c r="JUC55" s="1"/>
      <c r="JUD55" s="1"/>
      <c r="JUE55" s="1"/>
      <c r="JUF55" s="1"/>
      <c r="JUG55" s="1"/>
      <c r="JUH55" s="1"/>
      <c r="JUI55" s="1"/>
      <c r="JUJ55" s="1"/>
      <c r="JUK55" s="1"/>
      <c r="JUL55" s="1"/>
      <c r="JUM55" s="1"/>
      <c r="JUN55" s="1"/>
      <c r="JUO55" s="1"/>
      <c r="JUP55" s="1"/>
      <c r="JUQ55" s="1"/>
      <c r="JUR55" s="1"/>
      <c r="JUS55" s="1"/>
      <c r="JUT55" s="1"/>
      <c r="JUU55" s="1"/>
      <c r="JUV55" s="1"/>
      <c r="JUW55" s="1"/>
      <c r="JUX55" s="1"/>
      <c r="JUY55" s="1"/>
      <c r="JUZ55" s="1"/>
      <c r="JVA55" s="1"/>
      <c r="JVB55" s="1"/>
      <c r="JVC55" s="1"/>
      <c r="JVD55" s="1"/>
      <c r="JVE55" s="1"/>
      <c r="JVF55" s="1"/>
      <c r="JVG55" s="1"/>
      <c r="JVH55" s="1"/>
      <c r="JVI55" s="1"/>
      <c r="JVJ55" s="1"/>
      <c r="JVK55" s="1"/>
      <c r="JVL55" s="1"/>
      <c r="JVM55" s="1"/>
      <c r="JVN55" s="1"/>
      <c r="JVO55" s="1"/>
      <c r="JVP55" s="1"/>
      <c r="JVQ55" s="1"/>
      <c r="JVR55" s="1"/>
      <c r="JVS55" s="1"/>
      <c r="JVT55" s="1"/>
      <c r="JVU55" s="1"/>
      <c r="JVV55" s="1"/>
      <c r="JVW55" s="1"/>
      <c r="JVX55" s="1"/>
      <c r="JVY55" s="1"/>
      <c r="JVZ55" s="1"/>
      <c r="JWA55" s="1"/>
      <c r="JWB55" s="1"/>
      <c r="JWC55" s="1"/>
      <c r="JWD55" s="1"/>
      <c r="JWE55" s="1"/>
      <c r="JWF55" s="1"/>
      <c r="JWG55" s="1"/>
      <c r="JWH55" s="1"/>
      <c r="JWI55" s="1"/>
      <c r="JWJ55" s="1"/>
      <c r="JWK55" s="1"/>
      <c r="JWL55" s="1"/>
      <c r="JWM55" s="1"/>
      <c r="JWN55" s="1"/>
      <c r="JWO55" s="1"/>
      <c r="JWP55" s="1"/>
      <c r="JWQ55" s="1"/>
      <c r="JWR55" s="1"/>
      <c r="JWS55" s="1"/>
      <c r="JWT55" s="1"/>
      <c r="JWU55" s="1"/>
      <c r="JWV55" s="1"/>
      <c r="JWW55" s="1"/>
      <c r="JWX55" s="1"/>
      <c r="JWY55" s="1"/>
      <c r="JWZ55" s="1"/>
      <c r="JXA55" s="1"/>
      <c r="JXB55" s="1"/>
      <c r="JXC55" s="1"/>
      <c r="JXD55" s="1"/>
      <c r="JXE55" s="1"/>
      <c r="JXF55" s="1"/>
      <c r="JXG55" s="1"/>
      <c r="JXH55" s="1"/>
      <c r="JXI55" s="1"/>
      <c r="JXJ55" s="1"/>
      <c r="JXK55" s="1"/>
      <c r="JXL55" s="1"/>
      <c r="JXM55" s="1"/>
      <c r="JXN55" s="1"/>
      <c r="JXO55" s="1"/>
      <c r="JXP55" s="1"/>
      <c r="JXQ55" s="1"/>
      <c r="JXR55" s="1"/>
      <c r="JXS55" s="1"/>
      <c r="JXT55" s="1"/>
      <c r="JXU55" s="1"/>
      <c r="JXV55" s="1"/>
      <c r="JXW55" s="1"/>
      <c r="JXX55" s="1"/>
      <c r="JXY55" s="1"/>
      <c r="JXZ55" s="1"/>
      <c r="JYA55" s="1"/>
      <c r="JYB55" s="1"/>
      <c r="JYC55" s="1"/>
      <c r="JYD55" s="1"/>
      <c r="JYE55" s="1"/>
      <c r="JYF55" s="1"/>
      <c r="JYG55" s="1"/>
      <c r="JYH55" s="1"/>
      <c r="JYI55" s="1"/>
      <c r="JYJ55" s="1"/>
      <c r="JYK55" s="1"/>
      <c r="JYL55" s="1"/>
      <c r="JYM55" s="1"/>
      <c r="JYN55" s="1"/>
      <c r="JYO55" s="1"/>
      <c r="JYP55" s="1"/>
      <c r="JYQ55" s="1"/>
      <c r="JYR55" s="1"/>
      <c r="JYS55" s="1"/>
      <c r="JYT55" s="1"/>
      <c r="JYU55" s="1"/>
      <c r="JYV55" s="1"/>
      <c r="JYW55" s="1"/>
      <c r="JYX55" s="1"/>
      <c r="JYY55" s="1"/>
      <c r="JYZ55" s="1"/>
      <c r="JZA55" s="1"/>
      <c r="JZB55" s="1"/>
      <c r="JZC55" s="1"/>
      <c r="JZD55" s="1"/>
      <c r="JZE55" s="1"/>
      <c r="JZF55" s="1"/>
      <c r="JZG55" s="1"/>
      <c r="JZH55" s="1"/>
      <c r="JZI55" s="1"/>
      <c r="JZJ55" s="1"/>
      <c r="JZK55" s="1"/>
      <c r="JZL55" s="1"/>
      <c r="JZM55" s="1"/>
      <c r="JZN55" s="1"/>
      <c r="JZO55" s="1"/>
      <c r="JZP55" s="1"/>
      <c r="JZQ55" s="1"/>
      <c r="JZR55" s="1"/>
      <c r="JZS55" s="1"/>
      <c r="JZT55" s="1"/>
      <c r="JZU55" s="1"/>
      <c r="JZV55" s="1"/>
      <c r="JZW55" s="1"/>
      <c r="JZX55" s="1"/>
      <c r="JZY55" s="1"/>
      <c r="JZZ55" s="1"/>
      <c r="KAA55" s="1"/>
      <c r="KAB55" s="1"/>
      <c r="KAC55" s="1"/>
      <c r="KAD55" s="1"/>
      <c r="KAE55" s="1"/>
      <c r="KAF55" s="1"/>
      <c r="KAG55" s="1"/>
      <c r="KAH55" s="1"/>
      <c r="KAI55" s="1"/>
      <c r="KAJ55" s="1"/>
      <c r="KAK55" s="1"/>
      <c r="KAL55" s="1"/>
      <c r="KAM55" s="1"/>
      <c r="KAN55" s="1"/>
      <c r="KAO55" s="1"/>
      <c r="KAP55" s="1"/>
      <c r="KAQ55" s="1"/>
      <c r="KAR55" s="1"/>
      <c r="KAS55" s="1"/>
      <c r="KAT55" s="1"/>
      <c r="KAU55" s="1"/>
      <c r="KAV55" s="1"/>
      <c r="KAW55" s="1"/>
      <c r="KAX55" s="1"/>
      <c r="KAY55" s="1"/>
      <c r="KAZ55" s="1"/>
      <c r="KBA55" s="1"/>
      <c r="KBB55" s="1"/>
      <c r="KBC55" s="1"/>
      <c r="KBD55" s="1"/>
      <c r="KBE55" s="1"/>
      <c r="KBF55" s="1"/>
      <c r="KBG55" s="1"/>
      <c r="KBH55" s="1"/>
      <c r="KBI55" s="1"/>
      <c r="KBJ55" s="1"/>
      <c r="KBK55" s="1"/>
      <c r="KBL55" s="1"/>
      <c r="KBM55" s="1"/>
      <c r="KBN55" s="1"/>
      <c r="KBO55" s="1"/>
      <c r="KBP55" s="1"/>
      <c r="KBQ55" s="1"/>
      <c r="KBR55" s="1"/>
      <c r="KBS55" s="1"/>
      <c r="KBT55" s="1"/>
      <c r="KBU55" s="1"/>
      <c r="KBV55" s="1"/>
      <c r="KBW55" s="1"/>
      <c r="KBX55" s="1"/>
      <c r="KBY55" s="1"/>
      <c r="KBZ55" s="1"/>
      <c r="KCA55" s="1"/>
      <c r="KCB55" s="1"/>
      <c r="KCC55" s="1"/>
      <c r="KCD55" s="1"/>
      <c r="KCE55" s="1"/>
      <c r="KCF55" s="1"/>
      <c r="KCG55" s="1"/>
      <c r="KCH55" s="1"/>
      <c r="KCI55" s="1"/>
      <c r="KCJ55" s="1"/>
      <c r="KCK55" s="1"/>
      <c r="KCL55" s="1"/>
      <c r="KCM55" s="1"/>
      <c r="KCN55" s="1"/>
      <c r="KCO55" s="1"/>
      <c r="KCP55" s="1"/>
      <c r="KCQ55" s="1"/>
      <c r="KCR55" s="1"/>
      <c r="KCS55" s="1"/>
      <c r="KCT55" s="1"/>
      <c r="KCU55" s="1"/>
      <c r="KCV55" s="1"/>
      <c r="KCW55" s="1"/>
      <c r="KCX55" s="1"/>
      <c r="KCY55" s="1"/>
      <c r="KCZ55" s="1"/>
      <c r="KDA55" s="1"/>
      <c r="KDB55" s="1"/>
      <c r="KDC55" s="1"/>
      <c r="KDD55" s="1"/>
      <c r="KDE55" s="1"/>
      <c r="KDF55" s="1"/>
      <c r="KDG55" s="1"/>
      <c r="KDH55" s="1"/>
      <c r="KDI55" s="1"/>
      <c r="KDJ55" s="1"/>
      <c r="KDK55" s="1"/>
      <c r="KDL55" s="1"/>
      <c r="KDM55" s="1"/>
      <c r="KDN55" s="1"/>
      <c r="KDO55" s="1"/>
      <c r="KDP55" s="1"/>
      <c r="KDQ55" s="1"/>
      <c r="KDR55" s="1"/>
      <c r="KDS55" s="1"/>
      <c r="KDT55" s="1"/>
      <c r="KDU55" s="1"/>
      <c r="KDV55" s="1"/>
      <c r="KDW55" s="1"/>
      <c r="KDX55" s="1"/>
      <c r="KDY55" s="1"/>
      <c r="KDZ55" s="1"/>
      <c r="KEA55" s="1"/>
      <c r="KEB55" s="1"/>
      <c r="KEC55" s="1"/>
      <c r="KED55" s="1"/>
      <c r="KEE55" s="1"/>
      <c r="KEF55" s="1"/>
      <c r="KEG55" s="1"/>
      <c r="KEH55" s="1"/>
      <c r="KEI55" s="1"/>
      <c r="KEJ55" s="1"/>
      <c r="KEK55" s="1"/>
      <c r="KEL55" s="1"/>
      <c r="KEM55" s="1"/>
      <c r="KEN55" s="1"/>
      <c r="KEO55" s="1"/>
      <c r="KEP55" s="1"/>
      <c r="KEQ55" s="1"/>
      <c r="KER55" s="1"/>
      <c r="KES55" s="1"/>
      <c r="KET55" s="1"/>
      <c r="KEU55" s="1"/>
      <c r="KEV55" s="1"/>
      <c r="KEW55" s="1"/>
      <c r="KEX55" s="1"/>
      <c r="KEY55" s="1"/>
      <c r="KEZ55" s="1"/>
      <c r="KFA55" s="1"/>
      <c r="KFB55" s="1"/>
      <c r="KFC55" s="1"/>
      <c r="KFD55" s="1"/>
      <c r="KFE55" s="1"/>
      <c r="KFF55" s="1"/>
      <c r="KFG55" s="1"/>
      <c r="KFH55" s="1"/>
      <c r="KFI55" s="1"/>
      <c r="KFJ55" s="1"/>
      <c r="KFK55" s="1"/>
      <c r="KFL55" s="1"/>
      <c r="KFM55" s="1"/>
      <c r="KFN55" s="1"/>
      <c r="KFO55" s="1"/>
      <c r="KFP55" s="1"/>
      <c r="KFQ55" s="1"/>
      <c r="KFR55" s="1"/>
      <c r="KFS55" s="1"/>
      <c r="KFT55" s="1"/>
      <c r="KFU55" s="1"/>
      <c r="KFV55" s="1"/>
      <c r="KFW55" s="1"/>
      <c r="KFX55" s="1"/>
      <c r="KFY55" s="1"/>
      <c r="KFZ55" s="1"/>
      <c r="KGA55" s="1"/>
      <c r="KGB55" s="1"/>
      <c r="KGC55" s="1"/>
      <c r="KGD55" s="1"/>
      <c r="KGE55" s="1"/>
      <c r="KGF55" s="1"/>
      <c r="KGG55" s="1"/>
      <c r="KGH55" s="1"/>
      <c r="KGI55" s="1"/>
      <c r="KGJ55" s="1"/>
      <c r="KGK55" s="1"/>
      <c r="KGL55" s="1"/>
      <c r="KGM55" s="1"/>
      <c r="KGN55" s="1"/>
      <c r="KGO55" s="1"/>
      <c r="KGP55" s="1"/>
      <c r="KGQ55" s="1"/>
      <c r="KGR55" s="1"/>
      <c r="KGS55" s="1"/>
      <c r="KGT55" s="1"/>
      <c r="KGU55" s="1"/>
      <c r="KGV55" s="1"/>
      <c r="KGW55" s="1"/>
      <c r="KGX55" s="1"/>
      <c r="KGY55" s="1"/>
      <c r="KGZ55" s="1"/>
      <c r="KHA55" s="1"/>
      <c r="KHB55" s="1"/>
      <c r="KHC55" s="1"/>
      <c r="KHD55" s="1"/>
      <c r="KHE55" s="1"/>
      <c r="KHF55" s="1"/>
      <c r="KHG55" s="1"/>
      <c r="KHH55" s="1"/>
      <c r="KHI55" s="1"/>
      <c r="KHJ55" s="1"/>
      <c r="KHK55" s="1"/>
      <c r="KHL55" s="1"/>
      <c r="KHM55" s="1"/>
      <c r="KHN55" s="1"/>
      <c r="KHO55" s="1"/>
      <c r="KHP55" s="1"/>
      <c r="KHQ55" s="1"/>
      <c r="KHR55" s="1"/>
      <c r="KHS55" s="1"/>
      <c r="KHT55" s="1"/>
      <c r="KHU55" s="1"/>
      <c r="KHV55" s="1"/>
      <c r="KHW55" s="1"/>
      <c r="KHX55" s="1"/>
      <c r="KHY55" s="1"/>
      <c r="KHZ55" s="1"/>
      <c r="KIA55" s="1"/>
      <c r="KIB55" s="1"/>
      <c r="KIC55" s="1"/>
      <c r="KID55" s="1"/>
      <c r="KIE55" s="1"/>
      <c r="KIF55" s="1"/>
      <c r="KIG55" s="1"/>
      <c r="KIH55" s="1"/>
      <c r="KII55" s="1"/>
      <c r="KIJ55" s="1"/>
      <c r="KIK55" s="1"/>
      <c r="KIL55" s="1"/>
      <c r="KIM55" s="1"/>
      <c r="KIN55" s="1"/>
      <c r="KIO55" s="1"/>
      <c r="KIP55" s="1"/>
      <c r="KIQ55" s="1"/>
      <c r="KIR55" s="1"/>
      <c r="KIS55" s="1"/>
      <c r="KIT55" s="1"/>
      <c r="KIU55" s="1"/>
      <c r="KIV55" s="1"/>
      <c r="KIW55" s="1"/>
      <c r="KIX55" s="1"/>
      <c r="KIY55" s="1"/>
      <c r="KIZ55" s="1"/>
      <c r="KJA55" s="1"/>
      <c r="KJB55" s="1"/>
      <c r="KJC55" s="1"/>
      <c r="KJD55" s="1"/>
      <c r="KJE55" s="1"/>
      <c r="KJF55" s="1"/>
      <c r="KJG55" s="1"/>
      <c r="KJH55" s="1"/>
      <c r="KJI55" s="1"/>
      <c r="KJJ55" s="1"/>
      <c r="KJK55" s="1"/>
      <c r="KJL55" s="1"/>
      <c r="KJM55" s="1"/>
      <c r="KJN55" s="1"/>
      <c r="KJO55" s="1"/>
      <c r="KJP55" s="1"/>
      <c r="KJQ55" s="1"/>
      <c r="KJR55" s="1"/>
      <c r="KJS55" s="1"/>
      <c r="KJT55" s="1"/>
      <c r="KJU55" s="1"/>
      <c r="KJV55" s="1"/>
      <c r="KJW55" s="1"/>
      <c r="KJX55" s="1"/>
      <c r="KJY55" s="1"/>
      <c r="KJZ55" s="1"/>
      <c r="KKA55" s="1"/>
      <c r="KKB55" s="1"/>
      <c r="KKC55" s="1"/>
      <c r="KKD55" s="1"/>
      <c r="KKE55" s="1"/>
      <c r="KKF55" s="1"/>
      <c r="KKG55" s="1"/>
      <c r="KKH55" s="1"/>
      <c r="KKI55" s="1"/>
      <c r="KKJ55" s="1"/>
      <c r="KKK55" s="1"/>
      <c r="KKL55" s="1"/>
      <c r="KKM55" s="1"/>
      <c r="KKN55" s="1"/>
      <c r="KKO55" s="1"/>
      <c r="KKP55" s="1"/>
      <c r="KKQ55" s="1"/>
      <c r="KKR55" s="1"/>
      <c r="KKS55" s="1"/>
      <c r="KKT55" s="1"/>
      <c r="KKU55" s="1"/>
      <c r="KKV55" s="1"/>
      <c r="KKW55" s="1"/>
      <c r="KKX55" s="1"/>
      <c r="KKY55" s="1"/>
      <c r="KKZ55" s="1"/>
      <c r="KLA55" s="1"/>
      <c r="KLB55" s="1"/>
      <c r="KLC55" s="1"/>
      <c r="KLD55" s="1"/>
      <c r="KLE55" s="1"/>
      <c r="KLF55" s="1"/>
      <c r="KLG55" s="1"/>
      <c r="KLH55" s="1"/>
      <c r="KLI55" s="1"/>
      <c r="KLJ55" s="1"/>
      <c r="KLK55" s="1"/>
      <c r="KLL55" s="1"/>
      <c r="KLM55" s="1"/>
      <c r="KLN55" s="1"/>
      <c r="KLO55" s="1"/>
      <c r="KLP55" s="1"/>
      <c r="KLQ55" s="1"/>
      <c r="KLR55" s="1"/>
      <c r="KLS55" s="1"/>
      <c r="KLT55" s="1"/>
      <c r="KLU55" s="1"/>
      <c r="KLV55" s="1"/>
      <c r="KLW55" s="1"/>
      <c r="KLX55" s="1"/>
      <c r="KLY55" s="1"/>
      <c r="KLZ55" s="1"/>
      <c r="KMA55" s="1"/>
      <c r="KMB55" s="1"/>
      <c r="KMC55" s="1"/>
      <c r="KMD55" s="1"/>
      <c r="KME55" s="1"/>
      <c r="KMF55" s="1"/>
      <c r="KMG55" s="1"/>
      <c r="KMH55" s="1"/>
      <c r="KMI55" s="1"/>
      <c r="KMJ55" s="1"/>
      <c r="KMK55" s="1"/>
      <c r="KML55" s="1"/>
      <c r="KMM55" s="1"/>
      <c r="KMN55" s="1"/>
      <c r="KMO55" s="1"/>
      <c r="KMP55" s="1"/>
      <c r="KMQ55" s="1"/>
      <c r="KMR55" s="1"/>
      <c r="KMS55" s="1"/>
      <c r="KMT55" s="1"/>
      <c r="KMU55" s="1"/>
      <c r="KMV55" s="1"/>
      <c r="KMW55" s="1"/>
      <c r="KMX55" s="1"/>
      <c r="KMY55" s="1"/>
      <c r="KMZ55" s="1"/>
      <c r="KNA55" s="1"/>
      <c r="KNB55" s="1"/>
      <c r="KNC55" s="1"/>
      <c r="KND55" s="1"/>
      <c r="KNE55" s="1"/>
      <c r="KNF55" s="1"/>
      <c r="KNG55" s="1"/>
      <c r="KNH55" s="1"/>
      <c r="KNI55" s="1"/>
      <c r="KNJ55" s="1"/>
      <c r="KNK55" s="1"/>
      <c r="KNL55" s="1"/>
      <c r="KNM55" s="1"/>
      <c r="KNN55" s="1"/>
      <c r="KNO55" s="1"/>
      <c r="KNP55" s="1"/>
      <c r="KNQ55" s="1"/>
      <c r="KNR55" s="1"/>
      <c r="KNS55" s="1"/>
      <c r="KNT55" s="1"/>
      <c r="KNU55" s="1"/>
      <c r="KNV55" s="1"/>
      <c r="KNW55" s="1"/>
      <c r="KNX55" s="1"/>
      <c r="KNY55" s="1"/>
      <c r="KNZ55" s="1"/>
      <c r="KOA55" s="1"/>
      <c r="KOB55" s="1"/>
      <c r="KOC55" s="1"/>
      <c r="KOD55" s="1"/>
      <c r="KOE55" s="1"/>
      <c r="KOF55" s="1"/>
      <c r="KOG55" s="1"/>
      <c r="KOH55" s="1"/>
      <c r="KOI55" s="1"/>
      <c r="KOJ55" s="1"/>
      <c r="KOK55" s="1"/>
      <c r="KOL55" s="1"/>
      <c r="KOM55" s="1"/>
      <c r="KON55" s="1"/>
      <c r="KOO55" s="1"/>
      <c r="KOP55" s="1"/>
      <c r="KOQ55" s="1"/>
      <c r="KOR55" s="1"/>
      <c r="KOS55" s="1"/>
      <c r="KOT55" s="1"/>
      <c r="KOU55" s="1"/>
      <c r="KOV55" s="1"/>
      <c r="KOW55" s="1"/>
      <c r="KOX55" s="1"/>
      <c r="KOY55" s="1"/>
      <c r="KOZ55" s="1"/>
      <c r="KPA55" s="1"/>
      <c r="KPB55" s="1"/>
      <c r="KPC55" s="1"/>
      <c r="KPD55" s="1"/>
      <c r="KPE55" s="1"/>
      <c r="KPF55" s="1"/>
      <c r="KPG55" s="1"/>
      <c r="KPH55" s="1"/>
      <c r="KPI55" s="1"/>
      <c r="KPJ55" s="1"/>
      <c r="KPK55" s="1"/>
      <c r="KPL55" s="1"/>
      <c r="KPM55" s="1"/>
      <c r="KPN55" s="1"/>
      <c r="KPO55" s="1"/>
      <c r="KPP55" s="1"/>
      <c r="KPQ55" s="1"/>
      <c r="KPR55" s="1"/>
      <c r="KPS55" s="1"/>
      <c r="KPT55" s="1"/>
      <c r="KPU55" s="1"/>
      <c r="KPV55" s="1"/>
      <c r="KPW55" s="1"/>
      <c r="KPX55" s="1"/>
      <c r="KPY55" s="1"/>
      <c r="KPZ55" s="1"/>
      <c r="KQA55" s="1"/>
      <c r="KQB55" s="1"/>
      <c r="KQC55" s="1"/>
      <c r="KQD55" s="1"/>
      <c r="KQE55" s="1"/>
      <c r="KQF55" s="1"/>
      <c r="KQG55" s="1"/>
      <c r="KQH55" s="1"/>
      <c r="KQI55" s="1"/>
      <c r="KQJ55" s="1"/>
      <c r="KQK55" s="1"/>
      <c r="KQL55" s="1"/>
      <c r="KQM55" s="1"/>
      <c r="KQN55" s="1"/>
      <c r="KQO55" s="1"/>
      <c r="KQP55" s="1"/>
      <c r="KQQ55" s="1"/>
      <c r="KQR55" s="1"/>
      <c r="KQS55" s="1"/>
      <c r="KQT55" s="1"/>
      <c r="KQU55" s="1"/>
      <c r="KQV55" s="1"/>
      <c r="KQW55" s="1"/>
      <c r="KQX55" s="1"/>
      <c r="KQY55" s="1"/>
      <c r="KQZ55" s="1"/>
      <c r="KRA55" s="1"/>
      <c r="KRB55" s="1"/>
      <c r="KRC55" s="1"/>
      <c r="KRD55" s="1"/>
      <c r="KRE55" s="1"/>
      <c r="KRF55" s="1"/>
      <c r="KRG55" s="1"/>
      <c r="KRH55" s="1"/>
      <c r="KRI55" s="1"/>
      <c r="KRJ55" s="1"/>
      <c r="KRK55" s="1"/>
      <c r="KRL55" s="1"/>
      <c r="KRM55" s="1"/>
      <c r="KRN55" s="1"/>
      <c r="KRO55" s="1"/>
      <c r="KRP55" s="1"/>
      <c r="KRQ55" s="1"/>
      <c r="KRR55" s="1"/>
      <c r="KRS55" s="1"/>
      <c r="KRT55" s="1"/>
      <c r="KRU55" s="1"/>
      <c r="KRV55" s="1"/>
      <c r="KRW55" s="1"/>
      <c r="KRX55" s="1"/>
      <c r="KRY55" s="1"/>
      <c r="KRZ55" s="1"/>
      <c r="KSA55" s="1"/>
      <c r="KSB55" s="1"/>
      <c r="KSC55" s="1"/>
      <c r="KSD55" s="1"/>
      <c r="KSE55" s="1"/>
      <c r="KSF55" s="1"/>
      <c r="KSG55" s="1"/>
      <c r="KSH55" s="1"/>
      <c r="KSI55" s="1"/>
      <c r="KSJ55" s="1"/>
      <c r="KSK55" s="1"/>
      <c r="KSL55" s="1"/>
      <c r="KSM55" s="1"/>
      <c r="KSN55" s="1"/>
      <c r="KSO55" s="1"/>
      <c r="KSP55" s="1"/>
      <c r="KSQ55" s="1"/>
      <c r="KSR55" s="1"/>
      <c r="KSS55" s="1"/>
      <c r="KST55" s="1"/>
      <c r="KSU55" s="1"/>
      <c r="KSV55" s="1"/>
      <c r="KSW55" s="1"/>
      <c r="KSX55" s="1"/>
      <c r="KSY55" s="1"/>
      <c r="KSZ55" s="1"/>
      <c r="KTA55" s="1"/>
      <c r="KTB55" s="1"/>
      <c r="KTC55" s="1"/>
      <c r="KTD55" s="1"/>
      <c r="KTE55" s="1"/>
      <c r="KTF55" s="1"/>
      <c r="KTG55" s="1"/>
      <c r="KTH55" s="1"/>
      <c r="KTI55" s="1"/>
      <c r="KTJ55" s="1"/>
      <c r="KTK55" s="1"/>
      <c r="KTL55" s="1"/>
      <c r="KTM55" s="1"/>
      <c r="KTN55" s="1"/>
      <c r="KTO55" s="1"/>
      <c r="KTP55" s="1"/>
      <c r="KTQ55" s="1"/>
      <c r="KTR55" s="1"/>
      <c r="KTS55" s="1"/>
      <c r="KTT55" s="1"/>
      <c r="KTU55" s="1"/>
      <c r="KTV55" s="1"/>
      <c r="KTW55" s="1"/>
      <c r="KTX55" s="1"/>
      <c r="KTY55" s="1"/>
      <c r="KTZ55" s="1"/>
      <c r="KUA55" s="1"/>
      <c r="KUB55" s="1"/>
      <c r="KUC55" s="1"/>
      <c r="KUD55" s="1"/>
      <c r="KUE55" s="1"/>
      <c r="KUF55" s="1"/>
      <c r="KUG55" s="1"/>
      <c r="KUH55" s="1"/>
      <c r="KUI55" s="1"/>
      <c r="KUJ55" s="1"/>
      <c r="KUK55" s="1"/>
      <c r="KUL55" s="1"/>
      <c r="KUM55" s="1"/>
      <c r="KUN55" s="1"/>
      <c r="KUO55" s="1"/>
      <c r="KUP55" s="1"/>
      <c r="KUQ55" s="1"/>
      <c r="KUR55" s="1"/>
      <c r="KUS55" s="1"/>
      <c r="KUT55" s="1"/>
      <c r="KUU55" s="1"/>
      <c r="KUV55" s="1"/>
      <c r="KUW55" s="1"/>
      <c r="KUX55" s="1"/>
      <c r="KUY55" s="1"/>
      <c r="KUZ55" s="1"/>
      <c r="KVA55" s="1"/>
      <c r="KVB55" s="1"/>
      <c r="KVC55" s="1"/>
      <c r="KVD55" s="1"/>
      <c r="KVE55" s="1"/>
      <c r="KVF55" s="1"/>
      <c r="KVG55" s="1"/>
      <c r="KVH55" s="1"/>
      <c r="KVI55" s="1"/>
      <c r="KVJ55" s="1"/>
      <c r="KVK55" s="1"/>
      <c r="KVL55" s="1"/>
      <c r="KVM55" s="1"/>
      <c r="KVN55" s="1"/>
      <c r="KVO55" s="1"/>
      <c r="KVP55" s="1"/>
      <c r="KVQ55" s="1"/>
      <c r="KVR55" s="1"/>
      <c r="KVS55" s="1"/>
      <c r="KVT55" s="1"/>
      <c r="KVU55" s="1"/>
      <c r="KVV55" s="1"/>
      <c r="KVW55" s="1"/>
      <c r="KVX55" s="1"/>
      <c r="KVY55" s="1"/>
      <c r="KVZ55" s="1"/>
      <c r="KWA55" s="1"/>
      <c r="KWB55" s="1"/>
      <c r="KWC55" s="1"/>
      <c r="KWD55" s="1"/>
      <c r="KWE55" s="1"/>
      <c r="KWF55" s="1"/>
      <c r="KWG55" s="1"/>
      <c r="KWH55" s="1"/>
      <c r="KWI55" s="1"/>
      <c r="KWJ55" s="1"/>
      <c r="KWK55" s="1"/>
      <c r="KWL55" s="1"/>
      <c r="KWM55" s="1"/>
      <c r="KWN55" s="1"/>
      <c r="KWO55" s="1"/>
      <c r="KWP55" s="1"/>
      <c r="KWQ55" s="1"/>
      <c r="KWR55" s="1"/>
      <c r="KWS55" s="1"/>
      <c r="KWT55" s="1"/>
      <c r="KWU55" s="1"/>
      <c r="KWV55" s="1"/>
      <c r="KWW55" s="1"/>
      <c r="KWX55" s="1"/>
      <c r="KWY55" s="1"/>
      <c r="KWZ55" s="1"/>
      <c r="KXA55" s="1"/>
      <c r="KXB55" s="1"/>
      <c r="KXC55" s="1"/>
      <c r="KXD55" s="1"/>
      <c r="KXE55" s="1"/>
      <c r="KXF55" s="1"/>
      <c r="KXG55" s="1"/>
      <c r="KXH55" s="1"/>
      <c r="KXI55" s="1"/>
      <c r="KXJ55" s="1"/>
      <c r="KXK55" s="1"/>
      <c r="KXL55" s="1"/>
      <c r="KXM55" s="1"/>
      <c r="KXN55" s="1"/>
      <c r="KXO55" s="1"/>
      <c r="KXP55" s="1"/>
      <c r="KXQ55" s="1"/>
      <c r="KXR55" s="1"/>
      <c r="KXS55" s="1"/>
      <c r="KXT55" s="1"/>
      <c r="KXU55" s="1"/>
      <c r="KXV55" s="1"/>
      <c r="KXW55" s="1"/>
      <c r="KXX55" s="1"/>
      <c r="KXY55" s="1"/>
      <c r="KXZ55" s="1"/>
      <c r="KYA55" s="1"/>
      <c r="KYB55" s="1"/>
      <c r="KYC55" s="1"/>
      <c r="KYD55" s="1"/>
      <c r="KYE55" s="1"/>
      <c r="KYF55" s="1"/>
      <c r="KYG55" s="1"/>
      <c r="KYH55" s="1"/>
      <c r="KYI55" s="1"/>
      <c r="KYJ55" s="1"/>
      <c r="KYK55" s="1"/>
      <c r="KYL55" s="1"/>
      <c r="KYM55" s="1"/>
      <c r="KYN55" s="1"/>
      <c r="KYO55" s="1"/>
      <c r="KYP55" s="1"/>
      <c r="KYQ55" s="1"/>
      <c r="KYR55" s="1"/>
      <c r="KYS55" s="1"/>
      <c r="KYT55" s="1"/>
      <c r="KYU55" s="1"/>
      <c r="KYV55" s="1"/>
      <c r="KYW55" s="1"/>
      <c r="KYX55" s="1"/>
      <c r="KYY55" s="1"/>
      <c r="KYZ55" s="1"/>
      <c r="KZA55" s="1"/>
      <c r="KZB55" s="1"/>
      <c r="KZC55" s="1"/>
      <c r="KZD55" s="1"/>
      <c r="KZE55" s="1"/>
      <c r="KZF55" s="1"/>
      <c r="KZG55" s="1"/>
      <c r="KZH55" s="1"/>
      <c r="KZI55" s="1"/>
      <c r="KZJ55" s="1"/>
      <c r="KZK55" s="1"/>
      <c r="KZL55" s="1"/>
      <c r="KZM55" s="1"/>
      <c r="KZN55" s="1"/>
      <c r="KZO55" s="1"/>
      <c r="KZP55" s="1"/>
      <c r="KZQ55" s="1"/>
      <c r="KZR55" s="1"/>
      <c r="KZS55" s="1"/>
      <c r="KZT55" s="1"/>
      <c r="KZU55" s="1"/>
      <c r="KZV55" s="1"/>
      <c r="KZW55" s="1"/>
      <c r="KZX55" s="1"/>
      <c r="KZY55" s="1"/>
      <c r="KZZ55" s="1"/>
      <c r="LAA55" s="1"/>
      <c r="LAB55" s="1"/>
      <c r="LAC55" s="1"/>
      <c r="LAD55" s="1"/>
      <c r="LAE55" s="1"/>
      <c r="LAF55" s="1"/>
      <c r="LAG55" s="1"/>
      <c r="LAH55" s="1"/>
      <c r="LAI55" s="1"/>
      <c r="LAJ55" s="1"/>
      <c r="LAK55" s="1"/>
      <c r="LAL55" s="1"/>
      <c r="LAM55" s="1"/>
      <c r="LAN55" s="1"/>
      <c r="LAO55" s="1"/>
      <c r="LAP55" s="1"/>
      <c r="LAQ55" s="1"/>
      <c r="LAR55" s="1"/>
      <c r="LAS55" s="1"/>
      <c r="LAT55" s="1"/>
      <c r="LAU55" s="1"/>
      <c r="LAV55" s="1"/>
      <c r="LAW55" s="1"/>
      <c r="LAX55" s="1"/>
      <c r="LAY55" s="1"/>
      <c r="LAZ55" s="1"/>
      <c r="LBA55" s="1"/>
      <c r="LBB55" s="1"/>
      <c r="LBC55" s="1"/>
      <c r="LBD55" s="1"/>
      <c r="LBE55" s="1"/>
      <c r="LBF55" s="1"/>
      <c r="LBG55" s="1"/>
      <c r="LBH55" s="1"/>
      <c r="LBI55" s="1"/>
      <c r="LBJ55" s="1"/>
      <c r="LBK55" s="1"/>
      <c r="LBL55" s="1"/>
      <c r="LBM55" s="1"/>
      <c r="LBN55" s="1"/>
      <c r="LBO55" s="1"/>
      <c r="LBP55" s="1"/>
      <c r="LBQ55" s="1"/>
      <c r="LBR55" s="1"/>
      <c r="LBS55" s="1"/>
      <c r="LBT55" s="1"/>
      <c r="LBU55" s="1"/>
      <c r="LBV55" s="1"/>
      <c r="LBW55" s="1"/>
      <c r="LBX55" s="1"/>
      <c r="LBY55" s="1"/>
      <c r="LBZ55" s="1"/>
      <c r="LCA55" s="1"/>
      <c r="LCB55" s="1"/>
      <c r="LCC55" s="1"/>
      <c r="LCD55" s="1"/>
      <c r="LCE55" s="1"/>
      <c r="LCF55" s="1"/>
      <c r="LCG55" s="1"/>
      <c r="LCH55" s="1"/>
      <c r="LCI55" s="1"/>
      <c r="LCJ55" s="1"/>
      <c r="LCK55" s="1"/>
      <c r="LCL55" s="1"/>
      <c r="LCM55" s="1"/>
      <c r="LCN55" s="1"/>
      <c r="LCO55" s="1"/>
      <c r="LCP55" s="1"/>
      <c r="LCQ55" s="1"/>
      <c r="LCR55" s="1"/>
      <c r="LCS55" s="1"/>
      <c r="LCT55" s="1"/>
      <c r="LCU55" s="1"/>
      <c r="LCV55" s="1"/>
      <c r="LCW55" s="1"/>
      <c r="LCX55" s="1"/>
      <c r="LCY55" s="1"/>
      <c r="LCZ55" s="1"/>
      <c r="LDA55" s="1"/>
      <c r="LDB55" s="1"/>
      <c r="LDC55" s="1"/>
      <c r="LDD55" s="1"/>
      <c r="LDE55" s="1"/>
      <c r="LDF55" s="1"/>
      <c r="LDG55" s="1"/>
      <c r="LDH55" s="1"/>
      <c r="LDI55" s="1"/>
      <c r="LDJ55" s="1"/>
      <c r="LDK55" s="1"/>
      <c r="LDL55" s="1"/>
      <c r="LDM55" s="1"/>
      <c r="LDN55" s="1"/>
      <c r="LDO55" s="1"/>
      <c r="LDP55" s="1"/>
      <c r="LDQ55" s="1"/>
      <c r="LDR55" s="1"/>
      <c r="LDS55" s="1"/>
      <c r="LDT55" s="1"/>
      <c r="LDU55" s="1"/>
      <c r="LDV55" s="1"/>
      <c r="LDW55" s="1"/>
      <c r="LDX55" s="1"/>
      <c r="LDY55" s="1"/>
      <c r="LDZ55" s="1"/>
      <c r="LEA55" s="1"/>
      <c r="LEB55" s="1"/>
      <c r="LEC55" s="1"/>
      <c r="LED55" s="1"/>
      <c r="LEE55" s="1"/>
      <c r="LEF55" s="1"/>
      <c r="LEG55" s="1"/>
      <c r="LEH55" s="1"/>
      <c r="LEI55" s="1"/>
      <c r="LEJ55" s="1"/>
      <c r="LEK55" s="1"/>
      <c r="LEL55" s="1"/>
      <c r="LEM55" s="1"/>
      <c r="LEN55" s="1"/>
      <c r="LEO55" s="1"/>
      <c r="LEP55" s="1"/>
      <c r="LEQ55" s="1"/>
      <c r="LER55" s="1"/>
      <c r="LES55" s="1"/>
      <c r="LET55" s="1"/>
      <c r="LEU55" s="1"/>
      <c r="LEV55" s="1"/>
      <c r="LEW55" s="1"/>
      <c r="LEX55" s="1"/>
      <c r="LEY55" s="1"/>
      <c r="LEZ55" s="1"/>
      <c r="LFA55" s="1"/>
      <c r="LFB55" s="1"/>
      <c r="LFC55" s="1"/>
      <c r="LFD55" s="1"/>
      <c r="LFE55" s="1"/>
      <c r="LFF55" s="1"/>
      <c r="LFG55" s="1"/>
      <c r="LFH55" s="1"/>
      <c r="LFI55" s="1"/>
      <c r="LFJ55" s="1"/>
      <c r="LFK55" s="1"/>
      <c r="LFL55" s="1"/>
      <c r="LFM55" s="1"/>
      <c r="LFN55" s="1"/>
      <c r="LFO55" s="1"/>
      <c r="LFP55" s="1"/>
      <c r="LFQ55" s="1"/>
      <c r="LFR55" s="1"/>
      <c r="LFS55" s="1"/>
      <c r="LFT55" s="1"/>
      <c r="LFU55" s="1"/>
      <c r="LFV55" s="1"/>
      <c r="LFW55" s="1"/>
      <c r="LFX55" s="1"/>
      <c r="LFY55" s="1"/>
      <c r="LFZ55" s="1"/>
      <c r="LGA55" s="1"/>
      <c r="LGB55" s="1"/>
      <c r="LGC55" s="1"/>
      <c r="LGD55" s="1"/>
      <c r="LGE55" s="1"/>
      <c r="LGF55" s="1"/>
      <c r="LGG55" s="1"/>
      <c r="LGH55" s="1"/>
      <c r="LGI55" s="1"/>
      <c r="LGJ55" s="1"/>
      <c r="LGK55" s="1"/>
      <c r="LGL55" s="1"/>
      <c r="LGM55" s="1"/>
      <c r="LGN55" s="1"/>
      <c r="LGO55" s="1"/>
      <c r="LGP55" s="1"/>
      <c r="LGQ55" s="1"/>
      <c r="LGR55" s="1"/>
      <c r="LGS55" s="1"/>
      <c r="LGT55" s="1"/>
      <c r="LGU55" s="1"/>
      <c r="LGV55" s="1"/>
      <c r="LGW55" s="1"/>
      <c r="LGX55" s="1"/>
      <c r="LGY55" s="1"/>
      <c r="LGZ55" s="1"/>
      <c r="LHA55" s="1"/>
      <c r="LHB55" s="1"/>
      <c r="LHC55" s="1"/>
      <c r="LHD55" s="1"/>
      <c r="LHE55" s="1"/>
      <c r="LHF55" s="1"/>
      <c r="LHG55" s="1"/>
      <c r="LHH55" s="1"/>
      <c r="LHI55" s="1"/>
      <c r="LHJ55" s="1"/>
      <c r="LHK55" s="1"/>
      <c r="LHL55" s="1"/>
      <c r="LHM55" s="1"/>
      <c r="LHN55" s="1"/>
      <c r="LHO55" s="1"/>
      <c r="LHP55" s="1"/>
      <c r="LHQ55" s="1"/>
      <c r="LHR55" s="1"/>
      <c r="LHS55" s="1"/>
      <c r="LHT55" s="1"/>
      <c r="LHU55" s="1"/>
      <c r="LHV55" s="1"/>
      <c r="LHW55" s="1"/>
      <c r="LHX55" s="1"/>
      <c r="LHY55" s="1"/>
      <c r="LHZ55" s="1"/>
      <c r="LIA55" s="1"/>
      <c r="LIB55" s="1"/>
      <c r="LIC55" s="1"/>
      <c r="LID55" s="1"/>
      <c r="LIE55" s="1"/>
      <c r="LIF55" s="1"/>
      <c r="LIG55" s="1"/>
      <c r="LIH55" s="1"/>
      <c r="LII55" s="1"/>
      <c r="LIJ55" s="1"/>
      <c r="LIK55" s="1"/>
      <c r="LIL55" s="1"/>
      <c r="LIM55" s="1"/>
      <c r="LIN55" s="1"/>
      <c r="LIO55" s="1"/>
      <c r="LIP55" s="1"/>
      <c r="LIQ55" s="1"/>
      <c r="LIR55" s="1"/>
      <c r="LIS55" s="1"/>
      <c r="LIT55" s="1"/>
      <c r="LIU55" s="1"/>
      <c r="LIV55" s="1"/>
      <c r="LIW55" s="1"/>
      <c r="LIX55" s="1"/>
      <c r="LIY55" s="1"/>
      <c r="LIZ55" s="1"/>
      <c r="LJA55" s="1"/>
      <c r="LJB55" s="1"/>
      <c r="LJC55" s="1"/>
      <c r="LJD55" s="1"/>
      <c r="LJE55" s="1"/>
      <c r="LJF55" s="1"/>
      <c r="LJG55" s="1"/>
      <c r="LJH55" s="1"/>
      <c r="LJI55" s="1"/>
      <c r="LJJ55" s="1"/>
      <c r="LJK55" s="1"/>
      <c r="LJL55" s="1"/>
      <c r="LJM55" s="1"/>
      <c r="LJN55" s="1"/>
      <c r="LJO55" s="1"/>
      <c r="LJP55" s="1"/>
      <c r="LJQ55" s="1"/>
      <c r="LJR55" s="1"/>
      <c r="LJS55" s="1"/>
      <c r="LJT55" s="1"/>
      <c r="LJU55" s="1"/>
      <c r="LJV55" s="1"/>
      <c r="LJW55" s="1"/>
      <c r="LJX55" s="1"/>
      <c r="LJY55" s="1"/>
      <c r="LJZ55" s="1"/>
      <c r="LKA55" s="1"/>
      <c r="LKB55" s="1"/>
      <c r="LKC55" s="1"/>
      <c r="LKD55" s="1"/>
      <c r="LKE55" s="1"/>
      <c r="LKF55" s="1"/>
      <c r="LKG55" s="1"/>
      <c r="LKH55" s="1"/>
      <c r="LKI55" s="1"/>
      <c r="LKJ55" s="1"/>
      <c r="LKK55" s="1"/>
      <c r="LKL55" s="1"/>
      <c r="LKM55" s="1"/>
      <c r="LKN55" s="1"/>
      <c r="LKO55" s="1"/>
      <c r="LKP55" s="1"/>
      <c r="LKQ55" s="1"/>
      <c r="LKR55" s="1"/>
      <c r="LKS55" s="1"/>
      <c r="LKT55" s="1"/>
      <c r="LKU55" s="1"/>
      <c r="LKV55" s="1"/>
      <c r="LKW55" s="1"/>
      <c r="LKX55" s="1"/>
      <c r="LKY55" s="1"/>
      <c r="LKZ55" s="1"/>
      <c r="LLA55" s="1"/>
      <c r="LLB55" s="1"/>
      <c r="LLC55" s="1"/>
      <c r="LLD55" s="1"/>
      <c r="LLE55" s="1"/>
      <c r="LLF55" s="1"/>
      <c r="LLG55" s="1"/>
      <c r="LLH55" s="1"/>
      <c r="LLI55" s="1"/>
      <c r="LLJ55" s="1"/>
      <c r="LLK55" s="1"/>
      <c r="LLL55" s="1"/>
      <c r="LLM55" s="1"/>
      <c r="LLN55" s="1"/>
      <c r="LLO55" s="1"/>
      <c r="LLP55" s="1"/>
      <c r="LLQ55" s="1"/>
      <c r="LLR55" s="1"/>
      <c r="LLS55" s="1"/>
      <c r="LLT55" s="1"/>
      <c r="LLU55" s="1"/>
      <c r="LLV55" s="1"/>
      <c r="LLW55" s="1"/>
      <c r="LLX55" s="1"/>
      <c r="LLY55" s="1"/>
      <c r="LLZ55" s="1"/>
      <c r="LMA55" s="1"/>
      <c r="LMB55" s="1"/>
      <c r="LMC55" s="1"/>
      <c r="LMD55" s="1"/>
      <c r="LME55" s="1"/>
      <c r="LMF55" s="1"/>
      <c r="LMG55" s="1"/>
      <c r="LMH55" s="1"/>
      <c r="LMI55" s="1"/>
      <c r="LMJ55" s="1"/>
      <c r="LMK55" s="1"/>
      <c r="LML55" s="1"/>
      <c r="LMM55" s="1"/>
      <c r="LMN55" s="1"/>
      <c r="LMO55" s="1"/>
      <c r="LMP55" s="1"/>
      <c r="LMQ55" s="1"/>
      <c r="LMR55" s="1"/>
      <c r="LMS55" s="1"/>
      <c r="LMT55" s="1"/>
      <c r="LMU55" s="1"/>
      <c r="LMV55" s="1"/>
      <c r="LMW55" s="1"/>
      <c r="LMX55" s="1"/>
      <c r="LMY55" s="1"/>
      <c r="LMZ55" s="1"/>
      <c r="LNA55" s="1"/>
      <c r="LNB55" s="1"/>
      <c r="LNC55" s="1"/>
      <c r="LND55" s="1"/>
      <c r="LNE55" s="1"/>
      <c r="LNF55" s="1"/>
      <c r="LNG55" s="1"/>
      <c r="LNH55" s="1"/>
      <c r="LNI55" s="1"/>
      <c r="LNJ55" s="1"/>
      <c r="LNK55" s="1"/>
      <c r="LNL55" s="1"/>
      <c r="LNM55" s="1"/>
      <c r="LNN55" s="1"/>
      <c r="LNO55" s="1"/>
      <c r="LNP55" s="1"/>
      <c r="LNQ55" s="1"/>
      <c r="LNR55" s="1"/>
      <c r="LNS55" s="1"/>
      <c r="LNT55" s="1"/>
      <c r="LNU55" s="1"/>
      <c r="LNV55" s="1"/>
      <c r="LNW55" s="1"/>
      <c r="LNX55" s="1"/>
      <c r="LNY55" s="1"/>
      <c r="LNZ55" s="1"/>
      <c r="LOA55" s="1"/>
      <c r="LOB55" s="1"/>
      <c r="LOC55" s="1"/>
      <c r="LOD55" s="1"/>
      <c r="LOE55" s="1"/>
      <c r="LOF55" s="1"/>
      <c r="LOG55" s="1"/>
      <c r="LOH55" s="1"/>
      <c r="LOI55" s="1"/>
      <c r="LOJ55" s="1"/>
      <c r="LOK55" s="1"/>
      <c r="LOL55" s="1"/>
      <c r="LOM55" s="1"/>
      <c r="LON55" s="1"/>
      <c r="LOO55" s="1"/>
      <c r="LOP55" s="1"/>
      <c r="LOQ55" s="1"/>
      <c r="LOR55" s="1"/>
      <c r="LOS55" s="1"/>
      <c r="LOT55" s="1"/>
      <c r="LOU55" s="1"/>
      <c r="LOV55" s="1"/>
      <c r="LOW55" s="1"/>
      <c r="LOX55" s="1"/>
      <c r="LOY55" s="1"/>
      <c r="LOZ55" s="1"/>
      <c r="LPA55" s="1"/>
      <c r="LPB55" s="1"/>
      <c r="LPC55" s="1"/>
      <c r="LPD55" s="1"/>
      <c r="LPE55" s="1"/>
      <c r="LPF55" s="1"/>
      <c r="LPG55" s="1"/>
      <c r="LPH55" s="1"/>
      <c r="LPI55" s="1"/>
      <c r="LPJ55" s="1"/>
      <c r="LPK55" s="1"/>
      <c r="LPL55" s="1"/>
      <c r="LPM55" s="1"/>
      <c r="LPN55" s="1"/>
      <c r="LPO55" s="1"/>
      <c r="LPP55" s="1"/>
      <c r="LPQ55" s="1"/>
      <c r="LPR55" s="1"/>
      <c r="LPS55" s="1"/>
      <c r="LPT55" s="1"/>
      <c r="LPU55" s="1"/>
      <c r="LPV55" s="1"/>
      <c r="LPW55" s="1"/>
      <c r="LPX55" s="1"/>
      <c r="LPY55" s="1"/>
      <c r="LPZ55" s="1"/>
      <c r="LQA55" s="1"/>
      <c r="LQB55" s="1"/>
      <c r="LQC55" s="1"/>
      <c r="LQD55" s="1"/>
      <c r="LQE55" s="1"/>
      <c r="LQF55" s="1"/>
      <c r="LQG55" s="1"/>
      <c r="LQH55" s="1"/>
      <c r="LQI55" s="1"/>
      <c r="LQJ55" s="1"/>
      <c r="LQK55" s="1"/>
      <c r="LQL55" s="1"/>
      <c r="LQM55" s="1"/>
      <c r="LQN55" s="1"/>
      <c r="LQO55" s="1"/>
      <c r="LQP55" s="1"/>
      <c r="LQQ55" s="1"/>
      <c r="LQR55" s="1"/>
      <c r="LQS55" s="1"/>
      <c r="LQT55" s="1"/>
      <c r="LQU55" s="1"/>
      <c r="LQV55" s="1"/>
      <c r="LQW55" s="1"/>
      <c r="LQX55" s="1"/>
      <c r="LQY55" s="1"/>
      <c r="LQZ55" s="1"/>
      <c r="LRA55" s="1"/>
      <c r="LRB55" s="1"/>
      <c r="LRC55" s="1"/>
      <c r="LRD55" s="1"/>
      <c r="LRE55" s="1"/>
      <c r="LRF55" s="1"/>
      <c r="LRG55" s="1"/>
      <c r="LRH55" s="1"/>
      <c r="LRI55" s="1"/>
      <c r="LRJ55" s="1"/>
      <c r="LRK55" s="1"/>
      <c r="LRL55" s="1"/>
      <c r="LRM55" s="1"/>
      <c r="LRN55" s="1"/>
      <c r="LRO55" s="1"/>
      <c r="LRP55" s="1"/>
      <c r="LRQ55" s="1"/>
      <c r="LRR55" s="1"/>
      <c r="LRS55" s="1"/>
      <c r="LRT55" s="1"/>
      <c r="LRU55" s="1"/>
      <c r="LRV55" s="1"/>
      <c r="LRW55" s="1"/>
      <c r="LRX55" s="1"/>
      <c r="LRY55" s="1"/>
      <c r="LRZ55" s="1"/>
      <c r="LSA55" s="1"/>
      <c r="LSB55" s="1"/>
      <c r="LSC55" s="1"/>
      <c r="LSD55" s="1"/>
      <c r="LSE55" s="1"/>
      <c r="LSF55" s="1"/>
      <c r="LSG55" s="1"/>
      <c r="LSH55" s="1"/>
      <c r="LSI55" s="1"/>
      <c r="LSJ55" s="1"/>
      <c r="LSK55" s="1"/>
      <c r="LSL55" s="1"/>
      <c r="LSM55" s="1"/>
      <c r="LSN55" s="1"/>
      <c r="LSO55" s="1"/>
      <c r="LSP55" s="1"/>
      <c r="LSQ55" s="1"/>
      <c r="LSR55" s="1"/>
      <c r="LSS55" s="1"/>
      <c r="LST55" s="1"/>
      <c r="LSU55" s="1"/>
      <c r="LSV55" s="1"/>
      <c r="LSW55" s="1"/>
      <c r="LSX55" s="1"/>
      <c r="LSY55" s="1"/>
      <c r="LSZ55" s="1"/>
      <c r="LTA55" s="1"/>
      <c r="LTB55" s="1"/>
      <c r="LTC55" s="1"/>
      <c r="LTD55" s="1"/>
      <c r="LTE55" s="1"/>
      <c r="LTF55" s="1"/>
      <c r="LTG55" s="1"/>
      <c r="LTH55" s="1"/>
      <c r="LTI55" s="1"/>
      <c r="LTJ55" s="1"/>
      <c r="LTK55" s="1"/>
      <c r="LTL55" s="1"/>
      <c r="LTM55" s="1"/>
      <c r="LTN55" s="1"/>
      <c r="LTO55" s="1"/>
      <c r="LTP55" s="1"/>
      <c r="LTQ55" s="1"/>
      <c r="LTR55" s="1"/>
      <c r="LTS55" s="1"/>
      <c r="LTT55" s="1"/>
      <c r="LTU55" s="1"/>
      <c r="LTV55" s="1"/>
      <c r="LTW55" s="1"/>
      <c r="LTX55" s="1"/>
      <c r="LTY55" s="1"/>
      <c r="LTZ55" s="1"/>
      <c r="LUA55" s="1"/>
      <c r="LUB55" s="1"/>
      <c r="LUC55" s="1"/>
      <c r="LUD55" s="1"/>
      <c r="LUE55" s="1"/>
      <c r="LUF55" s="1"/>
      <c r="LUG55" s="1"/>
      <c r="LUH55" s="1"/>
      <c r="LUI55" s="1"/>
      <c r="LUJ55" s="1"/>
      <c r="LUK55" s="1"/>
      <c r="LUL55" s="1"/>
      <c r="LUM55" s="1"/>
      <c r="LUN55" s="1"/>
      <c r="LUO55" s="1"/>
      <c r="LUP55" s="1"/>
      <c r="LUQ55" s="1"/>
      <c r="LUR55" s="1"/>
      <c r="LUS55" s="1"/>
      <c r="LUT55" s="1"/>
      <c r="LUU55" s="1"/>
      <c r="LUV55" s="1"/>
      <c r="LUW55" s="1"/>
      <c r="LUX55" s="1"/>
      <c r="LUY55" s="1"/>
      <c r="LUZ55" s="1"/>
      <c r="LVA55" s="1"/>
      <c r="LVB55" s="1"/>
      <c r="LVC55" s="1"/>
      <c r="LVD55" s="1"/>
      <c r="LVE55" s="1"/>
      <c r="LVF55" s="1"/>
      <c r="LVG55" s="1"/>
      <c r="LVH55" s="1"/>
      <c r="LVI55" s="1"/>
      <c r="LVJ55" s="1"/>
      <c r="LVK55" s="1"/>
      <c r="LVL55" s="1"/>
      <c r="LVM55" s="1"/>
      <c r="LVN55" s="1"/>
      <c r="LVO55" s="1"/>
      <c r="LVP55" s="1"/>
      <c r="LVQ55" s="1"/>
      <c r="LVR55" s="1"/>
      <c r="LVS55" s="1"/>
      <c r="LVT55" s="1"/>
      <c r="LVU55" s="1"/>
      <c r="LVV55" s="1"/>
      <c r="LVW55" s="1"/>
      <c r="LVX55" s="1"/>
      <c r="LVY55" s="1"/>
      <c r="LVZ55" s="1"/>
      <c r="LWA55" s="1"/>
      <c r="LWB55" s="1"/>
      <c r="LWC55" s="1"/>
      <c r="LWD55" s="1"/>
      <c r="LWE55" s="1"/>
      <c r="LWF55" s="1"/>
      <c r="LWG55" s="1"/>
      <c r="LWH55" s="1"/>
      <c r="LWI55" s="1"/>
      <c r="LWJ55" s="1"/>
      <c r="LWK55" s="1"/>
      <c r="LWL55" s="1"/>
      <c r="LWM55" s="1"/>
      <c r="LWN55" s="1"/>
      <c r="LWO55" s="1"/>
      <c r="LWP55" s="1"/>
      <c r="LWQ55" s="1"/>
      <c r="LWR55" s="1"/>
      <c r="LWS55" s="1"/>
      <c r="LWT55" s="1"/>
      <c r="LWU55" s="1"/>
      <c r="LWV55" s="1"/>
      <c r="LWW55" s="1"/>
      <c r="LWX55" s="1"/>
      <c r="LWY55" s="1"/>
      <c r="LWZ55" s="1"/>
      <c r="LXA55" s="1"/>
      <c r="LXB55" s="1"/>
      <c r="LXC55" s="1"/>
      <c r="LXD55" s="1"/>
      <c r="LXE55" s="1"/>
      <c r="LXF55" s="1"/>
      <c r="LXG55" s="1"/>
      <c r="LXH55" s="1"/>
      <c r="LXI55" s="1"/>
      <c r="LXJ55" s="1"/>
      <c r="LXK55" s="1"/>
      <c r="LXL55" s="1"/>
      <c r="LXM55" s="1"/>
      <c r="LXN55" s="1"/>
      <c r="LXO55" s="1"/>
      <c r="LXP55" s="1"/>
      <c r="LXQ55" s="1"/>
      <c r="LXR55" s="1"/>
      <c r="LXS55" s="1"/>
      <c r="LXT55" s="1"/>
      <c r="LXU55" s="1"/>
      <c r="LXV55" s="1"/>
      <c r="LXW55" s="1"/>
      <c r="LXX55" s="1"/>
      <c r="LXY55" s="1"/>
      <c r="LXZ55" s="1"/>
      <c r="LYA55" s="1"/>
      <c r="LYB55" s="1"/>
      <c r="LYC55" s="1"/>
      <c r="LYD55" s="1"/>
      <c r="LYE55" s="1"/>
      <c r="LYF55" s="1"/>
      <c r="LYG55" s="1"/>
      <c r="LYH55" s="1"/>
      <c r="LYI55" s="1"/>
      <c r="LYJ55" s="1"/>
      <c r="LYK55" s="1"/>
      <c r="LYL55" s="1"/>
      <c r="LYM55" s="1"/>
      <c r="LYN55" s="1"/>
      <c r="LYO55" s="1"/>
      <c r="LYP55" s="1"/>
      <c r="LYQ55" s="1"/>
      <c r="LYR55" s="1"/>
      <c r="LYS55" s="1"/>
      <c r="LYT55" s="1"/>
      <c r="LYU55" s="1"/>
      <c r="LYV55" s="1"/>
      <c r="LYW55" s="1"/>
      <c r="LYX55" s="1"/>
      <c r="LYY55" s="1"/>
      <c r="LYZ55" s="1"/>
      <c r="LZA55" s="1"/>
      <c r="LZB55" s="1"/>
      <c r="LZC55" s="1"/>
      <c r="LZD55" s="1"/>
      <c r="LZE55" s="1"/>
      <c r="LZF55" s="1"/>
      <c r="LZG55" s="1"/>
      <c r="LZH55" s="1"/>
      <c r="LZI55" s="1"/>
      <c r="LZJ55" s="1"/>
      <c r="LZK55" s="1"/>
      <c r="LZL55" s="1"/>
      <c r="LZM55" s="1"/>
      <c r="LZN55" s="1"/>
      <c r="LZO55" s="1"/>
      <c r="LZP55" s="1"/>
      <c r="LZQ55" s="1"/>
      <c r="LZR55" s="1"/>
      <c r="LZS55" s="1"/>
      <c r="LZT55" s="1"/>
      <c r="LZU55" s="1"/>
      <c r="LZV55" s="1"/>
      <c r="LZW55" s="1"/>
      <c r="LZX55" s="1"/>
      <c r="LZY55" s="1"/>
      <c r="LZZ55" s="1"/>
      <c r="MAA55" s="1"/>
      <c r="MAB55" s="1"/>
      <c r="MAC55" s="1"/>
      <c r="MAD55" s="1"/>
      <c r="MAE55" s="1"/>
      <c r="MAF55" s="1"/>
      <c r="MAG55" s="1"/>
      <c r="MAH55" s="1"/>
      <c r="MAI55" s="1"/>
      <c r="MAJ55" s="1"/>
      <c r="MAK55" s="1"/>
      <c r="MAL55" s="1"/>
      <c r="MAM55" s="1"/>
      <c r="MAN55" s="1"/>
      <c r="MAO55" s="1"/>
      <c r="MAP55" s="1"/>
      <c r="MAQ55" s="1"/>
      <c r="MAR55" s="1"/>
      <c r="MAS55" s="1"/>
      <c r="MAT55" s="1"/>
      <c r="MAU55" s="1"/>
      <c r="MAV55" s="1"/>
      <c r="MAW55" s="1"/>
      <c r="MAX55" s="1"/>
      <c r="MAY55" s="1"/>
      <c r="MAZ55" s="1"/>
      <c r="MBA55" s="1"/>
      <c r="MBB55" s="1"/>
      <c r="MBC55" s="1"/>
      <c r="MBD55" s="1"/>
      <c r="MBE55" s="1"/>
      <c r="MBF55" s="1"/>
      <c r="MBG55" s="1"/>
      <c r="MBH55" s="1"/>
      <c r="MBI55" s="1"/>
      <c r="MBJ55" s="1"/>
      <c r="MBK55" s="1"/>
      <c r="MBL55" s="1"/>
      <c r="MBM55" s="1"/>
      <c r="MBN55" s="1"/>
      <c r="MBO55" s="1"/>
      <c r="MBP55" s="1"/>
      <c r="MBQ55" s="1"/>
      <c r="MBR55" s="1"/>
      <c r="MBS55" s="1"/>
      <c r="MBT55" s="1"/>
      <c r="MBU55" s="1"/>
      <c r="MBV55" s="1"/>
      <c r="MBW55" s="1"/>
      <c r="MBX55" s="1"/>
      <c r="MBY55" s="1"/>
      <c r="MBZ55" s="1"/>
      <c r="MCA55" s="1"/>
      <c r="MCB55" s="1"/>
      <c r="MCC55" s="1"/>
      <c r="MCD55" s="1"/>
      <c r="MCE55" s="1"/>
      <c r="MCF55" s="1"/>
      <c r="MCG55" s="1"/>
      <c r="MCH55" s="1"/>
      <c r="MCI55" s="1"/>
      <c r="MCJ55" s="1"/>
      <c r="MCK55" s="1"/>
      <c r="MCL55" s="1"/>
      <c r="MCM55" s="1"/>
      <c r="MCN55" s="1"/>
      <c r="MCO55" s="1"/>
      <c r="MCP55" s="1"/>
      <c r="MCQ55" s="1"/>
      <c r="MCR55" s="1"/>
      <c r="MCS55" s="1"/>
      <c r="MCT55" s="1"/>
      <c r="MCU55" s="1"/>
      <c r="MCV55" s="1"/>
      <c r="MCW55" s="1"/>
      <c r="MCX55" s="1"/>
      <c r="MCY55" s="1"/>
      <c r="MCZ55" s="1"/>
      <c r="MDA55" s="1"/>
      <c r="MDB55" s="1"/>
      <c r="MDC55" s="1"/>
      <c r="MDD55" s="1"/>
      <c r="MDE55" s="1"/>
      <c r="MDF55" s="1"/>
      <c r="MDG55" s="1"/>
      <c r="MDH55" s="1"/>
      <c r="MDI55" s="1"/>
      <c r="MDJ55" s="1"/>
      <c r="MDK55" s="1"/>
      <c r="MDL55" s="1"/>
      <c r="MDM55" s="1"/>
      <c r="MDN55" s="1"/>
      <c r="MDO55" s="1"/>
      <c r="MDP55" s="1"/>
      <c r="MDQ55" s="1"/>
      <c r="MDR55" s="1"/>
      <c r="MDS55" s="1"/>
      <c r="MDT55" s="1"/>
      <c r="MDU55" s="1"/>
      <c r="MDV55" s="1"/>
      <c r="MDW55" s="1"/>
      <c r="MDX55" s="1"/>
      <c r="MDY55" s="1"/>
      <c r="MDZ55" s="1"/>
      <c r="MEA55" s="1"/>
      <c r="MEB55" s="1"/>
      <c r="MEC55" s="1"/>
      <c r="MED55" s="1"/>
      <c r="MEE55" s="1"/>
      <c r="MEF55" s="1"/>
      <c r="MEG55" s="1"/>
      <c r="MEH55" s="1"/>
      <c r="MEI55" s="1"/>
      <c r="MEJ55" s="1"/>
      <c r="MEK55" s="1"/>
      <c r="MEL55" s="1"/>
      <c r="MEM55" s="1"/>
      <c r="MEN55" s="1"/>
      <c r="MEO55" s="1"/>
      <c r="MEP55" s="1"/>
      <c r="MEQ55" s="1"/>
      <c r="MER55" s="1"/>
      <c r="MES55" s="1"/>
      <c r="MET55" s="1"/>
      <c r="MEU55" s="1"/>
      <c r="MEV55" s="1"/>
      <c r="MEW55" s="1"/>
      <c r="MEX55" s="1"/>
      <c r="MEY55" s="1"/>
      <c r="MEZ55" s="1"/>
      <c r="MFA55" s="1"/>
      <c r="MFB55" s="1"/>
      <c r="MFC55" s="1"/>
      <c r="MFD55" s="1"/>
      <c r="MFE55" s="1"/>
      <c r="MFF55" s="1"/>
      <c r="MFG55" s="1"/>
      <c r="MFH55" s="1"/>
      <c r="MFI55" s="1"/>
      <c r="MFJ55" s="1"/>
      <c r="MFK55" s="1"/>
      <c r="MFL55" s="1"/>
      <c r="MFM55" s="1"/>
      <c r="MFN55" s="1"/>
      <c r="MFO55" s="1"/>
      <c r="MFP55" s="1"/>
      <c r="MFQ55" s="1"/>
      <c r="MFR55" s="1"/>
      <c r="MFS55" s="1"/>
      <c r="MFT55" s="1"/>
      <c r="MFU55" s="1"/>
      <c r="MFV55" s="1"/>
      <c r="MFW55" s="1"/>
      <c r="MFX55" s="1"/>
      <c r="MFY55" s="1"/>
      <c r="MFZ55" s="1"/>
      <c r="MGA55" s="1"/>
      <c r="MGB55" s="1"/>
      <c r="MGC55" s="1"/>
      <c r="MGD55" s="1"/>
      <c r="MGE55" s="1"/>
      <c r="MGF55" s="1"/>
      <c r="MGG55" s="1"/>
      <c r="MGH55" s="1"/>
      <c r="MGI55" s="1"/>
      <c r="MGJ55" s="1"/>
      <c r="MGK55" s="1"/>
      <c r="MGL55" s="1"/>
      <c r="MGM55" s="1"/>
      <c r="MGN55" s="1"/>
      <c r="MGO55" s="1"/>
      <c r="MGP55" s="1"/>
      <c r="MGQ55" s="1"/>
      <c r="MGR55" s="1"/>
      <c r="MGS55" s="1"/>
      <c r="MGT55" s="1"/>
      <c r="MGU55" s="1"/>
      <c r="MGV55" s="1"/>
      <c r="MGW55" s="1"/>
      <c r="MGX55" s="1"/>
      <c r="MGY55" s="1"/>
      <c r="MGZ55" s="1"/>
      <c r="MHA55" s="1"/>
      <c r="MHB55" s="1"/>
      <c r="MHC55" s="1"/>
      <c r="MHD55" s="1"/>
      <c r="MHE55" s="1"/>
      <c r="MHF55" s="1"/>
      <c r="MHG55" s="1"/>
      <c r="MHH55" s="1"/>
      <c r="MHI55" s="1"/>
      <c r="MHJ55" s="1"/>
      <c r="MHK55" s="1"/>
      <c r="MHL55" s="1"/>
      <c r="MHM55" s="1"/>
      <c r="MHN55" s="1"/>
      <c r="MHO55" s="1"/>
      <c r="MHP55" s="1"/>
      <c r="MHQ55" s="1"/>
      <c r="MHR55" s="1"/>
      <c r="MHS55" s="1"/>
      <c r="MHT55" s="1"/>
      <c r="MHU55" s="1"/>
      <c r="MHV55" s="1"/>
      <c r="MHW55" s="1"/>
      <c r="MHX55" s="1"/>
      <c r="MHY55" s="1"/>
      <c r="MHZ55" s="1"/>
      <c r="MIA55" s="1"/>
      <c r="MIB55" s="1"/>
      <c r="MIC55" s="1"/>
      <c r="MID55" s="1"/>
      <c r="MIE55" s="1"/>
      <c r="MIF55" s="1"/>
      <c r="MIG55" s="1"/>
      <c r="MIH55" s="1"/>
      <c r="MII55" s="1"/>
      <c r="MIJ55" s="1"/>
      <c r="MIK55" s="1"/>
      <c r="MIL55" s="1"/>
      <c r="MIM55" s="1"/>
      <c r="MIN55" s="1"/>
      <c r="MIO55" s="1"/>
      <c r="MIP55" s="1"/>
      <c r="MIQ55" s="1"/>
      <c r="MIR55" s="1"/>
      <c r="MIS55" s="1"/>
      <c r="MIT55" s="1"/>
      <c r="MIU55" s="1"/>
      <c r="MIV55" s="1"/>
      <c r="MIW55" s="1"/>
      <c r="MIX55" s="1"/>
      <c r="MIY55" s="1"/>
      <c r="MIZ55" s="1"/>
      <c r="MJA55" s="1"/>
      <c r="MJB55" s="1"/>
      <c r="MJC55" s="1"/>
      <c r="MJD55" s="1"/>
      <c r="MJE55" s="1"/>
      <c r="MJF55" s="1"/>
      <c r="MJG55" s="1"/>
      <c r="MJH55" s="1"/>
      <c r="MJI55" s="1"/>
      <c r="MJJ55" s="1"/>
      <c r="MJK55" s="1"/>
      <c r="MJL55" s="1"/>
      <c r="MJM55" s="1"/>
      <c r="MJN55" s="1"/>
      <c r="MJO55" s="1"/>
      <c r="MJP55" s="1"/>
      <c r="MJQ55" s="1"/>
      <c r="MJR55" s="1"/>
      <c r="MJS55" s="1"/>
      <c r="MJT55" s="1"/>
      <c r="MJU55" s="1"/>
      <c r="MJV55" s="1"/>
      <c r="MJW55" s="1"/>
      <c r="MJX55" s="1"/>
      <c r="MJY55" s="1"/>
      <c r="MJZ55" s="1"/>
      <c r="MKA55" s="1"/>
      <c r="MKB55" s="1"/>
      <c r="MKC55" s="1"/>
      <c r="MKD55" s="1"/>
      <c r="MKE55" s="1"/>
      <c r="MKF55" s="1"/>
      <c r="MKG55" s="1"/>
      <c r="MKH55" s="1"/>
      <c r="MKI55" s="1"/>
      <c r="MKJ55" s="1"/>
      <c r="MKK55" s="1"/>
      <c r="MKL55" s="1"/>
      <c r="MKM55" s="1"/>
      <c r="MKN55" s="1"/>
      <c r="MKO55" s="1"/>
      <c r="MKP55" s="1"/>
      <c r="MKQ55" s="1"/>
      <c r="MKR55" s="1"/>
      <c r="MKS55" s="1"/>
      <c r="MKT55" s="1"/>
      <c r="MKU55" s="1"/>
      <c r="MKV55" s="1"/>
      <c r="MKW55" s="1"/>
      <c r="MKX55" s="1"/>
      <c r="MKY55" s="1"/>
      <c r="MKZ55" s="1"/>
      <c r="MLA55" s="1"/>
      <c r="MLB55" s="1"/>
      <c r="MLC55" s="1"/>
      <c r="MLD55" s="1"/>
      <c r="MLE55" s="1"/>
      <c r="MLF55" s="1"/>
      <c r="MLG55" s="1"/>
      <c r="MLH55" s="1"/>
      <c r="MLI55" s="1"/>
      <c r="MLJ55" s="1"/>
      <c r="MLK55" s="1"/>
      <c r="MLL55" s="1"/>
      <c r="MLM55" s="1"/>
      <c r="MLN55" s="1"/>
      <c r="MLO55" s="1"/>
      <c r="MLP55" s="1"/>
      <c r="MLQ55" s="1"/>
      <c r="MLR55" s="1"/>
      <c r="MLS55" s="1"/>
      <c r="MLT55" s="1"/>
      <c r="MLU55" s="1"/>
      <c r="MLV55" s="1"/>
      <c r="MLW55" s="1"/>
      <c r="MLX55" s="1"/>
      <c r="MLY55" s="1"/>
      <c r="MLZ55" s="1"/>
      <c r="MMA55" s="1"/>
      <c r="MMB55" s="1"/>
      <c r="MMC55" s="1"/>
      <c r="MMD55" s="1"/>
      <c r="MME55" s="1"/>
      <c r="MMF55" s="1"/>
      <c r="MMG55" s="1"/>
      <c r="MMH55" s="1"/>
      <c r="MMI55" s="1"/>
      <c r="MMJ55" s="1"/>
      <c r="MMK55" s="1"/>
      <c r="MML55" s="1"/>
      <c r="MMM55" s="1"/>
      <c r="MMN55" s="1"/>
      <c r="MMO55" s="1"/>
      <c r="MMP55" s="1"/>
      <c r="MMQ55" s="1"/>
      <c r="MMR55" s="1"/>
      <c r="MMS55" s="1"/>
      <c r="MMT55" s="1"/>
      <c r="MMU55" s="1"/>
      <c r="MMV55" s="1"/>
      <c r="MMW55" s="1"/>
      <c r="MMX55" s="1"/>
      <c r="MMY55" s="1"/>
      <c r="MMZ55" s="1"/>
      <c r="MNA55" s="1"/>
      <c r="MNB55" s="1"/>
      <c r="MNC55" s="1"/>
      <c r="MND55" s="1"/>
      <c r="MNE55" s="1"/>
      <c r="MNF55" s="1"/>
      <c r="MNG55" s="1"/>
      <c r="MNH55" s="1"/>
      <c r="MNI55" s="1"/>
      <c r="MNJ55" s="1"/>
      <c r="MNK55" s="1"/>
      <c r="MNL55" s="1"/>
      <c r="MNM55" s="1"/>
      <c r="MNN55" s="1"/>
      <c r="MNO55" s="1"/>
      <c r="MNP55" s="1"/>
      <c r="MNQ55" s="1"/>
      <c r="MNR55" s="1"/>
      <c r="MNS55" s="1"/>
      <c r="MNT55" s="1"/>
      <c r="MNU55" s="1"/>
      <c r="MNV55" s="1"/>
      <c r="MNW55" s="1"/>
      <c r="MNX55" s="1"/>
      <c r="MNY55" s="1"/>
      <c r="MNZ55" s="1"/>
      <c r="MOA55" s="1"/>
      <c r="MOB55" s="1"/>
      <c r="MOC55" s="1"/>
      <c r="MOD55" s="1"/>
      <c r="MOE55" s="1"/>
      <c r="MOF55" s="1"/>
      <c r="MOG55" s="1"/>
      <c r="MOH55" s="1"/>
      <c r="MOI55" s="1"/>
      <c r="MOJ55" s="1"/>
      <c r="MOK55" s="1"/>
      <c r="MOL55" s="1"/>
      <c r="MOM55" s="1"/>
      <c r="MON55" s="1"/>
      <c r="MOO55" s="1"/>
      <c r="MOP55" s="1"/>
      <c r="MOQ55" s="1"/>
      <c r="MOR55" s="1"/>
      <c r="MOS55" s="1"/>
      <c r="MOT55" s="1"/>
      <c r="MOU55" s="1"/>
      <c r="MOV55" s="1"/>
      <c r="MOW55" s="1"/>
      <c r="MOX55" s="1"/>
      <c r="MOY55" s="1"/>
      <c r="MOZ55" s="1"/>
      <c r="MPA55" s="1"/>
      <c r="MPB55" s="1"/>
      <c r="MPC55" s="1"/>
      <c r="MPD55" s="1"/>
      <c r="MPE55" s="1"/>
      <c r="MPF55" s="1"/>
      <c r="MPG55" s="1"/>
      <c r="MPH55" s="1"/>
      <c r="MPI55" s="1"/>
      <c r="MPJ55" s="1"/>
      <c r="MPK55" s="1"/>
      <c r="MPL55" s="1"/>
      <c r="MPM55" s="1"/>
      <c r="MPN55" s="1"/>
      <c r="MPO55" s="1"/>
      <c r="MPP55" s="1"/>
      <c r="MPQ55" s="1"/>
      <c r="MPR55" s="1"/>
      <c r="MPS55" s="1"/>
      <c r="MPT55" s="1"/>
      <c r="MPU55" s="1"/>
      <c r="MPV55" s="1"/>
      <c r="MPW55" s="1"/>
      <c r="MPX55" s="1"/>
      <c r="MPY55" s="1"/>
      <c r="MPZ55" s="1"/>
      <c r="MQA55" s="1"/>
      <c r="MQB55" s="1"/>
      <c r="MQC55" s="1"/>
      <c r="MQD55" s="1"/>
      <c r="MQE55" s="1"/>
      <c r="MQF55" s="1"/>
      <c r="MQG55" s="1"/>
      <c r="MQH55" s="1"/>
      <c r="MQI55" s="1"/>
      <c r="MQJ55" s="1"/>
      <c r="MQK55" s="1"/>
      <c r="MQL55" s="1"/>
      <c r="MQM55" s="1"/>
      <c r="MQN55" s="1"/>
      <c r="MQO55" s="1"/>
      <c r="MQP55" s="1"/>
      <c r="MQQ55" s="1"/>
      <c r="MQR55" s="1"/>
      <c r="MQS55" s="1"/>
      <c r="MQT55" s="1"/>
      <c r="MQU55" s="1"/>
      <c r="MQV55" s="1"/>
      <c r="MQW55" s="1"/>
      <c r="MQX55" s="1"/>
      <c r="MQY55" s="1"/>
      <c r="MQZ55" s="1"/>
      <c r="MRA55" s="1"/>
      <c r="MRB55" s="1"/>
      <c r="MRC55" s="1"/>
      <c r="MRD55" s="1"/>
      <c r="MRE55" s="1"/>
      <c r="MRF55" s="1"/>
      <c r="MRG55" s="1"/>
      <c r="MRH55" s="1"/>
      <c r="MRI55" s="1"/>
      <c r="MRJ55" s="1"/>
      <c r="MRK55" s="1"/>
      <c r="MRL55" s="1"/>
      <c r="MRM55" s="1"/>
      <c r="MRN55" s="1"/>
      <c r="MRO55" s="1"/>
      <c r="MRP55" s="1"/>
      <c r="MRQ55" s="1"/>
      <c r="MRR55" s="1"/>
      <c r="MRS55" s="1"/>
      <c r="MRT55" s="1"/>
      <c r="MRU55" s="1"/>
      <c r="MRV55" s="1"/>
      <c r="MRW55" s="1"/>
      <c r="MRX55" s="1"/>
      <c r="MRY55" s="1"/>
      <c r="MRZ55" s="1"/>
      <c r="MSA55" s="1"/>
      <c r="MSB55" s="1"/>
      <c r="MSC55" s="1"/>
      <c r="MSD55" s="1"/>
      <c r="MSE55" s="1"/>
      <c r="MSF55" s="1"/>
      <c r="MSG55" s="1"/>
      <c r="MSH55" s="1"/>
      <c r="MSI55" s="1"/>
      <c r="MSJ55" s="1"/>
      <c r="MSK55" s="1"/>
      <c r="MSL55" s="1"/>
      <c r="MSM55" s="1"/>
      <c r="MSN55" s="1"/>
      <c r="MSO55" s="1"/>
      <c r="MSP55" s="1"/>
      <c r="MSQ55" s="1"/>
      <c r="MSR55" s="1"/>
      <c r="MSS55" s="1"/>
      <c r="MST55" s="1"/>
      <c r="MSU55" s="1"/>
      <c r="MSV55" s="1"/>
      <c r="MSW55" s="1"/>
      <c r="MSX55" s="1"/>
      <c r="MSY55" s="1"/>
      <c r="MSZ55" s="1"/>
      <c r="MTA55" s="1"/>
      <c r="MTB55" s="1"/>
      <c r="MTC55" s="1"/>
      <c r="MTD55" s="1"/>
      <c r="MTE55" s="1"/>
      <c r="MTF55" s="1"/>
      <c r="MTG55" s="1"/>
      <c r="MTH55" s="1"/>
      <c r="MTI55" s="1"/>
      <c r="MTJ55" s="1"/>
      <c r="MTK55" s="1"/>
      <c r="MTL55" s="1"/>
      <c r="MTM55" s="1"/>
      <c r="MTN55" s="1"/>
      <c r="MTO55" s="1"/>
      <c r="MTP55" s="1"/>
      <c r="MTQ55" s="1"/>
      <c r="MTR55" s="1"/>
      <c r="MTS55" s="1"/>
      <c r="MTT55" s="1"/>
      <c r="MTU55" s="1"/>
      <c r="MTV55" s="1"/>
      <c r="MTW55" s="1"/>
      <c r="MTX55" s="1"/>
      <c r="MTY55" s="1"/>
      <c r="MTZ55" s="1"/>
      <c r="MUA55" s="1"/>
      <c r="MUB55" s="1"/>
      <c r="MUC55" s="1"/>
      <c r="MUD55" s="1"/>
      <c r="MUE55" s="1"/>
      <c r="MUF55" s="1"/>
      <c r="MUG55" s="1"/>
      <c r="MUH55" s="1"/>
      <c r="MUI55" s="1"/>
      <c r="MUJ55" s="1"/>
      <c r="MUK55" s="1"/>
      <c r="MUL55" s="1"/>
      <c r="MUM55" s="1"/>
      <c r="MUN55" s="1"/>
      <c r="MUO55" s="1"/>
      <c r="MUP55" s="1"/>
      <c r="MUQ55" s="1"/>
      <c r="MUR55" s="1"/>
      <c r="MUS55" s="1"/>
      <c r="MUT55" s="1"/>
      <c r="MUU55" s="1"/>
      <c r="MUV55" s="1"/>
      <c r="MUW55" s="1"/>
      <c r="MUX55" s="1"/>
      <c r="MUY55" s="1"/>
      <c r="MUZ55" s="1"/>
      <c r="MVA55" s="1"/>
      <c r="MVB55" s="1"/>
      <c r="MVC55" s="1"/>
      <c r="MVD55" s="1"/>
      <c r="MVE55" s="1"/>
      <c r="MVF55" s="1"/>
      <c r="MVG55" s="1"/>
      <c r="MVH55" s="1"/>
      <c r="MVI55" s="1"/>
      <c r="MVJ55" s="1"/>
      <c r="MVK55" s="1"/>
      <c r="MVL55" s="1"/>
      <c r="MVM55" s="1"/>
      <c r="MVN55" s="1"/>
      <c r="MVO55" s="1"/>
      <c r="MVP55" s="1"/>
      <c r="MVQ55" s="1"/>
      <c r="MVR55" s="1"/>
      <c r="MVS55" s="1"/>
      <c r="MVT55" s="1"/>
      <c r="MVU55" s="1"/>
      <c r="MVV55" s="1"/>
      <c r="MVW55" s="1"/>
      <c r="MVX55" s="1"/>
      <c r="MVY55" s="1"/>
      <c r="MVZ55" s="1"/>
      <c r="MWA55" s="1"/>
      <c r="MWB55" s="1"/>
      <c r="MWC55" s="1"/>
      <c r="MWD55" s="1"/>
      <c r="MWE55" s="1"/>
      <c r="MWF55" s="1"/>
      <c r="MWG55" s="1"/>
      <c r="MWH55" s="1"/>
      <c r="MWI55" s="1"/>
      <c r="MWJ55" s="1"/>
      <c r="MWK55" s="1"/>
      <c r="MWL55" s="1"/>
      <c r="MWM55" s="1"/>
      <c r="MWN55" s="1"/>
      <c r="MWO55" s="1"/>
      <c r="MWP55" s="1"/>
      <c r="MWQ55" s="1"/>
      <c r="MWR55" s="1"/>
      <c r="MWS55" s="1"/>
      <c r="MWT55" s="1"/>
      <c r="MWU55" s="1"/>
      <c r="MWV55" s="1"/>
      <c r="MWW55" s="1"/>
      <c r="MWX55" s="1"/>
      <c r="MWY55" s="1"/>
      <c r="MWZ55" s="1"/>
      <c r="MXA55" s="1"/>
      <c r="MXB55" s="1"/>
      <c r="MXC55" s="1"/>
      <c r="MXD55" s="1"/>
      <c r="MXE55" s="1"/>
      <c r="MXF55" s="1"/>
      <c r="MXG55" s="1"/>
      <c r="MXH55" s="1"/>
      <c r="MXI55" s="1"/>
      <c r="MXJ55" s="1"/>
      <c r="MXK55" s="1"/>
      <c r="MXL55" s="1"/>
      <c r="MXM55" s="1"/>
      <c r="MXN55" s="1"/>
      <c r="MXO55" s="1"/>
      <c r="MXP55" s="1"/>
      <c r="MXQ55" s="1"/>
      <c r="MXR55" s="1"/>
      <c r="MXS55" s="1"/>
      <c r="MXT55" s="1"/>
      <c r="MXU55" s="1"/>
      <c r="MXV55" s="1"/>
      <c r="MXW55" s="1"/>
      <c r="MXX55" s="1"/>
      <c r="MXY55" s="1"/>
      <c r="MXZ55" s="1"/>
      <c r="MYA55" s="1"/>
      <c r="MYB55" s="1"/>
      <c r="MYC55" s="1"/>
      <c r="MYD55" s="1"/>
      <c r="MYE55" s="1"/>
      <c r="MYF55" s="1"/>
      <c r="MYG55" s="1"/>
      <c r="MYH55" s="1"/>
      <c r="MYI55" s="1"/>
      <c r="MYJ55" s="1"/>
      <c r="MYK55" s="1"/>
      <c r="MYL55" s="1"/>
      <c r="MYM55" s="1"/>
      <c r="MYN55" s="1"/>
      <c r="MYO55" s="1"/>
      <c r="MYP55" s="1"/>
      <c r="MYQ55" s="1"/>
      <c r="MYR55" s="1"/>
      <c r="MYS55" s="1"/>
      <c r="MYT55" s="1"/>
      <c r="MYU55" s="1"/>
      <c r="MYV55" s="1"/>
      <c r="MYW55" s="1"/>
      <c r="MYX55" s="1"/>
      <c r="MYY55" s="1"/>
      <c r="MYZ55" s="1"/>
      <c r="MZA55" s="1"/>
      <c r="MZB55" s="1"/>
      <c r="MZC55" s="1"/>
      <c r="MZD55" s="1"/>
      <c r="MZE55" s="1"/>
      <c r="MZF55" s="1"/>
      <c r="MZG55" s="1"/>
      <c r="MZH55" s="1"/>
      <c r="MZI55" s="1"/>
      <c r="MZJ55" s="1"/>
      <c r="MZK55" s="1"/>
      <c r="MZL55" s="1"/>
      <c r="MZM55" s="1"/>
      <c r="MZN55" s="1"/>
      <c r="MZO55" s="1"/>
      <c r="MZP55" s="1"/>
      <c r="MZQ55" s="1"/>
      <c r="MZR55" s="1"/>
      <c r="MZS55" s="1"/>
      <c r="MZT55" s="1"/>
      <c r="MZU55" s="1"/>
      <c r="MZV55" s="1"/>
      <c r="MZW55" s="1"/>
      <c r="MZX55" s="1"/>
      <c r="MZY55" s="1"/>
      <c r="MZZ55" s="1"/>
      <c r="NAA55" s="1"/>
      <c r="NAB55" s="1"/>
      <c r="NAC55" s="1"/>
      <c r="NAD55" s="1"/>
      <c r="NAE55" s="1"/>
      <c r="NAF55" s="1"/>
      <c r="NAG55" s="1"/>
      <c r="NAH55" s="1"/>
      <c r="NAI55" s="1"/>
      <c r="NAJ55" s="1"/>
      <c r="NAK55" s="1"/>
      <c r="NAL55" s="1"/>
      <c r="NAM55" s="1"/>
      <c r="NAN55" s="1"/>
      <c r="NAO55" s="1"/>
      <c r="NAP55" s="1"/>
      <c r="NAQ55" s="1"/>
      <c r="NAR55" s="1"/>
      <c r="NAS55" s="1"/>
      <c r="NAT55" s="1"/>
      <c r="NAU55" s="1"/>
      <c r="NAV55" s="1"/>
      <c r="NAW55" s="1"/>
      <c r="NAX55" s="1"/>
      <c r="NAY55" s="1"/>
      <c r="NAZ55" s="1"/>
      <c r="NBA55" s="1"/>
      <c r="NBB55" s="1"/>
      <c r="NBC55" s="1"/>
      <c r="NBD55" s="1"/>
      <c r="NBE55" s="1"/>
      <c r="NBF55" s="1"/>
      <c r="NBG55" s="1"/>
      <c r="NBH55" s="1"/>
      <c r="NBI55" s="1"/>
      <c r="NBJ55" s="1"/>
      <c r="NBK55" s="1"/>
      <c r="NBL55" s="1"/>
      <c r="NBM55" s="1"/>
      <c r="NBN55" s="1"/>
      <c r="NBO55" s="1"/>
      <c r="NBP55" s="1"/>
      <c r="NBQ55" s="1"/>
      <c r="NBR55" s="1"/>
      <c r="NBS55" s="1"/>
      <c r="NBT55" s="1"/>
      <c r="NBU55" s="1"/>
      <c r="NBV55" s="1"/>
      <c r="NBW55" s="1"/>
      <c r="NBX55" s="1"/>
      <c r="NBY55" s="1"/>
      <c r="NBZ55" s="1"/>
      <c r="NCA55" s="1"/>
      <c r="NCB55" s="1"/>
      <c r="NCC55" s="1"/>
      <c r="NCD55" s="1"/>
      <c r="NCE55" s="1"/>
      <c r="NCF55" s="1"/>
      <c r="NCG55" s="1"/>
      <c r="NCH55" s="1"/>
      <c r="NCI55" s="1"/>
      <c r="NCJ55" s="1"/>
      <c r="NCK55" s="1"/>
      <c r="NCL55" s="1"/>
      <c r="NCM55" s="1"/>
      <c r="NCN55" s="1"/>
      <c r="NCO55" s="1"/>
      <c r="NCP55" s="1"/>
      <c r="NCQ55" s="1"/>
      <c r="NCR55" s="1"/>
      <c r="NCS55" s="1"/>
      <c r="NCT55" s="1"/>
      <c r="NCU55" s="1"/>
      <c r="NCV55" s="1"/>
      <c r="NCW55" s="1"/>
      <c r="NCX55" s="1"/>
      <c r="NCY55" s="1"/>
      <c r="NCZ55" s="1"/>
      <c r="NDA55" s="1"/>
      <c r="NDB55" s="1"/>
      <c r="NDC55" s="1"/>
      <c r="NDD55" s="1"/>
      <c r="NDE55" s="1"/>
      <c r="NDF55" s="1"/>
      <c r="NDG55" s="1"/>
      <c r="NDH55" s="1"/>
      <c r="NDI55" s="1"/>
      <c r="NDJ55" s="1"/>
      <c r="NDK55" s="1"/>
      <c r="NDL55" s="1"/>
      <c r="NDM55" s="1"/>
      <c r="NDN55" s="1"/>
      <c r="NDO55" s="1"/>
      <c r="NDP55" s="1"/>
      <c r="NDQ55" s="1"/>
      <c r="NDR55" s="1"/>
      <c r="NDS55" s="1"/>
      <c r="NDT55" s="1"/>
      <c r="NDU55" s="1"/>
      <c r="NDV55" s="1"/>
      <c r="NDW55" s="1"/>
      <c r="NDX55" s="1"/>
      <c r="NDY55" s="1"/>
      <c r="NDZ55" s="1"/>
      <c r="NEA55" s="1"/>
      <c r="NEB55" s="1"/>
      <c r="NEC55" s="1"/>
      <c r="NED55" s="1"/>
      <c r="NEE55" s="1"/>
      <c r="NEF55" s="1"/>
      <c r="NEG55" s="1"/>
      <c r="NEH55" s="1"/>
      <c r="NEI55" s="1"/>
      <c r="NEJ55" s="1"/>
      <c r="NEK55" s="1"/>
      <c r="NEL55" s="1"/>
      <c r="NEM55" s="1"/>
      <c r="NEN55" s="1"/>
      <c r="NEO55" s="1"/>
      <c r="NEP55" s="1"/>
      <c r="NEQ55" s="1"/>
      <c r="NER55" s="1"/>
      <c r="NES55" s="1"/>
      <c r="NET55" s="1"/>
      <c r="NEU55" s="1"/>
      <c r="NEV55" s="1"/>
      <c r="NEW55" s="1"/>
      <c r="NEX55" s="1"/>
      <c r="NEY55" s="1"/>
      <c r="NEZ55" s="1"/>
      <c r="NFA55" s="1"/>
      <c r="NFB55" s="1"/>
      <c r="NFC55" s="1"/>
      <c r="NFD55" s="1"/>
      <c r="NFE55" s="1"/>
      <c r="NFF55" s="1"/>
      <c r="NFG55" s="1"/>
      <c r="NFH55" s="1"/>
      <c r="NFI55" s="1"/>
      <c r="NFJ55" s="1"/>
      <c r="NFK55" s="1"/>
      <c r="NFL55" s="1"/>
      <c r="NFM55" s="1"/>
      <c r="NFN55" s="1"/>
      <c r="NFO55" s="1"/>
      <c r="NFP55" s="1"/>
      <c r="NFQ55" s="1"/>
      <c r="NFR55" s="1"/>
      <c r="NFS55" s="1"/>
      <c r="NFT55" s="1"/>
      <c r="NFU55" s="1"/>
      <c r="NFV55" s="1"/>
      <c r="NFW55" s="1"/>
      <c r="NFX55" s="1"/>
      <c r="NFY55" s="1"/>
      <c r="NFZ55" s="1"/>
      <c r="NGA55" s="1"/>
      <c r="NGB55" s="1"/>
      <c r="NGC55" s="1"/>
      <c r="NGD55" s="1"/>
      <c r="NGE55" s="1"/>
      <c r="NGF55" s="1"/>
      <c r="NGG55" s="1"/>
      <c r="NGH55" s="1"/>
      <c r="NGI55" s="1"/>
      <c r="NGJ55" s="1"/>
      <c r="NGK55" s="1"/>
      <c r="NGL55" s="1"/>
      <c r="NGM55" s="1"/>
      <c r="NGN55" s="1"/>
      <c r="NGO55" s="1"/>
      <c r="NGP55" s="1"/>
      <c r="NGQ55" s="1"/>
      <c r="NGR55" s="1"/>
      <c r="NGS55" s="1"/>
      <c r="NGT55" s="1"/>
      <c r="NGU55" s="1"/>
      <c r="NGV55" s="1"/>
      <c r="NGW55" s="1"/>
      <c r="NGX55" s="1"/>
      <c r="NGY55" s="1"/>
      <c r="NGZ55" s="1"/>
      <c r="NHA55" s="1"/>
      <c r="NHB55" s="1"/>
      <c r="NHC55" s="1"/>
      <c r="NHD55" s="1"/>
      <c r="NHE55" s="1"/>
      <c r="NHF55" s="1"/>
      <c r="NHG55" s="1"/>
      <c r="NHH55" s="1"/>
      <c r="NHI55" s="1"/>
      <c r="NHJ55" s="1"/>
      <c r="NHK55" s="1"/>
      <c r="NHL55" s="1"/>
      <c r="NHM55" s="1"/>
      <c r="NHN55" s="1"/>
      <c r="NHO55" s="1"/>
      <c r="NHP55" s="1"/>
      <c r="NHQ55" s="1"/>
      <c r="NHR55" s="1"/>
      <c r="NHS55" s="1"/>
      <c r="NHT55" s="1"/>
      <c r="NHU55" s="1"/>
      <c r="NHV55" s="1"/>
      <c r="NHW55" s="1"/>
      <c r="NHX55" s="1"/>
      <c r="NHY55" s="1"/>
      <c r="NHZ55" s="1"/>
      <c r="NIA55" s="1"/>
      <c r="NIB55" s="1"/>
      <c r="NIC55" s="1"/>
      <c r="NID55" s="1"/>
      <c r="NIE55" s="1"/>
      <c r="NIF55" s="1"/>
      <c r="NIG55" s="1"/>
      <c r="NIH55" s="1"/>
      <c r="NII55" s="1"/>
      <c r="NIJ55" s="1"/>
      <c r="NIK55" s="1"/>
      <c r="NIL55" s="1"/>
      <c r="NIM55" s="1"/>
      <c r="NIN55" s="1"/>
      <c r="NIO55" s="1"/>
      <c r="NIP55" s="1"/>
      <c r="NIQ55" s="1"/>
      <c r="NIR55" s="1"/>
      <c r="NIS55" s="1"/>
      <c r="NIT55" s="1"/>
      <c r="NIU55" s="1"/>
      <c r="NIV55" s="1"/>
      <c r="NIW55" s="1"/>
      <c r="NIX55" s="1"/>
      <c r="NIY55" s="1"/>
      <c r="NIZ55" s="1"/>
      <c r="NJA55" s="1"/>
      <c r="NJB55" s="1"/>
      <c r="NJC55" s="1"/>
      <c r="NJD55" s="1"/>
      <c r="NJE55" s="1"/>
      <c r="NJF55" s="1"/>
      <c r="NJG55" s="1"/>
      <c r="NJH55" s="1"/>
      <c r="NJI55" s="1"/>
      <c r="NJJ55" s="1"/>
      <c r="NJK55" s="1"/>
      <c r="NJL55" s="1"/>
      <c r="NJM55" s="1"/>
      <c r="NJN55" s="1"/>
      <c r="NJO55" s="1"/>
      <c r="NJP55" s="1"/>
      <c r="NJQ55" s="1"/>
      <c r="NJR55" s="1"/>
      <c r="NJS55" s="1"/>
      <c r="NJT55" s="1"/>
      <c r="NJU55" s="1"/>
      <c r="NJV55" s="1"/>
      <c r="NJW55" s="1"/>
      <c r="NJX55" s="1"/>
      <c r="NJY55" s="1"/>
      <c r="NJZ55" s="1"/>
      <c r="NKA55" s="1"/>
      <c r="NKB55" s="1"/>
      <c r="NKC55" s="1"/>
      <c r="NKD55" s="1"/>
      <c r="NKE55" s="1"/>
      <c r="NKF55" s="1"/>
      <c r="NKG55" s="1"/>
      <c r="NKH55" s="1"/>
      <c r="NKI55" s="1"/>
      <c r="NKJ55" s="1"/>
      <c r="NKK55" s="1"/>
      <c r="NKL55" s="1"/>
      <c r="NKM55" s="1"/>
      <c r="NKN55" s="1"/>
      <c r="NKO55" s="1"/>
      <c r="NKP55" s="1"/>
      <c r="NKQ55" s="1"/>
      <c r="NKR55" s="1"/>
      <c r="NKS55" s="1"/>
      <c r="NKT55" s="1"/>
      <c r="NKU55" s="1"/>
      <c r="NKV55" s="1"/>
      <c r="NKW55" s="1"/>
      <c r="NKX55" s="1"/>
      <c r="NKY55" s="1"/>
      <c r="NKZ55" s="1"/>
      <c r="NLA55" s="1"/>
      <c r="NLB55" s="1"/>
      <c r="NLC55" s="1"/>
      <c r="NLD55" s="1"/>
      <c r="NLE55" s="1"/>
      <c r="NLF55" s="1"/>
      <c r="NLG55" s="1"/>
      <c r="NLH55" s="1"/>
      <c r="NLI55" s="1"/>
      <c r="NLJ55" s="1"/>
      <c r="NLK55" s="1"/>
      <c r="NLL55" s="1"/>
      <c r="NLM55" s="1"/>
      <c r="NLN55" s="1"/>
      <c r="NLO55" s="1"/>
      <c r="NLP55" s="1"/>
      <c r="NLQ55" s="1"/>
      <c r="NLR55" s="1"/>
      <c r="NLS55" s="1"/>
      <c r="NLT55" s="1"/>
      <c r="NLU55" s="1"/>
      <c r="NLV55" s="1"/>
      <c r="NLW55" s="1"/>
      <c r="NLX55" s="1"/>
      <c r="NLY55" s="1"/>
      <c r="NLZ55" s="1"/>
      <c r="NMA55" s="1"/>
      <c r="NMB55" s="1"/>
      <c r="NMC55" s="1"/>
      <c r="NMD55" s="1"/>
      <c r="NME55" s="1"/>
      <c r="NMF55" s="1"/>
      <c r="NMG55" s="1"/>
      <c r="NMH55" s="1"/>
      <c r="NMI55" s="1"/>
      <c r="NMJ55" s="1"/>
      <c r="NMK55" s="1"/>
      <c r="NML55" s="1"/>
      <c r="NMM55" s="1"/>
      <c r="NMN55" s="1"/>
      <c r="NMO55" s="1"/>
      <c r="NMP55" s="1"/>
      <c r="NMQ55" s="1"/>
      <c r="NMR55" s="1"/>
      <c r="NMS55" s="1"/>
      <c r="NMT55" s="1"/>
      <c r="NMU55" s="1"/>
      <c r="NMV55" s="1"/>
      <c r="NMW55" s="1"/>
      <c r="NMX55" s="1"/>
      <c r="NMY55" s="1"/>
      <c r="NMZ55" s="1"/>
      <c r="NNA55" s="1"/>
      <c r="NNB55" s="1"/>
      <c r="NNC55" s="1"/>
      <c r="NND55" s="1"/>
      <c r="NNE55" s="1"/>
      <c r="NNF55" s="1"/>
      <c r="NNG55" s="1"/>
      <c r="NNH55" s="1"/>
      <c r="NNI55" s="1"/>
      <c r="NNJ55" s="1"/>
      <c r="NNK55" s="1"/>
      <c r="NNL55" s="1"/>
      <c r="NNM55" s="1"/>
      <c r="NNN55" s="1"/>
      <c r="NNO55" s="1"/>
      <c r="NNP55" s="1"/>
      <c r="NNQ55" s="1"/>
      <c r="NNR55" s="1"/>
      <c r="NNS55" s="1"/>
      <c r="NNT55" s="1"/>
      <c r="NNU55" s="1"/>
      <c r="NNV55" s="1"/>
      <c r="NNW55" s="1"/>
      <c r="NNX55" s="1"/>
      <c r="NNY55" s="1"/>
      <c r="NNZ55" s="1"/>
      <c r="NOA55" s="1"/>
      <c r="NOB55" s="1"/>
      <c r="NOC55" s="1"/>
      <c r="NOD55" s="1"/>
      <c r="NOE55" s="1"/>
      <c r="NOF55" s="1"/>
      <c r="NOG55" s="1"/>
      <c r="NOH55" s="1"/>
      <c r="NOI55" s="1"/>
      <c r="NOJ55" s="1"/>
      <c r="NOK55" s="1"/>
      <c r="NOL55" s="1"/>
      <c r="NOM55" s="1"/>
      <c r="NON55" s="1"/>
      <c r="NOO55" s="1"/>
      <c r="NOP55" s="1"/>
      <c r="NOQ55" s="1"/>
      <c r="NOR55" s="1"/>
      <c r="NOS55" s="1"/>
      <c r="NOT55" s="1"/>
      <c r="NOU55" s="1"/>
      <c r="NOV55" s="1"/>
      <c r="NOW55" s="1"/>
      <c r="NOX55" s="1"/>
      <c r="NOY55" s="1"/>
      <c r="NOZ55" s="1"/>
      <c r="NPA55" s="1"/>
      <c r="NPB55" s="1"/>
      <c r="NPC55" s="1"/>
      <c r="NPD55" s="1"/>
      <c r="NPE55" s="1"/>
      <c r="NPF55" s="1"/>
      <c r="NPG55" s="1"/>
      <c r="NPH55" s="1"/>
      <c r="NPI55" s="1"/>
      <c r="NPJ55" s="1"/>
      <c r="NPK55" s="1"/>
      <c r="NPL55" s="1"/>
      <c r="NPM55" s="1"/>
      <c r="NPN55" s="1"/>
      <c r="NPO55" s="1"/>
      <c r="NPP55" s="1"/>
      <c r="NPQ55" s="1"/>
      <c r="NPR55" s="1"/>
      <c r="NPS55" s="1"/>
      <c r="NPT55" s="1"/>
      <c r="NPU55" s="1"/>
      <c r="NPV55" s="1"/>
      <c r="NPW55" s="1"/>
      <c r="NPX55" s="1"/>
      <c r="NPY55" s="1"/>
      <c r="NPZ55" s="1"/>
      <c r="NQA55" s="1"/>
      <c r="NQB55" s="1"/>
      <c r="NQC55" s="1"/>
      <c r="NQD55" s="1"/>
      <c r="NQE55" s="1"/>
      <c r="NQF55" s="1"/>
      <c r="NQG55" s="1"/>
      <c r="NQH55" s="1"/>
      <c r="NQI55" s="1"/>
      <c r="NQJ55" s="1"/>
      <c r="NQK55" s="1"/>
      <c r="NQL55" s="1"/>
      <c r="NQM55" s="1"/>
      <c r="NQN55" s="1"/>
      <c r="NQO55" s="1"/>
      <c r="NQP55" s="1"/>
      <c r="NQQ55" s="1"/>
      <c r="NQR55" s="1"/>
      <c r="NQS55" s="1"/>
      <c r="NQT55" s="1"/>
      <c r="NQU55" s="1"/>
      <c r="NQV55" s="1"/>
      <c r="NQW55" s="1"/>
      <c r="NQX55" s="1"/>
      <c r="NQY55" s="1"/>
      <c r="NQZ55" s="1"/>
      <c r="NRA55" s="1"/>
      <c r="NRB55" s="1"/>
      <c r="NRC55" s="1"/>
      <c r="NRD55" s="1"/>
      <c r="NRE55" s="1"/>
      <c r="NRF55" s="1"/>
      <c r="NRG55" s="1"/>
      <c r="NRH55" s="1"/>
      <c r="NRI55" s="1"/>
      <c r="NRJ55" s="1"/>
      <c r="NRK55" s="1"/>
      <c r="NRL55" s="1"/>
      <c r="NRM55" s="1"/>
      <c r="NRN55" s="1"/>
      <c r="NRO55" s="1"/>
      <c r="NRP55" s="1"/>
      <c r="NRQ55" s="1"/>
      <c r="NRR55" s="1"/>
      <c r="NRS55" s="1"/>
      <c r="NRT55" s="1"/>
      <c r="NRU55" s="1"/>
      <c r="NRV55" s="1"/>
      <c r="NRW55" s="1"/>
      <c r="NRX55" s="1"/>
      <c r="NRY55" s="1"/>
      <c r="NRZ55" s="1"/>
      <c r="NSA55" s="1"/>
      <c r="NSB55" s="1"/>
      <c r="NSC55" s="1"/>
      <c r="NSD55" s="1"/>
      <c r="NSE55" s="1"/>
      <c r="NSF55" s="1"/>
      <c r="NSG55" s="1"/>
      <c r="NSH55" s="1"/>
      <c r="NSI55" s="1"/>
      <c r="NSJ55" s="1"/>
      <c r="NSK55" s="1"/>
      <c r="NSL55" s="1"/>
      <c r="NSM55" s="1"/>
      <c r="NSN55" s="1"/>
      <c r="NSO55" s="1"/>
      <c r="NSP55" s="1"/>
      <c r="NSQ55" s="1"/>
      <c r="NSR55" s="1"/>
      <c r="NSS55" s="1"/>
      <c r="NST55" s="1"/>
      <c r="NSU55" s="1"/>
      <c r="NSV55" s="1"/>
      <c r="NSW55" s="1"/>
      <c r="NSX55" s="1"/>
      <c r="NSY55" s="1"/>
      <c r="NSZ55" s="1"/>
      <c r="NTA55" s="1"/>
      <c r="NTB55" s="1"/>
      <c r="NTC55" s="1"/>
      <c r="NTD55" s="1"/>
      <c r="NTE55" s="1"/>
      <c r="NTF55" s="1"/>
      <c r="NTG55" s="1"/>
      <c r="NTH55" s="1"/>
      <c r="NTI55" s="1"/>
      <c r="NTJ55" s="1"/>
      <c r="NTK55" s="1"/>
      <c r="NTL55" s="1"/>
      <c r="NTM55" s="1"/>
      <c r="NTN55" s="1"/>
      <c r="NTO55" s="1"/>
      <c r="NTP55" s="1"/>
      <c r="NTQ55" s="1"/>
      <c r="NTR55" s="1"/>
      <c r="NTS55" s="1"/>
      <c r="NTT55" s="1"/>
      <c r="NTU55" s="1"/>
      <c r="NTV55" s="1"/>
      <c r="NTW55" s="1"/>
      <c r="NTX55" s="1"/>
      <c r="NTY55" s="1"/>
      <c r="NTZ55" s="1"/>
      <c r="NUA55" s="1"/>
      <c r="NUB55" s="1"/>
      <c r="NUC55" s="1"/>
      <c r="NUD55" s="1"/>
      <c r="NUE55" s="1"/>
      <c r="NUF55" s="1"/>
      <c r="NUG55" s="1"/>
      <c r="NUH55" s="1"/>
      <c r="NUI55" s="1"/>
      <c r="NUJ55" s="1"/>
      <c r="NUK55" s="1"/>
      <c r="NUL55" s="1"/>
      <c r="NUM55" s="1"/>
      <c r="NUN55" s="1"/>
      <c r="NUO55" s="1"/>
      <c r="NUP55" s="1"/>
      <c r="NUQ55" s="1"/>
      <c r="NUR55" s="1"/>
      <c r="NUS55" s="1"/>
      <c r="NUT55" s="1"/>
      <c r="NUU55" s="1"/>
      <c r="NUV55" s="1"/>
      <c r="NUW55" s="1"/>
      <c r="NUX55" s="1"/>
      <c r="NUY55" s="1"/>
      <c r="NUZ55" s="1"/>
      <c r="NVA55" s="1"/>
      <c r="NVB55" s="1"/>
      <c r="NVC55" s="1"/>
      <c r="NVD55" s="1"/>
      <c r="NVE55" s="1"/>
      <c r="NVF55" s="1"/>
      <c r="NVG55" s="1"/>
      <c r="NVH55" s="1"/>
      <c r="NVI55" s="1"/>
      <c r="NVJ55" s="1"/>
      <c r="NVK55" s="1"/>
      <c r="NVL55" s="1"/>
      <c r="NVM55" s="1"/>
      <c r="NVN55" s="1"/>
      <c r="NVO55" s="1"/>
      <c r="NVP55" s="1"/>
      <c r="NVQ55" s="1"/>
      <c r="NVR55" s="1"/>
      <c r="NVS55" s="1"/>
      <c r="NVT55" s="1"/>
      <c r="NVU55" s="1"/>
      <c r="NVV55" s="1"/>
      <c r="NVW55" s="1"/>
      <c r="NVX55" s="1"/>
      <c r="NVY55" s="1"/>
      <c r="NVZ55" s="1"/>
      <c r="NWA55" s="1"/>
      <c r="NWB55" s="1"/>
      <c r="NWC55" s="1"/>
      <c r="NWD55" s="1"/>
      <c r="NWE55" s="1"/>
      <c r="NWF55" s="1"/>
      <c r="NWG55" s="1"/>
      <c r="NWH55" s="1"/>
      <c r="NWI55" s="1"/>
      <c r="NWJ55" s="1"/>
      <c r="NWK55" s="1"/>
      <c r="NWL55" s="1"/>
      <c r="NWM55" s="1"/>
      <c r="NWN55" s="1"/>
      <c r="NWO55" s="1"/>
      <c r="NWP55" s="1"/>
      <c r="NWQ55" s="1"/>
      <c r="NWR55" s="1"/>
      <c r="NWS55" s="1"/>
      <c r="NWT55" s="1"/>
      <c r="NWU55" s="1"/>
      <c r="NWV55" s="1"/>
      <c r="NWW55" s="1"/>
      <c r="NWX55" s="1"/>
      <c r="NWY55" s="1"/>
      <c r="NWZ55" s="1"/>
      <c r="NXA55" s="1"/>
      <c r="NXB55" s="1"/>
      <c r="NXC55" s="1"/>
      <c r="NXD55" s="1"/>
      <c r="NXE55" s="1"/>
      <c r="NXF55" s="1"/>
      <c r="NXG55" s="1"/>
      <c r="NXH55" s="1"/>
      <c r="NXI55" s="1"/>
      <c r="NXJ55" s="1"/>
      <c r="NXK55" s="1"/>
      <c r="NXL55" s="1"/>
      <c r="NXM55" s="1"/>
      <c r="NXN55" s="1"/>
      <c r="NXO55" s="1"/>
      <c r="NXP55" s="1"/>
      <c r="NXQ55" s="1"/>
      <c r="NXR55" s="1"/>
      <c r="NXS55" s="1"/>
      <c r="NXT55" s="1"/>
      <c r="NXU55" s="1"/>
      <c r="NXV55" s="1"/>
      <c r="NXW55" s="1"/>
      <c r="NXX55" s="1"/>
      <c r="NXY55" s="1"/>
      <c r="NXZ55" s="1"/>
      <c r="NYA55" s="1"/>
      <c r="NYB55" s="1"/>
      <c r="NYC55" s="1"/>
      <c r="NYD55" s="1"/>
      <c r="NYE55" s="1"/>
      <c r="NYF55" s="1"/>
      <c r="NYG55" s="1"/>
      <c r="NYH55" s="1"/>
      <c r="NYI55" s="1"/>
      <c r="NYJ55" s="1"/>
      <c r="NYK55" s="1"/>
      <c r="NYL55" s="1"/>
      <c r="NYM55" s="1"/>
      <c r="NYN55" s="1"/>
      <c r="NYO55" s="1"/>
      <c r="NYP55" s="1"/>
      <c r="NYQ55" s="1"/>
      <c r="NYR55" s="1"/>
      <c r="NYS55" s="1"/>
      <c r="NYT55" s="1"/>
      <c r="NYU55" s="1"/>
      <c r="NYV55" s="1"/>
      <c r="NYW55" s="1"/>
      <c r="NYX55" s="1"/>
      <c r="NYY55" s="1"/>
      <c r="NYZ55" s="1"/>
      <c r="NZA55" s="1"/>
      <c r="NZB55" s="1"/>
      <c r="NZC55" s="1"/>
      <c r="NZD55" s="1"/>
      <c r="NZE55" s="1"/>
      <c r="NZF55" s="1"/>
      <c r="NZG55" s="1"/>
      <c r="NZH55" s="1"/>
      <c r="NZI55" s="1"/>
      <c r="NZJ55" s="1"/>
      <c r="NZK55" s="1"/>
      <c r="NZL55" s="1"/>
      <c r="NZM55" s="1"/>
      <c r="NZN55" s="1"/>
      <c r="NZO55" s="1"/>
      <c r="NZP55" s="1"/>
      <c r="NZQ55" s="1"/>
      <c r="NZR55" s="1"/>
      <c r="NZS55" s="1"/>
      <c r="NZT55" s="1"/>
      <c r="NZU55" s="1"/>
      <c r="NZV55" s="1"/>
      <c r="NZW55" s="1"/>
      <c r="NZX55" s="1"/>
      <c r="NZY55" s="1"/>
      <c r="NZZ55" s="1"/>
      <c r="OAA55" s="1"/>
      <c r="OAB55" s="1"/>
      <c r="OAC55" s="1"/>
      <c r="OAD55" s="1"/>
      <c r="OAE55" s="1"/>
      <c r="OAF55" s="1"/>
      <c r="OAG55" s="1"/>
      <c r="OAH55" s="1"/>
      <c r="OAI55" s="1"/>
      <c r="OAJ55" s="1"/>
      <c r="OAK55" s="1"/>
      <c r="OAL55" s="1"/>
      <c r="OAM55" s="1"/>
      <c r="OAN55" s="1"/>
      <c r="OAO55" s="1"/>
      <c r="OAP55" s="1"/>
      <c r="OAQ55" s="1"/>
      <c r="OAR55" s="1"/>
      <c r="OAS55" s="1"/>
      <c r="OAT55" s="1"/>
      <c r="OAU55" s="1"/>
      <c r="OAV55" s="1"/>
      <c r="OAW55" s="1"/>
      <c r="OAX55" s="1"/>
      <c r="OAY55" s="1"/>
      <c r="OAZ55" s="1"/>
      <c r="OBA55" s="1"/>
      <c r="OBB55" s="1"/>
      <c r="OBC55" s="1"/>
      <c r="OBD55" s="1"/>
      <c r="OBE55" s="1"/>
      <c r="OBF55" s="1"/>
      <c r="OBG55" s="1"/>
      <c r="OBH55" s="1"/>
      <c r="OBI55" s="1"/>
      <c r="OBJ55" s="1"/>
      <c r="OBK55" s="1"/>
      <c r="OBL55" s="1"/>
      <c r="OBM55" s="1"/>
      <c r="OBN55" s="1"/>
      <c r="OBO55" s="1"/>
      <c r="OBP55" s="1"/>
      <c r="OBQ55" s="1"/>
      <c r="OBR55" s="1"/>
      <c r="OBS55" s="1"/>
      <c r="OBT55" s="1"/>
      <c r="OBU55" s="1"/>
      <c r="OBV55" s="1"/>
      <c r="OBW55" s="1"/>
      <c r="OBX55" s="1"/>
      <c r="OBY55" s="1"/>
      <c r="OBZ55" s="1"/>
      <c r="OCA55" s="1"/>
      <c r="OCB55" s="1"/>
      <c r="OCC55" s="1"/>
      <c r="OCD55" s="1"/>
      <c r="OCE55" s="1"/>
      <c r="OCF55" s="1"/>
      <c r="OCG55" s="1"/>
      <c r="OCH55" s="1"/>
      <c r="OCI55" s="1"/>
      <c r="OCJ55" s="1"/>
      <c r="OCK55" s="1"/>
      <c r="OCL55" s="1"/>
      <c r="OCM55" s="1"/>
      <c r="OCN55" s="1"/>
      <c r="OCO55" s="1"/>
      <c r="OCP55" s="1"/>
      <c r="OCQ55" s="1"/>
      <c r="OCR55" s="1"/>
      <c r="OCS55" s="1"/>
      <c r="OCT55" s="1"/>
      <c r="OCU55" s="1"/>
      <c r="OCV55" s="1"/>
      <c r="OCW55" s="1"/>
      <c r="OCX55" s="1"/>
      <c r="OCY55" s="1"/>
      <c r="OCZ55" s="1"/>
      <c r="ODA55" s="1"/>
      <c r="ODB55" s="1"/>
      <c r="ODC55" s="1"/>
      <c r="ODD55" s="1"/>
      <c r="ODE55" s="1"/>
      <c r="ODF55" s="1"/>
      <c r="ODG55" s="1"/>
      <c r="ODH55" s="1"/>
      <c r="ODI55" s="1"/>
      <c r="ODJ55" s="1"/>
      <c r="ODK55" s="1"/>
      <c r="ODL55" s="1"/>
      <c r="ODM55" s="1"/>
      <c r="ODN55" s="1"/>
      <c r="ODO55" s="1"/>
      <c r="ODP55" s="1"/>
      <c r="ODQ55" s="1"/>
      <c r="ODR55" s="1"/>
      <c r="ODS55" s="1"/>
      <c r="ODT55" s="1"/>
      <c r="ODU55" s="1"/>
      <c r="ODV55" s="1"/>
      <c r="ODW55" s="1"/>
      <c r="ODX55" s="1"/>
      <c r="ODY55" s="1"/>
      <c r="ODZ55" s="1"/>
      <c r="OEA55" s="1"/>
      <c r="OEB55" s="1"/>
      <c r="OEC55" s="1"/>
      <c r="OED55" s="1"/>
      <c r="OEE55" s="1"/>
      <c r="OEF55" s="1"/>
      <c r="OEG55" s="1"/>
      <c r="OEH55" s="1"/>
      <c r="OEI55" s="1"/>
      <c r="OEJ55" s="1"/>
      <c r="OEK55" s="1"/>
      <c r="OEL55" s="1"/>
      <c r="OEM55" s="1"/>
      <c r="OEN55" s="1"/>
      <c r="OEO55" s="1"/>
      <c r="OEP55" s="1"/>
      <c r="OEQ55" s="1"/>
      <c r="OER55" s="1"/>
      <c r="OES55" s="1"/>
      <c r="OET55" s="1"/>
      <c r="OEU55" s="1"/>
      <c r="OEV55" s="1"/>
      <c r="OEW55" s="1"/>
      <c r="OEX55" s="1"/>
      <c r="OEY55" s="1"/>
      <c r="OEZ55" s="1"/>
      <c r="OFA55" s="1"/>
      <c r="OFB55" s="1"/>
      <c r="OFC55" s="1"/>
      <c r="OFD55" s="1"/>
      <c r="OFE55" s="1"/>
      <c r="OFF55" s="1"/>
      <c r="OFG55" s="1"/>
      <c r="OFH55" s="1"/>
      <c r="OFI55" s="1"/>
      <c r="OFJ55" s="1"/>
      <c r="OFK55" s="1"/>
      <c r="OFL55" s="1"/>
      <c r="OFM55" s="1"/>
      <c r="OFN55" s="1"/>
      <c r="OFO55" s="1"/>
      <c r="OFP55" s="1"/>
      <c r="OFQ55" s="1"/>
      <c r="OFR55" s="1"/>
      <c r="OFS55" s="1"/>
      <c r="OFT55" s="1"/>
      <c r="OFU55" s="1"/>
      <c r="OFV55" s="1"/>
      <c r="OFW55" s="1"/>
      <c r="OFX55" s="1"/>
      <c r="OFY55" s="1"/>
      <c r="OFZ55" s="1"/>
      <c r="OGA55" s="1"/>
      <c r="OGB55" s="1"/>
      <c r="OGC55" s="1"/>
      <c r="OGD55" s="1"/>
      <c r="OGE55" s="1"/>
      <c r="OGF55" s="1"/>
      <c r="OGG55" s="1"/>
      <c r="OGH55" s="1"/>
      <c r="OGI55" s="1"/>
      <c r="OGJ55" s="1"/>
      <c r="OGK55" s="1"/>
      <c r="OGL55" s="1"/>
      <c r="OGM55" s="1"/>
      <c r="OGN55" s="1"/>
      <c r="OGO55" s="1"/>
      <c r="OGP55" s="1"/>
      <c r="OGQ55" s="1"/>
      <c r="OGR55" s="1"/>
      <c r="OGS55" s="1"/>
      <c r="OGT55" s="1"/>
      <c r="OGU55" s="1"/>
      <c r="OGV55" s="1"/>
      <c r="OGW55" s="1"/>
      <c r="OGX55" s="1"/>
      <c r="OGY55" s="1"/>
      <c r="OGZ55" s="1"/>
      <c r="OHA55" s="1"/>
      <c r="OHB55" s="1"/>
      <c r="OHC55" s="1"/>
      <c r="OHD55" s="1"/>
      <c r="OHE55" s="1"/>
      <c r="OHF55" s="1"/>
      <c r="OHG55" s="1"/>
      <c r="OHH55" s="1"/>
      <c r="OHI55" s="1"/>
      <c r="OHJ55" s="1"/>
      <c r="OHK55" s="1"/>
      <c r="OHL55" s="1"/>
      <c r="OHM55" s="1"/>
      <c r="OHN55" s="1"/>
      <c r="OHO55" s="1"/>
      <c r="OHP55" s="1"/>
      <c r="OHQ55" s="1"/>
      <c r="OHR55" s="1"/>
      <c r="OHS55" s="1"/>
      <c r="OHT55" s="1"/>
      <c r="OHU55" s="1"/>
      <c r="OHV55" s="1"/>
      <c r="OHW55" s="1"/>
      <c r="OHX55" s="1"/>
      <c r="OHY55" s="1"/>
      <c r="OHZ55" s="1"/>
      <c r="OIA55" s="1"/>
      <c r="OIB55" s="1"/>
      <c r="OIC55" s="1"/>
      <c r="OID55" s="1"/>
      <c r="OIE55" s="1"/>
      <c r="OIF55" s="1"/>
      <c r="OIG55" s="1"/>
      <c r="OIH55" s="1"/>
      <c r="OII55" s="1"/>
      <c r="OIJ55" s="1"/>
      <c r="OIK55" s="1"/>
      <c r="OIL55" s="1"/>
      <c r="OIM55" s="1"/>
      <c r="OIN55" s="1"/>
      <c r="OIO55" s="1"/>
      <c r="OIP55" s="1"/>
      <c r="OIQ55" s="1"/>
      <c r="OIR55" s="1"/>
      <c r="OIS55" s="1"/>
      <c r="OIT55" s="1"/>
      <c r="OIU55" s="1"/>
      <c r="OIV55" s="1"/>
      <c r="OIW55" s="1"/>
      <c r="OIX55" s="1"/>
      <c r="OIY55" s="1"/>
      <c r="OIZ55" s="1"/>
      <c r="OJA55" s="1"/>
      <c r="OJB55" s="1"/>
      <c r="OJC55" s="1"/>
      <c r="OJD55" s="1"/>
      <c r="OJE55" s="1"/>
      <c r="OJF55" s="1"/>
      <c r="OJG55" s="1"/>
      <c r="OJH55" s="1"/>
      <c r="OJI55" s="1"/>
      <c r="OJJ55" s="1"/>
      <c r="OJK55" s="1"/>
      <c r="OJL55" s="1"/>
      <c r="OJM55" s="1"/>
      <c r="OJN55" s="1"/>
      <c r="OJO55" s="1"/>
      <c r="OJP55" s="1"/>
      <c r="OJQ55" s="1"/>
      <c r="OJR55" s="1"/>
      <c r="OJS55" s="1"/>
      <c r="OJT55" s="1"/>
      <c r="OJU55" s="1"/>
      <c r="OJV55" s="1"/>
      <c r="OJW55" s="1"/>
      <c r="OJX55" s="1"/>
      <c r="OJY55" s="1"/>
      <c r="OJZ55" s="1"/>
      <c r="OKA55" s="1"/>
      <c r="OKB55" s="1"/>
      <c r="OKC55" s="1"/>
      <c r="OKD55" s="1"/>
      <c r="OKE55" s="1"/>
      <c r="OKF55" s="1"/>
      <c r="OKG55" s="1"/>
      <c r="OKH55" s="1"/>
      <c r="OKI55" s="1"/>
      <c r="OKJ55" s="1"/>
      <c r="OKK55" s="1"/>
      <c r="OKL55" s="1"/>
      <c r="OKM55" s="1"/>
      <c r="OKN55" s="1"/>
      <c r="OKO55" s="1"/>
      <c r="OKP55" s="1"/>
      <c r="OKQ55" s="1"/>
      <c r="OKR55" s="1"/>
      <c r="OKS55" s="1"/>
      <c r="OKT55" s="1"/>
      <c r="OKU55" s="1"/>
      <c r="OKV55" s="1"/>
      <c r="OKW55" s="1"/>
      <c r="OKX55" s="1"/>
      <c r="OKY55" s="1"/>
      <c r="OKZ55" s="1"/>
      <c r="OLA55" s="1"/>
      <c r="OLB55" s="1"/>
      <c r="OLC55" s="1"/>
      <c r="OLD55" s="1"/>
      <c r="OLE55" s="1"/>
      <c r="OLF55" s="1"/>
      <c r="OLG55" s="1"/>
      <c r="OLH55" s="1"/>
      <c r="OLI55" s="1"/>
      <c r="OLJ55" s="1"/>
      <c r="OLK55" s="1"/>
      <c r="OLL55" s="1"/>
      <c r="OLM55" s="1"/>
      <c r="OLN55" s="1"/>
      <c r="OLO55" s="1"/>
      <c r="OLP55" s="1"/>
      <c r="OLQ55" s="1"/>
      <c r="OLR55" s="1"/>
      <c r="OLS55" s="1"/>
      <c r="OLT55" s="1"/>
      <c r="OLU55" s="1"/>
      <c r="OLV55" s="1"/>
      <c r="OLW55" s="1"/>
      <c r="OLX55" s="1"/>
      <c r="OLY55" s="1"/>
      <c r="OLZ55" s="1"/>
      <c r="OMA55" s="1"/>
      <c r="OMB55" s="1"/>
      <c r="OMC55" s="1"/>
      <c r="OMD55" s="1"/>
      <c r="OME55" s="1"/>
      <c r="OMF55" s="1"/>
      <c r="OMG55" s="1"/>
      <c r="OMH55" s="1"/>
      <c r="OMI55" s="1"/>
      <c r="OMJ55" s="1"/>
      <c r="OMK55" s="1"/>
      <c r="OML55" s="1"/>
      <c r="OMM55" s="1"/>
      <c r="OMN55" s="1"/>
      <c r="OMO55" s="1"/>
      <c r="OMP55" s="1"/>
      <c r="OMQ55" s="1"/>
      <c r="OMR55" s="1"/>
      <c r="OMS55" s="1"/>
      <c r="OMT55" s="1"/>
      <c r="OMU55" s="1"/>
      <c r="OMV55" s="1"/>
      <c r="OMW55" s="1"/>
      <c r="OMX55" s="1"/>
      <c r="OMY55" s="1"/>
      <c r="OMZ55" s="1"/>
      <c r="ONA55" s="1"/>
      <c r="ONB55" s="1"/>
      <c r="ONC55" s="1"/>
      <c r="OND55" s="1"/>
      <c r="ONE55" s="1"/>
      <c r="ONF55" s="1"/>
      <c r="ONG55" s="1"/>
      <c r="ONH55" s="1"/>
      <c r="ONI55" s="1"/>
      <c r="ONJ55" s="1"/>
      <c r="ONK55" s="1"/>
      <c r="ONL55" s="1"/>
      <c r="ONM55" s="1"/>
      <c r="ONN55" s="1"/>
      <c r="ONO55" s="1"/>
      <c r="ONP55" s="1"/>
      <c r="ONQ55" s="1"/>
      <c r="ONR55" s="1"/>
      <c r="ONS55" s="1"/>
      <c r="ONT55" s="1"/>
      <c r="ONU55" s="1"/>
      <c r="ONV55" s="1"/>
      <c r="ONW55" s="1"/>
      <c r="ONX55" s="1"/>
      <c r="ONY55" s="1"/>
      <c r="ONZ55" s="1"/>
      <c r="OOA55" s="1"/>
      <c r="OOB55" s="1"/>
      <c r="OOC55" s="1"/>
      <c r="OOD55" s="1"/>
      <c r="OOE55" s="1"/>
      <c r="OOF55" s="1"/>
      <c r="OOG55" s="1"/>
      <c r="OOH55" s="1"/>
      <c r="OOI55" s="1"/>
      <c r="OOJ55" s="1"/>
      <c r="OOK55" s="1"/>
      <c r="OOL55" s="1"/>
      <c r="OOM55" s="1"/>
      <c r="OON55" s="1"/>
      <c r="OOO55" s="1"/>
      <c r="OOP55" s="1"/>
      <c r="OOQ55" s="1"/>
      <c r="OOR55" s="1"/>
      <c r="OOS55" s="1"/>
      <c r="OOT55" s="1"/>
      <c r="OOU55" s="1"/>
      <c r="OOV55" s="1"/>
      <c r="OOW55" s="1"/>
      <c r="OOX55" s="1"/>
      <c r="OOY55" s="1"/>
      <c r="OOZ55" s="1"/>
      <c r="OPA55" s="1"/>
      <c r="OPB55" s="1"/>
      <c r="OPC55" s="1"/>
      <c r="OPD55" s="1"/>
      <c r="OPE55" s="1"/>
      <c r="OPF55" s="1"/>
      <c r="OPG55" s="1"/>
      <c r="OPH55" s="1"/>
      <c r="OPI55" s="1"/>
      <c r="OPJ55" s="1"/>
      <c r="OPK55" s="1"/>
      <c r="OPL55" s="1"/>
      <c r="OPM55" s="1"/>
      <c r="OPN55" s="1"/>
      <c r="OPO55" s="1"/>
      <c r="OPP55" s="1"/>
      <c r="OPQ55" s="1"/>
      <c r="OPR55" s="1"/>
      <c r="OPS55" s="1"/>
      <c r="OPT55" s="1"/>
      <c r="OPU55" s="1"/>
      <c r="OPV55" s="1"/>
      <c r="OPW55" s="1"/>
      <c r="OPX55" s="1"/>
      <c r="OPY55" s="1"/>
      <c r="OPZ55" s="1"/>
      <c r="OQA55" s="1"/>
      <c r="OQB55" s="1"/>
      <c r="OQC55" s="1"/>
      <c r="OQD55" s="1"/>
      <c r="OQE55" s="1"/>
      <c r="OQF55" s="1"/>
      <c r="OQG55" s="1"/>
      <c r="OQH55" s="1"/>
      <c r="OQI55" s="1"/>
      <c r="OQJ55" s="1"/>
      <c r="OQK55" s="1"/>
      <c r="OQL55" s="1"/>
      <c r="OQM55" s="1"/>
      <c r="OQN55" s="1"/>
      <c r="OQO55" s="1"/>
      <c r="OQP55" s="1"/>
      <c r="OQQ55" s="1"/>
      <c r="OQR55" s="1"/>
      <c r="OQS55" s="1"/>
      <c r="OQT55" s="1"/>
      <c r="OQU55" s="1"/>
      <c r="OQV55" s="1"/>
      <c r="OQW55" s="1"/>
      <c r="OQX55" s="1"/>
      <c r="OQY55" s="1"/>
      <c r="OQZ55" s="1"/>
      <c r="ORA55" s="1"/>
      <c r="ORB55" s="1"/>
      <c r="ORC55" s="1"/>
      <c r="ORD55" s="1"/>
      <c r="ORE55" s="1"/>
      <c r="ORF55" s="1"/>
      <c r="ORG55" s="1"/>
      <c r="ORH55" s="1"/>
      <c r="ORI55" s="1"/>
      <c r="ORJ55" s="1"/>
      <c r="ORK55" s="1"/>
      <c r="ORL55" s="1"/>
      <c r="ORM55" s="1"/>
      <c r="ORN55" s="1"/>
      <c r="ORO55" s="1"/>
      <c r="ORP55" s="1"/>
      <c r="ORQ55" s="1"/>
      <c r="ORR55" s="1"/>
      <c r="ORS55" s="1"/>
      <c r="ORT55" s="1"/>
      <c r="ORU55" s="1"/>
      <c r="ORV55" s="1"/>
      <c r="ORW55" s="1"/>
      <c r="ORX55" s="1"/>
      <c r="ORY55" s="1"/>
      <c r="ORZ55" s="1"/>
      <c r="OSA55" s="1"/>
      <c r="OSB55" s="1"/>
      <c r="OSC55" s="1"/>
      <c r="OSD55" s="1"/>
      <c r="OSE55" s="1"/>
      <c r="OSF55" s="1"/>
      <c r="OSG55" s="1"/>
      <c r="OSH55" s="1"/>
      <c r="OSI55" s="1"/>
      <c r="OSJ55" s="1"/>
      <c r="OSK55" s="1"/>
      <c r="OSL55" s="1"/>
      <c r="OSM55" s="1"/>
      <c r="OSN55" s="1"/>
      <c r="OSO55" s="1"/>
      <c r="OSP55" s="1"/>
      <c r="OSQ55" s="1"/>
      <c r="OSR55" s="1"/>
      <c r="OSS55" s="1"/>
      <c r="OST55" s="1"/>
      <c r="OSU55" s="1"/>
      <c r="OSV55" s="1"/>
      <c r="OSW55" s="1"/>
      <c r="OSX55" s="1"/>
      <c r="OSY55" s="1"/>
      <c r="OSZ55" s="1"/>
      <c r="OTA55" s="1"/>
      <c r="OTB55" s="1"/>
      <c r="OTC55" s="1"/>
      <c r="OTD55" s="1"/>
      <c r="OTE55" s="1"/>
      <c r="OTF55" s="1"/>
      <c r="OTG55" s="1"/>
      <c r="OTH55" s="1"/>
      <c r="OTI55" s="1"/>
      <c r="OTJ55" s="1"/>
      <c r="OTK55" s="1"/>
      <c r="OTL55" s="1"/>
      <c r="OTM55" s="1"/>
      <c r="OTN55" s="1"/>
      <c r="OTO55" s="1"/>
      <c r="OTP55" s="1"/>
      <c r="OTQ55" s="1"/>
      <c r="OTR55" s="1"/>
      <c r="OTS55" s="1"/>
      <c r="OTT55" s="1"/>
      <c r="OTU55" s="1"/>
      <c r="OTV55" s="1"/>
      <c r="OTW55" s="1"/>
      <c r="OTX55" s="1"/>
      <c r="OTY55" s="1"/>
      <c r="OTZ55" s="1"/>
      <c r="OUA55" s="1"/>
      <c r="OUB55" s="1"/>
      <c r="OUC55" s="1"/>
      <c r="OUD55" s="1"/>
      <c r="OUE55" s="1"/>
      <c r="OUF55" s="1"/>
      <c r="OUG55" s="1"/>
      <c r="OUH55" s="1"/>
      <c r="OUI55" s="1"/>
      <c r="OUJ55" s="1"/>
      <c r="OUK55" s="1"/>
      <c r="OUL55" s="1"/>
      <c r="OUM55" s="1"/>
      <c r="OUN55" s="1"/>
      <c r="OUO55" s="1"/>
      <c r="OUP55" s="1"/>
      <c r="OUQ55" s="1"/>
      <c r="OUR55" s="1"/>
      <c r="OUS55" s="1"/>
      <c r="OUT55" s="1"/>
      <c r="OUU55" s="1"/>
      <c r="OUV55" s="1"/>
      <c r="OUW55" s="1"/>
      <c r="OUX55" s="1"/>
      <c r="OUY55" s="1"/>
      <c r="OUZ55" s="1"/>
      <c r="OVA55" s="1"/>
      <c r="OVB55" s="1"/>
      <c r="OVC55" s="1"/>
      <c r="OVD55" s="1"/>
      <c r="OVE55" s="1"/>
      <c r="OVF55" s="1"/>
      <c r="OVG55" s="1"/>
      <c r="OVH55" s="1"/>
      <c r="OVI55" s="1"/>
      <c r="OVJ55" s="1"/>
      <c r="OVK55" s="1"/>
      <c r="OVL55" s="1"/>
      <c r="OVM55" s="1"/>
      <c r="OVN55" s="1"/>
      <c r="OVO55" s="1"/>
      <c r="OVP55" s="1"/>
      <c r="OVQ55" s="1"/>
      <c r="OVR55" s="1"/>
      <c r="OVS55" s="1"/>
      <c r="OVT55" s="1"/>
      <c r="OVU55" s="1"/>
      <c r="OVV55" s="1"/>
      <c r="OVW55" s="1"/>
      <c r="OVX55" s="1"/>
      <c r="OVY55" s="1"/>
      <c r="OVZ55" s="1"/>
      <c r="OWA55" s="1"/>
      <c r="OWB55" s="1"/>
      <c r="OWC55" s="1"/>
      <c r="OWD55" s="1"/>
      <c r="OWE55" s="1"/>
      <c r="OWF55" s="1"/>
      <c r="OWG55" s="1"/>
      <c r="OWH55" s="1"/>
      <c r="OWI55" s="1"/>
      <c r="OWJ55" s="1"/>
      <c r="OWK55" s="1"/>
      <c r="OWL55" s="1"/>
      <c r="OWM55" s="1"/>
      <c r="OWN55" s="1"/>
      <c r="OWO55" s="1"/>
      <c r="OWP55" s="1"/>
      <c r="OWQ55" s="1"/>
      <c r="OWR55" s="1"/>
      <c r="OWS55" s="1"/>
      <c r="OWT55" s="1"/>
      <c r="OWU55" s="1"/>
      <c r="OWV55" s="1"/>
      <c r="OWW55" s="1"/>
      <c r="OWX55" s="1"/>
      <c r="OWY55" s="1"/>
      <c r="OWZ55" s="1"/>
      <c r="OXA55" s="1"/>
      <c r="OXB55" s="1"/>
      <c r="OXC55" s="1"/>
      <c r="OXD55" s="1"/>
      <c r="OXE55" s="1"/>
      <c r="OXF55" s="1"/>
      <c r="OXG55" s="1"/>
      <c r="OXH55" s="1"/>
      <c r="OXI55" s="1"/>
      <c r="OXJ55" s="1"/>
      <c r="OXK55" s="1"/>
      <c r="OXL55" s="1"/>
      <c r="OXM55" s="1"/>
      <c r="OXN55" s="1"/>
      <c r="OXO55" s="1"/>
      <c r="OXP55" s="1"/>
      <c r="OXQ55" s="1"/>
      <c r="OXR55" s="1"/>
      <c r="OXS55" s="1"/>
      <c r="OXT55" s="1"/>
      <c r="OXU55" s="1"/>
      <c r="OXV55" s="1"/>
      <c r="OXW55" s="1"/>
      <c r="OXX55" s="1"/>
      <c r="OXY55" s="1"/>
      <c r="OXZ55" s="1"/>
      <c r="OYA55" s="1"/>
      <c r="OYB55" s="1"/>
      <c r="OYC55" s="1"/>
      <c r="OYD55" s="1"/>
      <c r="OYE55" s="1"/>
      <c r="OYF55" s="1"/>
      <c r="OYG55" s="1"/>
      <c r="OYH55" s="1"/>
      <c r="OYI55" s="1"/>
      <c r="OYJ55" s="1"/>
      <c r="OYK55" s="1"/>
      <c r="OYL55" s="1"/>
      <c r="OYM55" s="1"/>
      <c r="OYN55" s="1"/>
      <c r="OYO55" s="1"/>
      <c r="OYP55" s="1"/>
      <c r="OYQ55" s="1"/>
      <c r="OYR55" s="1"/>
      <c r="OYS55" s="1"/>
      <c r="OYT55" s="1"/>
      <c r="OYU55" s="1"/>
      <c r="OYV55" s="1"/>
      <c r="OYW55" s="1"/>
      <c r="OYX55" s="1"/>
      <c r="OYY55" s="1"/>
      <c r="OYZ55" s="1"/>
      <c r="OZA55" s="1"/>
      <c r="OZB55" s="1"/>
      <c r="OZC55" s="1"/>
      <c r="OZD55" s="1"/>
      <c r="OZE55" s="1"/>
      <c r="OZF55" s="1"/>
      <c r="OZG55" s="1"/>
      <c r="OZH55" s="1"/>
      <c r="OZI55" s="1"/>
      <c r="OZJ55" s="1"/>
      <c r="OZK55" s="1"/>
      <c r="OZL55" s="1"/>
      <c r="OZM55" s="1"/>
      <c r="OZN55" s="1"/>
      <c r="OZO55" s="1"/>
      <c r="OZP55" s="1"/>
      <c r="OZQ55" s="1"/>
      <c r="OZR55" s="1"/>
      <c r="OZS55" s="1"/>
      <c r="OZT55" s="1"/>
      <c r="OZU55" s="1"/>
      <c r="OZV55" s="1"/>
      <c r="OZW55" s="1"/>
      <c r="OZX55" s="1"/>
      <c r="OZY55" s="1"/>
      <c r="OZZ55" s="1"/>
      <c r="PAA55" s="1"/>
      <c r="PAB55" s="1"/>
      <c r="PAC55" s="1"/>
      <c r="PAD55" s="1"/>
      <c r="PAE55" s="1"/>
      <c r="PAF55" s="1"/>
      <c r="PAG55" s="1"/>
      <c r="PAH55" s="1"/>
      <c r="PAI55" s="1"/>
      <c r="PAJ55" s="1"/>
      <c r="PAK55" s="1"/>
      <c r="PAL55" s="1"/>
      <c r="PAM55" s="1"/>
      <c r="PAN55" s="1"/>
      <c r="PAO55" s="1"/>
      <c r="PAP55" s="1"/>
      <c r="PAQ55" s="1"/>
      <c r="PAR55" s="1"/>
      <c r="PAS55" s="1"/>
      <c r="PAT55" s="1"/>
      <c r="PAU55" s="1"/>
      <c r="PAV55" s="1"/>
      <c r="PAW55" s="1"/>
      <c r="PAX55" s="1"/>
      <c r="PAY55" s="1"/>
      <c r="PAZ55" s="1"/>
      <c r="PBA55" s="1"/>
      <c r="PBB55" s="1"/>
      <c r="PBC55" s="1"/>
      <c r="PBD55" s="1"/>
      <c r="PBE55" s="1"/>
      <c r="PBF55" s="1"/>
      <c r="PBG55" s="1"/>
      <c r="PBH55" s="1"/>
      <c r="PBI55" s="1"/>
      <c r="PBJ55" s="1"/>
      <c r="PBK55" s="1"/>
      <c r="PBL55" s="1"/>
      <c r="PBM55" s="1"/>
      <c r="PBN55" s="1"/>
      <c r="PBO55" s="1"/>
      <c r="PBP55" s="1"/>
      <c r="PBQ55" s="1"/>
      <c r="PBR55" s="1"/>
      <c r="PBS55" s="1"/>
      <c r="PBT55" s="1"/>
      <c r="PBU55" s="1"/>
      <c r="PBV55" s="1"/>
      <c r="PBW55" s="1"/>
      <c r="PBX55" s="1"/>
      <c r="PBY55" s="1"/>
      <c r="PBZ55" s="1"/>
      <c r="PCA55" s="1"/>
      <c r="PCB55" s="1"/>
      <c r="PCC55" s="1"/>
      <c r="PCD55" s="1"/>
      <c r="PCE55" s="1"/>
      <c r="PCF55" s="1"/>
      <c r="PCG55" s="1"/>
      <c r="PCH55" s="1"/>
      <c r="PCI55" s="1"/>
      <c r="PCJ55" s="1"/>
      <c r="PCK55" s="1"/>
      <c r="PCL55" s="1"/>
      <c r="PCM55" s="1"/>
      <c r="PCN55" s="1"/>
      <c r="PCO55" s="1"/>
      <c r="PCP55" s="1"/>
      <c r="PCQ55" s="1"/>
      <c r="PCR55" s="1"/>
      <c r="PCS55" s="1"/>
      <c r="PCT55" s="1"/>
      <c r="PCU55" s="1"/>
      <c r="PCV55" s="1"/>
      <c r="PCW55" s="1"/>
      <c r="PCX55" s="1"/>
      <c r="PCY55" s="1"/>
      <c r="PCZ55" s="1"/>
      <c r="PDA55" s="1"/>
      <c r="PDB55" s="1"/>
      <c r="PDC55" s="1"/>
      <c r="PDD55" s="1"/>
      <c r="PDE55" s="1"/>
      <c r="PDF55" s="1"/>
      <c r="PDG55" s="1"/>
      <c r="PDH55" s="1"/>
      <c r="PDI55" s="1"/>
      <c r="PDJ55" s="1"/>
      <c r="PDK55" s="1"/>
      <c r="PDL55" s="1"/>
      <c r="PDM55" s="1"/>
      <c r="PDN55" s="1"/>
      <c r="PDO55" s="1"/>
      <c r="PDP55" s="1"/>
      <c r="PDQ55" s="1"/>
      <c r="PDR55" s="1"/>
      <c r="PDS55" s="1"/>
      <c r="PDT55" s="1"/>
      <c r="PDU55" s="1"/>
      <c r="PDV55" s="1"/>
      <c r="PDW55" s="1"/>
      <c r="PDX55" s="1"/>
      <c r="PDY55" s="1"/>
      <c r="PDZ55" s="1"/>
      <c r="PEA55" s="1"/>
      <c r="PEB55" s="1"/>
      <c r="PEC55" s="1"/>
      <c r="PED55" s="1"/>
      <c r="PEE55" s="1"/>
      <c r="PEF55" s="1"/>
      <c r="PEG55" s="1"/>
      <c r="PEH55" s="1"/>
      <c r="PEI55" s="1"/>
      <c r="PEJ55" s="1"/>
      <c r="PEK55" s="1"/>
      <c r="PEL55" s="1"/>
      <c r="PEM55" s="1"/>
      <c r="PEN55" s="1"/>
      <c r="PEO55" s="1"/>
      <c r="PEP55" s="1"/>
      <c r="PEQ55" s="1"/>
      <c r="PER55" s="1"/>
      <c r="PES55" s="1"/>
      <c r="PET55" s="1"/>
      <c r="PEU55" s="1"/>
      <c r="PEV55" s="1"/>
      <c r="PEW55" s="1"/>
      <c r="PEX55" s="1"/>
      <c r="PEY55" s="1"/>
      <c r="PEZ55" s="1"/>
      <c r="PFA55" s="1"/>
      <c r="PFB55" s="1"/>
      <c r="PFC55" s="1"/>
      <c r="PFD55" s="1"/>
      <c r="PFE55" s="1"/>
      <c r="PFF55" s="1"/>
      <c r="PFG55" s="1"/>
      <c r="PFH55" s="1"/>
      <c r="PFI55" s="1"/>
      <c r="PFJ55" s="1"/>
      <c r="PFK55" s="1"/>
      <c r="PFL55" s="1"/>
      <c r="PFM55" s="1"/>
      <c r="PFN55" s="1"/>
      <c r="PFO55" s="1"/>
      <c r="PFP55" s="1"/>
      <c r="PFQ55" s="1"/>
      <c r="PFR55" s="1"/>
      <c r="PFS55" s="1"/>
      <c r="PFT55" s="1"/>
      <c r="PFU55" s="1"/>
      <c r="PFV55" s="1"/>
      <c r="PFW55" s="1"/>
      <c r="PFX55" s="1"/>
      <c r="PFY55" s="1"/>
      <c r="PFZ55" s="1"/>
      <c r="PGA55" s="1"/>
      <c r="PGB55" s="1"/>
      <c r="PGC55" s="1"/>
      <c r="PGD55" s="1"/>
      <c r="PGE55" s="1"/>
      <c r="PGF55" s="1"/>
      <c r="PGG55" s="1"/>
      <c r="PGH55" s="1"/>
      <c r="PGI55" s="1"/>
      <c r="PGJ55" s="1"/>
      <c r="PGK55" s="1"/>
      <c r="PGL55" s="1"/>
      <c r="PGM55" s="1"/>
      <c r="PGN55" s="1"/>
      <c r="PGO55" s="1"/>
      <c r="PGP55" s="1"/>
      <c r="PGQ55" s="1"/>
      <c r="PGR55" s="1"/>
      <c r="PGS55" s="1"/>
      <c r="PGT55" s="1"/>
      <c r="PGU55" s="1"/>
      <c r="PGV55" s="1"/>
      <c r="PGW55" s="1"/>
      <c r="PGX55" s="1"/>
      <c r="PGY55" s="1"/>
      <c r="PGZ55" s="1"/>
      <c r="PHA55" s="1"/>
      <c r="PHB55" s="1"/>
      <c r="PHC55" s="1"/>
      <c r="PHD55" s="1"/>
      <c r="PHE55" s="1"/>
      <c r="PHF55" s="1"/>
      <c r="PHG55" s="1"/>
      <c r="PHH55" s="1"/>
      <c r="PHI55" s="1"/>
      <c r="PHJ55" s="1"/>
      <c r="PHK55" s="1"/>
      <c r="PHL55" s="1"/>
      <c r="PHM55" s="1"/>
      <c r="PHN55" s="1"/>
      <c r="PHO55" s="1"/>
      <c r="PHP55" s="1"/>
      <c r="PHQ55" s="1"/>
      <c r="PHR55" s="1"/>
      <c r="PHS55" s="1"/>
      <c r="PHT55" s="1"/>
      <c r="PHU55" s="1"/>
      <c r="PHV55" s="1"/>
      <c r="PHW55" s="1"/>
      <c r="PHX55" s="1"/>
      <c r="PHY55" s="1"/>
      <c r="PHZ55" s="1"/>
      <c r="PIA55" s="1"/>
      <c r="PIB55" s="1"/>
      <c r="PIC55" s="1"/>
      <c r="PID55" s="1"/>
      <c r="PIE55" s="1"/>
      <c r="PIF55" s="1"/>
      <c r="PIG55" s="1"/>
      <c r="PIH55" s="1"/>
      <c r="PII55" s="1"/>
      <c r="PIJ55" s="1"/>
      <c r="PIK55" s="1"/>
      <c r="PIL55" s="1"/>
      <c r="PIM55" s="1"/>
      <c r="PIN55" s="1"/>
      <c r="PIO55" s="1"/>
      <c r="PIP55" s="1"/>
      <c r="PIQ55" s="1"/>
      <c r="PIR55" s="1"/>
      <c r="PIS55" s="1"/>
      <c r="PIT55" s="1"/>
      <c r="PIU55" s="1"/>
      <c r="PIV55" s="1"/>
      <c r="PIW55" s="1"/>
      <c r="PIX55" s="1"/>
      <c r="PIY55" s="1"/>
      <c r="PIZ55" s="1"/>
      <c r="PJA55" s="1"/>
      <c r="PJB55" s="1"/>
      <c r="PJC55" s="1"/>
      <c r="PJD55" s="1"/>
      <c r="PJE55" s="1"/>
      <c r="PJF55" s="1"/>
      <c r="PJG55" s="1"/>
      <c r="PJH55" s="1"/>
      <c r="PJI55" s="1"/>
      <c r="PJJ55" s="1"/>
      <c r="PJK55" s="1"/>
      <c r="PJL55" s="1"/>
      <c r="PJM55" s="1"/>
      <c r="PJN55" s="1"/>
      <c r="PJO55" s="1"/>
      <c r="PJP55" s="1"/>
      <c r="PJQ55" s="1"/>
      <c r="PJR55" s="1"/>
      <c r="PJS55" s="1"/>
      <c r="PJT55" s="1"/>
      <c r="PJU55" s="1"/>
      <c r="PJV55" s="1"/>
      <c r="PJW55" s="1"/>
      <c r="PJX55" s="1"/>
      <c r="PJY55" s="1"/>
      <c r="PJZ55" s="1"/>
      <c r="PKA55" s="1"/>
      <c r="PKB55" s="1"/>
      <c r="PKC55" s="1"/>
      <c r="PKD55" s="1"/>
      <c r="PKE55" s="1"/>
      <c r="PKF55" s="1"/>
      <c r="PKG55" s="1"/>
      <c r="PKH55" s="1"/>
      <c r="PKI55" s="1"/>
      <c r="PKJ55" s="1"/>
      <c r="PKK55" s="1"/>
      <c r="PKL55" s="1"/>
      <c r="PKM55" s="1"/>
      <c r="PKN55" s="1"/>
      <c r="PKO55" s="1"/>
      <c r="PKP55" s="1"/>
      <c r="PKQ55" s="1"/>
      <c r="PKR55" s="1"/>
      <c r="PKS55" s="1"/>
      <c r="PKT55" s="1"/>
      <c r="PKU55" s="1"/>
      <c r="PKV55" s="1"/>
      <c r="PKW55" s="1"/>
      <c r="PKX55" s="1"/>
      <c r="PKY55" s="1"/>
      <c r="PKZ55" s="1"/>
      <c r="PLA55" s="1"/>
      <c r="PLB55" s="1"/>
      <c r="PLC55" s="1"/>
      <c r="PLD55" s="1"/>
      <c r="PLE55" s="1"/>
      <c r="PLF55" s="1"/>
      <c r="PLG55" s="1"/>
      <c r="PLH55" s="1"/>
      <c r="PLI55" s="1"/>
      <c r="PLJ55" s="1"/>
      <c r="PLK55" s="1"/>
      <c r="PLL55" s="1"/>
      <c r="PLM55" s="1"/>
      <c r="PLN55" s="1"/>
      <c r="PLO55" s="1"/>
      <c r="PLP55" s="1"/>
      <c r="PLQ55" s="1"/>
      <c r="PLR55" s="1"/>
      <c r="PLS55" s="1"/>
      <c r="PLT55" s="1"/>
      <c r="PLU55" s="1"/>
      <c r="PLV55" s="1"/>
      <c r="PLW55" s="1"/>
      <c r="PLX55" s="1"/>
      <c r="PLY55" s="1"/>
      <c r="PLZ55" s="1"/>
      <c r="PMA55" s="1"/>
      <c r="PMB55" s="1"/>
      <c r="PMC55" s="1"/>
      <c r="PMD55" s="1"/>
      <c r="PME55" s="1"/>
      <c r="PMF55" s="1"/>
      <c r="PMG55" s="1"/>
      <c r="PMH55" s="1"/>
      <c r="PMI55" s="1"/>
      <c r="PMJ55" s="1"/>
      <c r="PMK55" s="1"/>
      <c r="PML55" s="1"/>
      <c r="PMM55" s="1"/>
      <c r="PMN55" s="1"/>
      <c r="PMO55" s="1"/>
      <c r="PMP55" s="1"/>
      <c r="PMQ55" s="1"/>
      <c r="PMR55" s="1"/>
      <c r="PMS55" s="1"/>
      <c r="PMT55" s="1"/>
      <c r="PMU55" s="1"/>
      <c r="PMV55" s="1"/>
      <c r="PMW55" s="1"/>
      <c r="PMX55" s="1"/>
      <c r="PMY55" s="1"/>
      <c r="PMZ55" s="1"/>
      <c r="PNA55" s="1"/>
      <c r="PNB55" s="1"/>
      <c r="PNC55" s="1"/>
      <c r="PND55" s="1"/>
      <c r="PNE55" s="1"/>
      <c r="PNF55" s="1"/>
      <c r="PNG55" s="1"/>
      <c r="PNH55" s="1"/>
      <c r="PNI55" s="1"/>
      <c r="PNJ55" s="1"/>
      <c r="PNK55" s="1"/>
      <c r="PNL55" s="1"/>
      <c r="PNM55" s="1"/>
      <c r="PNN55" s="1"/>
      <c r="PNO55" s="1"/>
      <c r="PNP55" s="1"/>
      <c r="PNQ55" s="1"/>
      <c r="PNR55" s="1"/>
      <c r="PNS55" s="1"/>
      <c r="PNT55" s="1"/>
      <c r="PNU55" s="1"/>
      <c r="PNV55" s="1"/>
      <c r="PNW55" s="1"/>
      <c r="PNX55" s="1"/>
      <c r="PNY55" s="1"/>
      <c r="PNZ55" s="1"/>
      <c r="POA55" s="1"/>
      <c r="POB55" s="1"/>
      <c r="POC55" s="1"/>
      <c r="POD55" s="1"/>
      <c r="POE55" s="1"/>
      <c r="POF55" s="1"/>
      <c r="POG55" s="1"/>
      <c r="POH55" s="1"/>
      <c r="POI55" s="1"/>
      <c r="POJ55" s="1"/>
      <c r="POK55" s="1"/>
      <c r="POL55" s="1"/>
      <c r="POM55" s="1"/>
      <c r="PON55" s="1"/>
      <c r="POO55" s="1"/>
      <c r="POP55" s="1"/>
      <c r="POQ55" s="1"/>
      <c r="POR55" s="1"/>
      <c r="POS55" s="1"/>
      <c r="POT55" s="1"/>
      <c r="POU55" s="1"/>
      <c r="POV55" s="1"/>
      <c r="POW55" s="1"/>
      <c r="POX55" s="1"/>
      <c r="POY55" s="1"/>
      <c r="POZ55" s="1"/>
      <c r="PPA55" s="1"/>
      <c r="PPB55" s="1"/>
      <c r="PPC55" s="1"/>
      <c r="PPD55" s="1"/>
      <c r="PPE55" s="1"/>
      <c r="PPF55" s="1"/>
      <c r="PPG55" s="1"/>
      <c r="PPH55" s="1"/>
      <c r="PPI55" s="1"/>
      <c r="PPJ55" s="1"/>
      <c r="PPK55" s="1"/>
      <c r="PPL55" s="1"/>
      <c r="PPM55" s="1"/>
      <c r="PPN55" s="1"/>
      <c r="PPO55" s="1"/>
      <c r="PPP55" s="1"/>
      <c r="PPQ55" s="1"/>
      <c r="PPR55" s="1"/>
      <c r="PPS55" s="1"/>
      <c r="PPT55" s="1"/>
      <c r="PPU55" s="1"/>
      <c r="PPV55" s="1"/>
      <c r="PPW55" s="1"/>
      <c r="PPX55" s="1"/>
      <c r="PPY55" s="1"/>
      <c r="PPZ55" s="1"/>
      <c r="PQA55" s="1"/>
      <c r="PQB55" s="1"/>
      <c r="PQC55" s="1"/>
      <c r="PQD55" s="1"/>
      <c r="PQE55" s="1"/>
      <c r="PQF55" s="1"/>
      <c r="PQG55" s="1"/>
      <c r="PQH55" s="1"/>
      <c r="PQI55" s="1"/>
      <c r="PQJ55" s="1"/>
      <c r="PQK55" s="1"/>
      <c r="PQL55" s="1"/>
      <c r="PQM55" s="1"/>
      <c r="PQN55" s="1"/>
      <c r="PQO55" s="1"/>
      <c r="PQP55" s="1"/>
      <c r="PQQ55" s="1"/>
      <c r="PQR55" s="1"/>
      <c r="PQS55" s="1"/>
      <c r="PQT55" s="1"/>
      <c r="PQU55" s="1"/>
      <c r="PQV55" s="1"/>
      <c r="PQW55" s="1"/>
      <c r="PQX55" s="1"/>
      <c r="PQY55" s="1"/>
      <c r="PQZ55" s="1"/>
      <c r="PRA55" s="1"/>
      <c r="PRB55" s="1"/>
      <c r="PRC55" s="1"/>
      <c r="PRD55" s="1"/>
      <c r="PRE55" s="1"/>
      <c r="PRF55" s="1"/>
      <c r="PRG55" s="1"/>
      <c r="PRH55" s="1"/>
      <c r="PRI55" s="1"/>
      <c r="PRJ55" s="1"/>
      <c r="PRK55" s="1"/>
      <c r="PRL55" s="1"/>
      <c r="PRM55" s="1"/>
      <c r="PRN55" s="1"/>
      <c r="PRO55" s="1"/>
      <c r="PRP55" s="1"/>
      <c r="PRQ55" s="1"/>
      <c r="PRR55" s="1"/>
      <c r="PRS55" s="1"/>
      <c r="PRT55" s="1"/>
      <c r="PRU55" s="1"/>
      <c r="PRV55" s="1"/>
      <c r="PRW55" s="1"/>
      <c r="PRX55" s="1"/>
      <c r="PRY55" s="1"/>
      <c r="PRZ55" s="1"/>
      <c r="PSA55" s="1"/>
      <c r="PSB55" s="1"/>
      <c r="PSC55" s="1"/>
      <c r="PSD55" s="1"/>
      <c r="PSE55" s="1"/>
      <c r="PSF55" s="1"/>
      <c r="PSG55" s="1"/>
      <c r="PSH55" s="1"/>
      <c r="PSI55" s="1"/>
      <c r="PSJ55" s="1"/>
      <c r="PSK55" s="1"/>
      <c r="PSL55" s="1"/>
      <c r="PSM55" s="1"/>
      <c r="PSN55" s="1"/>
      <c r="PSO55" s="1"/>
      <c r="PSP55" s="1"/>
      <c r="PSQ55" s="1"/>
      <c r="PSR55" s="1"/>
      <c r="PSS55" s="1"/>
      <c r="PST55" s="1"/>
      <c r="PSU55" s="1"/>
      <c r="PSV55" s="1"/>
      <c r="PSW55" s="1"/>
      <c r="PSX55" s="1"/>
      <c r="PSY55" s="1"/>
      <c r="PSZ55" s="1"/>
      <c r="PTA55" s="1"/>
      <c r="PTB55" s="1"/>
      <c r="PTC55" s="1"/>
      <c r="PTD55" s="1"/>
      <c r="PTE55" s="1"/>
      <c r="PTF55" s="1"/>
      <c r="PTG55" s="1"/>
      <c r="PTH55" s="1"/>
      <c r="PTI55" s="1"/>
      <c r="PTJ55" s="1"/>
      <c r="PTK55" s="1"/>
      <c r="PTL55" s="1"/>
      <c r="PTM55" s="1"/>
      <c r="PTN55" s="1"/>
      <c r="PTO55" s="1"/>
      <c r="PTP55" s="1"/>
      <c r="PTQ55" s="1"/>
      <c r="PTR55" s="1"/>
      <c r="PTS55" s="1"/>
      <c r="PTT55" s="1"/>
      <c r="PTU55" s="1"/>
      <c r="PTV55" s="1"/>
      <c r="PTW55" s="1"/>
      <c r="PTX55" s="1"/>
      <c r="PTY55" s="1"/>
      <c r="PTZ55" s="1"/>
      <c r="PUA55" s="1"/>
      <c r="PUB55" s="1"/>
      <c r="PUC55" s="1"/>
      <c r="PUD55" s="1"/>
      <c r="PUE55" s="1"/>
      <c r="PUF55" s="1"/>
      <c r="PUG55" s="1"/>
      <c r="PUH55" s="1"/>
      <c r="PUI55" s="1"/>
      <c r="PUJ55" s="1"/>
      <c r="PUK55" s="1"/>
      <c r="PUL55" s="1"/>
      <c r="PUM55" s="1"/>
      <c r="PUN55" s="1"/>
      <c r="PUO55" s="1"/>
      <c r="PUP55" s="1"/>
      <c r="PUQ55" s="1"/>
      <c r="PUR55" s="1"/>
      <c r="PUS55" s="1"/>
      <c r="PUT55" s="1"/>
      <c r="PUU55" s="1"/>
      <c r="PUV55" s="1"/>
      <c r="PUW55" s="1"/>
      <c r="PUX55" s="1"/>
      <c r="PUY55" s="1"/>
      <c r="PUZ55" s="1"/>
      <c r="PVA55" s="1"/>
      <c r="PVB55" s="1"/>
      <c r="PVC55" s="1"/>
      <c r="PVD55" s="1"/>
      <c r="PVE55" s="1"/>
      <c r="PVF55" s="1"/>
      <c r="PVG55" s="1"/>
      <c r="PVH55" s="1"/>
      <c r="PVI55" s="1"/>
      <c r="PVJ55" s="1"/>
      <c r="PVK55" s="1"/>
      <c r="PVL55" s="1"/>
      <c r="PVM55" s="1"/>
      <c r="PVN55" s="1"/>
      <c r="PVO55" s="1"/>
      <c r="PVP55" s="1"/>
      <c r="PVQ55" s="1"/>
      <c r="PVR55" s="1"/>
      <c r="PVS55" s="1"/>
      <c r="PVT55" s="1"/>
      <c r="PVU55" s="1"/>
      <c r="PVV55" s="1"/>
      <c r="PVW55" s="1"/>
      <c r="PVX55" s="1"/>
      <c r="PVY55" s="1"/>
      <c r="PVZ55" s="1"/>
      <c r="PWA55" s="1"/>
      <c r="PWB55" s="1"/>
      <c r="PWC55" s="1"/>
      <c r="PWD55" s="1"/>
      <c r="PWE55" s="1"/>
      <c r="PWF55" s="1"/>
      <c r="PWG55" s="1"/>
      <c r="PWH55" s="1"/>
      <c r="PWI55" s="1"/>
      <c r="PWJ55" s="1"/>
      <c r="PWK55" s="1"/>
      <c r="PWL55" s="1"/>
      <c r="PWM55" s="1"/>
      <c r="PWN55" s="1"/>
      <c r="PWO55" s="1"/>
      <c r="PWP55" s="1"/>
      <c r="PWQ55" s="1"/>
      <c r="PWR55" s="1"/>
      <c r="PWS55" s="1"/>
      <c r="PWT55" s="1"/>
      <c r="PWU55" s="1"/>
      <c r="PWV55" s="1"/>
      <c r="PWW55" s="1"/>
      <c r="PWX55" s="1"/>
      <c r="PWY55" s="1"/>
      <c r="PWZ55" s="1"/>
      <c r="PXA55" s="1"/>
      <c r="PXB55" s="1"/>
      <c r="PXC55" s="1"/>
      <c r="PXD55" s="1"/>
      <c r="PXE55" s="1"/>
      <c r="PXF55" s="1"/>
      <c r="PXG55" s="1"/>
      <c r="PXH55" s="1"/>
      <c r="PXI55" s="1"/>
      <c r="PXJ55" s="1"/>
      <c r="PXK55" s="1"/>
      <c r="PXL55" s="1"/>
      <c r="PXM55" s="1"/>
      <c r="PXN55" s="1"/>
      <c r="PXO55" s="1"/>
      <c r="PXP55" s="1"/>
      <c r="PXQ55" s="1"/>
      <c r="PXR55" s="1"/>
      <c r="PXS55" s="1"/>
      <c r="PXT55" s="1"/>
      <c r="PXU55" s="1"/>
      <c r="PXV55" s="1"/>
      <c r="PXW55" s="1"/>
      <c r="PXX55" s="1"/>
      <c r="PXY55" s="1"/>
      <c r="PXZ55" s="1"/>
      <c r="PYA55" s="1"/>
      <c r="PYB55" s="1"/>
      <c r="PYC55" s="1"/>
      <c r="PYD55" s="1"/>
      <c r="PYE55" s="1"/>
      <c r="PYF55" s="1"/>
      <c r="PYG55" s="1"/>
      <c r="PYH55" s="1"/>
      <c r="PYI55" s="1"/>
      <c r="PYJ55" s="1"/>
      <c r="PYK55" s="1"/>
      <c r="PYL55" s="1"/>
      <c r="PYM55" s="1"/>
      <c r="PYN55" s="1"/>
      <c r="PYO55" s="1"/>
      <c r="PYP55" s="1"/>
      <c r="PYQ55" s="1"/>
      <c r="PYR55" s="1"/>
      <c r="PYS55" s="1"/>
      <c r="PYT55" s="1"/>
      <c r="PYU55" s="1"/>
      <c r="PYV55" s="1"/>
      <c r="PYW55" s="1"/>
      <c r="PYX55" s="1"/>
      <c r="PYY55" s="1"/>
      <c r="PYZ55" s="1"/>
      <c r="PZA55" s="1"/>
      <c r="PZB55" s="1"/>
      <c r="PZC55" s="1"/>
      <c r="PZD55" s="1"/>
      <c r="PZE55" s="1"/>
      <c r="PZF55" s="1"/>
      <c r="PZG55" s="1"/>
      <c r="PZH55" s="1"/>
      <c r="PZI55" s="1"/>
      <c r="PZJ55" s="1"/>
      <c r="PZK55" s="1"/>
      <c r="PZL55" s="1"/>
      <c r="PZM55" s="1"/>
      <c r="PZN55" s="1"/>
      <c r="PZO55" s="1"/>
      <c r="PZP55" s="1"/>
      <c r="PZQ55" s="1"/>
      <c r="PZR55" s="1"/>
      <c r="PZS55" s="1"/>
      <c r="PZT55" s="1"/>
      <c r="PZU55" s="1"/>
      <c r="PZV55" s="1"/>
      <c r="PZW55" s="1"/>
      <c r="PZX55" s="1"/>
      <c r="PZY55" s="1"/>
      <c r="PZZ55" s="1"/>
      <c r="QAA55" s="1"/>
      <c r="QAB55" s="1"/>
      <c r="QAC55" s="1"/>
      <c r="QAD55" s="1"/>
      <c r="QAE55" s="1"/>
      <c r="QAF55" s="1"/>
      <c r="QAG55" s="1"/>
      <c r="QAH55" s="1"/>
      <c r="QAI55" s="1"/>
      <c r="QAJ55" s="1"/>
      <c r="QAK55" s="1"/>
      <c r="QAL55" s="1"/>
      <c r="QAM55" s="1"/>
      <c r="QAN55" s="1"/>
      <c r="QAO55" s="1"/>
      <c r="QAP55" s="1"/>
      <c r="QAQ55" s="1"/>
      <c r="QAR55" s="1"/>
      <c r="QAS55" s="1"/>
      <c r="QAT55" s="1"/>
      <c r="QAU55" s="1"/>
      <c r="QAV55" s="1"/>
      <c r="QAW55" s="1"/>
      <c r="QAX55" s="1"/>
      <c r="QAY55" s="1"/>
      <c r="QAZ55" s="1"/>
      <c r="QBA55" s="1"/>
      <c r="QBB55" s="1"/>
      <c r="QBC55" s="1"/>
      <c r="QBD55" s="1"/>
      <c r="QBE55" s="1"/>
      <c r="QBF55" s="1"/>
      <c r="QBG55" s="1"/>
      <c r="QBH55" s="1"/>
      <c r="QBI55" s="1"/>
      <c r="QBJ55" s="1"/>
      <c r="QBK55" s="1"/>
      <c r="QBL55" s="1"/>
      <c r="QBM55" s="1"/>
      <c r="QBN55" s="1"/>
      <c r="QBO55" s="1"/>
      <c r="QBP55" s="1"/>
      <c r="QBQ55" s="1"/>
      <c r="QBR55" s="1"/>
      <c r="QBS55" s="1"/>
      <c r="QBT55" s="1"/>
      <c r="QBU55" s="1"/>
      <c r="QBV55" s="1"/>
      <c r="QBW55" s="1"/>
      <c r="QBX55" s="1"/>
      <c r="QBY55" s="1"/>
      <c r="QBZ55" s="1"/>
      <c r="QCA55" s="1"/>
      <c r="QCB55" s="1"/>
      <c r="QCC55" s="1"/>
      <c r="QCD55" s="1"/>
      <c r="QCE55" s="1"/>
      <c r="QCF55" s="1"/>
      <c r="QCG55" s="1"/>
      <c r="QCH55" s="1"/>
      <c r="QCI55" s="1"/>
      <c r="QCJ55" s="1"/>
      <c r="QCK55" s="1"/>
      <c r="QCL55" s="1"/>
      <c r="QCM55" s="1"/>
      <c r="QCN55" s="1"/>
      <c r="QCO55" s="1"/>
      <c r="QCP55" s="1"/>
      <c r="QCQ55" s="1"/>
      <c r="QCR55" s="1"/>
      <c r="QCS55" s="1"/>
      <c r="QCT55" s="1"/>
      <c r="QCU55" s="1"/>
      <c r="QCV55" s="1"/>
      <c r="QCW55" s="1"/>
      <c r="QCX55" s="1"/>
      <c r="QCY55" s="1"/>
      <c r="QCZ55" s="1"/>
      <c r="QDA55" s="1"/>
      <c r="QDB55" s="1"/>
      <c r="QDC55" s="1"/>
      <c r="QDD55" s="1"/>
      <c r="QDE55" s="1"/>
      <c r="QDF55" s="1"/>
      <c r="QDG55" s="1"/>
      <c r="QDH55" s="1"/>
      <c r="QDI55" s="1"/>
      <c r="QDJ55" s="1"/>
      <c r="QDK55" s="1"/>
      <c r="QDL55" s="1"/>
      <c r="QDM55" s="1"/>
      <c r="QDN55" s="1"/>
      <c r="QDO55" s="1"/>
      <c r="QDP55" s="1"/>
      <c r="QDQ55" s="1"/>
      <c r="QDR55" s="1"/>
      <c r="QDS55" s="1"/>
      <c r="QDT55" s="1"/>
      <c r="QDU55" s="1"/>
      <c r="QDV55" s="1"/>
      <c r="QDW55" s="1"/>
      <c r="QDX55" s="1"/>
      <c r="QDY55" s="1"/>
      <c r="QDZ55" s="1"/>
      <c r="QEA55" s="1"/>
      <c r="QEB55" s="1"/>
      <c r="QEC55" s="1"/>
      <c r="QED55" s="1"/>
      <c r="QEE55" s="1"/>
      <c r="QEF55" s="1"/>
      <c r="QEG55" s="1"/>
      <c r="QEH55" s="1"/>
      <c r="QEI55" s="1"/>
      <c r="QEJ55" s="1"/>
      <c r="QEK55" s="1"/>
      <c r="QEL55" s="1"/>
      <c r="QEM55" s="1"/>
      <c r="QEN55" s="1"/>
      <c r="QEO55" s="1"/>
      <c r="QEP55" s="1"/>
      <c r="QEQ55" s="1"/>
      <c r="QER55" s="1"/>
      <c r="QES55" s="1"/>
      <c r="QET55" s="1"/>
      <c r="QEU55" s="1"/>
      <c r="QEV55" s="1"/>
      <c r="QEW55" s="1"/>
      <c r="QEX55" s="1"/>
      <c r="QEY55" s="1"/>
      <c r="QEZ55" s="1"/>
      <c r="QFA55" s="1"/>
      <c r="QFB55" s="1"/>
      <c r="QFC55" s="1"/>
      <c r="QFD55" s="1"/>
      <c r="QFE55" s="1"/>
      <c r="QFF55" s="1"/>
      <c r="QFG55" s="1"/>
      <c r="QFH55" s="1"/>
      <c r="QFI55" s="1"/>
      <c r="QFJ55" s="1"/>
      <c r="QFK55" s="1"/>
      <c r="QFL55" s="1"/>
      <c r="QFM55" s="1"/>
      <c r="QFN55" s="1"/>
      <c r="QFO55" s="1"/>
      <c r="QFP55" s="1"/>
      <c r="QFQ55" s="1"/>
      <c r="QFR55" s="1"/>
      <c r="QFS55" s="1"/>
      <c r="QFT55" s="1"/>
      <c r="QFU55" s="1"/>
      <c r="QFV55" s="1"/>
      <c r="QFW55" s="1"/>
      <c r="QFX55" s="1"/>
      <c r="QFY55" s="1"/>
      <c r="QFZ55" s="1"/>
      <c r="QGA55" s="1"/>
      <c r="QGB55" s="1"/>
      <c r="QGC55" s="1"/>
      <c r="QGD55" s="1"/>
      <c r="QGE55" s="1"/>
      <c r="QGF55" s="1"/>
      <c r="QGG55" s="1"/>
      <c r="QGH55" s="1"/>
      <c r="QGI55" s="1"/>
      <c r="QGJ55" s="1"/>
      <c r="QGK55" s="1"/>
      <c r="QGL55" s="1"/>
      <c r="QGM55" s="1"/>
      <c r="QGN55" s="1"/>
      <c r="QGO55" s="1"/>
      <c r="QGP55" s="1"/>
      <c r="QGQ55" s="1"/>
      <c r="QGR55" s="1"/>
      <c r="QGS55" s="1"/>
      <c r="QGT55" s="1"/>
      <c r="QGU55" s="1"/>
      <c r="QGV55" s="1"/>
      <c r="QGW55" s="1"/>
      <c r="QGX55" s="1"/>
      <c r="QGY55" s="1"/>
      <c r="QGZ55" s="1"/>
      <c r="QHA55" s="1"/>
      <c r="QHB55" s="1"/>
      <c r="QHC55" s="1"/>
      <c r="QHD55" s="1"/>
      <c r="QHE55" s="1"/>
      <c r="QHF55" s="1"/>
      <c r="QHG55" s="1"/>
      <c r="QHH55" s="1"/>
      <c r="QHI55" s="1"/>
      <c r="QHJ55" s="1"/>
      <c r="QHK55" s="1"/>
      <c r="QHL55" s="1"/>
      <c r="QHM55" s="1"/>
      <c r="QHN55" s="1"/>
      <c r="QHO55" s="1"/>
      <c r="QHP55" s="1"/>
      <c r="QHQ55" s="1"/>
      <c r="QHR55" s="1"/>
      <c r="QHS55" s="1"/>
      <c r="QHT55" s="1"/>
      <c r="QHU55" s="1"/>
      <c r="QHV55" s="1"/>
      <c r="QHW55" s="1"/>
      <c r="QHX55" s="1"/>
      <c r="QHY55" s="1"/>
      <c r="QHZ55" s="1"/>
      <c r="QIA55" s="1"/>
      <c r="QIB55" s="1"/>
      <c r="QIC55" s="1"/>
      <c r="QID55" s="1"/>
      <c r="QIE55" s="1"/>
      <c r="QIF55" s="1"/>
      <c r="QIG55" s="1"/>
      <c r="QIH55" s="1"/>
      <c r="QII55" s="1"/>
      <c r="QIJ55" s="1"/>
      <c r="QIK55" s="1"/>
      <c r="QIL55" s="1"/>
      <c r="QIM55" s="1"/>
      <c r="QIN55" s="1"/>
      <c r="QIO55" s="1"/>
      <c r="QIP55" s="1"/>
      <c r="QIQ55" s="1"/>
      <c r="QIR55" s="1"/>
      <c r="QIS55" s="1"/>
      <c r="QIT55" s="1"/>
      <c r="QIU55" s="1"/>
      <c r="QIV55" s="1"/>
      <c r="QIW55" s="1"/>
      <c r="QIX55" s="1"/>
      <c r="QIY55" s="1"/>
      <c r="QIZ55" s="1"/>
      <c r="QJA55" s="1"/>
      <c r="QJB55" s="1"/>
      <c r="QJC55" s="1"/>
      <c r="QJD55" s="1"/>
      <c r="QJE55" s="1"/>
      <c r="QJF55" s="1"/>
      <c r="QJG55" s="1"/>
      <c r="QJH55" s="1"/>
      <c r="QJI55" s="1"/>
      <c r="QJJ55" s="1"/>
      <c r="QJK55" s="1"/>
      <c r="QJL55" s="1"/>
      <c r="QJM55" s="1"/>
      <c r="QJN55" s="1"/>
      <c r="QJO55" s="1"/>
      <c r="QJP55" s="1"/>
      <c r="QJQ55" s="1"/>
      <c r="QJR55" s="1"/>
      <c r="QJS55" s="1"/>
      <c r="QJT55" s="1"/>
      <c r="QJU55" s="1"/>
      <c r="QJV55" s="1"/>
      <c r="QJW55" s="1"/>
      <c r="QJX55" s="1"/>
      <c r="QJY55" s="1"/>
      <c r="QJZ55" s="1"/>
      <c r="QKA55" s="1"/>
      <c r="QKB55" s="1"/>
      <c r="QKC55" s="1"/>
      <c r="QKD55" s="1"/>
      <c r="QKE55" s="1"/>
      <c r="QKF55" s="1"/>
      <c r="QKG55" s="1"/>
      <c r="QKH55" s="1"/>
      <c r="QKI55" s="1"/>
      <c r="QKJ55" s="1"/>
      <c r="QKK55" s="1"/>
      <c r="QKL55" s="1"/>
      <c r="QKM55" s="1"/>
      <c r="QKN55" s="1"/>
      <c r="QKO55" s="1"/>
      <c r="QKP55" s="1"/>
      <c r="QKQ55" s="1"/>
      <c r="QKR55" s="1"/>
      <c r="QKS55" s="1"/>
      <c r="QKT55" s="1"/>
      <c r="QKU55" s="1"/>
      <c r="QKV55" s="1"/>
      <c r="QKW55" s="1"/>
      <c r="QKX55" s="1"/>
      <c r="QKY55" s="1"/>
      <c r="QKZ55" s="1"/>
      <c r="QLA55" s="1"/>
      <c r="QLB55" s="1"/>
      <c r="QLC55" s="1"/>
      <c r="QLD55" s="1"/>
      <c r="QLE55" s="1"/>
      <c r="QLF55" s="1"/>
      <c r="QLG55" s="1"/>
      <c r="QLH55" s="1"/>
      <c r="QLI55" s="1"/>
      <c r="QLJ55" s="1"/>
      <c r="QLK55" s="1"/>
      <c r="QLL55" s="1"/>
      <c r="QLM55" s="1"/>
      <c r="QLN55" s="1"/>
      <c r="QLO55" s="1"/>
      <c r="QLP55" s="1"/>
      <c r="QLQ55" s="1"/>
      <c r="QLR55" s="1"/>
      <c r="QLS55" s="1"/>
      <c r="QLT55" s="1"/>
      <c r="QLU55" s="1"/>
      <c r="QLV55" s="1"/>
      <c r="QLW55" s="1"/>
      <c r="QLX55" s="1"/>
      <c r="QLY55" s="1"/>
      <c r="QLZ55" s="1"/>
      <c r="QMA55" s="1"/>
      <c r="QMB55" s="1"/>
      <c r="QMC55" s="1"/>
      <c r="QMD55" s="1"/>
      <c r="QME55" s="1"/>
      <c r="QMF55" s="1"/>
      <c r="QMG55" s="1"/>
      <c r="QMH55" s="1"/>
      <c r="QMI55" s="1"/>
      <c r="QMJ55" s="1"/>
      <c r="QMK55" s="1"/>
      <c r="QML55" s="1"/>
      <c r="QMM55" s="1"/>
      <c r="QMN55" s="1"/>
      <c r="QMO55" s="1"/>
      <c r="QMP55" s="1"/>
      <c r="QMQ55" s="1"/>
      <c r="QMR55" s="1"/>
      <c r="QMS55" s="1"/>
      <c r="QMT55" s="1"/>
      <c r="QMU55" s="1"/>
      <c r="QMV55" s="1"/>
      <c r="QMW55" s="1"/>
      <c r="QMX55" s="1"/>
      <c r="QMY55" s="1"/>
      <c r="QMZ55" s="1"/>
      <c r="QNA55" s="1"/>
      <c r="QNB55" s="1"/>
      <c r="QNC55" s="1"/>
      <c r="QND55" s="1"/>
      <c r="QNE55" s="1"/>
      <c r="QNF55" s="1"/>
      <c r="QNG55" s="1"/>
      <c r="QNH55" s="1"/>
      <c r="QNI55" s="1"/>
      <c r="QNJ55" s="1"/>
      <c r="QNK55" s="1"/>
      <c r="QNL55" s="1"/>
      <c r="QNM55" s="1"/>
      <c r="QNN55" s="1"/>
      <c r="QNO55" s="1"/>
      <c r="QNP55" s="1"/>
      <c r="QNQ55" s="1"/>
      <c r="QNR55" s="1"/>
      <c r="QNS55" s="1"/>
      <c r="QNT55" s="1"/>
      <c r="QNU55" s="1"/>
      <c r="QNV55" s="1"/>
      <c r="QNW55" s="1"/>
      <c r="QNX55" s="1"/>
      <c r="QNY55" s="1"/>
      <c r="QNZ55" s="1"/>
      <c r="QOA55" s="1"/>
      <c r="QOB55" s="1"/>
      <c r="QOC55" s="1"/>
      <c r="QOD55" s="1"/>
      <c r="QOE55" s="1"/>
      <c r="QOF55" s="1"/>
      <c r="QOG55" s="1"/>
      <c r="QOH55" s="1"/>
      <c r="QOI55" s="1"/>
      <c r="QOJ55" s="1"/>
      <c r="QOK55" s="1"/>
      <c r="QOL55" s="1"/>
      <c r="QOM55" s="1"/>
      <c r="QON55" s="1"/>
      <c r="QOO55" s="1"/>
      <c r="QOP55" s="1"/>
      <c r="QOQ55" s="1"/>
      <c r="QOR55" s="1"/>
      <c r="QOS55" s="1"/>
      <c r="QOT55" s="1"/>
      <c r="QOU55" s="1"/>
      <c r="QOV55" s="1"/>
      <c r="QOW55" s="1"/>
      <c r="QOX55" s="1"/>
      <c r="QOY55" s="1"/>
      <c r="QOZ55" s="1"/>
      <c r="QPA55" s="1"/>
      <c r="QPB55" s="1"/>
      <c r="QPC55" s="1"/>
      <c r="QPD55" s="1"/>
      <c r="QPE55" s="1"/>
      <c r="QPF55" s="1"/>
      <c r="QPG55" s="1"/>
      <c r="QPH55" s="1"/>
      <c r="QPI55" s="1"/>
      <c r="QPJ55" s="1"/>
      <c r="QPK55" s="1"/>
      <c r="QPL55" s="1"/>
      <c r="QPM55" s="1"/>
      <c r="QPN55" s="1"/>
      <c r="QPO55" s="1"/>
      <c r="QPP55" s="1"/>
      <c r="QPQ55" s="1"/>
      <c r="QPR55" s="1"/>
      <c r="QPS55" s="1"/>
      <c r="QPT55" s="1"/>
      <c r="QPU55" s="1"/>
      <c r="QPV55" s="1"/>
      <c r="QPW55" s="1"/>
      <c r="QPX55" s="1"/>
      <c r="QPY55" s="1"/>
      <c r="QPZ55" s="1"/>
      <c r="QQA55" s="1"/>
      <c r="QQB55" s="1"/>
      <c r="QQC55" s="1"/>
      <c r="QQD55" s="1"/>
      <c r="QQE55" s="1"/>
      <c r="QQF55" s="1"/>
      <c r="QQG55" s="1"/>
      <c r="QQH55" s="1"/>
      <c r="QQI55" s="1"/>
      <c r="QQJ55" s="1"/>
      <c r="QQK55" s="1"/>
      <c r="QQL55" s="1"/>
      <c r="QQM55" s="1"/>
      <c r="QQN55" s="1"/>
      <c r="QQO55" s="1"/>
      <c r="QQP55" s="1"/>
      <c r="QQQ55" s="1"/>
      <c r="QQR55" s="1"/>
      <c r="QQS55" s="1"/>
      <c r="QQT55" s="1"/>
      <c r="QQU55" s="1"/>
      <c r="QQV55" s="1"/>
      <c r="QQW55" s="1"/>
      <c r="QQX55" s="1"/>
      <c r="QQY55" s="1"/>
      <c r="QQZ55" s="1"/>
      <c r="QRA55" s="1"/>
      <c r="QRB55" s="1"/>
      <c r="QRC55" s="1"/>
      <c r="QRD55" s="1"/>
      <c r="QRE55" s="1"/>
      <c r="QRF55" s="1"/>
      <c r="QRG55" s="1"/>
      <c r="QRH55" s="1"/>
      <c r="QRI55" s="1"/>
      <c r="QRJ55" s="1"/>
      <c r="QRK55" s="1"/>
      <c r="QRL55" s="1"/>
      <c r="QRM55" s="1"/>
      <c r="QRN55" s="1"/>
      <c r="QRO55" s="1"/>
      <c r="QRP55" s="1"/>
      <c r="QRQ55" s="1"/>
      <c r="QRR55" s="1"/>
      <c r="QRS55" s="1"/>
      <c r="QRT55" s="1"/>
      <c r="QRU55" s="1"/>
      <c r="QRV55" s="1"/>
      <c r="QRW55" s="1"/>
      <c r="QRX55" s="1"/>
      <c r="QRY55" s="1"/>
      <c r="QRZ55" s="1"/>
      <c r="QSA55" s="1"/>
      <c r="QSB55" s="1"/>
      <c r="QSC55" s="1"/>
      <c r="QSD55" s="1"/>
      <c r="QSE55" s="1"/>
      <c r="QSF55" s="1"/>
      <c r="QSG55" s="1"/>
      <c r="QSH55" s="1"/>
      <c r="QSI55" s="1"/>
      <c r="QSJ55" s="1"/>
      <c r="QSK55" s="1"/>
      <c r="QSL55" s="1"/>
      <c r="QSM55" s="1"/>
      <c r="QSN55" s="1"/>
      <c r="QSO55" s="1"/>
      <c r="QSP55" s="1"/>
      <c r="QSQ55" s="1"/>
      <c r="QSR55" s="1"/>
      <c r="QSS55" s="1"/>
      <c r="QST55" s="1"/>
      <c r="QSU55" s="1"/>
      <c r="QSV55" s="1"/>
      <c r="QSW55" s="1"/>
      <c r="QSX55" s="1"/>
      <c r="QSY55" s="1"/>
      <c r="QSZ55" s="1"/>
      <c r="QTA55" s="1"/>
      <c r="QTB55" s="1"/>
      <c r="QTC55" s="1"/>
      <c r="QTD55" s="1"/>
      <c r="QTE55" s="1"/>
      <c r="QTF55" s="1"/>
      <c r="QTG55" s="1"/>
      <c r="QTH55" s="1"/>
      <c r="QTI55" s="1"/>
      <c r="QTJ55" s="1"/>
      <c r="QTK55" s="1"/>
      <c r="QTL55" s="1"/>
      <c r="QTM55" s="1"/>
      <c r="QTN55" s="1"/>
      <c r="QTO55" s="1"/>
      <c r="QTP55" s="1"/>
      <c r="QTQ55" s="1"/>
      <c r="QTR55" s="1"/>
      <c r="QTS55" s="1"/>
      <c r="QTT55" s="1"/>
      <c r="QTU55" s="1"/>
      <c r="QTV55" s="1"/>
      <c r="QTW55" s="1"/>
      <c r="QTX55" s="1"/>
      <c r="QTY55" s="1"/>
      <c r="QTZ55" s="1"/>
      <c r="QUA55" s="1"/>
      <c r="QUB55" s="1"/>
      <c r="QUC55" s="1"/>
      <c r="QUD55" s="1"/>
      <c r="QUE55" s="1"/>
      <c r="QUF55" s="1"/>
      <c r="QUG55" s="1"/>
      <c r="QUH55" s="1"/>
      <c r="QUI55" s="1"/>
      <c r="QUJ55" s="1"/>
      <c r="QUK55" s="1"/>
      <c r="QUL55" s="1"/>
      <c r="QUM55" s="1"/>
      <c r="QUN55" s="1"/>
      <c r="QUO55" s="1"/>
      <c r="QUP55" s="1"/>
      <c r="QUQ55" s="1"/>
      <c r="QUR55" s="1"/>
      <c r="QUS55" s="1"/>
      <c r="QUT55" s="1"/>
      <c r="QUU55" s="1"/>
      <c r="QUV55" s="1"/>
      <c r="QUW55" s="1"/>
      <c r="QUX55" s="1"/>
      <c r="QUY55" s="1"/>
      <c r="QUZ55" s="1"/>
      <c r="QVA55" s="1"/>
      <c r="QVB55" s="1"/>
      <c r="QVC55" s="1"/>
      <c r="QVD55" s="1"/>
      <c r="QVE55" s="1"/>
      <c r="QVF55" s="1"/>
      <c r="QVG55" s="1"/>
      <c r="QVH55" s="1"/>
      <c r="QVI55" s="1"/>
      <c r="QVJ55" s="1"/>
      <c r="QVK55" s="1"/>
      <c r="QVL55" s="1"/>
      <c r="QVM55" s="1"/>
      <c r="QVN55" s="1"/>
      <c r="QVO55" s="1"/>
      <c r="QVP55" s="1"/>
      <c r="QVQ55" s="1"/>
      <c r="QVR55" s="1"/>
      <c r="QVS55" s="1"/>
      <c r="QVT55" s="1"/>
      <c r="QVU55" s="1"/>
      <c r="QVV55" s="1"/>
      <c r="QVW55" s="1"/>
      <c r="QVX55" s="1"/>
      <c r="QVY55" s="1"/>
      <c r="QVZ55" s="1"/>
      <c r="QWA55" s="1"/>
      <c r="QWB55" s="1"/>
      <c r="QWC55" s="1"/>
      <c r="QWD55" s="1"/>
      <c r="QWE55" s="1"/>
      <c r="QWF55" s="1"/>
      <c r="QWG55" s="1"/>
      <c r="QWH55" s="1"/>
      <c r="QWI55" s="1"/>
      <c r="QWJ55" s="1"/>
      <c r="QWK55" s="1"/>
      <c r="QWL55" s="1"/>
      <c r="QWM55" s="1"/>
      <c r="QWN55" s="1"/>
      <c r="QWO55" s="1"/>
      <c r="QWP55" s="1"/>
      <c r="QWQ55" s="1"/>
      <c r="QWR55" s="1"/>
      <c r="QWS55" s="1"/>
      <c r="QWT55" s="1"/>
      <c r="QWU55" s="1"/>
      <c r="QWV55" s="1"/>
      <c r="QWW55" s="1"/>
      <c r="QWX55" s="1"/>
      <c r="QWY55" s="1"/>
      <c r="QWZ55" s="1"/>
      <c r="QXA55" s="1"/>
      <c r="QXB55" s="1"/>
      <c r="QXC55" s="1"/>
      <c r="QXD55" s="1"/>
      <c r="QXE55" s="1"/>
      <c r="QXF55" s="1"/>
      <c r="QXG55" s="1"/>
      <c r="QXH55" s="1"/>
      <c r="QXI55" s="1"/>
      <c r="QXJ55" s="1"/>
      <c r="QXK55" s="1"/>
      <c r="QXL55" s="1"/>
      <c r="QXM55" s="1"/>
      <c r="QXN55" s="1"/>
      <c r="QXO55" s="1"/>
      <c r="QXP55" s="1"/>
      <c r="QXQ55" s="1"/>
      <c r="QXR55" s="1"/>
      <c r="QXS55" s="1"/>
      <c r="QXT55" s="1"/>
      <c r="QXU55" s="1"/>
      <c r="QXV55" s="1"/>
      <c r="QXW55" s="1"/>
      <c r="QXX55" s="1"/>
      <c r="QXY55" s="1"/>
      <c r="QXZ55" s="1"/>
      <c r="QYA55" s="1"/>
      <c r="QYB55" s="1"/>
      <c r="QYC55" s="1"/>
      <c r="QYD55" s="1"/>
      <c r="QYE55" s="1"/>
      <c r="QYF55" s="1"/>
      <c r="QYG55" s="1"/>
      <c r="QYH55" s="1"/>
      <c r="QYI55" s="1"/>
      <c r="QYJ55" s="1"/>
      <c r="QYK55" s="1"/>
      <c r="QYL55" s="1"/>
      <c r="QYM55" s="1"/>
      <c r="QYN55" s="1"/>
      <c r="QYO55" s="1"/>
      <c r="QYP55" s="1"/>
      <c r="QYQ55" s="1"/>
      <c r="QYR55" s="1"/>
      <c r="QYS55" s="1"/>
      <c r="QYT55" s="1"/>
      <c r="QYU55" s="1"/>
      <c r="QYV55" s="1"/>
      <c r="QYW55" s="1"/>
      <c r="QYX55" s="1"/>
      <c r="QYY55" s="1"/>
      <c r="QYZ55" s="1"/>
      <c r="QZA55" s="1"/>
      <c r="QZB55" s="1"/>
      <c r="QZC55" s="1"/>
      <c r="QZD55" s="1"/>
      <c r="QZE55" s="1"/>
      <c r="QZF55" s="1"/>
      <c r="QZG55" s="1"/>
      <c r="QZH55" s="1"/>
      <c r="QZI55" s="1"/>
      <c r="QZJ55" s="1"/>
      <c r="QZK55" s="1"/>
      <c r="QZL55" s="1"/>
      <c r="QZM55" s="1"/>
      <c r="QZN55" s="1"/>
      <c r="QZO55" s="1"/>
      <c r="QZP55" s="1"/>
      <c r="QZQ55" s="1"/>
      <c r="QZR55" s="1"/>
      <c r="QZS55" s="1"/>
      <c r="QZT55" s="1"/>
      <c r="QZU55" s="1"/>
      <c r="QZV55" s="1"/>
      <c r="QZW55" s="1"/>
      <c r="QZX55" s="1"/>
      <c r="QZY55" s="1"/>
      <c r="QZZ55" s="1"/>
      <c r="RAA55" s="1"/>
      <c r="RAB55" s="1"/>
      <c r="RAC55" s="1"/>
      <c r="RAD55" s="1"/>
      <c r="RAE55" s="1"/>
      <c r="RAF55" s="1"/>
      <c r="RAG55" s="1"/>
      <c r="RAH55" s="1"/>
      <c r="RAI55" s="1"/>
      <c r="RAJ55" s="1"/>
      <c r="RAK55" s="1"/>
      <c r="RAL55" s="1"/>
      <c r="RAM55" s="1"/>
      <c r="RAN55" s="1"/>
      <c r="RAO55" s="1"/>
      <c r="RAP55" s="1"/>
      <c r="RAQ55" s="1"/>
      <c r="RAR55" s="1"/>
      <c r="RAS55" s="1"/>
      <c r="RAT55" s="1"/>
      <c r="RAU55" s="1"/>
      <c r="RAV55" s="1"/>
      <c r="RAW55" s="1"/>
      <c r="RAX55" s="1"/>
      <c r="RAY55" s="1"/>
      <c r="RAZ55" s="1"/>
      <c r="RBA55" s="1"/>
      <c r="RBB55" s="1"/>
      <c r="RBC55" s="1"/>
      <c r="RBD55" s="1"/>
      <c r="RBE55" s="1"/>
      <c r="RBF55" s="1"/>
      <c r="RBG55" s="1"/>
      <c r="RBH55" s="1"/>
      <c r="RBI55" s="1"/>
      <c r="RBJ55" s="1"/>
      <c r="RBK55" s="1"/>
      <c r="RBL55" s="1"/>
      <c r="RBM55" s="1"/>
      <c r="RBN55" s="1"/>
      <c r="RBO55" s="1"/>
      <c r="RBP55" s="1"/>
      <c r="RBQ55" s="1"/>
      <c r="RBR55" s="1"/>
      <c r="RBS55" s="1"/>
      <c r="RBT55" s="1"/>
      <c r="RBU55" s="1"/>
      <c r="RBV55" s="1"/>
      <c r="RBW55" s="1"/>
      <c r="RBX55" s="1"/>
      <c r="RBY55" s="1"/>
      <c r="RBZ55" s="1"/>
      <c r="RCA55" s="1"/>
      <c r="RCB55" s="1"/>
      <c r="RCC55" s="1"/>
      <c r="RCD55" s="1"/>
      <c r="RCE55" s="1"/>
      <c r="RCF55" s="1"/>
      <c r="RCG55" s="1"/>
      <c r="RCH55" s="1"/>
      <c r="RCI55" s="1"/>
      <c r="RCJ55" s="1"/>
      <c r="RCK55" s="1"/>
      <c r="RCL55" s="1"/>
      <c r="RCM55" s="1"/>
      <c r="RCN55" s="1"/>
      <c r="RCO55" s="1"/>
      <c r="RCP55" s="1"/>
      <c r="RCQ55" s="1"/>
      <c r="RCR55" s="1"/>
      <c r="RCS55" s="1"/>
      <c r="RCT55" s="1"/>
      <c r="RCU55" s="1"/>
      <c r="RCV55" s="1"/>
      <c r="RCW55" s="1"/>
      <c r="RCX55" s="1"/>
      <c r="RCY55" s="1"/>
      <c r="RCZ55" s="1"/>
      <c r="RDA55" s="1"/>
      <c r="RDB55" s="1"/>
      <c r="RDC55" s="1"/>
      <c r="RDD55" s="1"/>
      <c r="RDE55" s="1"/>
      <c r="RDF55" s="1"/>
      <c r="RDG55" s="1"/>
      <c r="RDH55" s="1"/>
      <c r="RDI55" s="1"/>
      <c r="RDJ55" s="1"/>
      <c r="RDK55" s="1"/>
      <c r="RDL55" s="1"/>
      <c r="RDM55" s="1"/>
      <c r="RDN55" s="1"/>
      <c r="RDO55" s="1"/>
      <c r="RDP55" s="1"/>
      <c r="RDQ55" s="1"/>
      <c r="RDR55" s="1"/>
      <c r="RDS55" s="1"/>
      <c r="RDT55" s="1"/>
      <c r="RDU55" s="1"/>
      <c r="RDV55" s="1"/>
      <c r="RDW55" s="1"/>
      <c r="RDX55" s="1"/>
      <c r="RDY55" s="1"/>
      <c r="RDZ55" s="1"/>
      <c r="REA55" s="1"/>
      <c r="REB55" s="1"/>
      <c r="REC55" s="1"/>
      <c r="RED55" s="1"/>
      <c r="REE55" s="1"/>
      <c r="REF55" s="1"/>
      <c r="REG55" s="1"/>
      <c r="REH55" s="1"/>
      <c r="REI55" s="1"/>
      <c r="REJ55" s="1"/>
      <c r="REK55" s="1"/>
      <c r="REL55" s="1"/>
      <c r="REM55" s="1"/>
      <c r="REN55" s="1"/>
      <c r="REO55" s="1"/>
      <c r="REP55" s="1"/>
      <c r="REQ55" s="1"/>
      <c r="RER55" s="1"/>
      <c r="RES55" s="1"/>
      <c r="RET55" s="1"/>
      <c r="REU55" s="1"/>
      <c r="REV55" s="1"/>
      <c r="REW55" s="1"/>
      <c r="REX55" s="1"/>
      <c r="REY55" s="1"/>
      <c r="REZ55" s="1"/>
      <c r="RFA55" s="1"/>
      <c r="RFB55" s="1"/>
      <c r="RFC55" s="1"/>
      <c r="RFD55" s="1"/>
      <c r="RFE55" s="1"/>
      <c r="RFF55" s="1"/>
      <c r="RFG55" s="1"/>
      <c r="RFH55" s="1"/>
      <c r="RFI55" s="1"/>
      <c r="RFJ55" s="1"/>
      <c r="RFK55" s="1"/>
      <c r="RFL55" s="1"/>
      <c r="RFM55" s="1"/>
      <c r="RFN55" s="1"/>
      <c r="RFO55" s="1"/>
      <c r="RFP55" s="1"/>
      <c r="RFQ55" s="1"/>
      <c r="RFR55" s="1"/>
      <c r="RFS55" s="1"/>
      <c r="RFT55" s="1"/>
      <c r="RFU55" s="1"/>
      <c r="RFV55" s="1"/>
      <c r="RFW55" s="1"/>
      <c r="RFX55" s="1"/>
      <c r="RFY55" s="1"/>
      <c r="RFZ55" s="1"/>
      <c r="RGA55" s="1"/>
      <c r="RGB55" s="1"/>
      <c r="RGC55" s="1"/>
      <c r="RGD55" s="1"/>
      <c r="RGE55" s="1"/>
      <c r="RGF55" s="1"/>
      <c r="RGG55" s="1"/>
      <c r="RGH55" s="1"/>
      <c r="RGI55" s="1"/>
      <c r="RGJ55" s="1"/>
      <c r="RGK55" s="1"/>
      <c r="RGL55" s="1"/>
      <c r="RGM55" s="1"/>
      <c r="RGN55" s="1"/>
      <c r="RGO55" s="1"/>
      <c r="RGP55" s="1"/>
      <c r="RGQ55" s="1"/>
      <c r="RGR55" s="1"/>
      <c r="RGS55" s="1"/>
      <c r="RGT55" s="1"/>
      <c r="RGU55" s="1"/>
      <c r="RGV55" s="1"/>
      <c r="RGW55" s="1"/>
      <c r="RGX55" s="1"/>
      <c r="RGY55" s="1"/>
      <c r="RGZ55" s="1"/>
      <c r="RHA55" s="1"/>
      <c r="RHB55" s="1"/>
      <c r="RHC55" s="1"/>
      <c r="RHD55" s="1"/>
      <c r="RHE55" s="1"/>
      <c r="RHF55" s="1"/>
      <c r="RHG55" s="1"/>
      <c r="RHH55" s="1"/>
      <c r="RHI55" s="1"/>
      <c r="RHJ55" s="1"/>
      <c r="RHK55" s="1"/>
      <c r="RHL55" s="1"/>
      <c r="RHM55" s="1"/>
      <c r="RHN55" s="1"/>
      <c r="RHO55" s="1"/>
      <c r="RHP55" s="1"/>
      <c r="RHQ55" s="1"/>
      <c r="RHR55" s="1"/>
      <c r="RHS55" s="1"/>
      <c r="RHT55" s="1"/>
      <c r="RHU55" s="1"/>
      <c r="RHV55" s="1"/>
      <c r="RHW55" s="1"/>
      <c r="RHX55" s="1"/>
      <c r="RHY55" s="1"/>
      <c r="RHZ55" s="1"/>
      <c r="RIA55" s="1"/>
      <c r="RIB55" s="1"/>
      <c r="RIC55" s="1"/>
      <c r="RID55" s="1"/>
      <c r="RIE55" s="1"/>
      <c r="RIF55" s="1"/>
      <c r="RIG55" s="1"/>
      <c r="RIH55" s="1"/>
      <c r="RII55" s="1"/>
      <c r="RIJ55" s="1"/>
      <c r="RIK55" s="1"/>
      <c r="RIL55" s="1"/>
      <c r="RIM55" s="1"/>
      <c r="RIN55" s="1"/>
      <c r="RIO55" s="1"/>
      <c r="RIP55" s="1"/>
      <c r="RIQ55" s="1"/>
      <c r="RIR55" s="1"/>
      <c r="RIS55" s="1"/>
      <c r="RIT55" s="1"/>
      <c r="RIU55" s="1"/>
      <c r="RIV55" s="1"/>
      <c r="RIW55" s="1"/>
      <c r="RIX55" s="1"/>
      <c r="RIY55" s="1"/>
      <c r="RIZ55" s="1"/>
      <c r="RJA55" s="1"/>
      <c r="RJB55" s="1"/>
      <c r="RJC55" s="1"/>
      <c r="RJD55" s="1"/>
      <c r="RJE55" s="1"/>
      <c r="RJF55" s="1"/>
      <c r="RJG55" s="1"/>
      <c r="RJH55" s="1"/>
      <c r="RJI55" s="1"/>
      <c r="RJJ55" s="1"/>
      <c r="RJK55" s="1"/>
      <c r="RJL55" s="1"/>
      <c r="RJM55" s="1"/>
      <c r="RJN55" s="1"/>
      <c r="RJO55" s="1"/>
      <c r="RJP55" s="1"/>
      <c r="RJQ55" s="1"/>
      <c r="RJR55" s="1"/>
      <c r="RJS55" s="1"/>
      <c r="RJT55" s="1"/>
      <c r="RJU55" s="1"/>
      <c r="RJV55" s="1"/>
      <c r="RJW55" s="1"/>
      <c r="RJX55" s="1"/>
      <c r="RJY55" s="1"/>
      <c r="RJZ55" s="1"/>
      <c r="RKA55" s="1"/>
      <c r="RKB55" s="1"/>
      <c r="RKC55" s="1"/>
      <c r="RKD55" s="1"/>
      <c r="RKE55" s="1"/>
      <c r="RKF55" s="1"/>
      <c r="RKG55" s="1"/>
      <c r="RKH55" s="1"/>
      <c r="RKI55" s="1"/>
      <c r="RKJ55" s="1"/>
      <c r="RKK55" s="1"/>
      <c r="RKL55" s="1"/>
      <c r="RKM55" s="1"/>
      <c r="RKN55" s="1"/>
      <c r="RKO55" s="1"/>
      <c r="RKP55" s="1"/>
      <c r="RKQ55" s="1"/>
      <c r="RKR55" s="1"/>
      <c r="RKS55" s="1"/>
      <c r="RKT55" s="1"/>
      <c r="RKU55" s="1"/>
      <c r="RKV55" s="1"/>
      <c r="RKW55" s="1"/>
      <c r="RKX55" s="1"/>
      <c r="RKY55" s="1"/>
      <c r="RKZ55" s="1"/>
      <c r="RLA55" s="1"/>
      <c r="RLB55" s="1"/>
      <c r="RLC55" s="1"/>
      <c r="RLD55" s="1"/>
      <c r="RLE55" s="1"/>
      <c r="RLF55" s="1"/>
      <c r="RLG55" s="1"/>
      <c r="RLH55" s="1"/>
      <c r="RLI55" s="1"/>
      <c r="RLJ55" s="1"/>
      <c r="RLK55" s="1"/>
      <c r="RLL55" s="1"/>
      <c r="RLM55" s="1"/>
      <c r="RLN55" s="1"/>
      <c r="RLO55" s="1"/>
      <c r="RLP55" s="1"/>
      <c r="RLQ55" s="1"/>
      <c r="RLR55" s="1"/>
      <c r="RLS55" s="1"/>
      <c r="RLT55" s="1"/>
      <c r="RLU55" s="1"/>
      <c r="RLV55" s="1"/>
      <c r="RLW55" s="1"/>
      <c r="RLX55" s="1"/>
      <c r="RLY55" s="1"/>
      <c r="RLZ55" s="1"/>
      <c r="RMA55" s="1"/>
      <c r="RMB55" s="1"/>
      <c r="RMC55" s="1"/>
      <c r="RMD55" s="1"/>
      <c r="RME55" s="1"/>
      <c r="RMF55" s="1"/>
      <c r="RMG55" s="1"/>
      <c r="RMH55" s="1"/>
      <c r="RMI55" s="1"/>
      <c r="RMJ55" s="1"/>
      <c r="RMK55" s="1"/>
      <c r="RML55" s="1"/>
      <c r="RMM55" s="1"/>
      <c r="RMN55" s="1"/>
      <c r="RMO55" s="1"/>
      <c r="RMP55" s="1"/>
      <c r="RMQ55" s="1"/>
      <c r="RMR55" s="1"/>
      <c r="RMS55" s="1"/>
      <c r="RMT55" s="1"/>
      <c r="RMU55" s="1"/>
      <c r="RMV55" s="1"/>
      <c r="RMW55" s="1"/>
      <c r="RMX55" s="1"/>
      <c r="RMY55" s="1"/>
      <c r="RMZ55" s="1"/>
      <c r="RNA55" s="1"/>
      <c r="RNB55" s="1"/>
      <c r="RNC55" s="1"/>
      <c r="RND55" s="1"/>
      <c r="RNE55" s="1"/>
      <c r="RNF55" s="1"/>
      <c r="RNG55" s="1"/>
      <c r="RNH55" s="1"/>
      <c r="RNI55" s="1"/>
      <c r="RNJ55" s="1"/>
      <c r="RNK55" s="1"/>
      <c r="RNL55" s="1"/>
      <c r="RNM55" s="1"/>
      <c r="RNN55" s="1"/>
      <c r="RNO55" s="1"/>
      <c r="RNP55" s="1"/>
      <c r="RNQ55" s="1"/>
      <c r="RNR55" s="1"/>
      <c r="RNS55" s="1"/>
      <c r="RNT55" s="1"/>
      <c r="RNU55" s="1"/>
      <c r="RNV55" s="1"/>
      <c r="RNW55" s="1"/>
      <c r="RNX55" s="1"/>
      <c r="RNY55" s="1"/>
      <c r="RNZ55" s="1"/>
      <c r="ROA55" s="1"/>
      <c r="ROB55" s="1"/>
      <c r="ROC55" s="1"/>
      <c r="ROD55" s="1"/>
      <c r="ROE55" s="1"/>
      <c r="ROF55" s="1"/>
      <c r="ROG55" s="1"/>
      <c r="ROH55" s="1"/>
      <c r="ROI55" s="1"/>
      <c r="ROJ55" s="1"/>
      <c r="ROK55" s="1"/>
      <c r="ROL55" s="1"/>
      <c r="ROM55" s="1"/>
      <c r="RON55" s="1"/>
      <c r="ROO55" s="1"/>
      <c r="ROP55" s="1"/>
      <c r="ROQ55" s="1"/>
      <c r="ROR55" s="1"/>
      <c r="ROS55" s="1"/>
      <c r="ROT55" s="1"/>
      <c r="ROU55" s="1"/>
      <c r="ROV55" s="1"/>
      <c r="ROW55" s="1"/>
      <c r="ROX55" s="1"/>
      <c r="ROY55" s="1"/>
      <c r="ROZ55" s="1"/>
      <c r="RPA55" s="1"/>
      <c r="RPB55" s="1"/>
      <c r="RPC55" s="1"/>
      <c r="RPD55" s="1"/>
      <c r="RPE55" s="1"/>
      <c r="RPF55" s="1"/>
      <c r="RPG55" s="1"/>
      <c r="RPH55" s="1"/>
      <c r="RPI55" s="1"/>
      <c r="RPJ55" s="1"/>
      <c r="RPK55" s="1"/>
      <c r="RPL55" s="1"/>
      <c r="RPM55" s="1"/>
      <c r="RPN55" s="1"/>
      <c r="RPO55" s="1"/>
      <c r="RPP55" s="1"/>
      <c r="RPQ55" s="1"/>
      <c r="RPR55" s="1"/>
      <c r="RPS55" s="1"/>
      <c r="RPT55" s="1"/>
      <c r="RPU55" s="1"/>
      <c r="RPV55" s="1"/>
      <c r="RPW55" s="1"/>
      <c r="RPX55" s="1"/>
      <c r="RPY55" s="1"/>
      <c r="RPZ55" s="1"/>
      <c r="RQA55" s="1"/>
      <c r="RQB55" s="1"/>
      <c r="RQC55" s="1"/>
      <c r="RQD55" s="1"/>
      <c r="RQE55" s="1"/>
      <c r="RQF55" s="1"/>
      <c r="RQG55" s="1"/>
      <c r="RQH55" s="1"/>
      <c r="RQI55" s="1"/>
      <c r="RQJ55" s="1"/>
      <c r="RQK55" s="1"/>
      <c r="RQL55" s="1"/>
      <c r="RQM55" s="1"/>
      <c r="RQN55" s="1"/>
      <c r="RQO55" s="1"/>
      <c r="RQP55" s="1"/>
      <c r="RQQ55" s="1"/>
      <c r="RQR55" s="1"/>
      <c r="RQS55" s="1"/>
      <c r="RQT55" s="1"/>
      <c r="RQU55" s="1"/>
      <c r="RQV55" s="1"/>
      <c r="RQW55" s="1"/>
      <c r="RQX55" s="1"/>
      <c r="RQY55" s="1"/>
      <c r="RQZ55" s="1"/>
      <c r="RRA55" s="1"/>
      <c r="RRB55" s="1"/>
      <c r="RRC55" s="1"/>
      <c r="RRD55" s="1"/>
      <c r="RRE55" s="1"/>
      <c r="RRF55" s="1"/>
      <c r="RRG55" s="1"/>
      <c r="RRH55" s="1"/>
      <c r="RRI55" s="1"/>
      <c r="RRJ55" s="1"/>
      <c r="RRK55" s="1"/>
      <c r="RRL55" s="1"/>
      <c r="RRM55" s="1"/>
      <c r="RRN55" s="1"/>
      <c r="RRO55" s="1"/>
      <c r="RRP55" s="1"/>
      <c r="RRQ55" s="1"/>
      <c r="RRR55" s="1"/>
      <c r="RRS55" s="1"/>
      <c r="RRT55" s="1"/>
      <c r="RRU55" s="1"/>
      <c r="RRV55" s="1"/>
      <c r="RRW55" s="1"/>
      <c r="RRX55" s="1"/>
      <c r="RRY55" s="1"/>
      <c r="RRZ55" s="1"/>
      <c r="RSA55" s="1"/>
      <c r="RSB55" s="1"/>
      <c r="RSC55" s="1"/>
      <c r="RSD55" s="1"/>
      <c r="RSE55" s="1"/>
      <c r="RSF55" s="1"/>
      <c r="RSG55" s="1"/>
      <c r="RSH55" s="1"/>
      <c r="RSI55" s="1"/>
      <c r="RSJ55" s="1"/>
      <c r="RSK55" s="1"/>
      <c r="RSL55" s="1"/>
      <c r="RSM55" s="1"/>
      <c r="RSN55" s="1"/>
      <c r="RSO55" s="1"/>
      <c r="RSP55" s="1"/>
      <c r="RSQ55" s="1"/>
      <c r="RSR55" s="1"/>
      <c r="RSS55" s="1"/>
      <c r="RST55" s="1"/>
      <c r="RSU55" s="1"/>
      <c r="RSV55" s="1"/>
      <c r="RSW55" s="1"/>
      <c r="RSX55" s="1"/>
      <c r="RSY55" s="1"/>
      <c r="RSZ55" s="1"/>
      <c r="RTA55" s="1"/>
      <c r="RTB55" s="1"/>
      <c r="RTC55" s="1"/>
      <c r="RTD55" s="1"/>
      <c r="RTE55" s="1"/>
      <c r="RTF55" s="1"/>
      <c r="RTG55" s="1"/>
      <c r="RTH55" s="1"/>
      <c r="RTI55" s="1"/>
      <c r="RTJ55" s="1"/>
      <c r="RTK55" s="1"/>
      <c r="RTL55" s="1"/>
      <c r="RTM55" s="1"/>
      <c r="RTN55" s="1"/>
      <c r="RTO55" s="1"/>
      <c r="RTP55" s="1"/>
      <c r="RTQ55" s="1"/>
      <c r="RTR55" s="1"/>
      <c r="RTS55" s="1"/>
      <c r="RTT55" s="1"/>
      <c r="RTU55" s="1"/>
      <c r="RTV55" s="1"/>
      <c r="RTW55" s="1"/>
      <c r="RTX55" s="1"/>
      <c r="RTY55" s="1"/>
      <c r="RTZ55" s="1"/>
      <c r="RUA55" s="1"/>
      <c r="RUB55" s="1"/>
      <c r="RUC55" s="1"/>
      <c r="RUD55" s="1"/>
      <c r="RUE55" s="1"/>
      <c r="RUF55" s="1"/>
      <c r="RUG55" s="1"/>
      <c r="RUH55" s="1"/>
      <c r="RUI55" s="1"/>
      <c r="RUJ55" s="1"/>
      <c r="RUK55" s="1"/>
      <c r="RUL55" s="1"/>
      <c r="RUM55" s="1"/>
      <c r="RUN55" s="1"/>
      <c r="RUO55" s="1"/>
      <c r="RUP55" s="1"/>
      <c r="RUQ55" s="1"/>
      <c r="RUR55" s="1"/>
      <c r="RUS55" s="1"/>
      <c r="RUT55" s="1"/>
      <c r="RUU55" s="1"/>
      <c r="RUV55" s="1"/>
      <c r="RUW55" s="1"/>
      <c r="RUX55" s="1"/>
      <c r="RUY55" s="1"/>
      <c r="RUZ55" s="1"/>
      <c r="RVA55" s="1"/>
      <c r="RVB55" s="1"/>
      <c r="RVC55" s="1"/>
      <c r="RVD55" s="1"/>
      <c r="RVE55" s="1"/>
      <c r="RVF55" s="1"/>
      <c r="RVG55" s="1"/>
      <c r="RVH55" s="1"/>
      <c r="RVI55" s="1"/>
      <c r="RVJ55" s="1"/>
      <c r="RVK55" s="1"/>
      <c r="RVL55" s="1"/>
      <c r="RVM55" s="1"/>
      <c r="RVN55" s="1"/>
      <c r="RVO55" s="1"/>
      <c r="RVP55" s="1"/>
      <c r="RVQ55" s="1"/>
      <c r="RVR55" s="1"/>
      <c r="RVS55" s="1"/>
      <c r="RVT55" s="1"/>
      <c r="RVU55" s="1"/>
      <c r="RVV55" s="1"/>
      <c r="RVW55" s="1"/>
      <c r="RVX55" s="1"/>
      <c r="RVY55" s="1"/>
      <c r="RVZ55" s="1"/>
      <c r="RWA55" s="1"/>
      <c r="RWB55" s="1"/>
      <c r="RWC55" s="1"/>
      <c r="RWD55" s="1"/>
      <c r="RWE55" s="1"/>
      <c r="RWF55" s="1"/>
      <c r="RWG55" s="1"/>
      <c r="RWH55" s="1"/>
      <c r="RWI55" s="1"/>
      <c r="RWJ55" s="1"/>
      <c r="RWK55" s="1"/>
      <c r="RWL55" s="1"/>
      <c r="RWM55" s="1"/>
      <c r="RWN55" s="1"/>
      <c r="RWO55" s="1"/>
      <c r="RWP55" s="1"/>
      <c r="RWQ55" s="1"/>
      <c r="RWR55" s="1"/>
      <c r="RWS55" s="1"/>
      <c r="RWT55" s="1"/>
      <c r="RWU55" s="1"/>
      <c r="RWV55" s="1"/>
      <c r="RWW55" s="1"/>
      <c r="RWX55" s="1"/>
      <c r="RWY55" s="1"/>
      <c r="RWZ55" s="1"/>
      <c r="RXA55" s="1"/>
      <c r="RXB55" s="1"/>
      <c r="RXC55" s="1"/>
      <c r="RXD55" s="1"/>
      <c r="RXE55" s="1"/>
      <c r="RXF55" s="1"/>
      <c r="RXG55" s="1"/>
      <c r="RXH55" s="1"/>
      <c r="RXI55" s="1"/>
      <c r="RXJ55" s="1"/>
      <c r="RXK55" s="1"/>
      <c r="RXL55" s="1"/>
      <c r="RXM55" s="1"/>
      <c r="RXN55" s="1"/>
      <c r="RXO55" s="1"/>
      <c r="RXP55" s="1"/>
      <c r="RXQ55" s="1"/>
      <c r="RXR55" s="1"/>
      <c r="RXS55" s="1"/>
      <c r="RXT55" s="1"/>
      <c r="RXU55" s="1"/>
      <c r="RXV55" s="1"/>
      <c r="RXW55" s="1"/>
      <c r="RXX55" s="1"/>
      <c r="RXY55" s="1"/>
      <c r="RXZ55" s="1"/>
      <c r="RYA55" s="1"/>
      <c r="RYB55" s="1"/>
      <c r="RYC55" s="1"/>
      <c r="RYD55" s="1"/>
      <c r="RYE55" s="1"/>
      <c r="RYF55" s="1"/>
      <c r="RYG55" s="1"/>
      <c r="RYH55" s="1"/>
      <c r="RYI55" s="1"/>
      <c r="RYJ55" s="1"/>
      <c r="RYK55" s="1"/>
      <c r="RYL55" s="1"/>
      <c r="RYM55" s="1"/>
      <c r="RYN55" s="1"/>
      <c r="RYO55" s="1"/>
      <c r="RYP55" s="1"/>
      <c r="RYQ55" s="1"/>
      <c r="RYR55" s="1"/>
      <c r="RYS55" s="1"/>
      <c r="RYT55" s="1"/>
      <c r="RYU55" s="1"/>
      <c r="RYV55" s="1"/>
      <c r="RYW55" s="1"/>
      <c r="RYX55" s="1"/>
      <c r="RYY55" s="1"/>
      <c r="RYZ55" s="1"/>
      <c r="RZA55" s="1"/>
      <c r="RZB55" s="1"/>
      <c r="RZC55" s="1"/>
      <c r="RZD55" s="1"/>
      <c r="RZE55" s="1"/>
      <c r="RZF55" s="1"/>
      <c r="RZG55" s="1"/>
      <c r="RZH55" s="1"/>
      <c r="RZI55" s="1"/>
      <c r="RZJ55" s="1"/>
      <c r="RZK55" s="1"/>
      <c r="RZL55" s="1"/>
      <c r="RZM55" s="1"/>
      <c r="RZN55" s="1"/>
      <c r="RZO55" s="1"/>
      <c r="RZP55" s="1"/>
      <c r="RZQ55" s="1"/>
      <c r="RZR55" s="1"/>
      <c r="RZS55" s="1"/>
      <c r="RZT55" s="1"/>
      <c r="RZU55" s="1"/>
      <c r="RZV55" s="1"/>
      <c r="RZW55" s="1"/>
      <c r="RZX55" s="1"/>
      <c r="RZY55" s="1"/>
      <c r="RZZ55" s="1"/>
      <c r="SAA55" s="1"/>
      <c r="SAB55" s="1"/>
      <c r="SAC55" s="1"/>
      <c r="SAD55" s="1"/>
      <c r="SAE55" s="1"/>
      <c r="SAF55" s="1"/>
      <c r="SAG55" s="1"/>
      <c r="SAH55" s="1"/>
      <c r="SAI55" s="1"/>
      <c r="SAJ55" s="1"/>
      <c r="SAK55" s="1"/>
      <c r="SAL55" s="1"/>
      <c r="SAM55" s="1"/>
      <c r="SAN55" s="1"/>
      <c r="SAO55" s="1"/>
      <c r="SAP55" s="1"/>
      <c r="SAQ55" s="1"/>
      <c r="SAR55" s="1"/>
      <c r="SAS55" s="1"/>
      <c r="SAT55" s="1"/>
      <c r="SAU55" s="1"/>
      <c r="SAV55" s="1"/>
      <c r="SAW55" s="1"/>
      <c r="SAX55" s="1"/>
      <c r="SAY55" s="1"/>
      <c r="SAZ55" s="1"/>
      <c r="SBA55" s="1"/>
      <c r="SBB55" s="1"/>
      <c r="SBC55" s="1"/>
      <c r="SBD55" s="1"/>
      <c r="SBE55" s="1"/>
      <c r="SBF55" s="1"/>
      <c r="SBG55" s="1"/>
      <c r="SBH55" s="1"/>
      <c r="SBI55" s="1"/>
      <c r="SBJ55" s="1"/>
      <c r="SBK55" s="1"/>
      <c r="SBL55" s="1"/>
      <c r="SBM55" s="1"/>
      <c r="SBN55" s="1"/>
      <c r="SBO55" s="1"/>
      <c r="SBP55" s="1"/>
      <c r="SBQ55" s="1"/>
      <c r="SBR55" s="1"/>
      <c r="SBS55" s="1"/>
      <c r="SBT55" s="1"/>
      <c r="SBU55" s="1"/>
      <c r="SBV55" s="1"/>
      <c r="SBW55" s="1"/>
      <c r="SBX55" s="1"/>
      <c r="SBY55" s="1"/>
      <c r="SBZ55" s="1"/>
      <c r="SCA55" s="1"/>
      <c r="SCB55" s="1"/>
      <c r="SCC55" s="1"/>
      <c r="SCD55" s="1"/>
      <c r="SCE55" s="1"/>
      <c r="SCF55" s="1"/>
      <c r="SCG55" s="1"/>
      <c r="SCH55" s="1"/>
      <c r="SCI55" s="1"/>
      <c r="SCJ55" s="1"/>
      <c r="SCK55" s="1"/>
      <c r="SCL55" s="1"/>
      <c r="SCM55" s="1"/>
      <c r="SCN55" s="1"/>
      <c r="SCO55" s="1"/>
      <c r="SCP55" s="1"/>
      <c r="SCQ55" s="1"/>
      <c r="SCR55" s="1"/>
      <c r="SCS55" s="1"/>
      <c r="SCT55" s="1"/>
      <c r="SCU55" s="1"/>
      <c r="SCV55" s="1"/>
      <c r="SCW55" s="1"/>
      <c r="SCX55" s="1"/>
      <c r="SCY55" s="1"/>
      <c r="SCZ55" s="1"/>
      <c r="SDA55" s="1"/>
      <c r="SDB55" s="1"/>
      <c r="SDC55" s="1"/>
      <c r="SDD55" s="1"/>
      <c r="SDE55" s="1"/>
      <c r="SDF55" s="1"/>
      <c r="SDG55" s="1"/>
      <c r="SDH55" s="1"/>
      <c r="SDI55" s="1"/>
      <c r="SDJ55" s="1"/>
      <c r="SDK55" s="1"/>
      <c r="SDL55" s="1"/>
      <c r="SDM55" s="1"/>
      <c r="SDN55" s="1"/>
      <c r="SDO55" s="1"/>
      <c r="SDP55" s="1"/>
      <c r="SDQ55" s="1"/>
      <c r="SDR55" s="1"/>
      <c r="SDS55" s="1"/>
      <c r="SDT55" s="1"/>
      <c r="SDU55" s="1"/>
      <c r="SDV55" s="1"/>
      <c r="SDW55" s="1"/>
      <c r="SDX55" s="1"/>
      <c r="SDY55" s="1"/>
      <c r="SDZ55" s="1"/>
      <c r="SEA55" s="1"/>
      <c r="SEB55" s="1"/>
      <c r="SEC55" s="1"/>
      <c r="SED55" s="1"/>
      <c r="SEE55" s="1"/>
      <c r="SEF55" s="1"/>
      <c r="SEG55" s="1"/>
      <c r="SEH55" s="1"/>
      <c r="SEI55" s="1"/>
      <c r="SEJ55" s="1"/>
      <c r="SEK55" s="1"/>
      <c r="SEL55" s="1"/>
      <c r="SEM55" s="1"/>
      <c r="SEN55" s="1"/>
      <c r="SEO55" s="1"/>
      <c r="SEP55" s="1"/>
      <c r="SEQ55" s="1"/>
      <c r="SER55" s="1"/>
      <c r="SES55" s="1"/>
      <c r="SET55" s="1"/>
      <c r="SEU55" s="1"/>
      <c r="SEV55" s="1"/>
      <c r="SEW55" s="1"/>
      <c r="SEX55" s="1"/>
      <c r="SEY55" s="1"/>
      <c r="SEZ55" s="1"/>
      <c r="SFA55" s="1"/>
      <c r="SFB55" s="1"/>
      <c r="SFC55" s="1"/>
      <c r="SFD55" s="1"/>
      <c r="SFE55" s="1"/>
      <c r="SFF55" s="1"/>
      <c r="SFG55" s="1"/>
      <c r="SFH55" s="1"/>
      <c r="SFI55" s="1"/>
      <c r="SFJ55" s="1"/>
      <c r="SFK55" s="1"/>
      <c r="SFL55" s="1"/>
      <c r="SFM55" s="1"/>
      <c r="SFN55" s="1"/>
      <c r="SFO55" s="1"/>
      <c r="SFP55" s="1"/>
      <c r="SFQ55" s="1"/>
      <c r="SFR55" s="1"/>
      <c r="SFS55" s="1"/>
      <c r="SFT55" s="1"/>
      <c r="SFU55" s="1"/>
      <c r="SFV55" s="1"/>
      <c r="SFW55" s="1"/>
      <c r="SFX55" s="1"/>
      <c r="SFY55" s="1"/>
      <c r="SFZ55" s="1"/>
      <c r="SGA55" s="1"/>
      <c r="SGB55" s="1"/>
      <c r="SGC55" s="1"/>
      <c r="SGD55" s="1"/>
      <c r="SGE55" s="1"/>
      <c r="SGF55" s="1"/>
      <c r="SGG55" s="1"/>
      <c r="SGH55" s="1"/>
      <c r="SGI55" s="1"/>
      <c r="SGJ55" s="1"/>
      <c r="SGK55" s="1"/>
      <c r="SGL55" s="1"/>
      <c r="SGM55" s="1"/>
      <c r="SGN55" s="1"/>
      <c r="SGO55" s="1"/>
      <c r="SGP55" s="1"/>
      <c r="SGQ55" s="1"/>
      <c r="SGR55" s="1"/>
      <c r="SGS55" s="1"/>
      <c r="SGT55" s="1"/>
      <c r="SGU55" s="1"/>
      <c r="SGV55" s="1"/>
      <c r="SGW55" s="1"/>
      <c r="SGX55" s="1"/>
      <c r="SGY55" s="1"/>
      <c r="SGZ55" s="1"/>
      <c r="SHA55" s="1"/>
      <c r="SHB55" s="1"/>
      <c r="SHC55" s="1"/>
      <c r="SHD55" s="1"/>
      <c r="SHE55" s="1"/>
      <c r="SHF55" s="1"/>
      <c r="SHG55" s="1"/>
      <c r="SHH55" s="1"/>
      <c r="SHI55" s="1"/>
      <c r="SHJ55" s="1"/>
      <c r="SHK55" s="1"/>
      <c r="SHL55" s="1"/>
      <c r="SHM55" s="1"/>
      <c r="SHN55" s="1"/>
      <c r="SHO55" s="1"/>
      <c r="SHP55" s="1"/>
      <c r="SHQ55" s="1"/>
      <c r="SHR55" s="1"/>
      <c r="SHS55" s="1"/>
      <c r="SHT55" s="1"/>
      <c r="SHU55" s="1"/>
      <c r="SHV55" s="1"/>
      <c r="SHW55" s="1"/>
      <c r="SHX55" s="1"/>
      <c r="SHY55" s="1"/>
      <c r="SHZ55" s="1"/>
      <c r="SIA55" s="1"/>
      <c r="SIB55" s="1"/>
      <c r="SIC55" s="1"/>
      <c r="SID55" s="1"/>
      <c r="SIE55" s="1"/>
      <c r="SIF55" s="1"/>
      <c r="SIG55" s="1"/>
      <c r="SIH55" s="1"/>
      <c r="SII55" s="1"/>
      <c r="SIJ55" s="1"/>
      <c r="SIK55" s="1"/>
      <c r="SIL55" s="1"/>
      <c r="SIM55" s="1"/>
      <c r="SIN55" s="1"/>
      <c r="SIO55" s="1"/>
      <c r="SIP55" s="1"/>
      <c r="SIQ55" s="1"/>
      <c r="SIR55" s="1"/>
      <c r="SIS55" s="1"/>
      <c r="SIT55" s="1"/>
      <c r="SIU55" s="1"/>
      <c r="SIV55" s="1"/>
      <c r="SIW55" s="1"/>
      <c r="SIX55" s="1"/>
      <c r="SIY55" s="1"/>
      <c r="SIZ55" s="1"/>
      <c r="SJA55" s="1"/>
      <c r="SJB55" s="1"/>
      <c r="SJC55" s="1"/>
      <c r="SJD55" s="1"/>
      <c r="SJE55" s="1"/>
      <c r="SJF55" s="1"/>
      <c r="SJG55" s="1"/>
      <c r="SJH55" s="1"/>
      <c r="SJI55" s="1"/>
      <c r="SJJ55" s="1"/>
      <c r="SJK55" s="1"/>
      <c r="SJL55" s="1"/>
      <c r="SJM55" s="1"/>
      <c r="SJN55" s="1"/>
      <c r="SJO55" s="1"/>
      <c r="SJP55" s="1"/>
      <c r="SJQ55" s="1"/>
      <c r="SJR55" s="1"/>
      <c r="SJS55" s="1"/>
      <c r="SJT55" s="1"/>
      <c r="SJU55" s="1"/>
      <c r="SJV55" s="1"/>
      <c r="SJW55" s="1"/>
      <c r="SJX55" s="1"/>
      <c r="SJY55" s="1"/>
      <c r="SJZ55" s="1"/>
      <c r="SKA55" s="1"/>
      <c r="SKB55" s="1"/>
      <c r="SKC55" s="1"/>
      <c r="SKD55" s="1"/>
      <c r="SKE55" s="1"/>
      <c r="SKF55" s="1"/>
      <c r="SKG55" s="1"/>
      <c r="SKH55" s="1"/>
      <c r="SKI55" s="1"/>
      <c r="SKJ55" s="1"/>
      <c r="SKK55" s="1"/>
      <c r="SKL55" s="1"/>
      <c r="SKM55" s="1"/>
      <c r="SKN55" s="1"/>
      <c r="SKO55" s="1"/>
      <c r="SKP55" s="1"/>
      <c r="SKQ55" s="1"/>
      <c r="SKR55" s="1"/>
      <c r="SKS55" s="1"/>
      <c r="SKT55" s="1"/>
      <c r="SKU55" s="1"/>
      <c r="SKV55" s="1"/>
      <c r="SKW55" s="1"/>
      <c r="SKX55" s="1"/>
      <c r="SKY55" s="1"/>
      <c r="SKZ55" s="1"/>
      <c r="SLA55" s="1"/>
      <c r="SLB55" s="1"/>
      <c r="SLC55" s="1"/>
      <c r="SLD55" s="1"/>
      <c r="SLE55" s="1"/>
      <c r="SLF55" s="1"/>
      <c r="SLG55" s="1"/>
      <c r="SLH55" s="1"/>
      <c r="SLI55" s="1"/>
      <c r="SLJ55" s="1"/>
      <c r="SLK55" s="1"/>
      <c r="SLL55" s="1"/>
      <c r="SLM55" s="1"/>
      <c r="SLN55" s="1"/>
      <c r="SLO55" s="1"/>
      <c r="SLP55" s="1"/>
      <c r="SLQ55" s="1"/>
      <c r="SLR55" s="1"/>
      <c r="SLS55" s="1"/>
      <c r="SLT55" s="1"/>
      <c r="SLU55" s="1"/>
      <c r="SLV55" s="1"/>
      <c r="SLW55" s="1"/>
      <c r="SLX55" s="1"/>
      <c r="SLY55" s="1"/>
      <c r="SLZ55" s="1"/>
      <c r="SMA55" s="1"/>
      <c r="SMB55" s="1"/>
      <c r="SMC55" s="1"/>
      <c r="SMD55" s="1"/>
      <c r="SME55" s="1"/>
      <c r="SMF55" s="1"/>
      <c r="SMG55" s="1"/>
      <c r="SMH55" s="1"/>
      <c r="SMI55" s="1"/>
      <c r="SMJ55" s="1"/>
      <c r="SMK55" s="1"/>
      <c r="SML55" s="1"/>
      <c r="SMM55" s="1"/>
      <c r="SMN55" s="1"/>
      <c r="SMO55" s="1"/>
      <c r="SMP55" s="1"/>
      <c r="SMQ55" s="1"/>
      <c r="SMR55" s="1"/>
      <c r="SMS55" s="1"/>
      <c r="SMT55" s="1"/>
      <c r="SMU55" s="1"/>
      <c r="SMV55" s="1"/>
      <c r="SMW55" s="1"/>
      <c r="SMX55" s="1"/>
      <c r="SMY55" s="1"/>
      <c r="SMZ55" s="1"/>
      <c r="SNA55" s="1"/>
      <c r="SNB55" s="1"/>
      <c r="SNC55" s="1"/>
      <c r="SND55" s="1"/>
      <c r="SNE55" s="1"/>
      <c r="SNF55" s="1"/>
      <c r="SNG55" s="1"/>
      <c r="SNH55" s="1"/>
      <c r="SNI55" s="1"/>
      <c r="SNJ55" s="1"/>
      <c r="SNK55" s="1"/>
      <c r="SNL55" s="1"/>
      <c r="SNM55" s="1"/>
      <c r="SNN55" s="1"/>
      <c r="SNO55" s="1"/>
      <c r="SNP55" s="1"/>
      <c r="SNQ55" s="1"/>
      <c r="SNR55" s="1"/>
      <c r="SNS55" s="1"/>
      <c r="SNT55" s="1"/>
      <c r="SNU55" s="1"/>
      <c r="SNV55" s="1"/>
      <c r="SNW55" s="1"/>
      <c r="SNX55" s="1"/>
      <c r="SNY55" s="1"/>
      <c r="SNZ55" s="1"/>
      <c r="SOA55" s="1"/>
      <c r="SOB55" s="1"/>
      <c r="SOC55" s="1"/>
      <c r="SOD55" s="1"/>
      <c r="SOE55" s="1"/>
      <c r="SOF55" s="1"/>
      <c r="SOG55" s="1"/>
      <c r="SOH55" s="1"/>
      <c r="SOI55" s="1"/>
      <c r="SOJ55" s="1"/>
      <c r="SOK55" s="1"/>
      <c r="SOL55" s="1"/>
      <c r="SOM55" s="1"/>
      <c r="SON55" s="1"/>
      <c r="SOO55" s="1"/>
      <c r="SOP55" s="1"/>
      <c r="SOQ55" s="1"/>
      <c r="SOR55" s="1"/>
      <c r="SOS55" s="1"/>
      <c r="SOT55" s="1"/>
      <c r="SOU55" s="1"/>
      <c r="SOV55" s="1"/>
      <c r="SOW55" s="1"/>
      <c r="SOX55" s="1"/>
      <c r="SOY55" s="1"/>
      <c r="SOZ55" s="1"/>
      <c r="SPA55" s="1"/>
      <c r="SPB55" s="1"/>
      <c r="SPC55" s="1"/>
      <c r="SPD55" s="1"/>
      <c r="SPE55" s="1"/>
      <c r="SPF55" s="1"/>
      <c r="SPG55" s="1"/>
      <c r="SPH55" s="1"/>
      <c r="SPI55" s="1"/>
      <c r="SPJ55" s="1"/>
      <c r="SPK55" s="1"/>
      <c r="SPL55" s="1"/>
      <c r="SPM55" s="1"/>
      <c r="SPN55" s="1"/>
      <c r="SPO55" s="1"/>
      <c r="SPP55" s="1"/>
      <c r="SPQ55" s="1"/>
      <c r="SPR55" s="1"/>
      <c r="SPS55" s="1"/>
      <c r="SPT55" s="1"/>
      <c r="SPU55" s="1"/>
      <c r="SPV55" s="1"/>
      <c r="SPW55" s="1"/>
      <c r="SPX55" s="1"/>
      <c r="SPY55" s="1"/>
      <c r="SPZ55" s="1"/>
      <c r="SQA55" s="1"/>
      <c r="SQB55" s="1"/>
      <c r="SQC55" s="1"/>
      <c r="SQD55" s="1"/>
      <c r="SQE55" s="1"/>
      <c r="SQF55" s="1"/>
      <c r="SQG55" s="1"/>
      <c r="SQH55" s="1"/>
      <c r="SQI55" s="1"/>
      <c r="SQJ55" s="1"/>
      <c r="SQK55" s="1"/>
      <c r="SQL55" s="1"/>
      <c r="SQM55" s="1"/>
      <c r="SQN55" s="1"/>
      <c r="SQO55" s="1"/>
      <c r="SQP55" s="1"/>
      <c r="SQQ55" s="1"/>
      <c r="SQR55" s="1"/>
      <c r="SQS55" s="1"/>
      <c r="SQT55" s="1"/>
      <c r="SQU55" s="1"/>
      <c r="SQV55" s="1"/>
      <c r="SQW55" s="1"/>
      <c r="SQX55" s="1"/>
      <c r="SQY55" s="1"/>
      <c r="SQZ55" s="1"/>
      <c r="SRA55" s="1"/>
      <c r="SRB55" s="1"/>
      <c r="SRC55" s="1"/>
      <c r="SRD55" s="1"/>
      <c r="SRE55" s="1"/>
      <c r="SRF55" s="1"/>
      <c r="SRG55" s="1"/>
      <c r="SRH55" s="1"/>
      <c r="SRI55" s="1"/>
      <c r="SRJ55" s="1"/>
      <c r="SRK55" s="1"/>
      <c r="SRL55" s="1"/>
      <c r="SRM55" s="1"/>
      <c r="SRN55" s="1"/>
      <c r="SRO55" s="1"/>
      <c r="SRP55" s="1"/>
      <c r="SRQ55" s="1"/>
      <c r="SRR55" s="1"/>
      <c r="SRS55" s="1"/>
      <c r="SRT55" s="1"/>
      <c r="SRU55" s="1"/>
      <c r="SRV55" s="1"/>
      <c r="SRW55" s="1"/>
      <c r="SRX55" s="1"/>
      <c r="SRY55" s="1"/>
      <c r="SRZ55" s="1"/>
      <c r="SSA55" s="1"/>
      <c r="SSB55" s="1"/>
      <c r="SSC55" s="1"/>
      <c r="SSD55" s="1"/>
      <c r="SSE55" s="1"/>
      <c r="SSF55" s="1"/>
      <c r="SSG55" s="1"/>
      <c r="SSH55" s="1"/>
      <c r="SSI55" s="1"/>
      <c r="SSJ55" s="1"/>
      <c r="SSK55" s="1"/>
      <c r="SSL55" s="1"/>
      <c r="SSM55" s="1"/>
      <c r="SSN55" s="1"/>
      <c r="SSO55" s="1"/>
      <c r="SSP55" s="1"/>
      <c r="SSQ55" s="1"/>
      <c r="SSR55" s="1"/>
      <c r="SSS55" s="1"/>
      <c r="SST55" s="1"/>
      <c r="SSU55" s="1"/>
      <c r="SSV55" s="1"/>
      <c r="SSW55" s="1"/>
      <c r="SSX55" s="1"/>
      <c r="SSY55" s="1"/>
      <c r="SSZ55" s="1"/>
      <c r="STA55" s="1"/>
      <c r="STB55" s="1"/>
      <c r="STC55" s="1"/>
      <c r="STD55" s="1"/>
      <c r="STE55" s="1"/>
      <c r="STF55" s="1"/>
      <c r="STG55" s="1"/>
      <c r="STH55" s="1"/>
      <c r="STI55" s="1"/>
      <c r="STJ55" s="1"/>
      <c r="STK55" s="1"/>
      <c r="STL55" s="1"/>
      <c r="STM55" s="1"/>
      <c r="STN55" s="1"/>
      <c r="STO55" s="1"/>
      <c r="STP55" s="1"/>
      <c r="STQ55" s="1"/>
      <c r="STR55" s="1"/>
      <c r="STS55" s="1"/>
      <c r="STT55" s="1"/>
      <c r="STU55" s="1"/>
      <c r="STV55" s="1"/>
      <c r="STW55" s="1"/>
      <c r="STX55" s="1"/>
      <c r="STY55" s="1"/>
      <c r="STZ55" s="1"/>
      <c r="SUA55" s="1"/>
      <c r="SUB55" s="1"/>
      <c r="SUC55" s="1"/>
      <c r="SUD55" s="1"/>
      <c r="SUE55" s="1"/>
      <c r="SUF55" s="1"/>
      <c r="SUG55" s="1"/>
      <c r="SUH55" s="1"/>
      <c r="SUI55" s="1"/>
      <c r="SUJ55" s="1"/>
      <c r="SUK55" s="1"/>
      <c r="SUL55" s="1"/>
      <c r="SUM55" s="1"/>
      <c r="SUN55" s="1"/>
      <c r="SUO55" s="1"/>
      <c r="SUP55" s="1"/>
      <c r="SUQ55" s="1"/>
      <c r="SUR55" s="1"/>
      <c r="SUS55" s="1"/>
      <c r="SUT55" s="1"/>
      <c r="SUU55" s="1"/>
      <c r="SUV55" s="1"/>
      <c r="SUW55" s="1"/>
      <c r="SUX55" s="1"/>
      <c r="SUY55" s="1"/>
      <c r="SUZ55" s="1"/>
      <c r="SVA55" s="1"/>
      <c r="SVB55" s="1"/>
      <c r="SVC55" s="1"/>
      <c r="SVD55" s="1"/>
      <c r="SVE55" s="1"/>
      <c r="SVF55" s="1"/>
      <c r="SVG55" s="1"/>
      <c r="SVH55" s="1"/>
      <c r="SVI55" s="1"/>
      <c r="SVJ55" s="1"/>
      <c r="SVK55" s="1"/>
      <c r="SVL55" s="1"/>
      <c r="SVM55" s="1"/>
      <c r="SVN55" s="1"/>
      <c r="SVO55" s="1"/>
      <c r="SVP55" s="1"/>
      <c r="SVQ55" s="1"/>
      <c r="SVR55" s="1"/>
      <c r="SVS55" s="1"/>
      <c r="SVT55" s="1"/>
      <c r="SVU55" s="1"/>
      <c r="SVV55" s="1"/>
      <c r="SVW55" s="1"/>
      <c r="SVX55" s="1"/>
      <c r="SVY55" s="1"/>
      <c r="SVZ55" s="1"/>
      <c r="SWA55" s="1"/>
      <c r="SWB55" s="1"/>
      <c r="SWC55" s="1"/>
      <c r="SWD55" s="1"/>
      <c r="SWE55" s="1"/>
      <c r="SWF55" s="1"/>
      <c r="SWG55" s="1"/>
      <c r="SWH55" s="1"/>
      <c r="SWI55" s="1"/>
      <c r="SWJ55" s="1"/>
      <c r="SWK55" s="1"/>
      <c r="SWL55" s="1"/>
      <c r="SWM55" s="1"/>
      <c r="SWN55" s="1"/>
      <c r="SWO55" s="1"/>
      <c r="SWP55" s="1"/>
      <c r="SWQ55" s="1"/>
      <c r="SWR55" s="1"/>
      <c r="SWS55" s="1"/>
      <c r="SWT55" s="1"/>
      <c r="SWU55" s="1"/>
      <c r="SWV55" s="1"/>
      <c r="SWW55" s="1"/>
      <c r="SWX55" s="1"/>
      <c r="SWY55" s="1"/>
      <c r="SWZ55" s="1"/>
      <c r="SXA55" s="1"/>
      <c r="SXB55" s="1"/>
      <c r="SXC55" s="1"/>
      <c r="SXD55" s="1"/>
      <c r="SXE55" s="1"/>
      <c r="SXF55" s="1"/>
      <c r="SXG55" s="1"/>
      <c r="SXH55" s="1"/>
      <c r="SXI55" s="1"/>
      <c r="SXJ55" s="1"/>
      <c r="SXK55" s="1"/>
      <c r="SXL55" s="1"/>
      <c r="SXM55" s="1"/>
      <c r="SXN55" s="1"/>
      <c r="SXO55" s="1"/>
      <c r="SXP55" s="1"/>
      <c r="SXQ55" s="1"/>
      <c r="SXR55" s="1"/>
      <c r="SXS55" s="1"/>
      <c r="SXT55" s="1"/>
      <c r="SXU55" s="1"/>
      <c r="SXV55" s="1"/>
      <c r="SXW55" s="1"/>
      <c r="SXX55" s="1"/>
      <c r="SXY55" s="1"/>
      <c r="SXZ55" s="1"/>
      <c r="SYA55" s="1"/>
      <c r="SYB55" s="1"/>
      <c r="SYC55" s="1"/>
      <c r="SYD55" s="1"/>
      <c r="SYE55" s="1"/>
      <c r="SYF55" s="1"/>
      <c r="SYG55" s="1"/>
      <c r="SYH55" s="1"/>
      <c r="SYI55" s="1"/>
      <c r="SYJ55" s="1"/>
      <c r="SYK55" s="1"/>
      <c r="SYL55" s="1"/>
      <c r="SYM55" s="1"/>
      <c r="SYN55" s="1"/>
      <c r="SYO55" s="1"/>
      <c r="SYP55" s="1"/>
      <c r="SYQ55" s="1"/>
      <c r="SYR55" s="1"/>
      <c r="SYS55" s="1"/>
      <c r="SYT55" s="1"/>
      <c r="SYU55" s="1"/>
      <c r="SYV55" s="1"/>
      <c r="SYW55" s="1"/>
      <c r="SYX55" s="1"/>
      <c r="SYY55" s="1"/>
      <c r="SYZ55" s="1"/>
      <c r="SZA55" s="1"/>
      <c r="SZB55" s="1"/>
      <c r="SZC55" s="1"/>
      <c r="SZD55" s="1"/>
      <c r="SZE55" s="1"/>
      <c r="SZF55" s="1"/>
      <c r="SZG55" s="1"/>
      <c r="SZH55" s="1"/>
      <c r="SZI55" s="1"/>
      <c r="SZJ55" s="1"/>
      <c r="SZK55" s="1"/>
      <c r="SZL55" s="1"/>
      <c r="SZM55" s="1"/>
      <c r="SZN55" s="1"/>
      <c r="SZO55" s="1"/>
      <c r="SZP55" s="1"/>
      <c r="SZQ55" s="1"/>
      <c r="SZR55" s="1"/>
      <c r="SZS55" s="1"/>
      <c r="SZT55" s="1"/>
      <c r="SZU55" s="1"/>
      <c r="SZV55" s="1"/>
      <c r="SZW55" s="1"/>
      <c r="SZX55" s="1"/>
      <c r="SZY55" s="1"/>
      <c r="SZZ55" s="1"/>
      <c r="TAA55" s="1"/>
      <c r="TAB55" s="1"/>
      <c r="TAC55" s="1"/>
      <c r="TAD55" s="1"/>
      <c r="TAE55" s="1"/>
      <c r="TAF55" s="1"/>
      <c r="TAG55" s="1"/>
      <c r="TAH55" s="1"/>
      <c r="TAI55" s="1"/>
      <c r="TAJ55" s="1"/>
      <c r="TAK55" s="1"/>
      <c r="TAL55" s="1"/>
      <c r="TAM55" s="1"/>
      <c r="TAN55" s="1"/>
      <c r="TAO55" s="1"/>
      <c r="TAP55" s="1"/>
      <c r="TAQ55" s="1"/>
      <c r="TAR55" s="1"/>
      <c r="TAS55" s="1"/>
      <c r="TAT55" s="1"/>
      <c r="TAU55" s="1"/>
      <c r="TAV55" s="1"/>
      <c r="TAW55" s="1"/>
      <c r="TAX55" s="1"/>
      <c r="TAY55" s="1"/>
      <c r="TAZ55" s="1"/>
      <c r="TBA55" s="1"/>
      <c r="TBB55" s="1"/>
      <c r="TBC55" s="1"/>
      <c r="TBD55" s="1"/>
      <c r="TBE55" s="1"/>
      <c r="TBF55" s="1"/>
      <c r="TBG55" s="1"/>
      <c r="TBH55" s="1"/>
      <c r="TBI55" s="1"/>
      <c r="TBJ55" s="1"/>
      <c r="TBK55" s="1"/>
      <c r="TBL55" s="1"/>
      <c r="TBM55" s="1"/>
      <c r="TBN55" s="1"/>
      <c r="TBO55" s="1"/>
      <c r="TBP55" s="1"/>
      <c r="TBQ55" s="1"/>
      <c r="TBR55" s="1"/>
      <c r="TBS55" s="1"/>
      <c r="TBT55" s="1"/>
      <c r="TBU55" s="1"/>
      <c r="TBV55" s="1"/>
      <c r="TBW55" s="1"/>
      <c r="TBX55" s="1"/>
      <c r="TBY55" s="1"/>
      <c r="TBZ55" s="1"/>
      <c r="TCA55" s="1"/>
      <c r="TCB55" s="1"/>
      <c r="TCC55" s="1"/>
      <c r="TCD55" s="1"/>
      <c r="TCE55" s="1"/>
      <c r="TCF55" s="1"/>
      <c r="TCG55" s="1"/>
      <c r="TCH55" s="1"/>
      <c r="TCI55" s="1"/>
      <c r="TCJ55" s="1"/>
      <c r="TCK55" s="1"/>
      <c r="TCL55" s="1"/>
      <c r="TCM55" s="1"/>
      <c r="TCN55" s="1"/>
      <c r="TCO55" s="1"/>
      <c r="TCP55" s="1"/>
      <c r="TCQ55" s="1"/>
      <c r="TCR55" s="1"/>
      <c r="TCS55" s="1"/>
      <c r="TCT55" s="1"/>
      <c r="TCU55" s="1"/>
      <c r="TCV55" s="1"/>
      <c r="TCW55" s="1"/>
      <c r="TCX55" s="1"/>
      <c r="TCY55" s="1"/>
      <c r="TCZ55" s="1"/>
      <c r="TDA55" s="1"/>
      <c r="TDB55" s="1"/>
      <c r="TDC55" s="1"/>
      <c r="TDD55" s="1"/>
      <c r="TDE55" s="1"/>
      <c r="TDF55" s="1"/>
      <c r="TDG55" s="1"/>
      <c r="TDH55" s="1"/>
      <c r="TDI55" s="1"/>
      <c r="TDJ55" s="1"/>
      <c r="TDK55" s="1"/>
      <c r="TDL55" s="1"/>
      <c r="TDM55" s="1"/>
      <c r="TDN55" s="1"/>
      <c r="TDO55" s="1"/>
      <c r="TDP55" s="1"/>
      <c r="TDQ55" s="1"/>
      <c r="TDR55" s="1"/>
      <c r="TDS55" s="1"/>
      <c r="TDT55" s="1"/>
      <c r="TDU55" s="1"/>
      <c r="TDV55" s="1"/>
      <c r="TDW55" s="1"/>
      <c r="TDX55" s="1"/>
      <c r="TDY55" s="1"/>
      <c r="TDZ55" s="1"/>
      <c r="TEA55" s="1"/>
      <c r="TEB55" s="1"/>
      <c r="TEC55" s="1"/>
      <c r="TED55" s="1"/>
      <c r="TEE55" s="1"/>
      <c r="TEF55" s="1"/>
      <c r="TEG55" s="1"/>
      <c r="TEH55" s="1"/>
      <c r="TEI55" s="1"/>
      <c r="TEJ55" s="1"/>
      <c r="TEK55" s="1"/>
      <c r="TEL55" s="1"/>
      <c r="TEM55" s="1"/>
      <c r="TEN55" s="1"/>
      <c r="TEO55" s="1"/>
      <c r="TEP55" s="1"/>
      <c r="TEQ55" s="1"/>
      <c r="TER55" s="1"/>
      <c r="TES55" s="1"/>
      <c r="TET55" s="1"/>
      <c r="TEU55" s="1"/>
      <c r="TEV55" s="1"/>
      <c r="TEW55" s="1"/>
      <c r="TEX55" s="1"/>
      <c r="TEY55" s="1"/>
      <c r="TEZ55" s="1"/>
      <c r="TFA55" s="1"/>
      <c r="TFB55" s="1"/>
      <c r="TFC55" s="1"/>
      <c r="TFD55" s="1"/>
      <c r="TFE55" s="1"/>
      <c r="TFF55" s="1"/>
      <c r="TFG55" s="1"/>
      <c r="TFH55" s="1"/>
      <c r="TFI55" s="1"/>
      <c r="TFJ55" s="1"/>
      <c r="TFK55" s="1"/>
      <c r="TFL55" s="1"/>
      <c r="TFM55" s="1"/>
      <c r="TFN55" s="1"/>
      <c r="TFO55" s="1"/>
      <c r="TFP55" s="1"/>
      <c r="TFQ55" s="1"/>
      <c r="TFR55" s="1"/>
      <c r="TFS55" s="1"/>
      <c r="TFT55" s="1"/>
      <c r="TFU55" s="1"/>
      <c r="TFV55" s="1"/>
      <c r="TFW55" s="1"/>
      <c r="TFX55" s="1"/>
      <c r="TFY55" s="1"/>
      <c r="TFZ55" s="1"/>
      <c r="TGA55" s="1"/>
      <c r="TGB55" s="1"/>
      <c r="TGC55" s="1"/>
      <c r="TGD55" s="1"/>
      <c r="TGE55" s="1"/>
      <c r="TGF55" s="1"/>
      <c r="TGG55" s="1"/>
      <c r="TGH55" s="1"/>
      <c r="TGI55" s="1"/>
      <c r="TGJ55" s="1"/>
      <c r="TGK55" s="1"/>
      <c r="TGL55" s="1"/>
      <c r="TGM55" s="1"/>
      <c r="TGN55" s="1"/>
      <c r="TGO55" s="1"/>
      <c r="TGP55" s="1"/>
      <c r="TGQ55" s="1"/>
      <c r="TGR55" s="1"/>
      <c r="TGS55" s="1"/>
      <c r="TGT55" s="1"/>
      <c r="TGU55" s="1"/>
      <c r="TGV55" s="1"/>
      <c r="TGW55" s="1"/>
      <c r="TGX55" s="1"/>
      <c r="TGY55" s="1"/>
      <c r="TGZ55" s="1"/>
      <c r="THA55" s="1"/>
      <c r="THB55" s="1"/>
      <c r="THC55" s="1"/>
      <c r="THD55" s="1"/>
      <c r="THE55" s="1"/>
      <c r="THF55" s="1"/>
      <c r="THG55" s="1"/>
      <c r="THH55" s="1"/>
      <c r="THI55" s="1"/>
      <c r="THJ55" s="1"/>
      <c r="THK55" s="1"/>
      <c r="THL55" s="1"/>
      <c r="THM55" s="1"/>
      <c r="THN55" s="1"/>
      <c r="THO55" s="1"/>
      <c r="THP55" s="1"/>
      <c r="THQ55" s="1"/>
      <c r="THR55" s="1"/>
      <c r="THS55" s="1"/>
      <c r="THT55" s="1"/>
      <c r="THU55" s="1"/>
      <c r="THV55" s="1"/>
      <c r="THW55" s="1"/>
      <c r="THX55" s="1"/>
      <c r="THY55" s="1"/>
      <c r="THZ55" s="1"/>
      <c r="TIA55" s="1"/>
      <c r="TIB55" s="1"/>
      <c r="TIC55" s="1"/>
      <c r="TID55" s="1"/>
      <c r="TIE55" s="1"/>
      <c r="TIF55" s="1"/>
      <c r="TIG55" s="1"/>
      <c r="TIH55" s="1"/>
      <c r="TII55" s="1"/>
      <c r="TIJ55" s="1"/>
      <c r="TIK55" s="1"/>
      <c r="TIL55" s="1"/>
      <c r="TIM55" s="1"/>
      <c r="TIN55" s="1"/>
      <c r="TIO55" s="1"/>
      <c r="TIP55" s="1"/>
      <c r="TIQ55" s="1"/>
      <c r="TIR55" s="1"/>
      <c r="TIS55" s="1"/>
      <c r="TIT55" s="1"/>
      <c r="TIU55" s="1"/>
      <c r="TIV55" s="1"/>
      <c r="TIW55" s="1"/>
      <c r="TIX55" s="1"/>
      <c r="TIY55" s="1"/>
      <c r="TIZ55" s="1"/>
      <c r="TJA55" s="1"/>
      <c r="TJB55" s="1"/>
      <c r="TJC55" s="1"/>
      <c r="TJD55" s="1"/>
      <c r="TJE55" s="1"/>
      <c r="TJF55" s="1"/>
      <c r="TJG55" s="1"/>
      <c r="TJH55" s="1"/>
      <c r="TJI55" s="1"/>
      <c r="TJJ55" s="1"/>
      <c r="TJK55" s="1"/>
      <c r="TJL55" s="1"/>
      <c r="TJM55" s="1"/>
      <c r="TJN55" s="1"/>
      <c r="TJO55" s="1"/>
      <c r="TJP55" s="1"/>
      <c r="TJQ55" s="1"/>
      <c r="TJR55" s="1"/>
      <c r="TJS55" s="1"/>
      <c r="TJT55" s="1"/>
      <c r="TJU55" s="1"/>
      <c r="TJV55" s="1"/>
      <c r="TJW55" s="1"/>
      <c r="TJX55" s="1"/>
      <c r="TJY55" s="1"/>
      <c r="TJZ55" s="1"/>
      <c r="TKA55" s="1"/>
      <c r="TKB55" s="1"/>
      <c r="TKC55" s="1"/>
      <c r="TKD55" s="1"/>
      <c r="TKE55" s="1"/>
      <c r="TKF55" s="1"/>
      <c r="TKG55" s="1"/>
      <c r="TKH55" s="1"/>
      <c r="TKI55" s="1"/>
      <c r="TKJ55" s="1"/>
      <c r="TKK55" s="1"/>
      <c r="TKL55" s="1"/>
      <c r="TKM55" s="1"/>
      <c r="TKN55" s="1"/>
      <c r="TKO55" s="1"/>
      <c r="TKP55" s="1"/>
      <c r="TKQ55" s="1"/>
      <c r="TKR55" s="1"/>
      <c r="TKS55" s="1"/>
      <c r="TKT55" s="1"/>
      <c r="TKU55" s="1"/>
      <c r="TKV55" s="1"/>
      <c r="TKW55" s="1"/>
      <c r="TKX55" s="1"/>
      <c r="TKY55" s="1"/>
      <c r="TKZ55" s="1"/>
      <c r="TLA55" s="1"/>
      <c r="TLB55" s="1"/>
      <c r="TLC55" s="1"/>
      <c r="TLD55" s="1"/>
      <c r="TLE55" s="1"/>
      <c r="TLF55" s="1"/>
      <c r="TLG55" s="1"/>
      <c r="TLH55" s="1"/>
      <c r="TLI55" s="1"/>
      <c r="TLJ55" s="1"/>
      <c r="TLK55" s="1"/>
      <c r="TLL55" s="1"/>
      <c r="TLM55" s="1"/>
      <c r="TLN55" s="1"/>
      <c r="TLO55" s="1"/>
      <c r="TLP55" s="1"/>
      <c r="TLQ55" s="1"/>
      <c r="TLR55" s="1"/>
      <c r="TLS55" s="1"/>
      <c r="TLT55" s="1"/>
      <c r="TLU55" s="1"/>
      <c r="TLV55" s="1"/>
      <c r="TLW55" s="1"/>
      <c r="TLX55" s="1"/>
      <c r="TLY55" s="1"/>
      <c r="TLZ55" s="1"/>
      <c r="TMA55" s="1"/>
      <c r="TMB55" s="1"/>
      <c r="TMC55" s="1"/>
      <c r="TMD55" s="1"/>
      <c r="TME55" s="1"/>
      <c r="TMF55" s="1"/>
      <c r="TMG55" s="1"/>
      <c r="TMH55" s="1"/>
      <c r="TMI55" s="1"/>
      <c r="TMJ55" s="1"/>
      <c r="TMK55" s="1"/>
      <c r="TML55" s="1"/>
      <c r="TMM55" s="1"/>
      <c r="TMN55" s="1"/>
      <c r="TMO55" s="1"/>
      <c r="TMP55" s="1"/>
      <c r="TMQ55" s="1"/>
      <c r="TMR55" s="1"/>
      <c r="TMS55" s="1"/>
      <c r="TMT55" s="1"/>
      <c r="TMU55" s="1"/>
      <c r="TMV55" s="1"/>
      <c r="TMW55" s="1"/>
      <c r="TMX55" s="1"/>
      <c r="TMY55" s="1"/>
      <c r="TMZ55" s="1"/>
      <c r="TNA55" s="1"/>
      <c r="TNB55" s="1"/>
      <c r="TNC55" s="1"/>
      <c r="TND55" s="1"/>
      <c r="TNE55" s="1"/>
      <c r="TNF55" s="1"/>
      <c r="TNG55" s="1"/>
      <c r="TNH55" s="1"/>
      <c r="TNI55" s="1"/>
      <c r="TNJ55" s="1"/>
      <c r="TNK55" s="1"/>
      <c r="TNL55" s="1"/>
      <c r="TNM55" s="1"/>
      <c r="TNN55" s="1"/>
      <c r="TNO55" s="1"/>
      <c r="TNP55" s="1"/>
      <c r="TNQ55" s="1"/>
      <c r="TNR55" s="1"/>
      <c r="TNS55" s="1"/>
      <c r="TNT55" s="1"/>
      <c r="TNU55" s="1"/>
      <c r="TNV55" s="1"/>
      <c r="TNW55" s="1"/>
      <c r="TNX55" s="1"/>
      <c r="TNY55" s="1"/>
      <c r="TNZ55" s="1"/>
      <c r="TOA55" s="1"/>
      <c r="TOB55" s="1"/>
      <c r="TOC55" s="1"/>
      <c r="TOD55" s="1"/>
      <c r="TOE55" s="1"/>
      <c r="TOF55" s="1"/>
      <c r="TOG55" s="1"/>
      <c r="TOH55" s="1"/>
      <c r="TOI55" s="1"/>
      <c r="TOJ55" s="1"/>
      <c r="TOK55" s="1"/>
      <c r="TOL55" s="1"/>
      <c r="TOM55" s="1"/>
      <c r="TON55" s="1"/>
      <c r="TOO55" s="1"/>
      <c r="TOP55" s="1"/>
      <c r="TOQ55" s="1"/>
      <c r="TOR55" s="1"/>
      <c r="TOS55" s="1"/>
      <c r="TOT55" s="1"/>
      <c r="TOU55" s="1"/>
      <c r="TOV55" s="1"/>
      <c r="TOW55" s="1"/>
      <c r="TOX55" s="1"/>
      <c r="TOY55" s="1"/>
      <c r="TOZ55" s="1"/>
      <c r="TPA55" s="1"/>
      <c r="TPB55" s="1"/>
      <c r="TPC55" s="1"/>
      <c r="TPD55" s="1"/>
      <c r="TPE55" s="1"/>
      <c r="TPF55" s="1"/>
      <c r="TPG55" s="1"/>
      <c r="TPH55" s="1"/>
      <c r="TPI55" s="1"/>
      <c r="TPJ55" s="1"/>
      <c r="TPK55" s="1"/>
      <c r="TPL55" s="1"/>
      <c r="TPM55" s="1"/>
      <c r="TPN55" s="1"/>
      <c r="TPO55" s="1"/>
      <c r="TPP55" s="1"/>
      <c r="TPQ55" s="1"/>
      <c r="TPR55" s="1"/>
      <c r="TPS55" s="1"/>
      <c r="TPT55" s="1"/>
      <c r="TPU55" s="1"/>
      <c r="TPV55" s="1"/>
      <c r="TPW55" s="1"/>
      <c r="TPX55" s="1"/>
      <c r="TPY55" s="1"/>
      <c r="TPZ55" s="1"/>
      <c r="TQA55" s="1"/>
      <c r="TQB55" s="1"/>
      <c r="TQC55" s="1"/>
      <c r="TQD55" s="1"/>
      <c r="TQE55" s="1"/>
      <c r="TQF55" s="1"/>
      <c r="TQG55" s="1"/>
      <c r="TQH55" s="1"/>
      <c r="TQI55" s="1"/>
      <c r="TQJ55" s="1"/>
      <c r="TQK55" s="1"/>
      <c r="TQL55" s="1"/>
      <c r="TQM55" s="1"/>
      <c r="TQN55" s="1"/>
      <c r="TQO55" s="1"/>
      <c r="TQP55" s="1"/>
      <c r="TQQ55" s="1"/>
      <c r="TQR55" s="1"/>
      <c r="TQS55" s="1"/>
      <c r="TQT55" s="1"/>
      <c r="TQU55" s="1"/>
      <c r="TQV55" s="1"/>
      <c r="TQW55" s="1"/>
      <c r="TQX55" s="1"/>
      <c r="TQY55" s="1"/>
      <c r="TQZ55" s="1"/>
      <c r="TRA55" s="1"/>
      <c r="TRB55" s="1"/>
      <c r="TRC55" s="1"/>
      <c r="TRD55" s="1"/>
      <c r="TRE55" s="1"/>
      <c r="TRF55" s="1"/>
      <c r="TRG55" s="1"/>
      <c r="TRH55" s="1"/>
      <c r="TRI55" s="1"/>
      <c r="TRJ55" s="1"/>
      <c r="TRK55" s="1"/>
      <c r="TRL55" s="1"/>
      <c r="TRM55" s="1"/>
      <c r="TRN55" s="1"/>
      <c r="TRO55" s="1"/>
      <c r="TRP55" s="1"/>
      <c r="TRQ55" s="1"/>
      <c r="TRR55" s="1"/>
      <c r="TRS55" s="1"/>
      <c r="TRT55" s="1"/>
      <c r="TRU55" s="1"/>
      <c r="TRV55" s="1"/>
      <c r="TRW55" s="1"/>
      <c r="TRX55" s="1"/>
      <c r="TRY55" s="1"/>
      <c r="TRZ55" s="1"/>
      <c r="TSA55" s="1"/>
      <c r="TSB55" s="1"/>
      <c r="TSC55" s="1"/>
      <c r="TSD55" s="1"/>
      <c r="TSE55" s="1"/>
      <c r="TSF55" s="1"/>
      <c r="TSG55" s="1"/>
      <c r="TSH55" s="1"/>
      <c r="TSI55" s="1"/>
      <c r="TSJ55" s="1"/>
      <c r="TSK55" s="1"/>
      <c r="TSL55" s="1"/>
      <c r="TSM55" s="1"/>
      <c r="TSN55" s="1"/>
      <c r="TSO55" s="1"/>
      <c r="TSP55" s="1"/>
      <c r="TSQ55" s="1"/>
      <c r="TSR55" s="1"/>
      <c r="TSS55" s="1"/>
      <c r="TST55" s="1"/>
      <c r="TSU55" s="1"/>
      <c r="TSV55" s="1"/>
      <c r="TSW55" s="1"/>
      <c r="TSX55" s="1"/>
      <c r="TSY55" s="1"/>
      <c r="TSZ55" s="1"/>
      <c r="TTA55" s="1"/>
      <c r="TTB55" s="1"/>
      <c r="TTC55" s="1"/>
      <c r="TTD55" s="1"/>
      <c r="TTE55" s="1"/>
      <c r="TTF55" s="1"/>
      <c r="TTG55" s="1"/>
      <c r="TTH55" s="1"/>
      <c r="TTI55" s="1"/>
      <c r="TTJ55" s="1"/>
      <c r="TTK55" s="1"/>
      <c r="TTL55" s="1"/>
      <c r="TTM55" s="1"/>
      <c r="TTN55" s="1"/>
      <c r="TTO55" s="1"/>
      <c r="TTP55" s="1"/>
      <c r="TTQ55" s="1"/>
      <c r="TTR55" s="1"/>
      <c r="TTS55" s="1"/>
      <c r="TTT55" s="1"/>
      <c r="TTU55" s="1"/>
      <c r="TTV55" s="1"/>
      <c r="TTW55" s="1"/>
      <c r="TTX55" s="1"/>
      <c r="TTY55" s="1"/>
      <c r="TTZ55" s="1"/>
      <c r="TUA55" s="1"/>
      <c r="TUB55" s="1"/>
      <c r="TUC55" s="1"/>
      <c r="TUD55" s="1"/>
      <c r="TUE55" s="1"/>
      <c r="TUF55" s="1"/>
      <c r="TUG55" s="1"/>
      <c r="TUH55" s="1"/>
      <c r="TUI55" s="1"/>
      <c r="TUJ55" s="1"/>
      <c r="TUK55" s="1"/>
      <c r="TUL55" s="1"/>
      <c r="TUM55" s="1"/>
      <c r="TUN55" s="1"/>
      <c r="TUO55" s="1"/>
      <c r="TUP55" s="1"/>
      <c r="TUQ55" s="1"/>
      <c r="TUR55" s="1"/>
      <c r="TUS55" s="1"/>
      <c r="TUT55" s="1"/>
      <c r="TUU55" s="1"/>
      <c r="TUV55" s="1"/>
      <c r="TUW55" s="1"/>
      <c r="TUX55" s="1"/>
      <c r="TUY55" s="1"/>
      <c r="TUZ55" s="1"/>
      <c r="TVA55" s="1"/>
      <c r="TVB55" s="1"/>
      <c r="TVC55" s="1"/>
      <c r="TVD55" s="1"/>
      <c r="TVE55" s="1"/>
      <c r="TVF55" s="1"/>
      <c r="TVG55" s="1"/>
      <c r="TVH55" s="1"/>
      <c r="TVI55" s="1"/>
      <c r="TVJ55" s="1"/>
      <c r="TVK55" s="1"/>
      <c r="TVL55" s="1"/>
      <c r="TVM55" s="1"/>
      <c r="TVN55" s="1"/>
      <c r="TVO55" s="1"/>
      <c r="TVP55" s="1"/>
      <c r="TVQ55" s="1"/>
      <c r="TVR55" s="1"/>
      <c r="TVS55" s="1"/>
      <c r="TVT55" s="1"/>
      <c r="TVU55" s="1"/>
      <c r="TVV55" s="1"/>
      <c r="TVW55" s="1"/>
      <c r="TVX55" s="1"/>
      <c r="TVY55" s="1"/>
      <c r="TVZ55" s="1"/>
      <c r="TWA55" s="1"/>
      <c r="TWB55" s="1"/>
      <c r="TWC55" s="1"/>
      <c r="TWD55" s="1"/>
      <c r="TWE55" s="1"/>
      <c r="TWF55" s="1"/>
      <c r="TWG55" s="1"/>
      <c r="TWH55" s="1"/>
      <c r="TWI55" s="1"/>
      <c r="TWJ55" s="1"/>
      <c r="TWK55" s="1"/>
      <c r="TWL55" s="1"/>
      <c r="TWM55" s="1"/>
      <c r="TWN55" s="1"/>
      <c r="TWO55" s="1"/>
      <c r="TWP55" s="1"/>
      <c r="TWQ55" s="1"/>
      <c r="TWR55" s="1"/>
      <c r="TWS55" s="1"/>
      <c r="TWT55" s="1"/>
      <c r="TWU55" s="1"/>
      <c r="TWV55" s="1"/>
      <c r="TWW55" s="1"/>
      <c r="TWX55" s="1"/>
      <c r="TWY55" s="1"/>
      <c r="TWZ55" s="1"/>
      <c r="TXA55" s="1"/>
      <c r="TXB55" s="1"/>
      <c r="TXC55" s="1"/>
      <c r="TXD55" s="1"/>
      <c r="TXE55" s="1"/>
      <c r="TXF55" s="1"/>
      <c r="TXG55" s="1"/>
      <c r="TXH55" s="1"/>
      <c r="TXI55" s="1"/>
      <c r="TXJ55" s="1"/>
      <c r="TXK55" s="1"/>
      <c r="TXL55" s="1"/>
      <c r="TXM55" s="1"/>
      <c r="TXN55" s="1"/>
      <c r="TXO55" s="1"/>
      <c r="TXP55" s="1"/>
      <c r="TXQ55" s="1"/>
      <c r="TXR55" s="1"/>
      <c r="TXS55" s="1"/>
      <c r="TXT55" s="1"/>
      <c r="TXU55" s="1"/>
      <c r="TXV55" s="1"/>
      <c r="TXW55" s="1"/>
      <c r="TXX55" s="1"/>
      <c r="TXY55" s="1"/>
      <c r="TXZ55" s="1"/>
      <c r="TYA55" s="1"/>
      <c r="TYB55" s="1"/>
      <c r="TYC55" s="1"/>
      <c r="TYD55" s="1"/>
      <c r="TYE55" s="1"/>
      <c r="TYF55" s="1"/>
      <c r="TYG55" s="1"/>
      <c r="TYH55" s="1"/>
      <c r="TYI55" s="1"/>
      <c r="TYJ55" s="1"/>
      <c r="TYK55" s="1"/>
      <c r="TYL55" s="1"/>
      <c r="TYM55" s="1"/>
      <c r="TYN55" s="1"/>
      <c r="TYO55" s="1"/>
      <c r="TYP55" s="1"/>
      <c r="TYQ55" s="1"/>
      <c r="TYR55" s="1"/>
      <c r="TYS55" s="1"/>
      <c r="TYT55" s="1"/>
      <c r="TYU55" s="1"/>
      <c r="TYV55" s="1"/>
      <c r="TYW55" s="1"/>
      <c r="TYX55" s="1"/>
      <c r="TYY55" s="1"/>
      <c r="TYZ55" s="1"/>
      <c r="TZA55" s="1"/>
      <c r="TZB55" s="1"/>
      <c r="TZC55" s="1"/>
      <c r="TZD55" s="1"/>
      <c r="TZE55" s="1"/>
      <c r="TZF55" s="1"/>
      <c r="TZG55" s="1"/>
      <c r="TZH55" s="1"/>
      <c r="TZI55" s="1"/>
      <c r="TZJ55" s="1"/>
      <c r="TZK55" s="1"/>
      <c r="TZL55" s="1"/>
      <c r="TZM55" s="1"/>
      <c r="TZN55" s="1"/>
      <c r="TZO55" s="1"/>
      <c r="TZP55" s="1"/>
      <c r="TZQ55" s="1"/>
      <c r="TZR55" s="1"/>
      <c r="TZS55" s="1"/>
      <c r="TZT55" s="1"/>
      <c r="TZU55" s="1"/>
      <c r="TZV55" s="1"/>
      <c r="TZW55" s="1"/>
      <c r="TZX55" s="1"/>
      <c r="TZY55" s="1"/>
      <c r="TZZ55" s="1"/>
      <c r="UAA55" s="1"/>
      <c r="UAB55" s="1"/>
      <c r="UAC55" s="1"/>
      <c r="UAD55" s="1"/>
      <c r="UAE55" s="1"/>
      <c r="UAF55" s="1"/>
      <c r="UAG55" s="1"/>
      <c r="UAH55" s="1"/>
      <c r="UAI55" s="1"/>
      <c r="UAJ55" s="1"/>
      <c r="UAK55" s="1"/>
      <c r="UAL55" s="1"/>
      <c r="UAM55" s="1"/>
      <c r="UAN55" s="1"/>
      <c r="UAO55" s="1"/>
      <c r="UAP55" s="1"/>
      <c r="UAQ55" s="1"/>
      <c r="UAR55" s="1"/>
      <c r="UAS55" s="1"/>
      <c r="UAT55" s="1"/>
      <c r="UAU55" s="1"/>
      <c r="UAV55" s="1"/>
      <c r="UAW55" s="1"/>
      <c r="UAX55" s="1"/>
      <c r="UAY55" s="1"/>
      <c r="UAZ55" s="1"/>
      <c r="UBA55" s="1"/>
      <c r="UBB55" s="1"/>
      <c r="UBC55" s="1"/>
      <c r="UBD55" s="1"/>
      <c r="UBE55" s="1"/>
      <c r="UBF55" s="1"/>
      <c r="UBG55" s="1"/>
      <c r="UBH55" s="1"/>
      <c r="UBI55" s="1"/>
      <c r="UBJ55" s="1"/>
      <c r="UBK55" s="1"/>
      <c r="UBL55" s="1"/>
      <c r="UBM55" s="1"/>
      <c r="UBN55" s="1"/>
      <c r="UBO55" s="1"/>
      <c r="UBP55" s="1"/>
      <c r="UBQ55" s="1"/>
      <c r="UBR55" s="1"/>
      <c r="UBS55" s="1"/>
      <c r="UBT55" s="1"/>
      <c r="UBU55" s="1"/>
      <c r="UBV55" s="1"/>
      <c r="UBW55" s="1"/>
      <c r="UBX55" s="1"/>
      <c r="UBY55" s="1"/>
      <c r="UBZ55" s="1"/>
      <c r="UCA55" s="1"/>
      <c r="UCB55" s="1"/>
      <c r="UCC55" s="1"/>
      <c r="UCD55" s="1"/>
      <c r="UCE55" s="1"/>
      <c r="UCF55" s="1"/>
      <c r="UCG55" s="1"/>
      <c r="UCH55" s="1"/>
      <c r="UCI55" s="1"/>
      <c r="UCJ55" s="1"/>
      <c r="UCK55" s="1"/>
      <c r="UCL55" s="1"/>
      <c r="UCM55" s="1"/>
      <c r="UCN55" s="1"/>
      <c r="UCO55" s="1"/>
      <c r="UCP55" s="1"/>
      <c r="UCQ55" s="1"/>
      <c r="UCR55" s="1"/>
      <c r="UCS55" s="1"/>
      <c r="UCT55" s="1"/>
      <c r="UCU55" s="1"/>
      <c r="UCV55" s="1"/>
      <c r="UCW55" s="1"/>
      <c r="UCX55" s="1"/>
      <c r="UCY55" s="1"/>
      <c r="UCZ55" s="1"/>
      <c r="UDA55" s="1"/>
      <c r="UDB55" s="1"/>
      <c r="UDC55" s="1"/>
      <c r="UDD55" s="1"/>
      <c r="UDE55" s="1"/>
      <c r="UDF55" s="1"/>
      <c r="UDG55" s="1"/>
      <c r="UDH55" s="1"/>
      <c r="UDI55" s="1"/>
      <c r="UDJ55" s="1"/>
      <c r="UDK55" s="1"/>
      <c r="UDL55" s="1"/>
      <c r="UDM55" s="1"/>
      <c r="UDN55" s="1"/>
      <c r="UDO55" s="1"/>
      <c r="UDP55" s="1"/>
      <c r="UDQ55" s="1"/>
      <c r="UDR55" s="1"/>
      <c r="UDS55" s="1"/>
      <c r="UDT55" s="1"/>
      <c r="UDU55" s="1"/>
      <c r="UDV55" s="1"/>
      <c r="UDW55" s="1"/>
      <c r="UDX55" s="1"/>
      <c r="UDY55" s="1"/>
      <c r="UDZ55" s="1"/>
      <c r="UEA55" s="1"/>
      <c r="UEB55" s="1"/>
      <c r="UEC55" s="1"/>
      <c r="UED55" s="1"/>
      <c r="UEE55" s="1"/>
      <c r="UEF55" s="1"/>
      <c r="UEG55" s="1"/>
      <c r="UEH55" s="1"/>
      <c r="UEI55" s="1"/>
      <c r="UEJ55" s="1"/>
      <c r="UEK55" s="1"/>
      <c r="UEL55" s="1"/>
      <c r="UEM55" s="1"/>
      <c r="UEN55" s="1"/>
      <c r="UEO55" s="1"/>
      <c r="UEP55" s="1"/>
      <c r="UEQ55" s="1"/>
      <c r="UER55" s="1"/>
      <c r="UES55" s="1"/>
      <c r="UET55" s="1"/>
      <c r="UEU55" s="1"/>
      <c r="UEV55" s="1"/>
      <c r="UEW55" s="1"/>
      <c r="UEX55" s="1"/>
      <c r="UEY55" s="1"/>
      <c r="UEZ55" s="1"/>
      <c r="UFA55" s="1"/>
      <c r="UFB55" s="1"/>
      <c r="UFC55" s="1"/>
      <c r="UFD55" s="1"/>
      <c r="UFE55" s="1"/>
      <c r="UFF55" s="1"/>
      <c r="UFG55" s="1"/>
      <c r="UFH55" s="1"/>
      <c r="UFI55" s="1"/>
      <c r="UFJ55" s="1"/>
      <c r="UFK55" s="1"/>
      <c r="UFL55" s="1"/>
      <c r="UFM55" s="1"/>
      <c r="UFN55" s="1"/>
      <c r="UFO55" s="1"/>
      <c r="UFP55" s="1"/>
      <c r="UFQ55" s="1"/>
      <c r="UFR55" s="1"/>
      <c r="UFS55" s="1"/>
      <c r="UFT55" s="1"/>
      <c r="UFU55" s="1"/>
      <c r="UFV55" s="1"/>
      <c r="UFW55" s="1"/>
      <c r="UFX55" s="1"/>
      <c r="UFY55" s="1"/>
      <c r="UFZ55" s="1"/>
      <c r="UGA55" s="1"/>
      <c r="UGB55" s="1"/>
      <c r="UGC55" s="1"/>
      <c r="UGD55" s="1"/>
      <c r="UGE55" s="1"/>
      <c r="UGF55" s="1"/>
      <c r="UGG55" s="1"/>
      <c r="UGH55" s="1"/>
      <c r="UGI55" s="1"/>
      <c r="UGJ55" s="1"/>
      <c r="UGK55" s="1"/>
      <c r="UGL55" s="1"/>
      <c r="UGM55" s="1"/>
      <c r="UGN55" s="1"/>
      <c r="UGO55" s="1"/>
      <c r="UGP55" s="1"/>
      <c r="UGQ55" s="1"/>
      <c r="UGR55" s="1"/>
      <c r="UGS55" s="1"/>
      <c r="UGT55" s="1"/>
      <c r="UGU55" s="1"/>
      <c r="UGV55" s="1"/>
      <c r="UGW55" s="1"/>
      <c r="UGX55" s="1"/>
      <c r="UGY55" s="1"/>
      <c r="UGZ55" s="1"/>
      <c r="UHA55" s="1"/>
      <c r="UHB55" s="1"/>
      <c r="UHC55" s="1"/>
      <c r="UHD55" s="1"/>
      <c r="UHE55" s="1"/>
      <c r="UHF55" s="1"/>
      <c r="UHG55" s="1"/>
      <c r="UHH55" s="1"/>
      <c r="UHI55" s="1"/>
      <c r="UHJ55" s="1"/>
      <c r="UHK55" s="1"/>
      <c r="UHL55" s="1"/>
      <c r="UHM55" s="1"/>
      <c r="UHN55" s="1"/>
      <c r="UHO55" s="1"/>
      <c r="UHP55" s="1"/>
      <c r="UHQ55" s="1"/>
      <c r="UHR55" s="1"/>
      <c r="UHS55" s="1"/>
      <c r="UHT55" s="1"/>
      <c r="UHU55" s="1"/>
      <c r="UHV55" s="1"/>
      <c r="UHW55" s="1"/>
      <c r="UHX55" s="1"/>
      <c r="UHY55" s="1"/>
      <c r="UHZ55" s="1"/>
      <c r="UIA55" s="1"/>
      <c r="UIB55" s="1"/>
      <c r="UIC55" s="1"/>
      <c r="UID55" s="1"/>
      <c r="UIE55" s="1"/>
      <c r="UIF55" s="1"/>
      <c r="UIG55" s="1"/>
      <c r="UIH55" s="1"/>
      <c r="UII55" s="1"/>
      <c r="UIJ55" s="1"/>
      <c r="UIK55" s="1"/>
      <c r="UIL55" s="1"/>
      <c r="UIM55" s="1"/>
      <c r="UIN55" s="1"/>
      <c r="UIO55" s="1"/>
      <c r="UIP55" s="1"/>
      <c r="UIQ55" s="1"/>
      <c r="UIR55" s="1"/>
      <c r="UIS55" s="1"/>
      <c r="UIT55" s="1"/>
      <c r="UIU55" s="1"/>
      <c r="UIV55" s="1"/>
      <c r="UIW55" s="1"/>
      <c r="UIX55" s="1"/>
      <c r="UIY55" s="1"/>
      <c r="UIZ55" s="1"/>
      <c r="UJA55" s="1"/>
      <c r="UJB55" s="1"/>
      <c r="UJC55" s="1"/>
      <c r="UJD55" s="1"/>
      <c r="UJE55" s="1"/>
      <c r="UJF55" s="1"/>
      <c r="UJG55" s="1"/>
      <c r="UJH55" s="1"/>
      <c r="UJI55" s="1"/>
      <c r="UJJ55" s="1"/>
      <c r="UJK55" s="1"/>
      <c r="UJL55" s="1"/>
      <c r="UJM55" s="1"/>
      <c r="UJN55" s="1"/>
      <c r="UJO55" s="1"/>
      <c r="UJP55" s="1"/>
      <c r="UJQ55" s="1"/>
      <c r="UJR55" s="1"/>
      <c r="UJS55" s="1"/>
      <c r="UJT55" s="1"/>
      <c r="UJU55" s="1"/>
      <c r="UJV55" s="1"/>
      <c r="UJW55" s="1"/>
      <c r="UJX55" s="1"/>
      <c r="UJY55" s="1"/>
      <c r="UJZ55" s="1"/>
      <c r="UKA55" s="1"/>
      <c r="UKB55" s="1"/>
      <c r="UKC55" s="1"/>
      <c r="UKD55" s="1"/>
      <c r="UKE55" s="1"/>
      <c r="UKF55" s="1"/>
      <c r="UKG55" s="1"/>
      <c r="UKH55" s="1"/>
      <c r="UKI55" s="1"/>
      <c r="UKJ55" s="1"/>
      <c r="UKK55" s="1"/>
      <c r="UKL55" s="1"/>
      <c r="UKM55" s="1"/>
      <c r="UKN55" s="1"/>
      <c r="UKO55" s="1"/>
      <c r="UKP55" s="1"/>
      <c r="UKQ55" s="1"/>
      <c r="UKR55" s="1"/>
      <c r="UKS55" s="1"/>
      <c r="UKT55" s="1"/>
      <c r="UKU55" s="1"/>
      <c r="UKV55" s="1"/>
      <c r="UKW55" s="1"/>
      <c r="UKX55" s="1"/>
      <c r="UKY55" s="1"/>
      <c r="UKZ55" s="1"/>
      <c r="ULA55" s="1"/>
      <c r="ULB55" s="1"/>
      <c r="ULC55" s="1"/>
      <c r="ULD55" s="1"/>
      <c r="ULE55" s="1"/>
      <c r="ULF55" s="1"/>
      <c r="ULG55" s="1"/>
      <c r="ULH55" s="1"/>
      <c r="ULI55" s="1"/>
      <c r="ULJ55" s="1"/>
      <c r="ULK55" s="1"/>
      <c r="ULL55" s="1"/>
      <c r="ULM55" s="1"/>
      <c r="ULN55" s="1"/>
      <c r="ULO55" s="1"/>
      <c r="ULP55" s="1"/>
      <c r="ULQ55" s="1"/>
      <c r="ULR55" s="1"/>
      <c r="ULS55" s="1"/>
      <c r="ULT55" s="1"/>
      <c r="ULU55" s="1"/>
      <c r="ULV55" s="1"/>
      <c r="ULW55" s="1"/>
      <c r="ULX55" s="1"/>
      <c r="ULY55" s="1"/>
      <c r="ULZ55" s="1"/>
      <c r="UMA55" s="1"/>
      <c r="UMB55" s="1"/>
      <c r="UMC55" s="1"/>
      <c r="UMD55" s="1"/>
      <c r="UME55" s="1"/>
      <c r="UMF55" s="1"/>
      <c r="UMG55" s="1"/>
      <c r="UMH55" s="1"/>
      <c r="UMI55" s="1"/>
      <c r="UMJ55" s="1"/>
      <c r="UMK55" s="1"/>
      <c r="UML55" s="1"/>
      <c r="UMM55" s="1"/>
      <c r="UMN55" s="1"/>
      <c r="UMO55" s="1"/>
      <c r="UMP55" s="1"/>
      <c r="UMQ55" s="1"/>
      <c r="UMR55" s="1"/>
      <c r="UMS55" s="1"/>
      <c r="UMT55" s="1"/>
      <c r="UMU55" s="1"/>
      <c r="UMV55" s="1"/>
      <c r="UMW55" s="1"/>
      <c r="UMX55" s="1"/>
      <c r="UMY55" s="1"/>
      <c r="UMZ55" s="1"/>
      <c r="UNA55" s="1"/>
      <c r="UNB55" s="1"/>
      <c r="UNC55" s="1"/>
      <c r="UND55" s="1"/>
      <c r="UNE55" s="1"/>
      <c r="UNF55" s="1"/>
      <c r="UNG55" s="1"/>
      <c r="UNH55" s="1"/>
      <c r="UNI55" s="1"/>
      <c r="UNJ55" s="1"/>
      <c r="UNK55" s="1"/>
      <c r="UNL55" s="1"/>
      <c r="UNM55" s="1"/>
      <c r="UNN55" s="1"/>
      <c r="UNO55" s="1"/>
      <c r="UNP55" s="1"/>
      <c r="UNQ55" s="1"/>
      <c r="UNR55" s="1"/>
      <c r="UNS55" s="1"/>
      <c r="UNT55" s="1"/>
      <c r="UNU55" s="1"/>
      <c r="UNV55" s="1"/>
      <c r="UNW55" s="1"/>
      <c r="UNX55" s="1"/>
      <c r="UNY55" s="1"/>
      <c r="UNZ55" s="1"/>
      <c r="UOA55" s="1"/>
      <c r="UOB55" s="1"/>
      <c r="UOC55" s="1"/>
      <c r="UOD55" s="1"/>
      <c r="UOE55" s="1"/>
      <c r="UOF55" s="1"/>
      <c r="UOG55" s="1"/>
      <c r="UOH55" s="1"/>
      <c r="UOI55" s="1"/>
      <c r="UOJ55" s="1"/>
      <c r="UOK55" s="1"/>
      <c r="UOL55" s="1"/>
      <c r="UOM55" s="1"/>
      <c r="UON55" s="1"/>
      <c r="UOO55" s="1"/>
      <c r="UOP55" s="1"/>
      <c r="UOQ55" s="1"/>
      <c r="UOR55" s="1"/>
      <c r="UOS55" s="1"/>
      <c r="UOT55" s="1"/>
      <c r="UOU55" s="1"/>
      <c r="UOV55" s="1"/>
      <c r="UOW55" s="1"/>
      <c r="UOX55" s="1"/>
      <c r="UOY55" s="1"/>
      <c r="UOZ55" s="1"/>
      <c r="UPA55" s="1"/>
      <c r="UPB55" s="1"/>
      <c r="UPC55" s="1"/>
      <c r="UPD55" s="1"/>
      <c r="UPE55" s="1"/>
      <c r="UPF55" s="1"/>
      <c r="UPG55" s="1"/>
      <c r="UPH55" s="1"/>
      <c r="UPI55" s="1"/>
      <c r="UPJ55" s="1"/>
      <c r="UPK55" s="1"/>
      <c r="UPL55" s="1"/>
      <c r="UPM55" s="1"/>
      <c r="UPN55" s="1"/>
      <c r="UPO55" s="1"/>
      <c r="UPP55" s="1"/>
      <c r="UPQ55" s="1"/>
      <c r="UPR55" s="1"/>
      <c r="UPS55" s="1"/>
      <c r="UPT55" s="1"/>
      <c r="UPU55" s="1"/>
      <c r="UPV55" s="1"/>
      <c r="UPW55" s="1"/>
      <c r="UPX55" s="1"/>
      <c r="UPY55" s="1"/>
      <c r="UPZ55" s="1"/>
      <c r="UQA55" s="1"/>
      <c r="UQB55" s="1"/>
      <c r="UQC55" s="1"/>
      <c r="UQD55" s="1"/>
      <c r="UQE55" s="1"/>
      <c r="UQF55" s="1"/>
      <c r="UQG55" s="1"/>
      <c r="UQH55" s="1"/>
      <c r="UQI55" s="1"/>
      <c r="UQJ55" s="1"/>
      <c r="UQK55" s="1"/>
      <c r="UQL55" s="1"/>
      <c r="UQM55" s="1"/>
      <c r="UQN55" s="1"/>
      <c r="UQO55" s="1"/>
      <c r="UQP55" s="1"/>
      <c r="UQQ55" s="1"/>
      <c r="UQR55" s="1"/>
      <c r="UQS55" s="1"/>
      <c r="UQT55" s="1"/>
      <c r="UQU55" s="1"/>
      <c r="UQV55" s="1"/>
      <c r="UQW55" s="1"/>
      <c r="UQX55" s="1"/>
      <c r="UQY55" s="1"/>
      <c r="UQZ55" s="1"/>
      <c r="URA55" s="1"/>
      <c r="URB55" s="1"/>
      <c r="URC55" s="1"/>
      <c r="URD55" s="1"/>
      <c r="URE55" s="1"/>
      <c r="URF55" s="1"/>
      <c r="URG55" s="1"/>
      <c r="URH55" s="1"/>
      <c r="URI55" s="1"/>
      <c r="URJ55" s="1"/>
      <c r="URK55" s="1"/>
      <c r="URL55" s="1"/>
      <c r="URM55" s="1"/>
      <c r="URN55" s="1"/>
      <c r="URO55" s="1"/>
      <c r="URP55" s="1"/>
      <c r="URQ55" s="1"/>
      <c r="URR55" s="1"/>
      <c r="URS55" s="1"/>
      <c r="URT55" s="1"/>
      <c r="URU55" s="1"/>
      <c r="URV55" s="1"/>
      <c r="URW55" s="1"/>
      <c r="URX55" s="1"/>
      <c r="URY55" s="1"/>
      <c r="URZ55" s="1"/>
      <c r="USA55" s="1"/>
      <c r="USB55" s="1"/>
      <c r="USC55" s="1"/>
      <c r="USD55" s="1"/>
      <c r="USE55" s="1"/>
      <c r="USF55" s="1"/>
      <c r="USG55" s="1"/>
      <c r="USH55" s="1"/>
      <c r="USI55" s="1"/>
      <c r="USJ55" s="1"/>
      <c r="USK55" s="1"/>
      <c r="USL55" s="1"/>
      <c r="USM55" s="1"/>
      <c r="USN55" s="1"/>
      <c r="USO55" s="1"/>
      <c r="USP55" s="1"/>
      <c r="USQ55" s="1"/>
      <c r="USR55" s="1"/>
      <c r="USS55" s="1"/>
      <c r="UST55" s="1"/>
      <c r="USU55" s="1"/>
      <c r="USV55" s="1"/>
      <c r="USW55" s="1"/>
      <c r="USX55" s="1"/>
      <c r="USY55" s="1"/>
      <c r="USZ55" s="1"/>
      <c r="UTA55" s="1"/>
      <c r="UTB55" s="1"/>
      <c r="UTC55" s="1"/>
      <c r="UTD55" s="1"/>
      <c r="UTE55" s="1"/>
      <c r="UTF55" s="1"/>
      <c r="UTG55" s="1"/>
      <c r="UTH55" s="1"/>
      <c r="UTI55" s="1"/>
      <c r="UTJ55" s="1"/>
      <c r="UTK55" s="1"/>
      <c r="UTL55" s="1"/>
      <c r="UTM55" s="1"/>
      <c r="UTN55" s="1"/>
      <c r="UTO55" s="1"/>
      <c r="UTP55" s="1"/>
      <c r="UTQ55" s="1"/>
      <c r="UTR55" s="1"/>
      <c r="UTS55" s="1"/>
      <c r="UTT55" s="1"/>
      <c r="UTU55" s="1"/>
      <c r="UTV55" s="1"/>
      <c r="UTW55" s="1"/>
      <c r="UTX55" s="1"/>
      <c r="UTY55" s="1"/>
      <c r="UTZ55" s="1"/>
      <c r="UUA55" s="1"/>
      <c r="UUB55" s="1"/>
      <c r="UUC55" s="1"/>
      <c r="UUD55" s="1"/>
      <c r="UUE55" s="1"/>
      <c r="UUF55" s="1"/>
      <c r="UUG55" s="1"/>
      <c r="UUH55" s="1"/>
      <c r="UUI55" s="1"/>
      <c r="UUJ55" s="1"/>
      <c r="UUK55" s="1"/>
      <c r="UUL55" s="1"/>
      <c r="UUM55" s="1"/>
      <c r="UUN55" s="1"/>
      <c r="UUO55" s="1"/>
      <c r="UUP55" s="1"/>
      <c r="UUQ55" s="1"/>
      <c r="UUR55" s="1"/>
      <c r="UUS55" s="1"/>
      <c r="UUT55" s="1"/>
      <c r="UUU55" s="1"/>
      <c r="UUV55" s="1"/>
      <c r="UUW55" s="1"/>
      <c r="UUX55" s="1"/>
      <c r="UUY55" s="1"/>
      <c r="UUZ55" s="1"/>
      <c r="UVA55" s="1"/>
      <c r="UVB55" s="1"/>
      <c r="UVC55" s="1"/>
      <c r="UVD55" s="1"/>
      <c r="UVE55" s="1"/>
      <c r="UVF55" s="1"/>
      <c r="UVG55" s="1"/>
      <c r="UVH55" s="1"/>
      <c r="UVI55" s="1"/>
      <c r="UVJ55" s="1"/>
      <c r="UVK55" s="1"/>
      <c r="UVL55" s="1"/>
      <c r="UVM55" s="1"/>
      <c r="UVN55" s="1"/>
      <c r="UVO55" s="1"/>
      <c r="UVP55" s="1"/>
      <c r="UVQ55" s="1"/>
      <c r="UVR55" s="1"/>
      <c r="UVS55" s="1"/>
      <c r="UVT55" s="1"/>
      <c r="UVU55" s="1"/>
      <c r="UVV55" s="1"/>
      <c r="UVW55" s="1"/>
      <c r="UVX55" s="1"/>
      <c r="UVY55" s="1"/>
      <c r="UVZ55" s="1"/>
      <c r="UWA55" s="1"/>
      <c r="UWB55" s="1"/>
      <c r="UWC55" s="1"/>
      <c r="UWD55" s="1"/>
      <c r="UWE55" s="1"/>
      <c r="UWF55" s="1"/>
      <c r="UWG55" s="1"/>
      <c r="UWH55" s="1"/>
      <c r="UWI55" s="1"/>
      <c r="UWJ55" s="1"/>
      <c r="UWK55" s="1"/>
      <c r="UWL55" s="1"/>
      <c r="UWM55" s="1"/>
      <c r="UWN55" s="1"/>
      <c r="UWO55" s="1"/>
      <c r="UWP55" s="1"/>
      <c r="UWQ55" s="1"/>
      <c r="UWR55" s="1"/>
      <c r="UWS55" s="1"/>
      <c r="UWT55" s="1"/>
      <c r="UWU55" s="1"/>
      <c r="UWV55" s="1"/>
      <c r="UWW55" s="1"/>
      <c r="UWX55" s="1"/>
      <c r="UWY55" s="1"/>
      <c r="UWZ55" s="1"/>
      <c r="UXA55" s="1"/>
      <c r="UXB55" s="1"/>
      <c r="UXC55" s="1"/>
      <c r="UXD55" s="1"/>
      <c r="UXE55" s="1"/>
      <c r="UXF55" s="1"/>
      <c r="UXG55" s="1"/>
      <c r="UXH55" s="1"/>
      <c r="UXI55" s="1"/>
      <c r="UXJ55" s="1"/>
      <c r="UXK55" s="1"/>
      <c r="UXL55" s="1"/>
      <c r="UXM55" s="1"/>
      <c r="UXN55" s="1"/>
      <c r="UXO55" s="1"/>
      <c r="UXP55" s="1"/>
      <c r="UXQ55" s="1"/>
      <c r="UXR55" s="1"/>
      <c r="UXS55" s="1"/>
      <c r="UXT55" s="1"/>
      <c r="UXU55" s="1"/>
      <c r="UXV55" s="1"/>
      <c r="UXW55" s="1"/>
      <c r="UXX55" s="1"/>
      <c r="UXY55" s="1"/>
      <c r="UXZ55" s="1"/>
      <c r="UYA55" s="1"/>
      <c r="UYB55" s="1"/>
      <c r="UYC55" s="1"/>
      <c r="UYD55" s="1"/>
      <c r="UYE55" s="1"/>
      <c r="UYF55" s="1"/>
      <c r="UYG55" s="1"/>
      <c r="UYH55" s="1"/>
      <c r="UYI55" s="1"/>
      <c r="UYJ55" s="1"/>
      <c r="UYK55" s="1"/>
      <c r="UYL55" s="1"/>
      <c r="UYM55" s="1"/>
      <c r="UYN55" s="1"/>
      <c r="UYO55" s="1"/>
      <c r="UYP55" s="1"/>
      <c r="UYQ55" s="1"/>
      <c r="UYR55" s="1"/>
      <c r="UYS55" s="1"/>
      <c r="UYT55" s="1"/>
      <c r="UYU55" s="1"/>
      <c r="UYV55" s="1"/>
      <c r="UYW55" s="1"/>
      <c r="UYX55" s="1"/>
      <c r="UYY55" s="1"/>
      <c r="UYZ55" s="1"/>
      <c r="UZA55" s="1"/>
      <c r="UZB55" s="1"/>
      <c r="UZC55" s="1"/>
      <c r="UZD55" s="1"/>
      <c r="UZE55" s="1"/>
      <c r="UZF55" s="1"/>
      <c r="UZG55" s="1"/>
      <c r="UZH55" s="1"/>
      <c r="UZI55" s="1"/>
      <c r="UZJ55" s="1"/>
      <c r="UZK55" s="1"/>
      <c r="UZL55" s="1"/>
      <c r="UZM55" s="1"/>
      <c r="UZN55" s="1"/>
      <c r="UZO55" s="1"/>
      <c r="UZP55" s="1"/>
      <c r="UZQ55" s="1"/>
      <c r="UZR55" s="1"/>
      <c r="UZS55" s="1"/>
      <c r="UZT55" s="1"/>
      <c r="UZU55" s="1"/>
      <c r="UZV55" s="1"/>
      <c r="UZW55" s="1"/>
      <c r="UZX55" s="1"/>
      <c r="UZY55" s="1"/>
      <c r="UZZ55" s="1"/>
      <c r="VAA55" s="1"/>
      <c r="VAB55" s="1"/>
      <c r="VAC55" s="1"/>
      <c r="VAD55" s="1"/>
      <c r="VAE55" s="1"/>
      <c r="VAF55" s="1"/>
      <c r="VAG55" s="1"/>
      <c r="VAH55" s="1"/>
      <c r="VAI55" s="1"/>
      <c r="VAJ55" s="1"/>
      <c r="VAK55" s="1"/>
      <c r="VAL55" s="1"/>
      <c r="VAM55" s="1"/>
      <c r="VAN55" s="1"/>
      <c r="VAO55" s="1"/>
      <c r="VAP55" s="1"/>
      <c r="VAQ55" s="1"/>
      <c r="VAR55" s="1"/>
      <c r="VAS55" s="1"/>
      <c r="VAT55" s="1"/>
      <c r="VAU55" s="1"/>
      <c r="VAV55" s="1"/>
      <c r="VAW55" s="1"/>
      <c r="VAX55" s="1"/>
      <c r="VAY55" s="1"/>
      <c r="VAZ55" s="1"/>
      <c r="VBA55" s="1"/>
      <c r="VBB55" s="1"/>
      <c r="VBC55" s="1"/>
      <c r="VBD55" s="1"/>
      <c r="VBE55" s="1"/>
      <c r="VBF55" s="1"/>
      <c r="VBG55" s="1"/>
      <c r="VBH55" s="1"/>
      <c r="VBI55" s="1"/>
      <c r="VBJ55" s="1"/>
      <c r="VBK55" s="1"/>
      <c r="VBL55" s="1"/>
      <c r="VBM55" s="1"/>
      <c r="VBN55" s="1"/>
      <c r="VBO55" s="1"/>
      <c r="VBP55" s="1"/>
      <c r="VBQ55" s="1"/>
      <c r="VBR55" s="1"/>
      <c r="VBS55" s="1"/>
      <c r="VBT55" s="1"/>
      <c r="VBU55" s="1"/>
      <c r="VBV55" s="1"/>
      <c r="VBW55" s="1"/>
      <c r="VBX55" s="1"/>
      <c r="VBY55" s="1"/>
      <c r="VBZ55" s="1"/>
      <c r="VCA55" s="1"/>
      <c r="VCB55" s="1"/>
      <c r="VCC55" s="1"/>
      <c r="VCD55" s="1"/>
      <c r="VCE55" s="1"/>
      <c r="VCF55" s="1"/>
      <c r="VCG55" s="1"/>
      <c r="VCH55" s="1"/>
      <c r="VCI55" s="1"/>
      <c r="VCJ55" s="1"/>
      <c r="VCK55" s="1"/>
      <c r="VCL55" s="1"/>
      <c r="VCM55" s="1"/>
      <c r="VCN55" s="1"/>
      <c r="VCO55" s="1"/>
      <c r="VCP55" s="1"/>
      <c r="VCQ55" s="1"/>
      <c r="VCR55" s="1"/>
      <c r="VCS55" s="1"/>
      <c r="VCT55" s="1"/>
      <c r="VCU55" s="1"/>
      <c r="VCV55" s="1"/>
      <c r="VCW55" s="1"/>
      <c r="VCX55" s="1"/>
      <c r="VCY55" s="1"/>
      <c r="VCZ55" s="1"/>
      <c r="VDA55" s="1"/>
      <c r="VDB55" s="1"/>
      <c r="VDC55" s="1"/>
      <c r="VDD55" s="1"/>
      <c r="VDE55" s="1"/>
      <c r="VDF55" s="1"/>
      <c r="VDG55" s="1"/>
      <c r="VDH55" s="1"/>
      <c r="VDI55" s="1"/>
      <c r="VDJ55" s="1"/>
      <c r="VDK55" s="1"/>
      <c r="VDL55" s="1"/>
      <c r="VDM55" s="1"/>
      <c r="VDN55" s="1"/>
      <c r="VDO55" s="1"/>
      <c r="VDP55" s="1"/>
      <c r="VDQ55" s="1"/>
      <c r="VDR55" s="1"/>
      <c r="VDS55" s="1"/>
      <c r="VDT55" s="1"/>
      <c r="VDU55" s="1"/>
      <c r="VDV55" s="1"/>
      <c r="VDW55" s="1"/>
      <c r="VDX55" s="1"/>
      <c r="VDY55" s="1"/>
      <c r="VDZ55" s="1"/>
      <c r="VEA55" s="1"/>
      <c r="VEB55" s="1"/>
      <c r="VEC55" s="1"/>
      <c r="VED55" s="1"/>
      <c r="VEE55" s="1"/>
      <c r="VEF55" s="1"/>
      <c r="VEG55" s="1"/>
      <c r="VEH55" s="1"/>
      <c r="VEI55" s="1"/>
      <c r="VEJ55" s="1"/>
      <c r="VEK55" s="1"/>
      <c r="VEL55" s="1"/>
      <c r="VEM55" s="1"/>
      <c r="VEN55" s="1"/>
      <c r="VEO55" s="1"/>
      <c r="VEP55" s="1"/>
      <c r="VEQ55" s="1"/>
      <c r="VER55" s="1"/>
      <c r="VES55" s="1"/>
      <c r="VET55" s="1"/>
      <c r="VEU55" s="1"/>
      <c r="VEV55" s="1"/>
      <c r="VEW55" s="1"/>
      <c r="VEX55" s="1"/>
      <c r="VEY55" s="1"/>
      <c r="VEZ55" s="1"/>
      <c r="VFA55" s="1"/>
      <c r="VFB55" s="1"/>
      <c r="VFC55" s="1"/>
      <c r="VFD55" s="1"/>
      <c r="VFE55" s="1"/>
      <c r="VFF55" s="1"/>
      <c r="VFG55" s="1"/>
      <c r="VFH55" s="1"/>
      <c r="VFI55" s="1"/>
      <c r="VFJ55" s="1"/>
      <c r="VFK55" s="1"/>
      <c r="VFL55" s="1"/>
      <c r="VFM55" s="1"/>
      <c r="VFN55" s="1"/>
      <c r="VFO55" s="1"/>
      <c r="VFP55" s="1"/>
      <c r="VFQ55" s="1"/>
      <c r="VFR55" s="1"/>
      <c r="VFS55" s="1"/>
      <c r="VFT55" s="1"/>
      <c r="VFU55" s="1"/>
      <c r="VFV55" s="1"/>
      <c r="VFW55" s="1"/>
      <c r="VFX55" s="1"/>
      <c r="VFY55" s="1"/>
      <c r="VFZ55" s="1"/>
      <c r="VGA55" s="1"/>
      <c r="VGB55" s="1"/>
      <c r="VGC55" s="1"/>
      <c r="VGD55" s="1"/>
      <c r="VGE55" s="1"/>
      <c r="VGF55" s="1"/>
      <c r="VGG55" s="1"/>
      <c r="VGH55" s="1"/>
      <c r="VGI55" s="1"/>
      <c r="VGJ55" s="1"/>
      <c r="VGK55" s="1"/>
      <c r="VGL55" s="1"/>
      <c r="VGM55" s="1"/>
      <c r="VGN55" s="1"/>
      <c r="VGO55" s="1"/>
      <c r="VGP55" s="1"/>
      <c r="VGQ55" s="1"/>
      <c r="VGR55" s="1"/>
      <c r="VGS55" s="1"/>
      <c r="VGT55" s="1"/>
      <c r="VGU55" s="1"/>
      <c r="VGV55" s="1"/>
      <c r="VGW55" s="1"/>
      <c r="VGX55" s="1"/>
      <c r="VGY55" s="1"/>
      <c r="VGZ55" s="1"/>
      <c r="VHA55" s="1"/>
      <c r="VHB55" s="1"/>
      <c r="VHC55" s="1"/>
      <c r="VHD55" s="1"/>
      <c r="VHE55" s="1"/>
      <c r="VHF55" s="1"/>
      <c r="VHG55" s="1"/>
      <c r="VHH55" s="1"/>
      <c r="VHI55" s="1"/>
      <c r="VHJ55" s="1"/>
      <c r="VHK55" s="1"/>
      <c r="VHL55" s="1"/>
      <c r="VHM55" s="1"/>
      <c r="VHN55" s="1"/>
      <c r="VHO55" s="1"/>
      <c r="VHP55" s="1"/>
      <c r="VHQ55" s="1"/>
      <c r="VHR55" s="1"/>
      <c r="VHS55" s="1"/>
      <c r="VHT55" s="1"/>
      <c r="VHU55" s="1"/>
      <c r="VHV55" s="1"/>
      <c r="VHW55" s="1"/>
      <c r="VHX55" s="1"/>
      <c r="VHY55" s="1"/>
      <c r="VHZ55" s="1"/>
      <c r="VIA55" s="1"/>
      <c r="VIB55" s="1"/>
      <c r="VIC55" s="1"/>
      <c r="VID55" s="1"/>
      <c r="VIE55" s="1"/>
      <c r="VIF55" s="1"/>
      <c r="VIG55" s="1"/>
      <c r="VIH55" s="1"/>
      <c r="VII55" s="1"/>
      <c r="VIJ55" s="1"/>
      <c r="VIK55" s="1"/>
      <c r="VIL55" s="1"/>
      <c r="VIM55" s="1"/>
      <c r="VIN55" s="1"/>
      <c r="VIO55" s="1"/>
      <c r="VIP55" s="1"/>
      <c r="VIQ55" s="1"/>
      <c r="VIR55" s="1"/>
      <c r="VIS55" s="1"/>
      <c r="VIT55" s="1"/>
      <c r="VIU55" s="1"/>
      <c r="VIV55" s="1"/>
      <c r="VIW55" s="1"/>
      <c r="VIX55" s="1"/>
      <c r="VIY55" s="1"/>
      <c r="VIZ55" s="1"/>
      <c r="VJA55" s="1"/>
      <c r="VJB55" s="1"/>
      <c r="VJC55" s="1"/>
      <c r="VJD55" s="1"/>
      <c r="VJE55" s="1"/>
      <c r="VJF55" s="1"/>
      <c r="VJG55" s="1"/>
      <c r="VJH55" s="1"/>
      <c r="VJI55" s="1"/>
      <c r="VJJ55" s="1"/>
      <c r="VJK55" s="1"/>
      <c r="VJL55" s="1"/>
      <c r="VJM55" s="1"/>
      <c r="VJN55" s="1"/>
      <c r="VJO55" s="1"/>
      <c r="VJP55" s="1"/>
      <c r="VJQ55" s="1"/>
      <c r="VJR55" s="1"/>
      <c r="VJS55" s="1"/>
      <c r="VJT55" s="1"/>
      <c r="VJU55" s="1"/>
      <c r="VJV55" s="1"/>
      <c r="VJW55" s="1"/>
      <c r="VJX55" s="1"/>
      <c r="VJY55" s="1"/>
      <c r="VJZ55" s="1"/>
      <c r="VKA55" s="1"/>
      <c r="VKB55" s="1"/>
      <c r="VKC55" s="1"/>
      <c r="VKD55" s="1"/>
      <c r="VKE55" s="1"/>
      <c r="VKF55" s="1"/>
      <c r="VKG55" s="1"/>
      <c r="VKH55" s="1"/>
      <c r="VKI55" s="1"/>
      <c r="VKJ55" s="1"/>
      <c r="VKK55" s="1"/>
      <c r="VKL55" s="1"/>
      <c r="VKM55" s="1"/>
      <c r="VKN55" s="1"/>
      <c r="VKO55" s="1"/>
      <c r="VKP55" s="1"/>
      <c r="VKQ55" s="1"/>
      <c r="VKR55" s="1"/>
      <c r="VKS55" s="1"/>
      <c r="VKT55" s="1"/>
      <c r="VKU55" s="1"/>
      <c r="VKV55" s="1"/>
      <c r="VKW55" s="1"/>
      <c r="VKX55" s="1"/>
      <c r="VKY55" s="1"/>
      <c r="VKZ55" s="1"/>
      <c r="VLA55" s="1"/>
      <c r="VLB55" s="1"/>
      <c r="VLC55" s="1"/>
      <c r="VLD55" s="1"/>
      <c r="VLE55" s="1"/>
      <c r="VLF55" s="1"/>
      <c r="VLG55" s="1"/>
      <c r="VLH55" s="1"/>
      <c r="VLI55" s="1"/>
      <c r="VLJ55" s="1"/>
      <c r="VLK55" s="1"/>
      <c r="VLL55" s="1"/>
      <c r="VLM55" s="1"/>
      <c r="VLN55" s="1"/>
      <c r="VLO55" s="1"/>
      <c r="VLP55" s="1"/>
      <c r="VLQ55" s="1"/>
      <c r="VLR55" s="1"/>
      <c r="VLS55" s="1"/>
      <c r="VLT55" s="1"/>
      <c r="VLU55" s="1"/>
      <c r="VLV55" s="1"/>
      <c r="VLW55" s="1"/>
      <c r="VLX55" s="1"/>
      <c r="VLY55" s="1"/>
      <c r="VLZ55" s="1"/>
      <c r="VMA55" s="1"/>
      <c r="VMB55" s="1"/>
      <c r="VMC55" s="1"/>
      <c r="VMD55" s="1"/>
      <c r="VME55" s="1"/>
      <c r="VMF55" s="1"/>
      <c r="VMG55" s="1"/>
      <c r="VMH55" s="1"/>
      <c r="VMI55" s="1"/>
      <c r="VMJ55" s="1"/>
      <c r="VMK55" s="1"/>
      <c r="VML55" s="1"/>
      <c r="VMM55" s="1"/>
      <c r="VMN55" s="1"/>
      <c r="VMO55" s="1"/>
      <c r="VMP55" s="1"/>
      <c r="VMQ55" s="1"/>
      <c r="VMR55" s="1"/>
      <c r="VMS55" s="1"/>
      <c r="VMT55" s="1"/>
      <c r="VMU55" s="1"/>
      <c r="VMV55" s="1"/>
      <c r="VMW55" s="1"/>
      <c r="VMX55" s="1"/>
      <c r="VMY55" s="1"/>
      <c r="VMZ55" s="1"/>
      <c r="VNA55" s="1"/>
      <c r="VNB55" s="1"/>
      <c r="VNC55" s="1"/>
      <c r="VND55" s="1"/>
      <c r="VNE55" s="1"/>
      <c r="VNF55" s="1"/>
      <c r="VNG55" s="1"/>
      <c r="VNH55" s="1"/>
      <c r="VNI55" s="1"/>
      <c r="VNJ55" s="1"/>
      <c r="VNK55" s="1"/>
      <c r="VNL55" s="1"/>
      <c r="VNM55" s="1"/>
      <c r="VNN55" s="1"/>
      <c r="VNO55" s="1"/>
      <c r="VNP55" s="1"/>
      <c r="VNQ55" s="1"/>
      <c r="VNR55" s="1"/>
      <c r="VNS55" s="1"/>
      <c r="VNT55" s="1"/>
      <c r="VNU55" s="1"/>
      <c r="VNV55" s="1"/>
      <c r="VNW55" s="1"/>
      <c r="VNX55" s="1"/>
      <c r="VNY55" s="1"/>
      <c r="VNZ55" s="1"/>
      <c r="VOA55" s="1"/>
      <c r="VOB55" s="1"/>
      <c r="VOC55" s="1"/>
      <c r="VOD55" s="1"/>
      <c r="VOE55" s="1"/>
      <c r="VOF55" s="1"/>
      <c r="VOG55" s="1"/>
      <c r="VOH55" s="1"/>
      <c r="VOI55" s="1"/>
      <c r="VOJ55" s="1"/>
      <c r="VOK55" s="1"/>
      <c r="VOL55" s="1"/>
      <c r="VOM55" s="1"/>
      <c r="VON55" s="1"/>
      <c r="VOO55" s="1"/>
      <c r="VOP55" s="1"/>
      <c r="VOQ55" s="1"/>
      <c r="VOR55" s="1"/>
      <c r="VOS55" s="1"/>
      <c r="VOT55" s="1"/>
      <c r="VOU55" s="1"/>
      <c r="VOV55" s="1"/>
      <c r="VOW55" s="1"/>
      <c r="VOX55" s="1"/>
      <c r="VOY55" s="1"/>
      <c r="VOZ55" s="1"/>
      <c r="VPA55" s="1"/>
      <c r="VPB55" s="1"/>
      <c r="VPC55" s="1"/>
      <c r="VPD55" s="1"/>
      <c r="VPE55" s="1"/>
      <c r="VPF55" s="1"/>
      <c r="VPG55" s="1"/>
      <c r="VPH55" s="1"/>
      <c r="VPI55" s="1"/>
      <c r="VPJ55" s="1"/>
      <c r="VPK55" s="1"/>
      <c r="VPL55" s="1"/>
      <c r="VPM55" s="1"/>
      <c r="VPN55" s="1"/>
      <c r="VPO55" s="1"/>
      <c r="VPP55" s="1"/>
      <c r="VPQ55" s="1"/>
      <c r="VPR55" s="1"/>
      <c r="VPS55" s="1"/>
      <c r="VPT55" s="1"/>
      <c r="VPU55" s="1"/>
      <c r="VPV55" s="1"/>
      <c r="VPW55" s="1"/>
      <c r="VPX55" s="1"/>
      <c r="VPY55" s="1"/>
      <c r="VPZ55" s="1"/>
      <c r="VQA55" s="1"/>
      <c r="VQB55" s="1"/>
      <c r="VQC55" s="1"/>
      <c r="VQD55" s="1"/>
      <c r="VQE55" s="1"/>
      <c r="VQF55" s="1"/>
      <c r="VQG55" s="1"/>
      <c r="VQH55" s="1"/>
      <c r="VQI55" s="1"/>
      <c r="VQJ55" s="1"/>
      <c r="VQK55" s="1"/>
      <c r="VQL55" s="1"/>
      <c r="VQM55" s="1"/>
      <c r="VQN55" s="1"/>
      <c r="VQO55" s="1"/>
      <c r="VQP55" s="1"/>
      <c r="VQQ55" s="1"/>
      <c r="VQR55" s="1"/>
      <c r="VQS55" s="1"/>
      <c r="VQT55" s="1"/>
      <c r="VQU55" s="1"/>
      <c r="VQV55" s="1"/>
      <c r="VQW55" s="1"/>
      <c r="VQX55" s="1"/>
      <c r="VQY55" s="1"/>
      <c r="VQZ55" s="1"/>
      <c r="VRA55" s="1"/>
      <c r="VRB55" s="1"/>
      <c r="VRC55" s="1"/>
      <c r="VRD55" s="1"/>
      <c r="VRE55" s="1"/>
      <c r="VRF55" s="1"/>
      <c r="VRG55" s="1"/>
      <c r="VRH55" s="1"/>
      <c r="VRI55" s="1"/>
      <c r="VRJ55" s="1"/>
      <c r="VRK55" s="1"/>
      <c r="VRL55" s="1"/>
      <c r="VRM55" s="1"/>
      <c r="VRN55" s="1"/>
      <c r="VRO55" s="1"/>
      <c r="VRP55" s="1"/>
      <c r="VRQ55" s="1"/>
      <c r="VRR55" s="1"/>
      <c r="VRS55" s="1"/>
      <c r="VRT55" s="1"/>
      <c r="VRU55" s="1"/>
      <c r="VRV55" s="1"/>
      <c r="VRW55" s="1"/>
      <c r="VRX55" s="1"/>
      <c r="VRY55" s="1"/>
      <c r="VRZ55" s="1"/>
      <c r="VSA55" s="1"/>
      <c r="VSB55" s="1"/>
      <c r="VSC55" s="1"/>
      <c r="VSD55" s="1"/>
      <c r="VSE55" s="1"/>
      <c r="VSF55" s="1"/>
      <c r="VSG55" s="1"/>
      <c r="VSH55" s="1"/>
      <c r="VSI55" s="1"/>
      <c r="VSJ55" s="1"/>
      <c r="VSK55" s="1"/>
      <c r="VSL55" s="1"/>
      <c r="VSM55" s="1"/>
      <c r="VSN55" s="1"/>
      <c r="VSO55" s="1"/>
      <c r="VSP55" s="1"/>
      <c r="VSQ55" s="1"/>
      <c r="VSR55" s="1"/>
      <c r="VSS55" s="1"/>
      <c r="VST55" s="1"/>
      <c r="VSU55" s="1"/>
      <c r="VSV55" s="1"/>
      <c r="VSW55" s="1"/>
      <c r="VSX55" s="1"/>
      <c r="VSY55" s="1"/>
      <c r="VSZ55" s="1"/>
      <c r="VTA55" s="1"/>
      <c r="VTB55" s="1"/>
      <c r="VTC55" s="1"/>
      <c r="VTD55" s="1"/>
      <c r="VTE55" s="1"/>
      <c r="VTF55" s="1"/>
      <c r="VTG55" s="1"/>
      <c r="VTH55" s="1"/>
      <c r="VTI55" s="1"/>
      <c r="VTJ55" s="1"/>
      <c r="VTK55" s="1"/>
      <c r="VTL55" s="1"/>
      <c r="VTM55" s="1"/>
      <c r="VTN55" s="1"/>
      <c r="VTO55" s="1"/>
      <c r="VTP55" s="1"/>
      <c r="VTQ55" s="1"/>
      <c r="VTR55" s="1"/>
      <c r="VTS55" s="1"/>
      <c r="VTT55" s="1"/>
      <c r="VTU55" s="1"/>
      <c r="VTV55" s="1"/>
      <c r="VTW55" s="1"/>
      <c r="VTX55" s="1"/>
      <c r="VTY55" s="1"/>
      <c r="VTZ55" s="1"/>
      <c r="VUA55" s="1"/>
      <c r="VUB55" s="1"/>
      <c r="VUC55" s="1"/>
      <c r="VUD55" s="1"/>
      <c r="VUE55" s="1"/>
      <c r="VUF55" s="1"/>
      <c r="VUG55" s="1"/>
      <c r="VUH55" s="1"/>
      <c r="VUI55" s="1"/>
      <c r="VUJ55" s="1"/>
      <c r="VUK55" s="1"/>
      <c r="VUL55" s="1"/>
      <c r="VUM55" s="1"/>
      <c r="VUN55" s="1"/>
      <c r="VUO55" s="1"/>
      <c r="VUP55" s="1"/>
      <c r="VUQ55" s="1"/>
      <c r="VUR55" s="1"/>
      <c r="VUS55" s="1"/>
      <c r="VUT55" s="1"/>
      <c r="VUU55" s="1"/>
      <c r="VUV55" s="1"/>
      <c r="VUW55" s="1"/>
      <c r="VUX55" s="1"/>
      <c r="VUY55" s="1"/>
      <c r="VUZ55" s="1"/>
      <c r="VVA55" s="1"/>
      <c r="VVB55" s="1"/>
      <c r="VVC55" s="1"/>
      <c r="VVD55" s="1"/>
      <c r="VVE55" s="1"/>
      <c r="VVF55" s="1"/>
      <c r="VVG55" s="1"/>
      <c r="VVH55" s="1"/>
      <c r="VVI55" s="1"/>
      <c r="VVJ55" s="1"/>
      <c r="VVK55" s="1"/>
      <c r="VVL55" s="1"/>
      <c r="VVM55" s="1"/>
      <c r="VVN55" s="1"/>
      <c r="VVO55" s="1"/>
      <c r="VVP55" s="1"/>
      <c r="VVQ55" s="1"/>
      <c r="VVR55" s="1"/>
      <c r="VVS55" s="1"/>
      <c r="VVT55" s="1"/>
      <c r="VVU55" s="1"/>
      <c r="VVV55" s="1"/>
      <c r="VVW55" s="1"/>
      <c r="VVX55" s="1"/>
      <c r="VVY55" s="1"/>
      <c r="VVZ55" s="1"/>
      <c r="VWA55" s="1"/>
      <c r="VWB55" s="1"/>
      <c r="VWC55" s="1"/>
      <c r="VWD55" s="1"/>
      <c r="VWE55" s="1"/>
      <c r="VWF55" s="1"/>
      <c r="VWG55" s="1"/>
      <c r="VWH55" s="1"/>
      <c r="VWI55" s="1"/>
      <c r="VWJ55" s="1"/>
      <c r="VWK55" s="1"/>
      <c r="VWL55" s="1"/>
      <c r="VWM55" s="1"/>
      <c r="VWN55" s="1"/>
      <c r="VWO55" s="1"/>
      <c r="VWP55" s="1"/>
      <c r="VWQ55" s="1"/>
      <c r="VWR55" s="1"/>
      <c r="VWS55" s="1"/>
      <c r="VWT55" s="1"/>
      <c r="VWU55" s="1"/>
      <c r="VWV55" s="1"/>
      <c r="VWW55" s="1"/>
      <c r="VWX55" s="1"/>
      <c r="VWY55" s="1"/>
      <c r="VWZ55" s="1"/>
      <c r="VXA55" s="1"/>
      <c r="VXB55" s="1"/>
      <c r="VXC55" s="1"/>
      <c r="VXD55" s="1"/>
      <c r="VXE55" s="1"/>
      <c r="VXF55" s="1"/>
      <c r="VXG55" s="1"/>
      <c r="VXH55" s="1"/>
      <c r="VXI55" s="1"/>
      <c r="VXJ55" s="1"/>
      <c r="VXK55" s="1"/>
      <c r="VXL55" s="1"/>
      <c r="VXM55" s="1"/>
      <c r="VXN55" s="1"/>
      <c r="VXO55" s="1"/>
      <c r="VXP55" s="1"/>
      <c r="VXQ55" s="1"/>
      <c r="VXR55" s="1"/>
      <c r="VXS55" s="1"/>
      <c r="VXT55" s="1"/>
      <c r="VXU55" s="1"/>
      <c r="VXV55" s="1"/>
      <c r="VXW55" s="1"/>
      <c r="VXX55" s="1"/>
      <c r="VXY55" s="1"/>
      <c r="VXZ55" s="1"/>
      <c r="VYA55" s="1"/>
      <c r="VYB55" s="1"/>
      <c r="VYC55" s="1"/>
      <c r="VYD55" s="1"/>
      <c r="VYE55" s="1"/>
      <c r="VYF55" s="1"/>
      <c r="VYG55" s="1"/>
      <c r="VYH55" s="1"/>
      <c r="VYI55" s="1"/>
      <c r="VYJ55" s="1"/>
      <c r="VYK55" s="1"/>
      <c r="VYL55" s="1"/>
      <c r="VYM55" s="1"/>
      <c r="VYN55" s="1"/>
      <c r="VYO55" s="1"/>
      <c r="VYP55" s="1"/>
      <c r="VYQ55" s="1"/>
      <c r="VYR55" s="1"/>
      <c r="VYS55" s="1"/>
      <c r="VYT55" s="1"/>
      <c r="VYU55" s="1"/>
      <c r="VYV55" s="1"/>
      <c r="VYW55" s="1"/>
      <c r="VYX55" s="1"/>
      <c r="VYY55" s="1"/>
      <c r="VYZ55" s="1"/>
      <c r="VZA55" s="1"/>
      <c r="VZB55" s="1"/>
      <c r="VZC55" s="1"/>
      <c r="VZD55" s="1"/>
      <c r="VZE55" s="1"/>
      <c r="VZF55" s="1"/>
      <c r="VZG55" s="1"/>
      <c r="VZH55" s="1"/>
      <c r="VZI55" s="1"/>
      <c r="VZJ55" s="1"/>
      <c r="VZK55" s="1"/>
      <c r="VZL55" s="1"/>
      <c r="VZM55" s="1"/>
      <c r="VZN55" s="1"/>
      <c r="VZO55" s="1"/>
      <c r="VZP55" s="1"/>
      <c r="VZQ55" s="1"/>
      <c r="VZR55" s="1"/>
      <c r="VZS55" s="1"/>
      <c r="VZT55" s="1"/>
      <c r="VZU55" s="1"/>
      <c r="VZV55" s="1"/>
      <c r="VZW55" s="1"/>
      <c r="VZX55" s="1"/>
      <c r="VZY55" s="1"/>
      <c r="VZZ55" s="1"/>
      <c r="WAA55" s="1"/>
      <c r="WAB55" s="1"/>
      <c r="WAC55" s="1"/>
      <c r="WAD55" s="1"/>
      <c r="WAE55" s="1"/>
      <c r="WAF55" s="1"/>
      <c r="WAG55" s="1"/>
      <c r="WAH55" s="1"/>
      <c r="WAI55" s="1"/>
      <c r="WAJ55" s="1"/>
      <c r="WAK55" s="1"/>
      <c r="WAL55" s="1"/>
      <c r="WAM55" s="1"/>
      <c r="WAN55" s="1"/>
      <c r="WAO55" s="1"/>
      <c r="WAP55" s="1"/>
      <c r="WAQ55" s="1"/>
      <c r="WAR55" s="1"/>
      <c r="WAS55" s="1"/>
      <c r="WAT55" s="1"/>
      <c r="WAU55" s="1"/>
      <c r="WAV55" s="1"/>
      <c r="WAW55" s="1"/>
      <c r="WAX55" s="1"/>
      <c r="WAY55" s="1"/>
      <c r="WAZ55" s="1"/>
      <c r="WBA55" s="1"/>
      <c r="WBB55" s="1"/>
      <c r="WBC55" s="1"/>
      <c r="WBD55" s="1"/>
      <c r="WBE55" s="1"/>
      <c r="WBF55" s="1"/>
      <c r="WBG55" s="1"/>
      <c r="WBH55" s="1"/>
      <c r="WBI55" s="1"/>
      <c r="WBJ55" s="1"/>
      <c r="WBK55" s="1"/>
      <c r="WBL55" s="1"/>
      <c r="WBM55" s="1"/>
      <c r="WBN55" s="1"/>
      <c r="WBO55" s="1"/>
      <c r="WBP55" s="1"/>
      <c r="WBQ55" s="1"/>
      <c r="WBR55" s="1"/>
      <c r="WBS55" s="1"/>
      <c r="WBT55" s="1"/>
      <c r="WBU55" s="1"/>
      <c r="WBV55" s="1"/>
      <c r="WBW55" s="1"/>
      <c r="WBX55" s="1"/>
      <c r="WBY55" s="1"/>
      <c r="WBZ55" s="1"/>
      <c r="WCA55" s="1"/>
      <c r="WCB55" s="1"/>
      <c r="WCC55" s="1"/>
      <c r="WCD55" s="1"/>
      <c r="WCE55" s="1"/>
      <c r="WCF55" s="1"/>
      <c r="WCG55" s="1"/>
      <c r="WCH55" s="1"/>
      <c r="WCI55" s="1"/>
      <c r="WCJ55" s="1"/>
      <c r="WCK55" s="1"/>
      <c r="WCL55" s="1"/>
      <c r="WCM55" s="1"/>
      <c r="WCN55" s="1"/>
      <c r="WCO55" s="1"/>
      <c r="WCP55" s="1"/>
      <c r="WCQ55" s="1"/>
      <c r="WCR55" s="1"/>
      <c r="WCS55" s="1"/>
      <c r="WCT55" s="1"/>
      <c r="WCU55" s="1"/>
      <c r="WCV55" s="1"/>
      <c r="WCW55" s="1"/>
      <c r="WCX55" s="1"/>
      <c r="WCY55" s="1"/>
      <c r="WCZ55" s="1"/>
      <c r="WDA55" s="1"/>
      <c r="WDB55" s="1"/>
      <c r="WDC55" s="1"/>
      <c r="WDD55" s="1"/>
      <c r="WDE55" s="1"/>
      <c r="WDF55" s="1"/>
      <c r="WDG55" s="1"/>
      <c r="WDH55" s="1"/>
      <c r="WDI55" s="1"/>
      <c r="WDJ55" s="1"/>
      <c r="WDK55" s="1"/>
      <c r="WDL55" s="1"/>
      <c r="WDM55" s="1"/>
      <c r="WDN55" s="1"/>
      <c r="WDO55" s="1"/>
      <c r="WDP55" s="1"/>
      <c r="WDQ55" s="1"/>
      <c r="WDR55" s="1"/>
      <c r="WDS55" s="1"/>
      <c r="WDT55" s="1"/>
      <c r="WDU55" s="1"/>
      <c r="WDV55" s="1"/>
      <c r="WDW55" s="1"/>
      <c r="WDX55" s="1"/>
      <c r="WDY55" s="1"/>
      <c r="WDZ55" s="1"/>
      <c r="WEA55" s="1"/>
      <c r="WEB55" s="1"/>
      <c r="WEC55" s="1"/>
      <c r="WED55" s="1"/>
      <c r="WEE55" s="1"/>
      <c r="WEF55" s="1"/>
      <c r="WEG55" s="1"/>
      <c r="WEH55" s="1"/>
      <c r="WEI55" s="1"/>
      <c r="WEJ55" s="1"/>
      <c r="WEK55" s="1"/>
      <c r="WEL55" s="1"/>
      <c r="WEM55" s="1"/>
      <c r="WEN55" s="1"/>
      <c r="WEO55" s="1"/>
      <c r="WEP55" s="1"/>
      <c r="WEQ55" s="1"/>
      <c r="WER55" s="1"/>
      <c r="WES55" s="1"/>
      <c r="WET55" s="1"/>
      <c r="WEU55" s="1"/>
      <c r="WEV55" s="1"/>
      <c r="WEW55" s="1"/>
      <c r="WEX55" s="1"/>
      <c r="WEY55" s="1"/>
      <c r="WEZ55" s="1"/>
      <c r="WFA55" s="1"/>
      <c r="WFB55" s="1"/>
      <c r="WFC55" s="1"/>
      <c r="WFD55" s="1"/>
      <c r="WFE55" s="1"/>
      <c r="WFF55" s="1"/>
      <c r="WFG55" s="1"/>
      <c r="WFH55" s="1"/>
      <c r="WFI55" s="1"/>
      <c r="WFJ55" s="1"/>
      <c r="WFK55" s="1"/>
      <c r="WFL55" s="1"/>
      <c r="WFM55" s="1"/>
      <c r="WFN55" s="1"/>
      <c r="WFO55" s="1"/>
      <c r="WFP55" s="1"/>
      <c r="WFQ55" s="1"/>
      <c r="WFR55" s="1"/>
      <c r="WFS55" s="1"/>
      <c r="WFT55" s="1"/>
      <c r="WFU55" s="1"/>
      <c r="WFV55" s="1"/>
      <c r="WFW55" s="1"/>
      <c r="WFX55" s="1"/>
      <c r="WFY55" s="1"/>
      <c r="WFZ55" s="1"/>
      <c r="WGA55" s="1"/>
      <c r="WGB55" s="1"/>
      <c r="WGC55" s="1"/>
      <c r="WGD55" s="1"/>
      <c r="WGE55" s="1"/>
      <c r="WGF55" s="1"/>
      <c r="WGG55" s="1"/>
      <c r="WGH55" s="1"/>
      <c r="WGI55" s="1"/>
      <c r="WGJ55" s="1"/>
      <c r="WGK55" s="1"/>
      <c r="WGL55" s="1"/>
      <c r="WGM55" s="1"/>
      <c r="WGN55" s="1"/>
      <c r="WGO55" s="1"/>
      <c r="WGP55" s="1"/>
      <c r="WGQ55" s="1"/>
      <c r="WGR55" s="1"/>
      <c r="WGS55" s="1"/>
      <c r="WGT55" s="1"/>
      <c r="WGU55" s="1"/>
      <c r="WGV55" s="1"/>
      <c r="WGW55" s="1"/>
      <c r="WGX55" s="1"/>
      <c r="WGY55" s="1"/>
      <c r="WGZ55" s="1"/>
      <c r="WHA55" s="1"/>
      <c r="WHB55" s="1"/>
      <c r="WHC55" s="1"/>
      <c r="WHD55" s="1"/>
      <c r="WHE55" s="1"/>
      <c r="WHF55" s="1"/>
      <c r="WHG55" s="1"/>
      <c r="WHH55" s="1"/>
      <c r="WHI55" s="1"/>
      <c r="WHJ55" s="1"/>
      <c r="WHK55" s="1"/>
      <c r="WHL55" s="1"/>
      <c r="WHM55" s="1"/>
      <c r="WHN55" s="1"/>
      <c r="WHO55" s="1"/>
      <c r="WHP55" s="1"/>
      <c r="WHQ55" s="1"/>
      <c r="WHR55" s="1"/>
      <c r="WHS55" s="1"/>
      <c r="WHT55" s="1"/>
      <c r="WHU55" s="1"/>
      <c r="WHV55" s="1"/>
      <c r="WHW55" s="1"/>
      <c r="WHX55" s="1"/>
      <c r="WHY55" s="1"/>
      <c r="WHZ55" s="1"/>
      <c r="WIA55" s="1"/>
      <c r="WIB55" s="1"/>
      <c r="WIC55" s="1"/>
      <c r="WID55" s="1"/>
      <c r="WIE55" s="1"/>
      <c r="WIF55" s="1"/>
      <c r="WIG55" s="1"/>
      <c r="WIH55" s="1"/>
      <c r="WII55" s="1"/>
      <c r="WIJ55" s="1"/>
      <c r="WIK55" s="1"/>
      <c r="WIL55" s="1"/>
      <c r="WIM55" s="1"/>
      <c r="WIN55" s="1"/>
      <c r="WIO55" s="1"/>
      <c r="WIP55" s="1"/>
      <c r="WIQ55" s="1"/>
      <c r="WIR55" s="1"/>
      <c r="WIS55" s="1"/>
      <c r="WIT55" s="1"/>
      <c r="WIU55" s="1"/>
      <c r="WIV55" s="1"/>
      <c r="WIW55" s="1"/>
      <c r="WIX55" s="1"/>
      <c r="WIY55" s="1"/>
      <c r="WIZ55" s="1"/>
      <c r="WJA55" s="1"/>
      <c r="WJB55" s="1"/>
      <c r="WJC55" s="1"/>
      <c r="WJD55" s="1"/>
      <c r="WJE55" s="1"/>
      <c r="WJF55" s="1"/>
      <c r="WJG55" s="1"/>
      <c r="WJH55" s="1"/>
      <c r="WJI55" s="1"/>
      <c r="WJJ55" s="1"/>
      <c r="WJK55" s="1"/>
      <c r="WJL55" s="1"/>
      <c r="WJM55" s="1"/>
      <c r="WJN55" s="1"/>
      <c r="WJO55" s="1"/>
      <c r="WJP55" s="1"/>
      <c r="WJQ55" s="1"/>
      <c r="WJR55" s="1"/>
      <c r="WJS55" s="1"/>
      <c r="WJT55" s="1"/>
      <c r="WJU55" s="1"/>
      <c r="WJV55" s="1"/>
      <c r="WJW55" s="1"/>
      <c r="WJX55" s="1"/>
      <c r="WJY55" s="1"/>
      <c r="WJZ55" s="1"/>
      <c r="WKA55" s="1"/>
      <c r="WKB55" s="1"/>
      <c r="WKC55" s="1"/>
      <c r="WKD55" s="1"/>
      <c r="WKE55" s="1"/>
      <c r="WKF55" s="1"/>
      <c r="WKG55" s="1"/>
      <c r="WKH55" s="1"/>
      <c r="WKI55" s="1"/>
      <c r="WKJ55" s="1"/>
      <c r="WKK55" s="1"/>
      <c r="WKL55" s="1"/>
      <c r="WKM55" s="1"/>
      <c r="WKN55" s="1"/>
      <c r="WKO55" s="1"/>
      <c r="WKP55" s="1"/>
      <c r="WKQ55" s="1"/>
      <c r="WKR55" s="1"/>
      <c r="WKS55" s="1"/>
      <c r="WKT55" s="1"/>
      <c r="WKU55" s="1"/>
      <c r="WKV55" s="1"/>
      <c r="WKW55" s="1"/>
      <c r="WKX55" s="1"/>
      <c r="WKY55" s="1"/>
      <c r="WKZ55" s="1"/>
      <c r="WLA55" s="1"/>
      <c r="WLB55" s="1"/>
      <c r="WLC55" s="1"/>
      <c r="WLD55" s="1"/>
      <c r="WLE55" s="1"/>
      <c r="WLF55" s="1"/>
      <c r="WLG55" s="1"/>
      <c r="WLH55" s="1"/>
      <c r="WLI55" s="1"/>
      <c r="WLJ55" s="1"/>
      <c r="WLK55" s="1"/>
      <c r="WLL55" s="1"/>
      <c r="WLM55" s="1"/>
      <c r="WLN55" s="1"/>
      <c r="WLO55" s="1"/>
      <c r="WLP55" s="1"/>
      <c r="WLQ55" s="1"/>
      <c r="WLR55" s="1"/>
      <c r="WLS55" s="1"/>
      <c r="WLT55" s="1"/>
      <c r="WLU55" s="1"/>
      <c r="WLV55" s="1"/>
      <c r="WLW55" s="1"/>
      <c r="WLX55" s="1"/>
      <c r="WLY55" s="1"/>
      <c r="WLZ55" s="1"/>
      <c r="WMA55" s="1"/>
      <c r="WMB55" s="1"/>
      <c r="WMC55" s="1"/>
      <c r="WMD55" s="1"/>
      <c r="WME55" s="1"/>
      <c r="WMF55" s="1"/>
      <c r="WMG55" s="1"/>
      <c r="WMH55" s="1"/>
      <c r="WMI55" s="1"/>
      <c r="WMJ55" s="1"/>
      <c r="WMK55" s="1"/>
      <c r="WML55" s="1"/>
      <c r="WMM55" s="1"/>
      <c r="WMN55" s="1"/>
      <c r="WMO55" s="1"/>
      <c r="WMP55" s="1"/>
      <c r="WMQ55" s="1"/>
      <c r="WMR55" s="1"/>
      <c r="WMS55" s="1"/>
      <c r="WMT55" s="1"/>
      <c r="WMU55" s="1"/>
      <c r="WMV55" s="1"/>
      <c r="WMW55" s="1"/>
      <c r="WMX55" s="1"/>
      <c r="WMY55" s="1"/>
      <c r="WMZ55" s="1"/>
      <c r="WNA55" s="1"/>
      <c r="WNB55" s="1"/>
      <c r="WNC55" s="1"/>
      <c r="WND55" s="1"/>
      <c r="WNE55" s="1"/>
      <c r="WNF55" s="1"/>
      <c r="WNG55" s="1"/>
      <c r="WNH55" s="1"/>
      <c r="WNI55" s="1"/>
      <c r="WNJ55" s="1"/>
      <c r="WNK55" s="1"/>
      <c r="WNL55" s="1"/>
      <c r="WNM55" s="1"/>
      <c r="WNN55" s="1"/>
      <c r="WNO55" s="1"/>
      <c r="WNP55" s="1"/>
      <c r="WNQ55" s="1"/>
      <c r="WNR55" s="1"/>
      <c r="WNS55" s="1"/>
      <c r="WNT55" s="1"/>
      <c r="WNU55" s="1"/>
      <c r="WNV55" s="1"/>
      <c r="WNW55" s="1"/>
      <c r="WNX55" s="1"/>
      <c r="WNY55" s="1"/>
      <c r="WNZ55" s="1"/>
      <c r="WOA55" s="1"/>
      <c r="WOB55" s="1"/>
      <c r="WOC55" s="1"/>
      <c r="WOD55" s="1"/>
      <c r="WOE55" s="1"/>
      <c r="WOF55" s="1"/>
      <c r="WOG55" s="1"/>
      <c r="WOH55" s="1"/>
      <c r="WOI55" s="1"/>
      <c r="WOJ55" s="1"/>
      <c r="WOK55" s="1"/>
      <c r="WOL55" s="1"/>
      <c r="WOM55" s="1"/>
      <c r="WON55" s="1"/>
      <c r="WOO55" s="1"/>
      <c r="WOP55" s="1"/>
      <c r="WOQ55" s="1"/>
      <c r="WOR55" s="1"/>
      <c r="WOS55" s="1"/>
      <c r="WOT55" s="1"/>
      <c r="WOU55" s="1"/>
      <c r="WOV55" s="1"/>
      <c r="WOW55" s="1"/>
      <c r="WOX55" s="1"/>
      <c r="WOY55" s="1"/>
      <c r="WOZ55" s="1"/>
      <c r="WPA55" s="1"/>
      <c r="WPB55" s="1"/>
      <c r="WPC55" s="1"/>
      <c r="WPD55" s="1"/>
      <c r="WPE55" s="1"/>
      <c r="WPF55" s="1"/>
      <c r="WPG55" s="1"/>
      <c r="WPH55" s="1"/>
      <c r="WPI55" s="1"/>
      <c r="WPJ55" s="1"/>
      <c r="WPK55" s="1"/>
      <c r="WPL55" s="1"/>
      <c r="WPM55" s="1"/>
      <c r="WPN55" s="1"/>
      <c r="WPO55" s="1"/>
      <c r="WPP55" s="1"/>
      <c r="WPQ55" s="1"/>
      <c r="WPR55" s="1"/>
      <c r="WPS55" s="1"/>
      <c r="WPT55" s="1"/>
      <c r="WPU55" s="1"/>
      <c r="WPV55" s="1"/>
      <c r="WPW55" s="1"/>
      <c r="WPX55" s="1"/>
      <c r="WPY55" s="1"/>
      <c r="WPZ55" s="1"/>
      <c r="WQA55" s="1"/>
      <c r="WQB55" s="1"/>
      <c r="WQC55" s="1"/>
      <c r="WQD55" s="1"/>
      <c r="WQE55" s="1"/>
      <c r="WQF55" s="1"/>
      <c r="WQG55" s="1"/>
      <c r="WQH55" s="1"/>
      <c r="WQI55" s="1"/>
      <c r="WQJ55" s="1"/>
      <c r="WQK55" s="1"/>
      <c r="WQL55" s="1"/>
      <c r="WQM55" s="1"/>
      <c r="WQN55" s="1"/>
      <c r="WQO55" s="1"/>
      <c r="WQP55" s="1"/>
      <c r="WQQ55" s="1"/>
      <c r="WQR55" s="1"/>
      <c r="WQS55" s="1"/>
      <c r="WQT55" s="1"/>
      <c r="WQU55" s="1"/>
      <c r="WQV55" s="1"/>
      <c r="WQW55" s="1"/>
      <c r="WQX55" s="1"/>
      <c r="WQY55" s="1"/>
      <c r="WQZ55" s="1"/>
      <c r="WRA55" s="1"/>
      <c r="WRB55" s="1"/>
      <c r="WRC55" s="1"/>
      <c r="WRD55" s="1"/>
      <c r="WRE55" s="1"/>
      <c r="WRF55" s="1"/>
      <c r="WRG55" s="1"/>
      <c r="WRH55" s="1"/>
      <c r="WRI55" s="1"/>
      <c r="WRJ55" s="1"/>
      <c r="WRK55" s="1"/>
      <c r="WRL55" s="1"/>
      <c r="WRM55" s="1"/>
      <c r="WRN55" s="1"/>
      <c r="WRO55" s="1"/>
      <c r="WRP55" s="1"/>
      <c r="WRQ55" s="1"/>
      <c r="WRR55" s="1"/>
      <c r="WRS55" s="1"/>
      <c r="WRT55" s="1"/>
      <c r="WRU55" s="1"/>
      <c r="WRV55" s="1"/>
      <c r="WRW55" s="1"/>
      <c r="WRX55" s="1"/>
      <c r="WRY55" s="1"/>
      <c r="WRZ55" s="1"/>
      <c r="WSA55" s="1"/>
      <c r="WSB55" s="1"/>
      <c r="WSC55" s="1"/>
      <c r="WSD55" s="1"/>
      <c r="WSE55" s="1"/>
      <c r="WSF55" s="1"/>
      <c r="WSG55" s="1"/>
      <c r="WSH55" s="1"/>
      <c r="WSI55" s="1"/>
      <c r="WSJ55" s="1"/>
      <c r="WSK55" s="1"/>
      <c r="WSL55" s="1"/>
      <c r="WSM55" s="1"/>
      <c r="WSN55" s="1"/>
      <c r="WSO55" s="1"/>
      <c r="WSP55" s="1"/>
      <c r="WSQ55" s="1"/>
      <c r="WSR55" s="1"/>
      <c r="WSS55" s="1"/>
      <c r="WST55" s="1"/>
      <c r="WSU55" s="1"/>
      <c r="WSV55" s="1"/>
      <c r="WSW55" s="1"/>
      <c r="WSX55" s="1"/>
      <c r="WSY55" s="1"/>
      <c r="WSZ55" s="1"/>
      <c r="WTA55" s="1"/>
      <c r="WTB55" s="1"/>
      <c r="WTC55" s="1"/>
      <c r="WTD55" s="1"/>
      <c r="WTE55" s="1"/>
      <c r="WTF55" s="1"/>
      <c r="WTG55" s="1"/>
      <c r="WTH55" s="1"/>
      <c r="WTI55" s="1"/>
      <c r="WTJ55" s="1"/>
      <c r="WTK55" s="1"/>
      <c r="WTL55" s="1"/>
      <c r="WTM55" s="1"/>
      <c r="WTN55" s="1"/>
      <c r="WTO55" s="1"/>
      <c r="WTP55" s="1"/>
      <c r="WTQ55" s="1"/>
      <c r="WTR55" s="1"/>
      <c r="WTS55" s="1"/>
      <c r="WTT55" s="1"/>
      <c r="WTU55" s="1"/>
      <c r="WTV55" s="1"/>
      <c r="WTW55" s="1"/>
      <c r="WTX55" s="1"/>
      <c r="WTY55" s="1"/>
      <c r="WTZ55" s="1"/>
      <c r="WUA55" s="1"/>
      <c r="WUB55" s="1"/>
      <c r="WUC55" s="1"/>
      <c r="WUD55" s="1"/>
      <c r="WUE55" s="1"/>
      <c r="WUF55" s="1"/>
      <c r="WUG55" s="1"/>
      <c r="WUH55" s="1"/>
      <c r="WUI55" s="1"/>
      <c r="WUJ55" s="1"/>
      <c r="WUK55" s="1"/>
      <c r="WUL55" s="1"/>
      <c r="WUM55" s="1"/>
      <c r="WUN55" s="1"/>
      <c r="WUO55" s="1"/>
      <c r="WUP55" s="1"/>
      <c r="WUQ55" s="1"/>
      <c r="WUR55" s="1"/>
      <c r="WUS55" s="1"/>
      <c r="WUT55" s="1"/>
      <c r="WUU55" s="1"/>
      <c r="WUV55" s="1"/>
      <c r="WUW55" s="1"/>
      <c r="WUX55" s="1"/>
      <c r="WUY55" s="1"/>
      <c r="WUZ55" s="1"/>
      <c r="WVA55" s="1"/>
      <c r="WVB55" s="1"/>
      <c r="WVC55" s="1"/>
      <c r="WVD55" s="1"/>
      <c r="WVE55" s="1"/>
      <c r="WVF55" s="1"/>
      <c r="WVG55" s="1"/>
      <c r="WVH55" s="1"/>
      <c r="WVI55" s="1"/>
      <c r="WVJ55" s="1"/>
      <c r="WVK55" s="1"/>
      <c r="WVL55" s="1"/>
      <c r="WVM55" s="1"/>
      <c r="WVN55" s="1"/>
      <c r="WVO55" s="1"/>
      <c r="WVP55" s="1"/>
      <c r="WVQ55" s="1"/>
      <c r="WVR55" s="1"/>
      <c r="WVS55" s="1"/>
      <c r="WVT55" s="1"/>
      <c r="WVU55" s="1"/>
      <c r="WVV55" s="1"/>
      <c r="WVW55" s="1"/>
      <c r="WVX55" s="1"/>
      <c r="WVY55" s="1"/>
      <c r="WVZ55" s="1"/>
      <c r="WWA55" s="1"/>
      <c r="WWB55" s="1"/>
      <c r="WWC55" s="1"/>
      <c r="WWD55" s="1"/>
      <c r="WWE55" s="1"/>
      <c r="WWF55" s="1"/>
      <c r="WWG55" s="1"/>
      <c r="WWH55" s="1"/>
      <c r="WWI55" s="1"/>
      <c r="WWJ55" s="1"/>
      <c r="WWK55" s="1"/>
      <c r="WWL55" s="1"/>
      <c r="WWM55" s="1"/>
      <c r="WWN55" s="1"/>
      <c r="WWO55" s="1"/>
      <c r="WWP55" s="1"/>
      <c r="WWQ55" s="1"/>
      <c r="WWR55" s="1"/>
      <c r="WWS55" s="1"/>
      <c r="WWT55" s="1"/>
      <c r="WWU55" s="1"/>
      <c r="WWV55" s="1"/>
      <c r="WWW55" s="1"/>
      <c r="WWX55" s="1"/>
      <c r="WWY55" s="1"/>
      <c r="WWZ55" s="1"/>
      <c r="WXA55" s="1"/>
      <c r="WXB55" s="1"/>
      <c r="WXC55" s="1"/>
      <c r="WXD55" s="1"/>
      <c r="WXE55" s="1"/>
      <c r="WXF55" s="1"/>
      <c r="WXG55" s="1"/>
      <c r="WXH55" s="1"/>
      <c r="WXI55" s="1"/>
      <c r="WXJ55" s="1"/>
      <c r="WXK55" s="1"/>
      <c r="WXL55" s="1"/>
      <c r="WXM55" s="1"/>
      <c r="WXN55" s="1"/>
      <c r="WXO55" s="1"/>
      <c r="WXP55" s="1"/>
      <c r="WXQ55" s="1"/>
      <c r="WXR55" s="1"/>
      <c r="WXS55" s="1"/>
      <c r="WXT55" s="1"/>
      <c r="WXU55" s="1"/>
      <c r="WXV55" s="1"/>
      <c r="WXW55" s="1"/>
      <c r="WXX55" s="1"/>
      <c r="WXY55" s="1"/>
      <c r="WXZ55" s="1"/>
      <c r="WYA55" s="1"/>
      <c r="WYB55" s="1"/>
      <c r="WYC55" s="1"/>
      <c r="WYD55" s="1"/>
      <c r="WYE55" s="1"/>
      <c r="WYF55" s="1"/>
      <c r="WYG55" s="1"/>
      <c r="WYH55" s="1"/>
      <c r="WYI55" s="1"/>
      <c r="WYJ55" s="1"/>
      <c r="WYK55" s="1"/>
      <c r="WYL55" s="1"/>
      <c r="WYM55" s="1"/>
      <c r="WYN55" s="1"/>
      <c r="WYO55" s="1"/>
      <c r="WYP55" s="1"/>
      <c r="WYQ55" s="1"/>
      <c r="WYR55" s="1"/>
      <c r="WYS55" s="1"/>
      <c r="WYT55" s="1"/>
      <c r="WYU55" s="1"/>
      <c r="WYV55" s="1"/>
      <c r="WYW55" s="1"/>
      <c r="WYX55" s="1"/>
      <c r="WYY55" s="1"/>
      <c r="WYZ55" s="1"/>
      <c r="WZA55" s="1"/>
      <c r="WZB55" s="1"/>
      <c r="WZC55" s="1"/>
      <c r="WZD55" s="1"/>
      <c r="WZE55" s="1"/>
      <c r="WZF55" s="1"/>
      <c r="WZG55" s="1"/>
      <c r="WZH55" s="1"/>
      <c r="WZI55" s="1"/>
      <c r="WZJ55" s="1"/>
      <c r="WZK55" s="1"/>
      <c r="WZL55" s="1"/>
      <c r="WZM55" s="1"/>
      <c r="WZN55" s="1"/>
      <c r="WZO55" s="1"/>
      <c r="WZP55" s="1"/>
      <c r="WZQ55" s="1"/>
      <c r="WZR55" s="1"/>
      <c r="WZS55" s="1"/>
      <c r="WZT55" s="1"/>
      <c r="WZU55" s="1"/>
      <c r="WZV55" s="1"/>
      <c r="WZW55" s="1"/>
      <c r="WZX55" s="1"/>
      <c r="WZY55" s="1"/>
      <c r="WZZ55" s="1"/>
      <c r="XAA55" s="1"/>
      <c r="XAB55" s="1"/>
      <c r="XAC55" s="1"/>
      <c r="XAD55" s="1"/>
      <c r="XAE55" s="1"/>
      <c r="XAF55" s="1"/>
      <c r="XAG55" s="1"/>
      <c r="XAH55" s="1"/>
      <c r="XAI55" s="1"/>
      <c r="XAJ55" s="1"/>
      <c r="XAK55" s="1"/>
      <c r="XAL55" s="1"/>
      <c r="XAM55" s="1"/>
      <c r="XAN55" s="1"/>
      <c r="XAO55" s="1"/>
      <c r="XAP55" s="1"/>
      <c r="XAQ55" s="1"/>
      <c r="XAR55" s="1"/>
      <c r="XAS55" s="1"/>
      <c r="XAT55" s="1"/>
      <c r="XAU55" s="1"/>
      <c r="XAV55" s="1"/>
      <c r="XAW55" s="1"/>
      <c r="XAX55" s="1"/>
      <c r="XAY55" s="1"/>
      <c r="XAZ55" s="1"/>
      <c r="XBA55" s="1"/>
      <c r="XBB55" s="1"/>
      <c r="XBC55" s="1"/>
      <c r="XBD55" s="1"/>
      <c r="XBE55" s="1"/>
      <c r="XBF55" s="1"/>
      <c r="XBG55" s="1"/>
      <c r="XBH55" s="1"/>
      <c r="XBI55" s="1"/>
      <c r="XBJ55" s="1"/>
      <c r="XBK55" s="1"/>
      <c r="XBL55" s="1"/>
      <c r="XBM55" s="1"/>
      <c r="XBN55" s="1"/>
      <c r="XBO55" s="1"/>
      <c r="XBP55" s="1"/>
      <c r="XBQ55" s="1"/>
      <c r="XBR55" s="1"/>
      <c r="XBS55" s="1"/>
      <c r="XBT55" s="1"/>
      <c r="XBU55" s="1"/>
      <c r="XBV55" s="1"/>
      <c r="XBW55" s="1"/>
      <c r="XBX55" s="1"/>
      <c r="XBY55" s="1"/>
      <c r="XBZ55" s="1"/>
      <c r="XCA55" s="1"/>
      <c r="XCB55" s="1"/>
      <c r="XCC55" s="1"/>
      <c r="XCD55" s="1"/>
      <c r="XCE55" s="1"/>
      <c r="XCF55" s="1"/>
      <c r="XCG55" s="1"/>
      <c r="XCH55" s="1"/>
      <c r="XCI55" s="1"/>
      <c r="XCJ55" s="1"/>
      <c r="XCK55" s="1"/>
      <c r="XCL55" s="1"/>
      <c r="XCM55" s="1"/>
      <c r="XCN55" s="1"/>
      <c r="XCO55" s="1"/>
      <c r="XCP55" s="1"/>
      <c r="XCQ55" s="1"/>
      <c r="XCR55" s="1"/>
      <c r="XCS55" s="1"/>
      <c r="XCT55" s="1"/>
      <c r="XCU55" s="1"/>
      <c r="XCV55" s="1"/>
      <c r="XCW55" s="1"/>
      <c r="XCX55" s="1"/>
      <c r="XCY55" s="1"/>
      <c r="XCZ55" s="1"/>
      <c r="XDA55" s="1"/>
      <c r="XDB55" s="1"/>
      <c r="XDC55" s="1"/>
      <c r="XDD55" s="1"/>
      <c r="XDE55" s="1"/>
      <c r="XDF55" s="1"/>
      <c r="XDG55" s="1"/>
      <c r="XDH55" s="1"/>
      <c r="XDI55" s="1"/>
      <c r="XDJ55" s="1"/>
      <c r="XDK55" s="1"/>
      <c r="XDL55" s="1"/>
      <c r="XDM55" s="1"/>
      <c r="XDN55" s="1"/>
      <c r="XDO55" s="1"/>
      <c r="XDP55" s="1"/>
      <c r="XDQ55" s="1"/>
      <c r="XDR55" s="1"/>
      <c r="XDS55" s="1"/>
      <c r="XDT55" s="1"/>
      <c r="XDU55" s="1"/>
      <c r="XDV55" s="1"/>
      <c r="XDW55" s="1"/>
      <c r="XDX55" s="1"/>
      <c r="XDY55" s="1"/>
      <c r="XDZ55" s="1"/>
      <c r="XEA55" s="1"/>
      <c r="XEB55" s="1"/>
      <c r="XEC55" s="1"/>
      <c r="XED55" s="1"/>
      <c r="XEE55" s="1"/>
      <c r="XEF55" s="1"/>
      <c r="XEG55" s="1"/>
      <c r="XEH55" s="1"/>
      <c r="XEI55" s="1"/>
      <c r="XEJ55" s="1"/>
      <c r="XEK55" s="1"/>
      <c r="XEL55" s="1"/>
      <c r="XEM55" s="1"/>
      <c r="XEN55" s="1"/>
      <c r="XEO55" s="1"/>
      <c r="XEP55" s="1"/>
      <c r="XEQ55" s="1"/>
      <c r="XER55" s="1"/>
      <c r="XES55" s="1"/>
      <c r="XET55" s="1"/>
      <c r="XEU55" s="1"/>
      <c r="XEV55" s="1"/>
      <c r="XEW55" s="1"/>
      <c r="XEX55" s="1"/>
      <c r="XEY55" s="1"/>
      <c r="XEZ55" s="1"/>
      <c r="XFA55" s="1"/>
      <c r="XFB55" s="1"/>
      <c r="XFC55" s="1"/>
      <c r="XFD55" s="1"/>
    </row>
    <row r="56" spans="1:16384" s="8" customFormat="1" ht="18.75" x14ac:dyDescent="0.3">
      <c r="A56" s="21"/>
      <c r="B56" s="215" t="s">
        <v>914</v>
      </c>
      <c r="C56" s="214"/>
      <c r="D56" s="214"/>
      <c r="E56" s="214"/>
      <c r="F56" s="214"/>
      <c r="G56" s="214"/>
      <c r="H56" s="214"/>
      <c r="I56" s="214"/>
      <c r="J56" s="214"/>
      <c r="K56" s="214"/>
      <c r="L56" s="214"/>
      <c r="M56" s="214"/>
      <c r="N56" s="214"/>
      <c r="O56" s="214"/>
      <c r="P56" s="214"/>
      <c r="Q56" s="214"/>
      <c r="R56" s="214"/>
      <c r="S56" s="214"/>
      <c r="T56" s="214"/>
      <c r="U56" s="214"/>
      <c r="V56" s="214"/>
      <c r="W56" s="2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C56" s="1"/>
      <c r="ND56" s="1"/>
      <c r="NE56" s="1"/>
      <c r="NF56" s="1"/>
      <c r="NG56" s="1"/>
      <c r="NH56" s="1"/>
      <c r="NI56" s="1"/>
      <c r="NJ56" s="1"/>
      <c r="NK56" s="1"/>
      <c r="NL56" s="1"/>
      <c r="NM56" s="1"/>
      <c r="NN56" s="1"/>
      <c r="NO56" s="1"/>
      <c r="NP56" s="1"/>
      <c r="NQ56" s="1"/>
      <c r="NR56" s="1"/>
      <c r="NS56" s="1"/>
      <c r="NT56" s="1"/>
      <c r="NU56" s="1"/>
      <c r="NV56" s="1"/>
      <c r="NW56" s="1"/>
      <c r="NX56" s="1"/>
      <c r="NY56" s="1"/>
      <c r="NZ56" s="1"/>
      <c r="OA56" s="1"/>
      <c r="OB56" s="1"/>
      <c r="OC56" s="1"/>
      <c r="OD56" s="1"/>
      <c r="OE56" s="1"/>
      <c r="OF56" s="1"/>
      <c r="OG56" s="1"/>
      <c r="OH56" s="1"/>
      <c r="OI56" s="1"/>
      <c r="OJ56" s="1"/>
      <c r="OK56" s="1"/>
      <c r="OL56" s="1"/>
      <c r="OM56" s="1"/>
      <c r="ON56" s="1"/>
      <c r="OO56" s="1"/>
      <c r="OP56" s="1"/>
      <c r="OQ56" s="1"/>
      <c r="OR56" s="1"/>
      <c r="OS56" s="1"/>
      <c r="OT56" s="1"/>
      <c r="OU56" s="1"/>
      <c r="OV56" s="1"/>
      <c r="OW56" s="1"/>
      <c r="OX56" s="1"/>
      <c r="OY56" s="1"/>
      <c r="OZ56" s="1"/>
      <c r="PA56" s="1"/>
      <c r="PB56" s="1"/>
      <c r="PC56" s="1"/>
      <c r="PD56" s="1"/>
      <c r="PE56" s="1"/>
      <c r="PF56" s="1"/>
      <c r="PG56" s="1"/>
      <c r="PH56" s="1"/>
      <c r="PI56" s="1"/>
      <c r="PJ56" s="1"/>
      <c r="PK56" s="1"/>
      <c r="PL56" s="1"/>
      <c r="PM56" s="1"/>
      <c r="PN56" s="1"/>
      <c r="PO56" s="1"/>
      <c r="PP56" s="1"/>
      <c r="PQ56" s="1"/>
      <c r="PR56" s="1"/>
      <c r="PS56" s="1"/>
      <c r="PT56" s="1"/>
      <c r="PU56" s="1"/>
      <c r="PV56" s="1"/>
      <c r="PW56" s="1"/>
      <c r="PX56" s="1"/>
      <c r="PY56" s="1"/>
      <c r="PZ56" s="1"/>
      <c r="QA56" s="1"/>
      <c r="QB56" s="1"/>
      <c r="QC56" s="1"/>
      <c r="QD56" s="1"/>
      <c r="QE56" s="1"/>
      <c r="QF56" s="1"/>
      <c r="QG56" s="1"/>
      <c r="QH56" s="1"/>
      <c r="QI56" s="1"/>
      <c r="QJ56" s="1"/>
      <c r="QK56" s="1"/>
      <c r="QL56" s="1"/>
      <c r="QM56" s="1"/>
      <c r="QN56" s="1"/>
      <c r="QO56" s="1"/>
      <c r="QP56" s="1"/>
      <c r="QQ56" s="1"/>
      <c r="QR56" s="1"/>
      <c r="QS56" s="1"/>
      <c r="QT56" s="1"/>
      <c r="QU56" s="1"/>
      <c r="QV56" s="1"/>
      <c r="QW56" s="1"/>
      <c r="QX56" s="1"/>
      <c r="QY56" s="1"/>
      <c r="QZ56" s="1"/>
      <c r="RA56" s="1"/>
      <c r="RB56" s="1"/>
      <c r="RC56" s="1"/>
      <c r="RD56" s="1"/>
      <c r="RE56" s="1"/>
      <c r="RF56" s="1"/>
      <c r="RG56" s="1"/>
      <c r="RH56" s="1"/>
      <c r="RI56" s="1"/>
      <c r="RJ56" s="1"/>
      <c r="RK56" s="1"/>
      <c r="RL56" s="1"/>
      <c r="RM56" s="1"/>
      <c r="RN56" s="1"/>
      <c r="RO56" s="1"/>
      <c r="RP56" s="1"/>
      <c r="RQ56" s="1"/>
      <c r="RR56" s="1"/>
      <c r="RS56" s="1"/>
      <c r="RT56" s="1"/>
      <c r="RU56" s="1"/>
      <c r="RV56" s="1"/>
      <c r="RW56" s="1"/>
      <c r="RX56" s="1"/>
      <c r="RY56" s="1"/>
      <c r="RZ56" s="1"/>
      <c r="SA56" s="1"/>
      <c r="SB56" s="1"/>
      <c r="SC56" s="1"/>
      <c r="SD56" s="1"/>
      <c r="SE56" s="1"/>
      <c r="SF56" s="1"/>
      <c r="SG56" s="1"/>
      <c r="SH56" s="1"/>
      <c r="SI56" s="1"/>
      <c r="SJ56" s="1"/>
      <c r="SK56" s="1"/>
      <c r="SL56" s="1"/>
      <c r="SM56" s="1"/>
      <c r="SN56" s="1"/>
      <c r="SO56" s="1"/>
      <c r="SP56" s="1"/>
      <c r="SQ56" s="1"/>
      <c r="SR56" s="1"/>
      <c r="SS56" s="1"/>
      <c r="ST56" s="1"/>
      <c r="SU56" s="1"/>
      <c r="SV56" s="1"/>
      <c r="SW56" s="1"/>
      <c r="SX56" s="1"/>
      <c r="SY56" s="1"/>
      <c r="SZ56" s="1"/>
      <c r="TA56" s="1"/>
      <c r="TB56" s="1"/>
      <c r="TC56" s="1"/>
      <c r="TD56" s="1"/>
      <c r="TE56" s="1"/>
      <c r="TF56" s="1"/>
      <c r="TG56" s="1"/>
      <c r="TH56" s="1"/>
      <c r="TI56" s="1"/>
      <c r="TJ56" s="1"/>
      <c r="TK56" s="1"/>
      <c r="TL56" s="1"/>
      <c r="TM56" s="1"/>
      <c r="TN56" s="1"/>
      <c r="TO56" s="1"/>
      <c r="TP56" s="1"/>
      <c r="TQ56" s="1"/>
      <c r="TR56" s="1"/>
      <c r="TS56" s="1"/>
      <c r="TT56" s="1"/>
      <c r="TU56" s="1"/>
      <c r="TV56" s="1"/>
      <c r="TW56" s="1"/>
      <c r="TX56" s="1"/>
      <c r="TY56" s="1"/>
      <c r="TZ56" s="1"/>
      <c r="UA56" s="1"/>
      <c r="UB56" s="1"/>
      <c r="UC56" s="1"/>
      <c r="UD56" s="1"/>
      <c r="UE56" s="1"/>
      <c r="UF56" s="1"/>
      <c r="UG56" s="1"/>
      <c r="UH56" s="1"/>
      <c r="UI56" s="1"/>
      <c r="UJ56" s="1"/>
      <c r="UK56" s="1"/>
      <c r="UL56" s="1"/>
      <c r="UM56" s="1"/>
      <c r="UN56" s="1"/>
      <c r="UO56" s="1"/>
      <c r="UP56" s="1"/>
      <c r="UQ56" s="1"/>
      <c r="UR56" s="1"/>
      <c r="US56" s="1"/>
      <c r="UT56" s="1"/>
      <c r="UU56" s="1"/>
      <c r="UV56" s="1"/>
      <c r="UW56" s="1"/>
      <c r="UX56" s="1"/>
      <c r="UY56" s="1"/>
      <c r="UZ56" s="1"/>
      <c r="VA56" s="1"/>
      <c r="VB56" s="1"/>
      <c r="VC56" s="1"/>
      <c r="VD56" s="1"/>
      <c r="VE56" s="1"/>
      <c r="VF56" s="1"/>
      <c r="VG56" s="1"/>
      <c r="VH56" s="1"/>
      <c r="VI56" s="1"/>
      <c r="VJ56" s="1"/>
      <c r="VK56" s="1"/>
      <c r="VL56" s="1"/>
      <c r="VM56" s="1"/>
      <c r="VN56" s="1"/>
      <c r="VO56" s="1"/>
      <c r="VP56" s="1"/>
      <c r="VQ56" s="1"/>
      <c r="VR56" s="1"/>
      <c r="VS56" s="1"/>
      <c r="VT56" s="1"/>
      <c r="VU56" s="1"/>
      <c r="VV56" s="1"/>
      <c r="VW56" s="1"/>
      <c r="VX56" s="1"/>
      <c r="VY56" s="1"/>
      <c r="VZ56" s="1"/>
      <c r="WA56" s="1"/>
      <c r="WB56" s="1"/>
      <c r="WC56" s="1"/>
      <c r="WD56" s="1"/>
      <c r="WE56" s="1"/>
      <c r="WF56" s="1"/>
      <c r="WG56" s="1"/>
      <c r="WH56" s="1"/>
      <c r="WI56" s="1"/>
      <c r="WJ56" s="1"/>
      <c r="WK56" s="1"/>
      <c r="WL56" s="1"/>
      <c r="WM56" s="1"/>
      <c r="WN56" s="1"/>
      <c r="WO56" s="1"/>
      <c r="WP56" s="1"/>
      <c r="WQ56" s="1"/>
      <c r="WR56" s="1"/>
      <c r="WS56" s="1"/>
      <c r="WT56" s="1"/>
      <c r="WU56" s="1"/>
      <c r="WV56" s="1"/>
      <c r="WW56" s="1"/>
      <c r="WX56" s="1"/>
      <c r="WY56" s="1"/>
      <c r="WZ56" s="1"/>
      <c r="XA56" s="1"/>
      <c r="XB56" s="1"/>
      <c r="XC56" s="1"/>
      <c r="XD56" s="1"/>
      <c r="XE56" s="1"/>
      <c r="XF56" s="1"/>
      <c r="XG56" s="1"/>
      <c r="XH56" s="1"/>
      <c r="XI56" s="1"/>
      <c r="XJ56" s="1"/>
      <c r="XK56" s="1"/>
      <c r="XL56" s="1"/>
      <c r="XM56" s="1"/>
      <c r="XN56" s="1"/>
      <c r="XO56" s="1"/>
      <c r="XP56" s="1"/>
      <c r="XQ56" s="1"/>
      <c r="XR56" s="1"/>
      <c r="XS56" s="1"/>
      <c r="XT56" s="1"/>
      <c r="XU56" s="1"/>
      <c r="XV56" s="1"/>
      <c r="XW56" s="1"/>
      <c r="XX56" s="1"/>
      <c r="XY56" s="1"/>
      <c r="XZ56" s="1"/>
      <c r="YA56" s="1"/>
      <c r="YB56" s="1"/>
      <c r="YC56" s="1"/>
      <c r="YD56" s="1"/>
      <c r="YE56" s="1"/>
      <c r="YF56" s="1"/>
      <c r="YG56" s="1"/>
      <c r="YH56" s="1"/>
      <c r="YI56" s="1"/>
      <c r="YJ56" s="1"/>
      <c r="YK56" s="1"/>
      <c r="YL56" s="1"/>
      <c r="YM56" s="1"/>
      <c r="YN56" s="1"/>
      <c r="YO56" s="1"/>
      <c r="YP56" s="1"/>
      <c r="YQ56" s="1"/>
      <c r="YR56" s="1"/>
      <c r="YS56" s="1"/>
      <c r="YT56" s="1"/>
      <c r="YU56" s="1"/>
      <c r="YV56" s="1"/>
      <c r="YW56" s="1"/>
      <c r="YX56" s="1"/>
      <c r="YY56" s="1"/>
      <c r="YZ56" s="1"/>
      <c r="ZA56" s="1"/>
      <c r="ZB56" s="1"/>
      <c r="ZC56" s="1"/>
      <c r="ZD56" s="1"/>
      <c r="ZE56" s="1"/>
      <c r="ZF56" s="1"/>
      <c r="ZG56" s="1"/>
      <c r="ZH56" s="1"/>
      <c r="ZI56" s="1"/>
      <c r="ZJ56" s="1"/>
      <c r="ZK56" s="1"/>
      <c r="ZL56" s="1"/>
      <c r="ZM56" s="1"/>
      <c r="ZN56" s="1"/>
      <c r="ZO56" s="1"/>
      <c r="ZP56" s="1"/>
      <c r="ZQ56" s="1"/>
      <c r="ZR56" s="1"/>
      <c r="ZS56" s="1"/>
      <c r="ZT56" s="1"/>
      <c r="ZU56" s="1"/>
      <c r="ZV56" s="1"/>
      <c r="ZW56" s="1"/>
      <c r="ZX56" s="1"/>
      <c r="ZY56" s="1"/>
      <c r="ZZ56" s="1"/>
      <c r="AAA56" s="1"/>
      <c r="AAB56" s="1"/>
      <c r="AAC56" s="1"/>
      <c r="AAD56" s="1"/>
      <c r="AAE56" s="1"/>
      <c r="AAF56" s="1"/>
      <c r="AAG56" s="1"/>
      <c r="AAH56" s="1"/>
      <c r="AAI56" s="1"/>
      <c r="AAJ56" s="1"/>
      <c r="AAK56" s="1"/>
      <c r="AAL56" s="1"/>
      <c r="AAM56" s="1"/>
      <c r="AAN56" s="1"/>
      <c r="AAO56" s="1"/>
      <c r="AAP56" s="1"/>
      <c r="AAQ56" s="1"/>
      <c r="AAR56" s="1"/>
      <c r="AAS56" s="1"/>
      <c r="AAT56" s="1"/>
      <c r="AAU56" s="1"/>
      <c r="AAV56" s="1"/>
      <c r="AAW56" s="1"/>
      <c r="AAX56" s="1"/>
      <c r="AAY56" s="1"/>
      <c r="AAZ56" s="1"/>
      <c r="ABA56" s="1"/>
      <c r="ABB56" s="1"/>
      <c r="ABC56" s="1"/>
      <c r="ABD56" s="1"/>
      <c r="ABE56" s="1"/>
      <c r="ABF56" s="1"/>
      <c r="ABG56" s="1"/>
      <c r="ABH56" s="1"/>
      <c r="ABI56" s="1"/>
      <c r="ABJ56" s="1"/>
      <c r="ABK56" s="1"/>
      <c r="ABL56" s="1"/>
      <c r="ABM56" s="1"/>
      <c r="ABN56" s="1"/>
      <c r="ABO56" s="1"/>
      <c r="ABP56" s="1"/>
      <c r="ABQ56" s="1"/>
      <c r="ABR56" s="1"/>
      <c r="ABS56" s="1"/>
      <c r="ABT56" s="1"/>
      <c r="ABU56" s="1"/>
      <c r="ABV56" s="1"/>
      <c r="ABW56" s="1"/>
      <c r="ABX56" s="1"/>
      <c r="ABY56" s="1"/>
      <c r="ABZ56" s="1"/>
      <c r="ACA56" s="1"/>
      <c r="ACB56" s="1"/>
      <c r="ACC56" s="1"/>
      <c r="ACD56" s="1"/>
      <c r="ACE56" s="1"/>
      <c r="ACF56" s="1"/>
      <c r="ACG56" s="1"/>
      <c r="ACH56" s="1"/>
      <c r="ACI56" s="1"/>
      <c r="ACJ56" s="1"/>
      <c r="ACK56" s="1"/>
      <c r="ACL56" s="1"/>
      <c r="ACM56" s="1"/>
      <c r="ACN56" s="1"/>
      <c r="ACO56" s="1"/>
      <c r="ACP56" s="1"/>
      <c r="ACQ56" s="1"/>
      <c r="ACR56" s="1"/>
      <c r="ACS56" s="1"/>
      <c r="ACT56" s="1"/>
      <c r="ACU56" s="1"/>
      <c r="ACV56" s="1"/>
      <c r="ACW56" s="1"/>
      <c r="ACX56" s="1"/>
      <c r="ACY56" s="1"/>
      <c r="ACZ56" s="1"/>
      <c r="ADA56" s="1"/>
      <c r="ADB56" s="1"/>
      <c r="ADC56" s="1"/>
      <c r="ADD56" s="1"/>
      <c r="ADE56" s="1"/>
      <c r="ADF56" s="1"/>
      <c r="ADG56" s="1"/>
      <c r="ADH56" s="1"/>
      <c r="ADI56" s="1"/>
      <c r="ADJ56" s="1"/>
      <c r="ADK56" s="1"/>
      <c r="ADL56" s="1"/>
      <c r="ADM56" s="1"/>
      <c r="ADN56" s="1"/>
      <c r="ADO56" s="1"/>
      <c r="ADP56" s="1"/>
      <c r="ADQ56" s="1"/>
      <c r="ADR56" s="1"/>
      <c r="ADS56" s="1"/>
      <c r="ADT56" s="1"/>
      <c r="ADU56" s="1"/>
      <c r="ADV56" s="1"/>
      <c r="ADW56" s="1"/>
      <c r="ADX56" s="1"/>
      <c r="ADY56" s="1"/>
      <c r="ADZ56" s="1"/>
      <c r="AEA56" s="1"/>
      <c r="AEB56" s="1"/>
      <c r="AEC56" s="1"/>
      <c r="AED56" s="1"/>
      <c r="AEE56" s="1"/>
      <c r="AEF56" s="1"/>
      <c r="AEG56" s="1"/>
      <c r="AEH56" s="1"/>
      <c r="AEI56" s="1"/>
      <c r="AEJ56" s="1"/>
      <c r="AEK56" s="1"/>
      <c r="AEL56" s="1"/>
      <c r="AEM56" s="1"/>
      <c r="AEN56" s="1"/>
      <c r="AEO56" s="1"/>
      <c r="AEP56" s="1"/>
      <c r="AEQ56" s="1"/>
      <c r="AER56" s="1"/>
      <c r="AES56" s="1"/>
      <c r="AET56" s="1"/>
      <c r="AEU56" s="1"/>
      <c r="AEV56" s="1"/>
      <c r="AEW56" s="1"/>
      <c r="AEX56" s="1"/>
      <c r="AEY56" s="1"/>
      <c r="AEZ56" s="1"/>
      <c r="AFA56" s="1"/>
      <c r="AFB56" s="1"/>
      <c r="AFC56" s="1"/>
      <c r="AFD56" s="1"/>
      <c r="AFE56" s="1"/>
      <c r="AFF56" s="1"/>
      <c r="AFG56" s="1"/>
      <c r="AFH56" s="1"/>
      <c r="AFI56" s="1"/>
      <c r="AFJ56" s="1"/>
      <c r="AFK56" s="1"/>
      <c r="AFL56" s="1"/>
      <c r="AFM56" s="1"/>
      <c r="AFN56" s="1"/>
      <c r="AFO56" s="1"/>
      <c r="AFP56" s="1"/>
      <c r="AFQ56" s="1"/>
      <c r="AFR56" s="1"/>
      <c r="AFS56" s="1"/>
      <c r="AFT56" s="1"/>
      <c r="AFU56" s="1"/>
      <c r="AFV56" s="1"/>
      <c r="AFW56" s="1"/>
      <c r="AFX56" s="1"/>
      <c r="AFY56" s="1"/>
      <c r="AFZ56" s="1"/>
      <c r="AGA56" s="1"/>
      <c r="AGB56" s="1"/>
      <c r="AGC56" s="1"/>
      <c r="AGD56" s="1"/>
      <c r="AGE56" s="1"/>
      <c r="AGF56" s="1"/>
      <c r="AGG56" s="1"/>
      <c r="AGH56" s="1"/>
      <c r="AGI56" s="1"/>
      <c r="AGJ56" s="1"/>
      <c r="AGK56" s="1"/>
      <c r="AGL56" s="1"/>
      <c r="AGM56" s="1"/>
      <c r="AGN56" s="1"/>
      <c r="AGO56" s="1"/>
      <c r="AGP56" s="1"/>
      <c r="AGQ56" s="1"/>
      <c r="AGR56" s="1"/>
      <c r="AGS56" s="1"/>
      <c r="AGT56" s="1"/>
      <c r="AGU56" s="1"/>
      <c r="AGV56" s="1"/>
      <c r="AGW56" s="1"/>
      <c r="AGX56" s="1"/>
      <c r="AGY56" s="1"/>
      <c r="AGZ56" s="1"/>
      <c r="AHA56" s="1"/>
      <c r="AHB56" s="1"/>
      <c r="AHC56" s="1"/>
      <c r="AHD56" s="1"/>
      <c r="AHE56" s="1"/>
      <c r="AHF56" s="1"/>
      <c r="AHG56" s="1"/>
      <c r="AHH56" s="1"/>
      <c r="AHI56" s="1"/>
      <c r="AHJ56" s="1"/>
      <c r="AHK56" s="1"/>
      <c r="AHL56" s="1"/>
      <c r="AHM56" s="1"/>
      <c r="AHN56" s="1"/>
      <c r="AHO56" s="1"/>
      <c r="AHP56" s="1"/>
      <c r="AHQ56" s="1"/>
      <c r="AHR56" s="1"/>
      <c r="AHS56" s="1"/>
      <c r="AHT56" s="1"/>
      <c r="AHU56" s="1"/>
      <c r="AHV56" s="1"/>
      <c r="AHW56" s="1"/>
      <c r="AHX56" s="1"/>
      <c r="AHY56" s="1"/>
      <c r="AHZ56" s="1"/>
      <c r="AIA56" s="1"/>
      <c r="AIB56" s="1"/>
      <c r="AIC56" s="1"/>
      <c r="AID56" s="1"/>
      <c r="AIE56" s="1"/>
      <c r="AIF56" s="1"/>
      <c r="AIG56" s="1"/>
      <c r="AIH56" s="1"/>
      <c r="AII56" s="1"/>
      <c r="AIJ56" s="1"/>
      <c r="AIK56" s="1"/>
      <c r="AIL56" s="1"/>
      <c r="AIM56" s="1"/>
      <c r="AIN56" s="1"/>
      <c r="AIO56" s="1"/>
      <c r="AIP56" s="1"/>
      <c r="AIQ56" s="1"/>
      <c r="AIR56" s="1"/>
      <c r="AIS56" s="1"/>
      <c r="AIT56" s="1"/>
      <c r="AIU56" s="1"/>
      <c r="AIV56" s="1"/>
      <c r="AIW56" s="1"/>
      <c r="AIX56" s="1"/>
      <c r="AIY56" s="1"/>
      <c r="AIZ56" s="1"/>
      <c r="AJA56" s="1"/>
      <c r="AJB56" s="1"/>
      <c r="AJC56" s="1"/>
      <c r="AJD56" s="1"/>
      <c r="AJE56" s="1"/>
      <c r="AJF56" s="1"/>
      <c r="AJG56" s="1"/>
      <c r="AJH56" s="1"/>
      <c r="AJI56" s="1"/>
      <c r="AJJ56" s="1"/>
      <c r="AJK56" s="1"/>
      <c r="AJL56" s="1"/>
      <c r="AJM56" s="1"/>
      <c r="AJN56" s="1"/>
      <c r="AJO56" s="1"/>
      <c r="AJP56" s="1"/>
      <c r="AJQ56" s="1"/>
      <c r="AJR56" s="1"/>
      <c r="AJS56" s="1"/>
      <c r="AJT56" s="1"/>
      <c r="AJU56" s="1"/>
      <c r="AJV56" s="1"/>
      <c r="AJW56" s="1"/>
      <c r="AJX56" s="1"/>
      <c r="AJY56" s="1"/>
      <c r="AJZ56" s="1"/>
      <c r="AKA56" s="1"/>
      <c r="AKB56" s="1"/>
      <c r="AKC56" s="1"/>
      <c r="AKD56" s="1"/>
      <c r="AKE56" s="1"/>
      <c r="AKF56" s="1"/>
      <c r="AKG56" s="1"/>
      <c r="AKH56" s="1"/>
      <c r="AKI56" s="1"/>
      <c r="AKJ56" s="1"/>
      <c r="AKK56" s="1"/>
      <c r="AKL56" s="1"/>
      <c r="AKM56" s="1"/>
      <c r="AKN56" s="1"/>
      <c r="AKO56" s="1"/>
      <c r="AKP56" s="1"/>
      <c r="AKQ56" s="1"/>
      <c r="AKR56" s="1"/>
      <c r="AKS56" s="1"/>
      <c r="AKT56" s="1"/>
      <c r="AKU56" s="1"/>
      <c r="AKV56" s="1"/>
      <c r="AKW56" s="1"/>
      <c r="AKX56" s="1"/>
      <c r="AKY56" s="1"/>
      <c r="AKZ56" s="1"/>
      <c r="ALA56" s="1"/>
      <c r="ALB56" s="1"/>
      <c r="ALC56" s="1"/>
      <c r="ALD56" s="1"/>
      <c r="ALE56" s="1"/>
      <c r="ALF56" s="1"/>
      <c r="ALG56" s="1"/>
      <c r="ALH56" s="1"/>
      <c r="ALI56" s="1"/>
      <c r="ALJ56" s="1"/>
      <c r="ALK56" s="1"/>
      <c r="ALL56" s="1"/>
      <c r="ALM56" s="1"/>
      <c r="ALN56" s="1"/>
      <c r="ALO56" s="1"/>
      <c r="ALP56" s="1"/>
      <c r="ALQ56" s="1"/>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c r="BOB56" s="1"/>
      <c r="BOC56" s="1"/>
      <c r="BOD56" s="1"/>
      <c r="BOE56" s="1"/>
      <c r="BOF56" s="1"/>
      <c r="BOG56" s="1"/>
      <c r="BOH56" s="1"/>
      <c r="BOI56" s="1"/>
      <c r="BOJ56" s="1"/>
      <c r="BOK56" s="1"/>
      <c r="BOL56" s="1"/>
      <c r="BOM56" s="1"/>
      <c r="BON56" s="1"/>
      <c r="BOO56" s="1"/>
      <c r="BOP56" s="1"/>
      <c r="BOQ56" s="1"/>
      <c r="BOR56" s="1"/>
      <c r="BOS56" s="1"/>
      <c r="BOT56" s="1"/>
      <c r="BOU56" s="1"/>
      <c r="BOV56" s="1"/>
      <c r="BOW56" s="1"/>
      <c r="BOX56" s="1"/>
      <c r="BOY56" s="1"/>
      <c r="BOZ56" s="1"/>
      <c r="BPA56" s="1"/>
      <c r="BPB56" s="1"/>
      <c r="BPC56" s="1"/>
      <c r="BPD56" s="1"/>
      <c r="BPE56" s="1"/>
      <c r="BPF56" s="1"/>
      <c r="BPG56" s="1"/>
      <c r="BPH56" s="1"/>
      <c r="BPI56" s="1"/>
      <c r="BPJ56" s="1"/>
      <c r="BPK56" s="1"/>
      <c r="BPL56" s="1"/>
      <c r="BPM56" s="1"/>
      <c r="BPN56" s="1"/>
      <c r="BPO56" s="1"/>
      <c r="BPP56" s="1"/>
      <c r="BPQ56" s="1"/>
      <c r="BPR56" s="1"/>
      <c r="BPS56" s="1"/>
      <c r="BPT56" s="1"/>
      <c r="BPU56" s="1"/>
      <c r="BPV56" s="1"/>
      <c r="BPW56" s="1"/>
      <c r="BPX56" s="1"/>
      <c r="BPY56" s="1"/>
      <c r="BPZ56" s="1"/>
      <c r="BQA56" s="1"/>
      <c r="BQB56" s="1"/>
      <c r="BQC56" s="1"/>
      <c r="BQD56" s="1"/>
      <c r="BQE56" s="1"/>
      <c r="BQF56" s="1"/>
      <c r="BQG56" s="1"/>
      <c r="BQH56" s="1"/>
      <c r="BQI56" s="1"/>
      <c r="BQJ56" s="1"/>
      <c r="BQK56" s="1"/>
      <c r="BQL56" s="1"/>
      <c r="BQM56" s="1"/>
      <c r="BQN56" s="1"/>
      <c r="BQO56" s="1"/>
      <c r="BQP56" s="1"/>
      <c r="BQQ56" s="1"/>
      <c r="BQR56" s="1"/>
      <c r="BQS56" s="1"/>
      <c r="BQT56" s="1"/>
      <c r="BQU56" s="1"/>
      <c r="BQV56" s="1"/>
      <c r="BQW56" s="1"/>
      <c r="BQX56" s="1"/>
      <c r="BQY56" s="1"/>
      <c r="BQZ56" s="1"/>
      <c r="BRA56" s="1"/>
      <c r="BRB56" s="1"/>
      <c r="BRC56" s="1"/>
      <c r="BRD56" s="1"/>
      <c r="BRE56" s="1"/>
      <c r="BRF56" s="1"/>
      <c r="BRG56" s="1"/>
      <c r="BRH56" s="1"/>
      <c r="BRI56" s="1"/>
      <c r="BRJ56" s="1"/>
      <c r="BRK56" s="1"/>
      <c r="BRL56" s="1"/>
      <c r="BRM56" s="1"/>
      <c r="BRN56" s="1"/>
      <c r="BRO56" s="1"/>
      <c r="BRP56" s="1"/>
      <c r="BRQ56" s="1"/>
      <c r="BRR56" s="1"/>
      <c r="BRS56" s="1"/>
      <c r="BRT56" s="1"/>
      <c r="BRU56" s="1"/>
      <c r="BRV56" s="1"/>
      <c r="BRW56" s="1"/>
      <c r="BRX56" s="1"/>
      <c r="BRY56" s="1"/>
      <c r="BRZ56" s="1"/>
      <c r="BSA56" s="1"/>
      <c r="BSB56" s="1"/>
      <c r="BSC56" s="1"/>
      <c r="BSD56" s="1"/>
      <c r="BSE56" s="1"/>
      <c r="BSF56" s="1"/>
      <c r="BSG56" s="1"/>
      <c r="BSH56" s="1"/>
      <c r="BSI56" s="1"/>
      <c r="BSJ56" s="1"/>
      <c r="BSK56" s="1"/>
      <c r="BSL56" s="1"/>
      <c r="BSM56" s="1"/>
      <c r="BSN56" s="1"/>
      <c r="BSO56" s="1"/>
      <c r="BSP56" s="1"/>
      <c r="BSQ56" s="1"/>
      <c r="BSR56" s="1"/>
      <c r="BSS56" s="1"/>
      <c r="BST56" s="1"/>
      <c r="BSU56" s="1"/>
      <c r="BSV56" s="1"/>
      <c r="BSW56" s="1"/>
      <c r="BSX56" s="1"/>
      <c r="BSY56" s="1"/>
      <c r="BSZ56" s="1"/>
      <c r="BTA56" s="1"/>
      <c r="BTB56" s="1"/>
      <c r="BTC56" s="1"/>
      <c r="BTD56" s="1"/>
      <c r="BTE56" s="1"/>
      <c r="BTF56" s="1"/>
      <c r="BTG56" s="1"/>
      <c r="BTH56" s="1"/>
      <c r="BTI56" s="1"/>
      <c r="BTJ56" s="1"/>
      <c r="BTK56" s="1"/>
      <c r="BTL56" s="1"/>
      <c r="BTM56" s="1"/>
      <c r="BTN56" s="1"/>
      <c r="BTO56" s="1"/>
      <c r="BTP56" s="1"/>
      <c r="BTQ56" s="1"/>
      <c r="BTR56" s="1"/>
      <c r="BTS56" s="1"/>
      <c r="BTT56" s="1"/>
      <c r="BTU56" s="1"/>
      <c r="BTV56" s="1"/>
      <c r="BTW56" s="1"/>
      <c r="BTX56" s="1"/>
      <c r="BTY56" s="1"/>
      <c r="BTZ56" s="1"/>
      <c r="BUA56" s="1"/>
      <c r="BUB56" s="1"/>
      <c r="BUC56" s="1"/>
      <c r="BUD56" s="1"/>
      <c r="BUE56" s="1"/>
      <c r="BUF56" s="1"/>
      <c r="BUG56" s="1"/>
      <c r="BUH56" s="1"/>
      <c r="BUI56" s="1"/>
      <c r="BUJ56" s="1"/>
      <c r="BUK56" s="1"/>
      <c r="BUL56" s="1"/>
      <c r="BUM56" s="1"/>
      <c r="BUN56" s="1"/>
      <c r="BUO56" s="1"/>
      <c r="BUP56" s="1"/>
      <c r="BUQ56" s="1"/>
      <c r="BUR56" s="1"/>
      <c r="BUS56" s="1"/>
      <c r="BUT56" s="1"/>
      <c r="BUU56" s="1"/>
      <c r="BUV56" s="1"/>
      <c r="BUW56" s="1"/>
      <c r="BUX56" s="1"/>
      <c r="BUY56" s="1"/>
      <c r="BUZ56" s="1"/>
      <c r="BVA56" s="1"/>
      <c r="BVB56" s="1"/>
      <c r="BVC56" s="1"/>
      <c r="BVD56" s="1"/>
      <c r="BVE56" s="1"/>
      <c r="BVF56" s="1"/>
      <c r="BVG56" s="1"/>
      <c r="BVH56" s="1"/>
      <c r="BVI56" s="1"/>
      <c r="BVJ56" s="1"/>
      <c r="BVK56" s="1"/>
      <c r="BVL56" s="1"/>
      <c r="BVM56" s="1"/>
      <c r="BVN56" s="1"/>
      <c r="BVO56" s="1"/>
      <c r="BVP56" s="1"/>
      <c r="BVQ56" s="1"/>
      <c r="BVR56" s="1"/>
      <c r="BVS56" s="1"/>
      <c r="BVT56" s="1"/>
      <c r="BVU56" s="1"/>
      <c r="BVV56" s="1"/>
      <c r="BVW56" s="1"/>
      <c r="BVX56" s="1"/>
      <c r="BVY56" s="1"/>
      <c r="BVZ56" s="1"/>
      <c r="BWA56" s="1"/>
      <c r="BWB56" s="1"/>
      <c r="BWC56" s="1"/>
      <c r="BWD56" s="1"/>
      <c r="BWE56" s="1"/>
      <c r="BWF56" s="1"/>
      <c r="BWG56" s="1"/>
      <c r="BWH56" s="1"/>
      <c r="BWI56" s="1"/>
      <c r="BWJ56" s="1"/>
      <c r="BWK56" s="1"/>
      <c r="BWL56" s="1"/>
      <c r="BWM56" s="1"/>
      <c r="BWN56" s="1"/>
      <c r="BWO56" s="1"/>
      <c r="BWP56" s="1"/>
      <c r="BWQ56" s="1"/>
      <c r="BWR56" s="1"/>
      <c r="BWS56" s="1"/>
      <c r="BWT56" s="1"/>
      <c r="BWU56" s="1"/>
      <c r="BWV56" s="1"/>
      <c r="BWW56" s="1"/>
      <c r="BWX56" s="1"/>
      <c r="BWY56" s="1"/>
      <c r="BWZ56" s="1"/>
      <c r="BXA56" s="1"/>
      <c r="BXB56" s="1"/>
      <c r="BXC56" s="1"/>
      <c r="BXD56" s="1"/>
      <c r="BXE56" s="1"/>
      <c r="BXF56" s="1"/>
      <c r="BXG56" s="1"/>
      <c r="BXH56" s="1"/>
      <c r="BXI56" s="1"/>
      <c r="BXJ56" s="1"/>
      <c r="BXK56" s="1"/>
      <c r="BXL56" s="1"/>
      <c r="BXM56" s="1"/>
      <c r="BXN56" s="1"/>
      <c r="BXO56" s="1"/>
      <c r="BXP56" s="1"/>
      <c r="BXQ56" s="1"/>
      <c r="BXR56" s="1"/>
      <c r="BXS56" s="1"/>
      <c r="BXT56" s="1"/>
      <c r="BXU56" s="1"/>
      <c r="BXV56" s="1"/>
      <c r="BXW56" s="1"/>
      <c r="BXX56" s="1"/>
      <c r="BXY56" s="1"/>
      <c r="BXZ56" s="1"/>
      <c r="BYA56" s="1"/>
      <c r="BYB56" s="1"/>
      <c r="BYC56" s="1"/>
      <c r="BYD56" s="1"/>
      <c r="BYE56" s="1"/>
      <c r="BYF56" s="1"/>
      <c r="BYG56" s="1"/>
      <c r="BYH56" s="1"/>
      <c r="BYI56" s="1"/>
      <c r="BYJ56" s="1"/>
      <c r="BYK56" s="1"/>
      <c r="BYL56" s="1"/>
      <c r="BYM56" s="1"/>
      <c r="BYN56" s="1"/>
      <c r="BYO56" s="1"/>
      <c r="BYP56" s="1"/>
      <c r="BYQ56" s="1"/>
      <c r="BYR56" s="1"/>
      <c r="BYS56" s="1"/>
      <c r="BYT56" s="1"/>
      <c r="BYU56" s="1"/>
      <c r="BYV56" s="1"/>
      <c r="BYW56" s="1"/>
      <c r="BYX56" s="1"/>
      <c r="BYY56" s="1"/>
      <c r="BYZ56" s="1"/>
      <c r="BZA56" s="1"/>
      <c r="BZB56" s="1"/>
      <c r="BZC56" s="1"/>
      <c r="BZD56" s="1"/>
      <c r="BZE56" s="1"/>
      <c r="BZF56" s="1"/>
      <c r="BZG56" s="1"/>
      <c r="BZH56" s="1"/>
      <c r="BZI56" s="1"/>
      <c r="BZJ56" s="1"/>
      <c r="BZK56" s="1"/>
      <c r="BZL56" s="1"/>
      <c r="BZM56" s="1"/>
      <c r="BZN56" s="1"/>
      <c r="BZO56" s="1"/>
      <c r="BZP56" s="1"/>
      <c r="BZQ56" s="1"/>
      <c r="BZR56" s="1"/>
      <c r="BZS56" s="1"/>
      <c r="BZT56" s="1"/>
      <c r="BZU56" s="1"/>
      <c r="BZV56" s="1"/>
      <c r="BZW56" s="1"/>
      <c r="BZX56" s="1"/>
      <c r="BZY56" s="1"/>
      <c r="BZZ56" s="1"/>
      <c r="CAA56" s="1"/>
      <c r="CAB56" s="1"/>
      <c r="CAC56" s="1"/>
      <c r="CAD56" s="1"/>
      <c r="CAE56" s="1"/>
      <c r="CAF56" s="1"/>
      <c r="CAG56" s="1"/>
      <c r="CAH56" s="1"/>
      <c r="CAI56" s="1"/>
      <c r="CAJ56" s="1"/>
      <c r="CAK56" s="1"/>
      <c r="CAL56" s="1"/>
      <c r="CAM56" s="1"/>
      <c r="CAN56" s="1"/>
      <c r="CAO56" s="1"/>
      <c r="CAP56" s="1"/>
      <c r="CAQ56" s="1"/>
      <c r="CAR56" s="1"/>
      <c r="CAS56" s="1"/>
      <c r="CAT56" s="1"/>
      <c r="CAU56" s="1"/>
      <c r="CAV56" s="1"/>
      <c r="CAW56" s="1"/>
      <c r="CAX56" s="1"/>
      <c r="CAY56" s="1"/>
      <c r="CAZ56" s="1"/>
      <c r="CBA56" s="1"/>
      <c r="CBB56" s="1"/>
      <c r="CBC56" s="1"/>
      <c r="CBD56" s="1"/>
      <c r="CBE56" s="1"/>
      <c r="CBF56" s="1"/>
      <c r="CBG56" s="1"/>
      <c r="CBH56" s="1"/>
      <c r="CBI56" s="1"/>
      <c r="CBJ56" s="1"/>
      <c r="CBK56" s="1"/>
      <c r="CBL56" s="1"/>
      <c r="CBM56" s="1"/>
      <c r="CBN56" s="1"/>
      <c r="CBO56" s="1"/>
      <c r="CBP56" s="1"/>
      <c r="CBQ56" s="1"/>
      <c r="CBR56" s="1"/>
      <c r="CBS56" s="1"/>
      <c r="CBT56" s="1"/>
      <c r="CBU56" s="1"/>
      <c r="CBV56" s="1"/>
      <c r="CBW56" s="1"/>
      <c r="CBX56" s="1"/>
      <c r="CBY56" s="1"/>
      <c r="CBZ56" s="1"/>
      <c r="CCA56" s="1"/>
      <c r="CCB56" s="1"/>
      <c r="CCC56" s="1"/>
      <c r="CCD56" s="1"/>
      <c r="CCE56" s="1"/>
      <c r="CCF56" s="1"/>
      <c r="CCG56" s="1"/>
      <c r="CCH56" s="1"/>
      <c r="CCI56" s="1"/>
      <c r="CCJ56" s="1"/>
      <c r="CCK56" s="1"/>
      <c r="CCL56" s="1"/>
      <c r="CCM56" s="1"/>
      <c r="CCN56" s="1"/>
      <c r="CCO56" s="1"/>
      <c r="CCP56" s="1"/>
      <c r="CCQ56" s="1"/>
      <c r="CCR56" s="1"/>
      <c r="CCS56" s="1"/>
      <c r="CCT56" s="1"/>
      <c r="CCU56" s="1"/>
      <c r="CCV56" s="1"/>
      <c r="CCW56" s="1"/>
      <c r="CCX56" s="1"/>
      <c r="CCY56" s="1"/>
      <c r="CCZ56" s="1"/>
      <c r="CDA56" s="1"/>
      <c r="CDB56" s="1"/>
      <c r="CDC56" s="1"/>
      <c r="CDD56" s="1"/>
      <c r="CDE56" s="1"/>
      <c r="CDF56" s="1"/>
      <c r="CDG56" s="1"/>
      <c r="CDH56" s="1"/>
      <c r="CDI56" s="1"/>
      <c r="CDJ56" s="1"/>
      <c r="CDK56" s="1"/>
      <c r="CDL56" s="1"/>
      <c r="CDM56" s="1"/>
      <c r="CDN56" s="1"/>
      <c r="CDO56" s="1"/>
      <c r="CDP56" s="1"/>
      <c r="CDQ56" s="1"/>
      <c r="CDR56" s="1"/>
      <c r="CDS56" s="1"/>
      <c r="CDT56" s="1"/>
      <c r="CDU56" s="1"/>
      <c r="CDV56" s="1"/>
      <c r="CDW56" s="1"/>
      <c r="CDX56" s="1"/>
      <c r="CDY56" s="1"/>
      <c r="CDZ56" s="1"/>
      <c r="CEA56" s="1"/>
      <c r="CEB56" s="1"/>
      <c r="CEC56" s="1"/>
      <c r="CED56" s="1"/>
      <c r="CEE56" s="1"/>
      <c r="CEF56" s="1"/>
      <c r="CEG56" s="1"/>
      <c r="CEH56" s="1"/>
      <c r="CEI56" s="1"/>
      <c r="CEJ56" s="1"/>
      <c r="CEK56" s="1"/>
      <c r="CEL56" s="1"/>
      <c r="CEM56" s="1"/>
      <c r="CEN56" s="1"/>
      <c r="CEO56" s="1"/>
      <c r="CEP56" s="1"/>
      <c r="CEQ56" s="1"/>
      <c r="CER56" s="1"/>
      <c r="CES56" s="1"/>
      <c r="CET56" s="1"/>
      <c r="CEU56" s="1"/>
      <c r="CEV56" s="1"/>
      <c r="CEW56" s="1"/>
      <c r="CEX56" s="1"/>
      <c r="CEY56" s="1"/>
      <c r="CEZ56" s="1"/>
      <c r="CFA56" s="1"/>
      <c r="CFB56" s="1"/>
      <c r="CFC56" s="1"/>
      <c r="CFD56" s="1"/>
      <c r="CFE56" s="1"/>
      <c r="CFF56" s="1"/>
      <c r="CFG56" s="1"/>
      <c r="CFH56" s="1"/>
      <c r="CFI56" s="1"/>
      <c r="CFJ56" s="1"/>
      <c r="CFK56" s="1"/>
      <c r="CFL56" s="1"/>
      <c r="CFM56" s="1"/>
      <c r="CFN56" s="1"/>
      <c r="CFO56" s="1"/>
      <c r="CFP56" s="1"/>
      <c r="CFQ56" s="1"/>
      <c r="CFR56" s="1"/>
      <c r="CFS56" s="1"/>
      <c r="CFT56" s="1"/>
      <c r="CFU56" s="1"/>
      <c r="CFV56" s="1"/>
      <c r="CFW56" s="1"/>
      <c r="CFX56" s="1"/>
      <c r="CFY56" s="1"/>
      <c r="CFZ56" s="1"/>
      <c r="CGA56" s="1"/>
      <c r="CGB56" s="1"/>
      <c r="CGC56" s="1"/>
      <c r="CGD56" s="1"/>
      <c r="CGE56" s="1"/>
      <c r="CGF56" s="1"/>
      <c r="CGG56" s="1"/>
      <c r="CGH56" s="1"/>
      <c r="CGI56" s="1"/>
      <c r="CGJ56" s="1"/>
      <c r="CGK56" s="1"/>
      <c r="CGL56" s="1"/>
      <c r="CGM56" s="1"/>
      <c r="CGN56" s="1"/>
      <c r="CGO56" s="1"/>
      <c r="CGP56" s="1"/>
      <c r="CGQ56" s="1"/>
      <c r="CGR56" s="1"/>
      <c r="CGS56" s="1"/>
      <c r="CGT56" s="1"/>
      <c r="CGU56" s="1"/>
      <c r="CGV56" s="1"/>
      <c r="CGW56" s="1"/>
      <c r="CGX56" s="1"/>
      <c r="CGY56" s="1"/>
      <c r="CGZ56" s="1"/>
      <c r="CHA56" s="1"/>
      <c r="CHB56" s="1"/>
      <c r="CHC56" s="1"/>
      <c r="CHD56" s="1"/>
      <c r="CHE56" s="1"/>
      <c r="CHF56" s="1"/>
      <c r="CHG56" s="1"/>
      <c r="CHH56" s="1"/>
      <c r="CHI56" s="1"/>
      <c r="CHJ56" s="1"/>
      <c r="CHK56" s="1"/>
      <c r="CHL56" s="1"/>
      <c r="CHM56" s="1"/>
      <c r="CHN56" s="1"/>
      <c r="CHO56" s="1"/>
      <c r="CHP56" s="1"/>
      <c r="CHQ56" s="1"/>
      <c r="CHR56" s="1"/>
      <c r="CHS56" s="1"/>
      <c r="CHT56" s="1"/>
      <c r="CHU56" s="1"/>
      <c r="CHV56" s="1"/>
      <c r="CHW56" s="1"/>
      <c r="CHX56" s="1"/>
      <c r="CHY56" s="1"/>
      <c r="CHZ56" s="1"/>
      <c r="CIA56" s="1"/>
      <c r="CIB56" s="1"/>
      <c r="CIC56" s="1"/>
      <c r="CID56" s="1"/>
      <c r="CIE56" s="1"/>
      <c r="CIF56" s="1"/>
      <c r="CIG56" s="1"/>
      <c r="CIH56" s="1"/>
      <c r="CII56" s="1"/>
      <c r="CIJ56" s="1"/>
      <c r="CIK56" s="1"/>
      <c r="CIL56" s="1"/>
      <c r="CIM56" s="1"/>
      <c r="CIN56" s="1"/>
      <c r="CIO56" s="1"/>
      <c r="CIP56" s="1"/>
      <c r="CIQ56" s="1"/>
      <c r="CIR56" s="1"/>
      <c r="CIS56" s="1"/>
      <c r="CIT56" s="1"/>
      <c r="CIU56" s="1"/>
      <c r="CIV56" s="1"/>
      <c r="CIW56" s="1"/>
      <c r="CIX56" s="1"/>
      <c r="CIY56" s="1"/>
      <c r="CIZ56" s="1"/>
      <c r="CJA56" s="1"/>
      <c r="CJB56" s="1"/>
      <c r="CJC56" s="1"/>
      <c r="CJD56" s="1"/>
      <c r="CJE56" s="1"/>
      <c r="CJF56" s="1"/>
      <c r="CJG56" s="1"/>
      <c r="CJH56" s="1"/>
      <c r="CJI56" s="1"/>
      <c r="CJJ56" s="1"/>
      <c r="CJK56" s="1"/>
      <c r="CJL56" s="1"/>
      <c r="CJM56" s="1"/>
      <c r="CJN56" s="1"/>
      <c r="CJO56" s="1"/>
      <c r="CJP56" s="1"/>
      <c r="CJQ56" s="1"/>
      <c r="CJR56" s="1"/>
      <c r="CJS56" s="1"/>
      <c r="CJT56" s="1"/>
      <c r="CJU56" s="1"/>
      <c r="CJV56" s="1"/>
      <c r="CJW56" s="1"/>
      <c r="CJX56" s="1"/>
      <c r="CJY56" s="1"/>
      <c r="CJZ56" s="1"/>
      <c r="CKA56" s="1"/>
      <c r="CKB56" s="1"/>
      <c r="CKC56" s="1"/>
      <c r="CKD56" s="1"/>
      <c r="CKE56" s="1"/>
      <c r="CKF56" s="1"/>
      <c r="CKG56" s="1"/>
      <c r="CKH56" s="1"/>
      <c r="CKI56" s="1"/>
      <c r="CKJ56" s="1"/>
      <c r="CKK56" s="1"/>
      <c r="CKL56" s="1"/>
      <c r="CKM56" s="1"/>
      <c r="CKN56" s="1"/>
      <c r="CKO56" s="1"/>
      <c r="CKP56" s="1"/>
      <c r="CKQ56" s="1"/>
      <c r="CKR56" s="1"/>
      <c r="CKS56" s="1"/>
      <c r="CKT56" s="1"/>
      <c r="CKU56" s="1"/>
      <c r="CKV56" s="1"/>
      <c r="CKW56" s="1"/>
      <c r="CKX56" s="1"/>
      <c r="CKY56" s="1"/>
      <c r="CKZ56" s="1"/>
      <c r="CLA56" s="1"/>
      <c r="CLB56" s="1"/>
      <c r="CLC56" s="1"/>
      <c r="CLD56" s="1"/>
      <c r="CLE56" s="1"/>
      <c r="CLF56" s="1"/>
      <c r="CLG56" s="1"/>
      <c r="CLH56" s="1"/>
      <c r="CLI56" s="1"/>
      <c r="CLJ56" s="1"/>
      <c r="CLK56" s="1"/>
      <c r="CLL56" s="1"/>
      <c r="CLM56" s="1"/>
      <c r="CLN56" s="1"/>
      <c r="CLO56" s="1"/>
      <c r="CLP56" s="1"/>
      <c r="CLQ56" s="1"/>
      <c r="CLR56" s="1"/>
      <c r="CLS56" s="1"/>
      <c r="CLT56" s="1"/>
      <c r="CLU56" s="1"/>
      <c r="CLV56" s="1"/>
      <c r="CLW56" s="1"/>
      <c r="CLX56" s="1"/>
      <c r="CLY56" s="1"/>
      <c r="CLZ56" s="1"/>
      <c r="CMA56" s="1"/>
      <c r="CMB56" s="1"/>
      <c r="CMC56" s="1"/>
      <c r="CMD56" s="1"/>
      <c r="CME56" s="1"/>
      <c r="CMF56" s="1"/>
      <c r="CMG56" s="1"/>
      <c r="CMH56" s="1"/>
      <c r="CMI56" s="1"/>
      <c r="CMJ56" s="1"/>
      <c r="CMK56" s="1"/>
      <c r="CML56" s="1"/>
      <c r="CMM56" s="1"/>
      <c r="CMN56" s="1"/>
      <c r="CMO56" s="1"/>
      <c r="CMP56" s="1"/>
      <c r="CMQ56" s="1"/>
      <c r="CMR56" s="1"/>
      <c r="CMS56" s="1"/>
      <c r="CMT56" s="1"/>
      <c r="CMU56" s="1"/>
      <c r="CMV56" s="1"/>
      <c r="CMW56" s="1"/>
      <c r="CMX56" s="1"/>
      <c r="CMY56" s="1"/>
      <c r="CMZ56" s="1"/>
      <c r="CNA56" s="1"/>
      <c r="CNB56" s="1"/>
      <c r="CNC56" s="1"/>
      <c r="CND56" s="1"/>
      <c r="CNE56" s="1"/>
      <c r="CNF56" s="1"/>
      <c r="CNG56" s="1"/>
      <c r="CNH56" s="1"/>
      <c r="CNI56" s="1"/>
      <c r="CNJ56" s="1"/>
      <c r="CNK56" s="1"/>
      <c r="CNL56" s="1"/>
      <c r="CNM56" s="1"/>
      <c r="CNN56" s="1"/>
      <c r="CNO56" s="1"/>
      <c r="CNP56" s="1"/>
      <c r="CNQ56" s="1"/>
      <c r="CNR56" s="1"/>
      <c r="CNS56" s="1"/>
      <c r="CNT56" s="1"/>
      <c r="CNU56" s="1"/>
      <c r="CNV56" s="1"/>
      <c r="CNW56" s="1"/>
      <c r="CNX56" s="1"/>
      <c r="CNY56" s="1"/>
      <c r="CNZ56" s="1"/>
      <c r="COA56" s="1"/>
      <c r="COB56" s="1"/>
      <c r="COC56" s="1"/>
      <c r="COD56" s="1"/>
      <c r="COE56" s="1"/>
      <c r="COF56" s="1"/>
      <c r="COG56" s="1"/>
      <c r="COH56" s="1"/>
      <c r="COI56" s="1"/>
      <c r="COJ56" s="1"/>
      <c r="COK56" s="1"/>
      <c r="COL56" s="1"/>
      <c r="COM56" s="1"/>
      <c r="CON56" s="1"/>
      <c r="COO56" s="1"/>
      <c r="COP56" s="1"/>
      <c r="COQ56" s="1"/>
      <c r="COR56" s="1"/>
      <c r="COS56" s="1"/>
      <c r="COT56" s="1"/>
      <c r="COU56" s="1"/>
      <c r="COV56" s="1"/>
      <c r="COW56" s="1"/>
      <c r="COX56" s="1"/>
      <c r="COY56" s="1"/>
      <c r="COZ56" s="1"/>
      <c r="CPA56" s="1"/>
      <c r="CPB56" s="1"/>
      <c r="CPC56" s="1"/>
      <c r="CPD56" s="1"/>
      <c r="CPE56" s="1"/>
      <c r="CPF56" s="1"/>
      <c r="CPG56" s="1"/>
      <c r="CPH56" s="1"/>
      <c r="CPI56" s="1"/>
      <c r="CPJ56" s="1"/>
      <c r="CPK56" s="1"/>
      <c r="CPL56" s="1"/>
      <c r="CPM56" s="1"/>
      <c r="CPN56" s="1"/>
      <c r="CPO56" s="1"/>
      <c r="CPP56" s="1"/>
      <c r="CPQ56" s="1"/>
      <c r="CPR56" s="1"/>
      <c r="CPS56" s="1"/>
      <c r="CPT56" s="1"/>
      <c r="CPU56" s="1"/>
      <c r="CPV56" s="1"/>
      <c r="CPW56" s="1"/>
      <c r="CPX56" s="1"/>
      <c r="CPY56" s="1"/>
      <c r="CPZ56" s="1"/>
      <c r="CQA56" s="1"/>
      <c r="CQB56" s="1"/>
      <c r="CQC56" s="1"/>
      <c r="CQD56" s="1"/>
      <c r="CQE56" s="1"/>
      <c r="CQF56" s="1"/>
      <c r="CQG56" s="1"/>
      <c r="CQH56" s="1"/>
      <c r="CQI56" s="1"/>
      <c r="CQJ56" s="1"/>
      <c r="CQK56" s="1"/>
      <c r="CQL56" s="1"/>
      <c r="CQM56" s="1"/>
      <c r="CQN56" s="1"/>
      <c r="CQO56" s="1"/>
      <c r="CQP56" s="1"/>
      <c r="CQQ56" s="1"/>
      <c r="CQR56" s="1"/>
      <c r="CQS56" s="1"/>
      <c r="CQT56" s="1"/>
      <c r="CQU56" s="1"/>
      <c r="CQV56" s="1"/>
      <c r="CQW56" s="1"/>
      <c r="CQX56" s="1"/>
      <c r="CQY56" s="1"/>
      <c r="CQZ56" s="1"/>
      <c r="CRA56" s="1"/>
      <c r="CRB56" s="1"/>
      <c r="CRC56" s="1"/>
      <c r="CRD56" s="1"/>
      <c r="CRE56" s="1"/>
      <c r="CRF56" s="1"/>
      <c r="CRG56" s="1"/>
      <c r="CRH56" s="1"/>
      <c r="CRI56" s="1"/>
      <c r="CRJ56" s="1"/>
      <c r="CRK56" s="1"/>
      <c r="CRL56" s="1"/>
      <c r="CRM56" s="1"/>
      <c r="CRN56" s="1"/>
      <c r="CRO56" s="1"/>
      <c r="CRP56" s="1"/>
      <c r="CRQ56" s="1"/>
      <c r="CRR56" s="1"/>
      <c r="CRS56" s="1"/>
      <c r="CRT56" s="1"/>
      <c r="CRU56" s="1"/>
      <c r="CRV56" s="1"/>
      <c r="CRW56" s="1"/>
      <c r="CRX56" s="1"/>
      <c r="CRY56" s="1"/>
      <c r="CRZ56" s="1"/>
      <c r="CSA56" s="1"/>
      <c r="CSB56" s="1"/>
      <c r="CSC56" s="1"/>
      <c r="CSD56" s="1"/>
      <c r="CSE56" s="1"/>
      <c r="CSF56" s="1"/>
      <c r="CSG56" s="1"/>
      <c r="CSH56" s="1"/>
      <c r="CSI56" s="1"/>
      <c r="CSJ56" s="1"/>
      <c r="CSK56" s="1"/>
      <c r="CSL56" s="1"/>
      <c r="CSM56" s="1"/>
      <c r="CSN56" s="1"/>
      <c r="CSO56" s="1"/>
      <c r="CSP56" s="1"/>
      <c r="CSQ56" s="1"/>
      <c r="CSR56" s="1"/>
      <c r="CSS56" s="1"/>
      <c r="CST56" s="1"/>
      <c r="CSU56" s="1"/>
      <c r="CSV56" s="1"/>
      <c r="CSW56" s="1"/>
      <c r="CSX56" s="1"/>
      <c r="CSY56" s="1"/>
      <c r="CSZ56" s="1"/>
      <c r="CTA56" s="1"/>
      <c r="CTB56" s="1"/>
      <c r="CTC56" s="1"/>
      <c r="CTD56" s="1"/>
      <c r="CTE56" s="1"/>
      <c r="CTF56" s="1"/>
      <c r="CTG56" s="1"/>
      <c r="CTH56" s="1"/>
      <c r="CTI56" s="1"/>
      <c r="CTJ56" s="1"/>
      <c r="CTK56" s="1"/>
      <c r="CTL56" s="1"/>
      <c r="CTM56" s="1"/>
      <c r="CTN56" s="1"/>
      <c r="CTO56" s="1"/>
      <c r="CTP56" s="1"/>
      <c r="CTQ56" s="1"/>
      <c r="CTR56" s="1"/>
      <c r="CTS56" s="1"/>
      <c r="CTT56" s="1"/>
      <c r="CTU56" s="1"/>
      <c r="CTV56" s="1"/>
      <c r="CTW56" s="1"/>
      <c r="CTX56" s="1"/>
      <c r="CTY56" s="1"/>
      <c r="CTZ56" s="1"/>
      <c r="CUA56" s="1"/>
      <c r="CUB56" s="1"/>
      <c r="CUC56" s="1"/>
      <c r="CUD56" s="1"/>
      <c r="CUE56" s="1"/>
      <c r="CUF56" s="1"/>
      <c r="CUG56" s="1"/>
      <c r="CUH56" s="1"/>
      <c r="CUI56" s="1"/>
      <c r="CUJ56" s="1"/>
      <c r="CUK56" s="1"/>
      <c r="CUL56" s="1"/>
      <c r="CUM56" s="1"/>
      <c r="CUN56" s="1"/>
      <c r="CUO56" s="1"/>
      <c r="CUP56" s="1"/>
      <c r="CUQ56" s="1"/>
      <c r="CUR56" s="1"/>
      <c r="CUS56" s="1"/>
      <c r="CUT56" s="1"/>
      <c r="CUU56" s="1"/>
      <c r="CUV56" s="1"/>
      <c r="CUW56" s="1"/>
      <c r="CUX56" s="1"/>
      <c r="CUY56" s="1"/>
      <c r="CUZ56" s="1"/>
      <c r="CVA56" s="1"/>
      <c r="CVB56" s="1"/>
      <c r="CVC56" s="1"/>
      <c r="CVD56" s="1"/>
      <c r="CVE56" s="1"/>
      <c r="CVF56" s="1"/>
      <c r="CVG56" s="1"/>
      <c r="CVH56" s="1"/>
      <c r="CVI56" s="1"/>
      <c r="CVJ56" s="1"/>
      <c r="CVK56" s="1"/>
      <c r="CVL56" s="1"/>
      <c r="CVM56" s="1"/>
      <c r="CVN56" s="1"/>
      <c r="CVO56" s="1"/>
      <c r="CVP56" s="1"/>
      <c r="CVQ56" s="1"/>
      <c r="CVR56" s="1"/>
      <c r="CVS56" s="1"/>
      <c r="CVT56" s="1"/>
      <c r="CVU56" s="1"/>
      <c r="CVV56" s="1"/>
      <c r="CVW56" s="1"/>
      <c r="CVX56" s="1"/>
      <c r="CVY56" s="1"/>
      <c r="CVZ56" s="1"/>
      <c r="CWA56" s="1"/>
      <c r="CWB56" s="1"/>
      <c r="CWC56" s="1"/>
      <c r="CWD56" s="1"/>
      <c r="CWE56" s="1"/>
      <c r="CWF56" s="1"/>
      <c r="CWG56" s="1"/>
      <c r="CWH56" s="1"/>
      <c r="CWI56" s="1"/>
      <c r="CWJ56" s="1"/>
      <c r="CWK56" s="1"/>
      <c r="CWL56" s="1"/>
      <c r="CWM56" s="1"/>
      <c r="CWN56" s="1"/>
      <c r="CWO56" s="1"/>
      <c r="CWP56" s="1"/>
      <c r="CWQ56" s="1"/>
      <c r="CWR56" s="1"/>
      <c r="CWS56" s="1"/>
      <c r="CWT56" s="1"/>
      <c r="CWU56" s="1"/>
      <c r="CWV56" s="1"/>
      <c r="CWW56" s="1"/>
      <c r="CWX56" s="1"/>
      <c r="CWY56" s="1"/>
      <c r="CWZ56" s="1"/>
      <c r="CXA56" s="1"/>
      <c r="CXB56" s="1"/>
      <c r="CXC56" s="1"/>
      <c r="CXD56" s="1"/>
      <c r="CXE56" s="1"/>
      <c r="CXF56" s="1"/>
      <c r="CXG56" s="1"/>
      <c r="CXH56" s="1"/>
      <c r="CXI56" s="1"/>
      <c r="CXJ56" s="1"/>
      <c r="CXK56" s="1"/>
      <c r="CXL56" s="1"/>
      <c r="CXM56" s="1"/>
      <c r="CXN56" s="1"/>
      <c r="CXO56" s="1"/>
      <c r="CXP56" s="1"/>
      <c r="CXQ56" s="1"/>
      <c r="CXR56" s="1"/>
      <c r="CXS56" s="1"/>
      <c r="CXT56" s="1"/>
      <c r="CXU56" s="1"/>
      <c r="CXV56" s="1"/>
      <c r="CXW56" s="1"/>
      <c r="CXX56" s="1"/>
      <c r="CXY56" s="1"/>
      <c r="CXZ56" s="1"/>
      <c r="CYA56" s="1"/>
      <c r="CYB56" s="1"/>
      <c r="CYC56" s="1"/>
      <c r="CYD56" s="1"/>
      <c r="CYE56" s="1"/>
      <c r="CYF56" s="1"/>
      <c r="CYG56" s="1"/>
      <c r="CYH56" s="1"/>
      <c r="CYI56" s="1"/>
      <c r="CYJ56" s="1"/>
      <c r="CYK56" s="1"/>
      <c r="CYL56" s="1"/>
      <c r="CYM56" s="1"/>
      <c r="CYN56" s="1"/>
      <c r="CYO56" s="1"/>
      <c r="CYP56" s="1"/>
      <c r="CYQ56" s="1"/>
      <c r="CYR56" s="1"/>
      <c r="CYS56" s="1"/>
      <c r="CYT56" s="1"/>
      <c r="CYU56" s="1"/>
      <c r="CYV56" s="1"/>
      <c r="CYW56" s="1"/>
      <c r="CYX56" s="1"/>
      <c r="CYY56" s="1"/>
      <c r="CYZ56" s="1"/>
      <c r="CZA56" s="1"/>
      <c r="CZB56" s="1"/>
      <c r="CZC56" s="1"/>
      <c r="CZD56" s="1"/>
      <c r="CZE56" s="1"/>
      <c r="CZF56" s="1"/>
      <c r="CZG56" s="1"/>
      <c r="CZH56" s="1"/>
      <c r="CZI56" s="1"/>
      <c r="CZJ56" s="1"/>
      <c r="CZK56" s="1"/>
      <c r="CZL56" s="1"/>
      <c r="CZM56" s="1"/>
      <c r="CZN56" s="1"/>
      <c r="CZO56" s="1"/>
      <c r="CZP56" s="1"/>
      <c r="CZQ56" s="1"/>
      <c r="CZR56" s="1"/>
      <c r="CZS56" s="1"/>
      <c r="CZT56" s="1"/>
      <c r="CZU56" s="1"/>
      <c r="CZV56" s="1"/>
      <c r="CZW56" s="1"/>
      <c r="CZX56" s="1"/>
      <c r="CZY56" s="1"/>
      <c r="CZZ56" s="1"/>
      <c r="DAA56" s="1"/>
      <c r="DAB56" s="1"/>
      <c r="DAC56" s="1"/>
      <c r="DAD56" s="1"/>
      <c r="DAE56" s="1"/>
      <c r="DAF56" s="1"/>
      <c r="DAG56" s="1"/>
      <c r="DAH56" s="1"/>
      <c r="DAI56" s="1"/>
      <c r="DAJ56" s="1"/>
      <c r="DAK56" s="1"/>
      <c r="DAL56" s="1"/>
      <c r="DAM56" s="1"/>
      <c r="DAN56" s="1"/>
      <c r="DAO56" s="1"/>
      <c r="DAP56" s="1"/>
      <c r="DAQ56" s="1"/>
      <c r="DAR56" s="1"/>
      <c r="DAS56" s="1"/>
      <c r="DAT56" s="1"/>
      <c r="DAU56" s="1"/>
      <c r="DAV56" s="1"/>
      <c r="DAW56" s="1"/>
      <c r="DAX56" s="1"/>
      <c r="DAY56" s="1"/>
      <c r="DAZ56" s="1"/>
      <c r="DBA56" s="1"/>
      <c r="DBB56" s="1"/>
      <c r="DBC56" s="1"/>
      <c r="DBD56" s="1"/>
      <c r="DBE56" s="1"/>
      <c r="DBF56" s="1"/>
      <c r="DBG56" s="1"/>
      <c r="DBH56" s="1"/>
      <c r="DBI56" s="1"/>
      <c r="DBJ56" s="1"/>
      <c r="DBK56" s="1"/>
      <c r="DBL56" s="1"/>
      <c r="DBM56" s="1"/>
      <c r="DBN56" s="1"/>
      <c r="DBO56" s="1"/>
      <c r="DBP56" s="1"/>
      <c r="DBQ56" s="1"/>
      <c r="DBR56" s="1"/>
      <c r="DBS56" s="1"/>
      <c r="DBT56" s="1"/>
      <c r="DBU56" s="1"/>
      <c r="DBV56" s="1"/>
      <c r="DBW56" s="1"/>
      <c r="DBX56" s="1"/>
      <c r="DBY56" s="1"/>
      <c r="DBZ56" s="1"/>
      <c r="DCA56" s="1"/>
      <c r="DCB56" s="1"/>
      <c r="DCC56" s="1"/>
      <c r="DCD56" s="1"/>
      <c r="DCE56" s="1"/>
      <c r="DCF56" s="1"/>
      <c r="DCG56" s="1"/>
      <c r="DCH56" s="1"/>
      <c r="DCI56" s="1"/>
      <c r="DCJ56" s="1"/>
      <c r="DCK56" s="1"/>
      <c r="DCL56" s="1"/>
      <c r="DCM56" s="1"/>
      <c r="DCN56" s="1"/>
      <c r="DCO56" s="1"/>
      <c r="DCP56" s="1"/>
      <c r="DCQ56" s="1"/>
      <c r="DCR56" s="1"/>
      <c r="DCS56" s="1"/>
      <c r="DCT56" s="1"/>
      <c r="DCU56" s="1"/>
      <c r="DCV56" s="1"/>
      <c r="DCW56" s="1"/>
      <c r="DCX56" s="1"/>
      <c r="DCY56" s="1"/>
      <c r="DCZ56" s="1"/>
      <c r="DDA56" s="1"/>
      <c r="DDB56" s="1"/>
      <c r="DDC56" s="1"/>
      <c r="DDD56" s="1"/>
      <c r="DDE56" s="1"/>
      <c r="DDF56" s="1"/>
      <c r="DDG56" s="1"/>
      <c r="DDH56" s="1"/>
      <c r="DDI56" s="1"/>
      <c r="DDJ56" s="1"/>
      <c r="DDK56" s="1"/>
      <c r="DDL56" s="1"/>
      <c r="DDM56" s="1"/>
      <c r="DDN56" s="1"/>
      <c r="DDO56" s="1"/>
      <c r="DDP56" s="1"/>
      <c r="DDQ56" s="1"/>
      <c r="DDR56" s="1"/>
      <c r="DDS56" s="1"/>
      <c r="DDT56" s="1"/>
      <c r="DDU56" s="1"/>
      <c r="DDV56" s="1"/>
      <c r="DDW56" s="1"/>
      <c r="DDX56" s="1"/>
      <c r="DDY56" s="1"/>
      <c r="DDZ56" s="1"/>
      <c r="DEA56" s="1"/>
      <c r="DEB56" s="1"/>
      <c r="DEC56" s="1"/>
      <c r="DED56" s="1"/>
      <c r="DEE56" s="1"/>
      <c r="DEF56" s="1"/>
      <c r="DEG56" s="1"/>
      <c r="DEH56" s="1"/>
      <c r="DEI56" s="1"/>
      <c r="DEJ56" s="1"/>
      <c r="DEK56" s="1"/>
      <c r="DEL56" s="1"/>
      <c r="DEM56" s="1"/>
      <c r="DEN56" s="1"/>
      <c r="DEO56" s="1"/>
      <c r="DEP56" s="1"/>
      <c r="DEQ56" s="1"/>
      <c r="DER56" s="1"/>
      <c r="DES56" s="1"/>
      <c r="DET56" s="1"/>
      <c r="DEU56" s="1"/>
      <c r="DEV56" s="1"/>
      <c r="DEW56" s="1"/>
      <c r="DEX56" s="1"/>
      <c r="DEY56" s="1"/>
      <c r="DEZ56" s="1"/>
      <c r="DFA56" s="1"/>
      <c r="DFB56" s="1"/>
      <c r="DFC56" s="1"/>
      <c r="DFD56" s="1"/>
      <c r="DFE56" s="1"/>
      <c r="DFF56" s="1"/>
      <c r="DFG56" s="1"/>
      <c r="DFH56" s="1"/>
      <c r="DFI56" s="1"/>
      <c r="DFJ56" s="1"/>
      <c r="DFK56" s="1"/>
      <c r="DFL56" s="1"/>
      <c r="DFM56" s="1"/>
      <c r="DFN56" s="1"/>
      <c r="DFO56" s="1"/>
      <c r="DFP56" s="1"/>
      <c r="DFQ56" s="1"/>
      <c r="DFR56" s="1"/>
      <c r="DFS56" s="1"/>
      <c r="DFT56" s="1"/>
      <c r="DFU56" s="1"/>
      <c r="DFV56" s="1"/>
      <c r="DFW56" s="1"/>
      <c r="DFX56" s="1"/>
      <c r="DFY56" s="1"/>
      <c r="DFZ56" s="1"/>
      <c r="DGA56" s="1"/>
      <c r="DGB56" s="1"/>
      <c r="DGC56" s="1"/>
      <c r="DGD56" s="1"/>
      <c r="DGE56" s="1"/>
      <c r="DGF56" s="1"/>
      <c r="DGG56" s="1"/>
      <c r="DGH56" s="1"/>
      <c r="DGI56" s="1"/>
      <c r="DGJ56" s="1"/>
      <c r="DGK56" s="1"/>
      <c r="DGL56" s="1"/>
      <c r="DGM56" s="1"/>
      <c r="DGN56" s="1"/>
      <c r="DGO56" s="1"/>
      <c r="DGP56" s="1"/>
      <c r="DGQ56" s="1"/>
      <c r="DGR56" s="1"/>
      <c r="DGS56" s="1"/>
      <c r="DGT56" s="1"/>
      <c r="DGU56" s="1"/>
      <c r="DGV56" s="1"/>
      <c r="DGW56" s="1"/>
      <c r="DGX56" s="1"/>
      <c r="DGY56" s="1"/>
      <c r="DGZ56" s="1"/>
      <c r="DHA56" s="1"/>
      <c r="DHB56" s="1"/>
      <c r="DHC56" s="1"/>
      <c r="DHD56" s="1"/>
      <c r="DHE56" s="1"/>
      <c r="DHF56" s="1"/>
      <c r="DHG56" s="1"/>
      <c r="DHH56" s="1"/>
      <c r="DHI56" s="1"/>
      <c r="DHJ56" s="1"/>
      <c r="DHK56" s="1"/>
      <c r="DHL56" s="1"/>
      <c r="DHM56" s="1"/>
      <c r="DHN56" s="1"/>
      <c r="DHO56" s="1"/>
      <c r="DHP56" s="1"/>
      <c r="DHQ56" s="1"/>
      <c r="DHR56" s="1"/>
      <c r="DHS56" s="1"/>
      <c r="DHT56" s="1"/>
      <c r="DHU56" s="1"/>
      <c r="DHV56" s="1"/>
      <c r="DHW56" s="1"/>
      <c r="DHX56" s="1"/>
      <c r="DHY56" s="1"/>
      <c r="DHZ56" s="1"/>
      <c r="DIA56" s="1"/>
      <c r="DIB56" s="1"/>
      <c r="DIC56" s="1"/>
      <c r="DID56" s="1"/>
      <c r="DIE56" s="1"/>
      <c r="DIF56" s="1"/>
      <c r="DIG56" s="1"/>
      <c r="DIH56" s="1"/>
      <c r="DII56" s="1"/>
      <c r="DIJ56" s="1"/>
      <c r="DIK56" s="1"/>
      <c r="DIL56" s="1"/>
      <c r="DIM56" s="1"/>
      <c r="DIN56" s="1"/>
      <c r="DIO56" s="1"/>
      <c r="DIP56" s="1"/>
      <c r="DIQ56" s="1"/>
      <c r="DIR56" s="1"/>
      <c r="DIS56" s="1"/>
      <c r="DIT56" s="1"/>
      <c r="DIU56" s="1"/>
      <c r="DIV56" s="1"/>
      <c r="DIW56" s="1"/>
      <c r="DIX56" s="1"/>
      <c r="DIY56" s="1"/>
      <c r="DIZ56" s="1"/>
      <c r="DJA56" s="1"/>
      <c r="DJB56" s="1"/>
      <c r="DJC56" s="1"/>
      <c r="DJD56" s="1"/>
      <c r="DJE56" s="1"/>
      <c r="DJF56" s="1"/>
      <c r="DJG56" s="1"/>
      <c r="DJH56" s="1"/>
      <c r="DJI56" s="1"/>
      <c r="DJJ56" s="1"/>
      <c r="DJK56" s="1"/>
      <c r="DJL56" s="1"/>
      <c r="DJM56" s="1"/>
      <c r="DJN56" s="1"/>
      <c r="DJO56" s="1"/>
      <c r="DJP56" s="1"/>
      <c r="DJQ56" s="1"/>
      <c r="DJR56" s="1"/>
      <c r="DJS56" s="1"/>
      <c r="DJT56" s="1"/>
      <c r="DJU56" s="1"/>
      <c r="DJV56" s="1"/>
      <c r="DJW56" s="1"/>
      <c r="DJX56" s="1"/>
      <c r="DJY56" s="1"/>
      <c r="DJZ56" s="1"/>
      <c r="DKA56" s="1"/>
      <c r="DKB56" s="1"/>
      <c r="DKC56" s="1"/>
      <c r="DKD56" s="1"/>
      <c r="DKE56" s="1"/>
      <c r="DKF56" s="1"/>
      <c r="DKG56" s="1"/>
      <c r="DKH56" s="1"/>
      <c r="DKI56" s="1"/>
      <c r="DKJ56" s="1"/>
      <c r="DKK56" s="1"/>
      <c r="DKL56" s="1"/>
      <c r="DKM56" s="1"/>
      <c r="DKN56" s="1"/>
      <c r="DKO56" s="1"/>
      <c r="DKP56" s="1"/>
      <c r="DKQ56" s="1"/>
      <c r="DKR56" s="1"/>
      <c r="DKS56" s="1"/>
      <c r="DKT56" s="1"/>
      <c r="DKU56" s="1"/>
      <c r="DKV56" s="1"/>
      <c r="DKW56" s="1"/>
      <c r="DKX56" s="1"/>
      <c r="DKY56" s="1"/>
      <c r="DKZ56" s="1"/>
      <c r="DLA56" s="1"/>
      <c r="DLB56" s="1"/>
      <c r="DLC56" s="1"/>
      <c r="DLD56" s="1"/>
      <c r="DLE56" s="1"/>
      <c r="DLF56" s="1"/>
      <c r="DLG56" s="1"/>
      <c r="DLH56" s="1"/>
      <c r="DLI56" s="1"/>
      <c r="DLJ56" s="1"/>
      <c r="DLK56" s="1"/>
      <c r="DLL56" s="1"/>
      <c r="DLM56" s="1"/>
      <c r="DLN56" s="1"/>
      <c r="DLO56" s="1"/>
      <c r="DLP56" s="1"/>
      <c r="DLQ56" s="1"/>
      <c r="DLR56" s="1"/>
      <c r="DLS56" s="1"/>
      <c r="DLT56" s="1"/>
      <c r="DLU56" s="1"/>
      <c r="DLV56" s="1"/>
      <c r="DLW56" s="1"/>
      <c r="DLX56" s="1"/>
      <c r="DLY56" s="1"/>
      <c r="DLZ56" s="1"/>
      <c r="DMA56" s="1"/>
      <c r="DMB56" s="1"/>
      <c r="DMC56" s="1"/>
      <c r="DMD56" s="1"/>
      <c r="DME56" s="1"/>
      <c r="DMF56" s="1"/>
      <c r="DMG56" s="1"/>
      <c r="DMH56" s="1"/>
      <c r="DMI56" s="1"/>
      <c r="DMJ56" s="1"/>
      <c r="DMK56" s="1"/>
      <c r="DML56" s="1"/>
      <c r="DMM56" s="1"/>
      <c r="DMN56" s="1"/>
      <c r="DMO56" s="1"/>
      <c r="DMP56" s="1"/>
      <c r="DMQ56" s="1"/>
      <c r="DMR56" s="1"/>
      <c r="DMS56" s="1"/>
      <c r="DMT56" s="1"/>
      <c r="DMU56" s="1"/>
      <c r="DMV56" s="1"/>
      <c r="DMW56" s="1"/>
      <c r="DMX56" s="1"/>
      <c r="DMY56" s="1"/>
      <c r="DMZ56" s="1"/>
      <c r="DNA56" s="1"/>
      <c r="DNB56" s="1"/>
      <c r="DNC56" s="1"/>
      <c r="DND56" s="1"/>
      <c r="DNE56" s="1"/>
      <c r="DNF56" s="1"/>
      <c r="DNG56" s="1"/>
      <c r="DNH56" s="1"/>
      <c r="DNI56" s="1"/>
      <c r="DNJ56" s="1"/>
      <c r="DNK56" s="1"/>
      <c r="DNL56" s="1"/>
      <c r="DNM56" s="1"/>
      <c r="DNN56" s="1"/>
      <c r="DNO56" s="1"/>
      <c r="DNP56" s="1"/>
      <c r="DNQ56" s="1"/>
      <c r="DNR56" s="1"/>
      <c r="DNS56" s="1"/>
      <c r="DNT56" s="1"/>
      <c r="DNU56" s="1"/>
      <c r="DNV56" s="1"/>
      <c r="DNW56" s="1"/>
      <c r="DNX56" s="1"/>
      <c r="DNY56" s="1"/>
      <c r="DNZ56" s="1"/>
      <c r="DOA56" s="1"/>
      <c r="DOB56" s="1"/>
      <c r="DOC56" s="1"/>
      <c r="DOD56" s="1"/>
      <c r="DOE56" s="1"/>
      <c r="DOF56" s="1"/>
      <c r="DOG56" s="1"/>
      <c r="DOH56" s="1"/>
      <c r="DOI56" s="1"/>
      <c r="DOJ56" s="1"/>
      <c r="DOK56" s="1"/>
      <c r="DOL56" s="1"/>
      <c r="DOM56" s="1"/>
      <c r="DON56" s="1"/>
      <c r="DOO56" s="1"/>
      <c r="DOP56" s="1"/>
      <c r="DOQ56" s="1"/>
      <c r="DOR56" s="1"/>
      <c r="DOS56" s="1"/>
      <c r="DOT56" s="1"/>
      <c r="DOU56" s="1"/>
      <c r="DOV56" s="1"/>
      <c r="DOW56" s="1"/>
      <c r="DOX56" s="1"/>
      <c r="DOY56" s="1"/>
      <c r="DOZ56" s="1"/>
      <c r="DPA56" s="1"/>
      <c r="DPB56" s="1"/>
      <c r="DPC56" s="1"/>
      <c r="DPD56" s="1"/>
      <c r="DPE56" s="1"/>
      <c r="DPF56" s="1"/>
      <c r="DPG56" s="1"/>
      <c r="DPH56" s="1"/>
      <c r="DPI56" s="1"/>
      <c r="DPJ56" s="1"/>
      <c r="DPK56" s="1"/>
      <c r="DPL56" s="1"/>
      <c r="DPM56" s="1"/>
      <c r="DPN56" s="1"/>
      <c r="DPO56" s="1"/>
      <c r="DPP56" s="1"/>
      <c r="DPQ56" s="1"/>
      <c r="DPR56" s="1"/>
      <c r="DPS56" s="1"/>
      <c r="DPT56" s="1"/>
      <c r="DPU56" s="1"/>
      <c r="DPV56" s="1"/>
      <c r="DPW56" s="1"/>
      <c r="DPX56" s="1"/>
      <c r="DPY56" s="1"/>
      <c r="DPZ56" s="1"/>
      <c r="DQA56" s="1"/>
      <c r="DQB56" s="1"/>
      <c r="DQC56" s="1"/>
      <c r="DQD56" s="1"/>
      <c r="DQE56" s="1"/>
      <c r="DQF56" s="1"/>
      <c r="DQG56" s="1"/>
      <c r="DQH56" s="1"/>
      <c r="DQI56" s="1"/>
      <c r="DQJ56" s="1"/>
      <c r="DQK56" s="1"/>
      <c r="DQL56" s="1"/>
      <c r="DQM56" s="1"/>
      <c r="DQN56" s="1"/>
      <c r="DQO56" s="1"/>
      <c r="DQP56" s="1"/>
      <c r="DQQ56" s="1"/>
      <c r="DQR56" s="1"/>
      <c r="DQS56" s="1"/>
      <c r="DQT56" s="1"/>
      <c r="DQU56" s="1"/>
      <c r="DQV56" s="1"/>
      <c r="DQW56" s="1"/>
      <c r="DQX56" s="1"/>
      <c r="DQY56" s="1"/>
      <c r="DQZ56" s="1"/>
      <c r="DRA56" s="1"/>
      <c r="DRB56" s="1"/>
      <c r="DRC56" s="1"/>
      <c r="DRD56" s="1"/>
      <c r="DRE56" s="1"/>
      <c r="DRF56" s="1"/>
      <c r="DRG56" s="1"/>
      <c r="DRH56" s="1"/>
      <c r="DRI56" s="1"/>
      <c r="DRJ56" s="1"/>
      <c r="DRK56" s="1"/>
      <c r="DRL56" s="1"/>
      <c r="DRM56" s="1"/>
      <c r="DRN56" s="1"/>
      <c r="DRO56" s="1"/>
      <c r="DRP56" s="1"/>
      <c r="DRQ56" s="1"/>
      <c r="DRR56" s="1"/>
      <c r="DRS56" s="1"/>
      <c r="DRT56" s="1"/>
      <c r="DRU56" s="1"/>
      <c r="DRV56" s="1"/>
      <c r="DRW56" s="1"/>
      <c r="DRX56" s="1"/>
      <c r="DRY56" s="1"/>
      <c r="DRZ56" s="1"/>
      <c r="DSA56" s="1"/>
      <c r="DSB56" s="1"/>
      <c r="DSC56" s="1"/>
      <c r="DSD56" s="1"/>
      <c r="DSE56" s="1"/>
      <c r="DSF56" s="1"/>
      <c r="DSG56" s="1"/>
      <c r="DSH56" s="1"/>
      <c r="DSI56" s="1"/>
      <c r="DSJ56" s="1"/>
      <c r="DSK56" s="1"/>
      <c r="DSL56" s="1"/>
      <c r="DSM56" s="1"/>
      <c r="DSN56" s="1"/>
      <c r="DSO56" s="1"/>
      <c r="DSP56" s="1"/>
      <c r="DSQ56" s="1"/>
      <c r="DSR56" s="1"/>
      <c r="DSS56" s="1"/>
      <c r="DST56" s="1"/>
      <c r="DSU56" s="1"/>
      <c r="DSV56" s="1"/>
      <c r="DSW56" s="1"/>
      <c r="DSX56" s="1"/>
      <c r="DSY56" s="1"/>
      <c r="DSZ56" s="1"/>
      <c r="DTA56" s="1"/>
      <c r="DTB56" s="1"/>
      <c r="DTC56" s="1"/>
      <c r="DTD56" s="1"/>
      <c r="DTE56" s="1"/>
      <c r="DTF56" s="1"/>
      <c r="DTG56" s="1"/>
      <c r="DTH56" s="1"/>
      <c r="DTI56" s="1"/>
      <c r="DTJ56" s="1"/>
      <c r="DTK56" s="1"/>
      <c r="DTL56" s="1"/>
      <c r="DTM56" s="1"/>
      <c r="DTN56" s="1"/>
      <c r="DTO56" s="1"/>
      <c r="DTP56" s="1"/>
      <c r="DTQ56" s="1"/>
      <c r="DTR56" s="1"/>
      <c r="DTS56" s="1"/>
      <c r="DTT56" s="1"/>
      <c r="DTU56" s="1"/>
      <c r="DTV56" s="1"/>
      <c r="DTW56" s="1"/>
      <c r="DTX56" s="1"/>
      <c r="DTY56" s="1"/>
      <c r="DTZ56" s="1"/>
      <c r="DUA56" s="1"/>
      <c r="DUB56" s="1"/>
      <c r="DUC56" s="1"/>
      <c r="DUD56" s="1"/>
      <c r="DUE56" s="1"/>
      <c r="DUF56" s="1"/>
      <c r="DUG56" s="1"/>
      <c r="DUH56" s="1"/>
      <c r="DUI56" s="1"/>
      <c r="DUJ56" s="1"/>
      <c r="DUK56" s="1"/>
      <c r="DUL56" s="1"/>
      <c r="DUM56" s="1"/>
      <c r="DUN56" s="1"/>
      <c r="DUO56" s="1"/>
      <c r="DUP56" s="1"/>
      <c r="DUQ56" s="1"/>
      <c r="DUR56" s="1"/>
      <c r="DUS56" s="1"/>
      <c r="DUT56" s="1"/>
      <c r="DUU56" s="1"/>
      <c r="DUV56" s="1"/>
      <c r="DUW56" s="1"/>
      <c r="DUX56" s="1"/>
      <c r="DUY56" s="1"/>
      <c r="DUZ56" s="1"/>
      <c r="DVA56" s="1"/>
      <c r="DVB56" s="1"/>
      <c r="DVC56" s="1"/>
      <c r="DVD56" s="1"/>
      <c r="DVE56" s="1"/>
      <c r="DVF56" s="1"/>
      <c r="DVG56" s="1"/>
      <c r="DVH56" s="1"/>
      <c r="DVI56" s="1"/>
      <c r="DVJ56" s="1"/>
      <c r="DVK56" s="1"/>
      <c r="DVL56" s="1"/>
      <c r="DVM56" s="1"/>
      <c r="DVN56" s="1"/>
      <c r="DVO56" s="1"/>
      <c r="DVP56" s="1"/>
      <c r="DVQ56" s="1"/>
      <c r="DVR56" s="1"/>
      <c r="DVS56" s="1"/>
      <c r="DVT56" s="1"/>
      <c r="DVU56" s="1"/>
      <c r="DVV56" s="1"/>
      <c r="DVW56" s="1"/>
      <c r="DVX56" s="1"/>
      <c r="DVY56" s="1"/>
      <c r="DVZ56" s="1"/>
      <c r="DWA56" s="1"/>
      <c r="DWB56" s="1"/>
      <c r="DWC56" s="1"/>
      <c r="DWD56" s="1"/>
      <c r="DWE56" s="1"/>
      <c r="DWF56" s="1"/>
      <c r="DWG56" s="1"/>
      <c r="DWH56" s="1"/>
      <c r="DWI56" s="1"/>
      <c r="DWJ56" s="1"/>
      <c r="DWK56" s="1"/>
      <c r="DWL56" s="1"/>
      <c r="DWM56" s="1"/>
      <c r="DWN56" s="1"/>
      <c r="DWO56" s="1"/>
      <c r="DWP56" s="1"/>
      <c r="DWQ56" s="1"/>
      <c r="DWR56" s="1"/>
      <c r="DWS56" s="1"/>
      <c r="DWT56" s="1"/>
      <c r="DWU56" s="1"/>
      <c r="DWV56" s="1"/>
      <c r="DWW56" s="1"/>
      <c r="DWX56" s="1"/>
      <c r="DWY56" s="1"/>
      <c r="DWZ56" s="1"/>
      <c r="DXA56" s="1"/>
      <c r="DXB56" s="1"/>
      <c r="DXC56" s="1"/>
      <c r="DXD56" s="1"/>
      <c r="DXE56" s="1"/>
      <c r="DXF56" s="1"/>
      <c r="DXG56" s="1"/>
      <c r="DXH56" s="1"/>
      <c r="DXI56" s="1"/>
      <c r="DXJ56" s="1"/>
      <c r="DXK56" s="1"/>
      <c r="DXL56" s="1"/>
      <c r="DXM56" s="1"/>
      <c r="DXN56" s="1"/>
      <c r="DXO56" s="1"/>
      <c r="DXP56" s="1"/>
      <c r="DXQ56" s="1"/>
      <c r="DXR56" s="1"/>
      <c r="DXS56" s="1"/>
      <c r="DXT56" s="1"/>
      <c r="DXU56" s="1"/>
      <c r="DXV56" s="1"/>
      <c r="DXW56" s="1"/>
      <c r="DXX56" s="1"/>
      <c r="DXY56" s="1"/>
      <c r="DXZ56" s="1"/>
      <c r="DYA56" s="1"/>
      <c r="DYB56" s="1"/>
      <c r="DYC56" s="1"/>
      <c r="DYD56" s="1"/>
      <c r="DYE56" s="1"/>
      <c r="DYF56" s="1"/>
      <c r="DYG56" s="1"/>
      <c r="DYH56" s="1"/>
      <c r="DYI56" s="1"/>
      <c r="DYJ56" s="1"/>
      <c r="DYK56" s="1"/>
      <c r="DYL56" s="1"/>
      <c r="DYM56" s="1"/>
      <c r="DYN56" s="1"/>
      <c r="DYO56" s="1"/>
      <c r="DYP56" s="1"/>
      <c r="DYQ56" s="1"/>
      <c r="DYR56" s="1"/>
      <c r="DYS56" s="1"/>
      <c r="DYT56" s="1"/>
      <c r="DYU56" s="1"/>
      <c r="DYV56" s="1"/>
      <c r="DYW56" s="1"/>
      <c r="DYX56" s="1"/>
      <c r="DYY56" s="1"/>
      <c r="DYZ56" s="1"/>
      <c r="DZA56" s="1"/>
      <c r="DZB56" s="1"/>
      <c r="DZC56" s="1"/>
      <c r="DZD56" s="1"/>
      <c r="DZE56" s="1"/>
      <c r="DZF56" s="1"/>
      <c r="DZG56" s="1"/>
      <c r="DZH56" s="1"/>
      <c r="DZI56" s="1"/>
      <c r="DZJ56" s="1"/>
      <c r="DZK56" s="1"/>
      <c r="DZL56" s="1"/>
      <c r="DZM56" s="1"/>
      <c r="DZN56" s="1"/>
      <c r="DZO56" s="1"/>
      <c r="DZP56" s="1"/>
      <c r="DZQ56" s="1"/>
      <c r="DZR56" s="1"/>
      <c r="DZS56" s="1"/>
      <c r="DZT56" s="1"/>
      <c r="DZU56" s="1"/>
      <c r="DZV56" s="1"/>
      <c r="DZW56" s="1"/>
      <c r="DZX56" s="1"/>
      <c r="DZY56" s="1"/>
      <c r="DZZ56" s="1"/>
      <c r="EAA56" s="1"/>
      <c r="EAB56" s="1"/>
      <c r="EAC56" s="1"/>
      <c r="EAD56" s="1"/>
      <c r="EAE56" s="1"/>
      <c r="EAF56" s="1"/>
      <c r="EAG56" s="1"/>
      <c r="EAH56" s="1"/>
      <c r="EAI56" s="1"/>
      <c r="EAJ56" s="1"/>
      <c r="EAK56" s="1"/>
      <c r="EAL56" s="1"/>
      <c r="EAM56" s="1"/>
      <c r="EAN56" s="1"/>
      <c r="EAO56" s="1"/>
      <c r="EAP56" s="1"/>
      <c r="EAQ56" s="1"/>
      <c r="EAR56" s="1"/>
      <c r="EAS56" s="1"/>
      <c r="EAT56" s="1"/>
      <c r="EAU56" s="1"/>
      <c r="EAV56" s="1"/>
      <c r="EAW56" s="1"/>
      <c r="EAX56" s="1"/>
      <c r="EAY56" s="1"/>
      <c r="EAZ56" s="1"/>
      <c r="EBA56" s="1"/>
      <c r="EBB56" s="1"/>
      <c r="EBC56" s="1"/>
      <c r="EBD56" s="1"/>
      <c r="EBE56" s="1"/>
      <c r="EBF56" s="1"/>
      <c r="EBG56" s="1"/>
      <c r="EBH56" s="1"/>
      <c r="EBI56" s="1"/>
      <c r="EBJ56" s="1"/>
      <c r="EBK56" s="1"/>
      <c r="EBL56" s="1"/>
      <c r="EBM56" s="1"/>
      <c r="EBN56" s="1"/>
      <c r="EBO56" s="1"/>
      <c r="EBP56" s="1"/>
      <c r="EBQ56" s="1"/>
      <c r="EBR56" s="1"/>
      <c r="EBS56" s="1"/>
      <c r="EBT56" s="1"/>
      <c r="EBU56" s="1"/>
      <c r="EBV56" s="1"/>
      <c r="EBW56" s="1"/>
      <c r="EBX56" s="1"/>
      <c r="EBY56" s="1"/>
      <c r="EBZ56" s="1"/>
      <c r="ECA56" s="1"/>
      <c r="ECB56" s="1"/>
      <c r="ECC56" s="1"/>
      <c r="ECD56" s="1"/>
      <c r="ECE56" s="1"/>
      <c r="ECF56" s="1"/>
      <c r="ECG56" s="1"/>
      <c r="ECH56" s="1"/>
      <c r="ECI56" s="1"/>
      <c r="ECJ56" s="1"/>
      <c r="ECK56" s="1"/>
      <c r="ECL56" s="1"/>
      <c r="ECM56" s="1"/>
      <c r="ECN56" s="1"/>
      <c r="ECO56" s="1"/>
      <c r="ECP56" s="1"/>
      <c r="ECQ56" s="1"/>
      <c r="ECR56" s="1"/>
      <c r="ECS56" s="1"/>
      <c r="ECT56" s="1"/>
      <c r="ECU56" s="1"/>
      <c r="ECV56" s="1"/>
      <c r="ECW56" s="1"/>
      <c r="ECX56" s="1"/>
      <c r="ECY56" s="1"/>
      <c r="ECZ56" s="1"/>
      <c r="EDA56" s="1"/>
      <c r="EDB56" s="1"/>
      <c r="EDC56" s="1"/>
      <c r="EDD56" s="1"/>
      <c r="EDE56" s="1"/>
      <c r="EDF56" s="1"/>
      <c r="EDG56" s="1"/>
      <c r="EDH56" s="1"/>
      <c r="EDI56" s="1"/>
      <c r="EDJ56" s="1"/>
      <c r="EDK56" s="1"/>
      <c r="EDL56" s="1"/>
      <c r="EDM56" s="1"/>
      <c r="EDN56" s="1"/>
      <c r="EDO56" s="1"/>
      <c r="EDP56" s="1"/>
      <c r="EDQ56" s="1"/>
      <c r="EDR56" s="1"/>
      <c r="EDS56" s="1"/>
      <c r="EDT56" s="1"/>
      <c r="EDU56" s="1"/>
      <c r="EDV56" s="1"/>
      <c r="EDW56" s="1"/>
      <c r="EDX56" s="1"/>
      <c r="EDY56" s="1"/>
      <c r="EDZ56" s="1"/>
      <c r="EEA56" s="1"/>
      <c r="EEB56" s="1"/>
      <c r="EEC56" s="1"/>
      <c r="EED56" s="1"/>
      <c r="EEE56" s="1"/>
      <c r="EEF56" s="1"/>
      <c r="EEG56" s="1"/>
      <c r="EEH56" s="1"/>
      <c r="EEI56" s="1"/>
      <c r="EEJ56" s="1"/>
      <c r="EEK56" s="1"/>
      <c r="EEL56" s="1"/>
      <c r="EEM56" s="1"/>
      <c r="EEN56" s="1"/>
      <c r="EEO56" s="1"/>
      <c r="EEP56" s="1"/>
      <c r="EEQ56" s="1"/>
      <c r="EER56" s="1"/>
      <c r="EES56" s="1"/>
      <c r="EET56" s="1"/>
      <c r="EEU56" s="1"/>
      <c r="EEV56" s="1"/>
      <c r="EEW56" s="1"/>
      <c r="EEX56" s="1"/>
      <c r="EEY56" s="1"/>
      <c r="EEZ56" s="1"/>
      <c r="EFA56" s="1"/>
      <c r="EFB56" s="1"/>
      <c r="EFC56" s="1"/>
      <c r="EFD56" s="1"/>
      <c r="EFE56" s="1"/>
      <c r="EFF56" s="1"/>
      <c r="EFG56" s="1"/>
      <c r="EFH56" s="1"/>
      <c r="EFI56" s="1"/>
      <c r="EFJ56" s="1"/>
      <c r="EFK56" s="1"/>
      <c r="EFL56" s="1"/>
      <c r="EFM56" s="1"/>
      <c r="EFN56" s="1"/>
      <c r="EFO56" s="1"/>
      <c r="EFP56" s="1"/>
      <c r="EFQ56" s="1"/>
      <c r="EFR56" s="1"/>
      <c r="EFS56" s="1"/>
      <c r="EFT56" s="1"/>
      <c r="EFU56" s="1"/>
      <c r="EFV56" s="1"/>
      <c r="EFW56" s="1"/>
      <c r="EFX56" s="1"/>
      <c r="EFY56" s="1"/>
      <c r="EFZ56" s="1"/>
      <c r="EGA56" s="1"/>
      <c r="EGB56" s="1"/>
      <c r="EGC56" s="1"/>
      <c r="EGD56" s="1"/>
      <c r="EGE56" s="1"/>
      <c r="EGF56" s="1"/>
      <c r="EGG56" s="1"/>
      <c r="EGH56" s="1"/>
      <c r="EGI56" s="1"/>
      <c r="EGJ56" s="1"/>
      <c r="EGK56" s="1"/>
      <c r="EGL56" s="1"/>
      <c r="EGM56" s="1"/>
      <c r="EGN56" s="1"/>
      <c r="EGO56" s="1"/>
      <c r="EGP56" s="1"/>
      <c r="EGQ56" s="1"/>
      <c r="EGR56" s="1"/>
      <c r="EGS56" s="1"/>
      <c r="EGT56" s="1"/>
      <c r="EGU56" s="1"/>
      <c r="EGV56" s="1"/>
      <c r="EGW56" s="1"/>
      <c r="EGX56" s="1"/>
      <c r="EGY56" s="1"/>
      <c r="EGZ56" s="1"/>
      <c r="EHA56" s="1"/>
      <c r="EHB56" s="1"/>
      <c r="EHC56" s="1"/>
      <c r="EHD56" s="1"/>
      <c r="EHE56" s="1"/>
      <c r="EHF56" s="1"/>
      <c r="EHG56" s="1"/>
      <c r="EHH56" s="1"/>
      <c r="EHI56" s="1"/>
      <c r="EHJ56" s="1"/>
      <c r="EHK56" s="1"/>
      <c r="EHL56" s="1"/>
      <c r="EHM56" s="1"/>
      <c r="EHN56" s="1"/>
      <c r="EHO56" s="1"/>
      <c r="EHP56" s="1"/>
      <c r="EHQ56" s="1"/>
      <c r="EHR56" s="1"/>
      <c r="EHS56" s="1"/>
      <c r="EHT56" s="1"/>
      <c r="EHU56" s="1"/>
      <c r="EHV56" s="1"/>
      <c r="EHW56" s="1"/>
      <c r="EHX56" s="1"/>
      <c r="EHY56" s="1"/>
      <c r="EHZ56" s="1"/>
      <c r="EIA56" s="1"/>
      <c r="EIB56" s="1"/>
      <c r="EIC56" s="1"/>
      <c r="EID56" s="1"/>
      <c r="EIE56" s="1"/>
      <c r="EIF56" s="1"/>
      <c r="EIG56" s="1"/>
      <c r="EIH56" s="1"/>
      <c r="EII56" s="1"/>
      <c r="EIJ56" s="1"/>
      <c r="EIK56" s="1"/>
      <c r="EIL56" s="1"/>
      <c r="EIM56" s="1"/>
      <c r="EIN56" s="1"/>
      <c r="EIO56" s="1"/>
      <c r="EIP56" s="1"/>
      <c r="EIQ56" s="1"/>
      <c r="EIR56" s="1"/>
      <c r="EIS56" s="1"/>
      <c r="EIT56" s="1"/>
      <c r="EIU56" s="1"/>
      <c r="EIV56" s="1"/>
      <c r="EIW56" s="1"/>
      <c r="EIX56" s="1"/>
      <c r="EIY56" s="1"/>
      <c r="EIZ56" s="1"/>
      <c r="EJA56" s="1"/>
      <c r="EJB56" s="1"/>
      <c r="EJC56" s="1"/>
      <c r="EJD56" s="1"/>
      <c r="EJE56" s="1"/>
      <c r="EJF56" s="1"/>
      <c r="EJG56" s="1"/>
      <c r="EJH56" s="1"/>
      <c r="EJI56" s="1"/>
      <c r="EJJ56" s="1"/>
      <c r="EJK56" s="1"/>
      <c r="EJL56" s="1"/>
      <c r="EJM56" s="1"/>
      <c r="EJN56" s="1"/>
      <c r="EJO56" s="1"/>
      <c r="EJP56" s="1"/>
      <c r="EJQ56" s="1"/>
      <c r="EJR56" s="1"/>
      <c r="EJS56" s="1"/>
      <c r="EJT56" s="1"/>
      <c r="EJU56" s="1"/>
      <c r="EJV56" s="1"/>
      <c r="EJW56" s="1"/>
      <c r="EJX56" s="1"/>
      <c r="EJY56" s="1"/>
      <c r="EJZ56" s="1"/>
      <c r="EKA56" s="1"/>
      <c r="EKB56" s="1"/>
      <c r="EKC56" s="1"/>
      <c r="EKD56" s="1"/>
      <c r="EKE56" s="1"/>
      <c r="EKF56" s="1"/>
      <c r="EKG56" s="1"/>
      <c r="EKH56" s="1"/>
      <c r="EKI56" s="1"/>
      <c r="EKJ56" s="1"/>
      <c r="EKK56" s="1"/>
      <c r="EKL56" s="1"/>
      <c r="EKM56" s="1"/>
      <c r="EKN56" s="1"/>
      <c r="EKO56" s="1"/>
      <c r="EKP56" s="1"/>
      <c r="EKQ56" s="1"/>
      <c r="EKR56" s="1"/>
      <c r="EKS56" s="1"/>
      <c r="EKT56" s="1"/>
      <c r="EKU56" s="1"/>
      <c r="EKV56" s="1"/>
      <c r="EKW56" s="1"/>
      <c r="EKX56" s="1"/>
      <c r="EKY56" s="1"/>
      <c r="EKZ56" s="1"/>
      <c r="ELA56" s="1"/>
      <c r="ELB56" s="1"/>
      <c r="ELC56" s="1"/>
      <c r="ELD56" s="1"/>
      <c r="ELE56" s="1"/>
      <c r="ELF56" s="1"/>
      <c r="ELG56" s="1"/>
      <c r="ELH56" s="1"/>
      <c r="ELI56" s="1"/>
      <c r="ELJ56" s="1"/>
      <c r="ELK56" s="1"/>
      <c r="ELL56" s="1"/>
      <c r="ELM56" s="1"/>
      <c r="ELN56" s="1"/>
      <c r="ELO56" s="1"/>
      <c r="ELP56" s="1"/>
      <c r="ELQ56" s="1"/>
      <c r="ELR56" s="1"/>
      <c r="ELS56" s="1"/>
      <c r="ELT56" s="1"/>
      <c r="ELU56" s="1"/>
      <c r="ELV56" s="1"/>
      <c r="ELW56" s="1"/>
      <c r="ELX56" s="1"/>
      <c r="ELY56" s="1"/>
      <c r="ELZ56" s="1"/>
      <c r="EMA56" s="1"/>
      <c r="EMB56" s="1"/>
      <c r="EMC56" s="1"/>
      <c r="EMD56" s="1"/>
      <c r="EME56" s="1"/>
      <c r="EMF56" s="1"/>
      <c r="EMG56" s="1"/>
      <c r="EMH56" s="1"/>
      <c r="EMI56" s="1"/>
      <c r="EMJ56" s="1"/>
      <c r="EMK56" s="1"/>
      <c r="EML56" s="1"/>
      <c r="EMM56" s="1"/>
      <c r="EMN56" s="1"/>
      <c r="EMO56" s="1"/>
      <c r="EMP56" s="1"/>
      <c r="EMQ56" s="1"/>
      <c r="EMR56" s="1"/>
      <c r="EMS56" s="1"/>
      <c r="EMT56" s="1"/>
      <c r="EMU56" s="1"/>
      <c r="EMV56" s="1"/>
      <c r="EMW56" s="1"/>
      <c r="EMX56" s="1"/>
      <c r="EMY56" s="1"/>
      <c r="EMZ56" s="1"/>
      <c r="ENA56" s="1"/>
      <c r="ENB56" s="1"/>
      <c r="ENC56" s="1"/>
      <c r="END56" s="1"/>
      <c r="ENE56" s="1"/>
      <c r="ENF56" s="1"/>
      <c r="ENG56" s="1"/>
      <c r="ENH56" s="1"/>
      <c r="ENI56" s="1"/>
      <c r="ENJ56" s="1"/>
      <c r="ENK56" s="1"/>
      <c r="ENL56" s="1"/>
      <c r="ENM56" s="1"/>
      <c r="ENN56" s="1"/>
      <c r="ENO56" s="1"/>
      <c r="ENP56" s="1"/>
      <c r="ENQ56" s="1"/>
      <c r="ENR56" s="1"/>
      <c r="ENS56" s="1"/>
      <c r="ENT56" s="1"/>
      <c r="ENU56" s="1"/>
      <c r="ENV56" s="1"/>
      <c r="ENW56" s="1"/>
      <c r="ENX56" s="1"/>
      <c r="ENY56" s="1"/>
      <c r="ENZ56" s="1"/>
      <c r="EOA56" s="1"/>
      <c r="EOB56" s="1"/>
      <c r="EOC56" s="1"/>
      <c r="EOD56" s="1"/>
      <c r="EOE56" s="1"/>
      <c r="EOF56" s="1"/>
      <c r="EOG56" s="1"/>
      <c r="EOH56" s="1"/>
      <c r="EOI56" s="1"/>
      <c r="EOJ56" s="1"/>
      <c r="EOK56" s="1"/>
      <c r="EOL56" s="1"/>
      <c r="EOM56" s="1"/>
      <c r="EON56" s="1"/>
      <c r="EOO56" s="1"/>
      <c r="EOP56" s="1"/>
      <c r="EOQ56" s="1"/>
      <c r="EOR56" s="1"/>
      <c r="EOS56" s="1"/>
      <c r="EOT56" s="1"/>
      <c r="EOU56" s="1"/>
      <c r="EOV56" s="1"/>
      <c r="EOW56" s="1"/>
      <c r="EOX56" s="1"/>
      <c r="EOY56" s="1"/>
      <c r="EOZ56" s="1"/>
      <c r="EPA56" s="1"/>
      <c r="EPB56" s="1"/>
      <c r="EPC56" s="1"/>
      <c r="EPD56" s="1"/>
      <c r="EPE56" s="1"/>
      <c r="EPF56" s="1"/>
      <c r="EPG56" s="1"/>
      <c r="EPH56" s="1"/>
      <c r="EPI56" s="1"/>
      <c r="EPJ56" s="1"/>
      <c r="EPK56" s="1"/>
      <c r="EPL56" s="1"/>
      <c r="EPM56" s="1"/>
      <c r="EPN56" s="1"/>
      <c r="EPO56" s="1"/>
      <c r="EPP56" s="1"/>
      <c r="EPQ56" s="1"/>
      <c r="EPR56" s="1"/>
      <c r="EPS56" s="1"/>
      <c r="EPT56" s="1"/>
      <c r="EPU56" s="1"/>
      <c r="EPV56" s="1"/>
      <c r="EPW56" s="1"/>
      <c r="EPX56" s="1"/>
      <c r="EPY56" s="1"/>
      <c r="EPZ56" s="1"/>
      <c r="EQA56" s="1"/>
      <c r="EQB56" s="1"/>
      <c r="EQC56" s="1"/>
      <c r="EQD56" s="1"/>
      <c r="EQE56" s="1"/>
      <c r="EQF56" s="1"/>
      <c r="EQG56" s="1"/>
      <c r="EQH56" s="1"/>
      <c r="EQI56" s="1"/>
      <c r="EQJ56" s="1"/>
      <c r="EQK56" s="1"/>
      <c r="EQL56" s="1"/>
      <c r="EQM56" s="1"/>
      <c r="EQN56" s="1"/>
      <c r="EQO56" s="1"/>
      <c r="EQP56" s="1"/>
      <c r="EQQ56" s="1"/>
      <c r="EQR56" s="1"/>
      <c r="EQS56" s="1"/>
      <c r="EQT56" s="1"/>
      <c r="EQU56" s="1"/>
      <c r="EQV56" s="1"/>
      <c r="EQW56" s="1"/>
      <c r="EQX56" s="1"/>
      <c r="EQY56" s="1"/>
      <c r="EQZ56" s="1"/>
      <c r="ERA56" s="1"/>
      <c r="ERB56" s="1"/>
      <c r="ERC56" s="1"/>
      <c r="ERD56" s="1"/>
      <c r="ERE56" s="1"/>
      <c r="ERF56" s="1"/>
      <c r="ERG56" s="1"/>
      <c r="ERH56" s="1"/>
      <c r="ERI56" s="1"/>
      <c r="ERJ56" s="1"/>
      <c r="ERK56" s="1"/>
      <c r="ERL56" s="1"/>
      <c r="ERM56" s="1"/>
      <c r="ERN56" s="1"/>
      <c r="ERO56" s="1"/>
      <c r="ERP56" s="1"/>
      <c r="ERQ56" s="1"/>
      <c r="ERR56" s="1"/>
      <c r="ERS56" s="1"/>
      <c r="ERT56" s="1"/>
      <c r="ERU56" s="1"/>
      <c r="ERV56" s="1"/>
      <c r="ERW56" s="1"/>
      <c r="ERX56" s="1"/>
      <c r="ERY56" s="1"/>
      <c r="ERZ56" s="1"/>
      <c r="ESA56" s="1"/>
      <c r="ESB56" s="1"/>
      <c r="ESC56" s="1"/>
      <c r="ESD56" s="1"/>
      <c r="ESE56" s="1"/>
      <c r="ESF56" s="1"/>
      <c r="ESG56" s="1"/>
      <c r="ESH56" s="1"/>
      <c r="ESI56" s="1"/>
      <c r="ESJ56" s="1"/>
      <c r="ESK56" s="1"/>
      <c r="ESL56" s="1"/>
      <c r="ESM56" s="1"/>
      <c r="ESN56" s="1"/>
      <c r="ESO56" s="1"/>
      <c r="ESP56" s="1"/>
      <c r="ESQ56" s="1"/>
      <c r="ESR56" s="1"/>
      <c r="ESS56" s="1"/>
      <c r="EST56" s="1"/>
      <c r="ESU56" s="1"/>
      <c r="ESV56" s="1"/>
      <c r="ESW56" s="1"/>
      <c r="ESX56" s="1"/>
      <c r="ESY56" s="1"/>
      <c r="ESZ56" s="1"/>
      <c r="ETA56" s="1"/>
      <c r="ETB56" s="1"/>
      <c r="ETC56" s="1"/>
      <c r="ETD56" s="1"/>
      <c r="ETE56" s="1"/>
      <c r="ETF56" s="1"/>
      <c r="ETG56" s="1"/>
      <c r="ETH56" s="1"/>
      <c r="ETI56" s="1"/>
      <c r="ETJ56" s="1"/>
      <c r="ETK56" s="1"/>
      <c r="ETL56" s="1"/>
      <c r="ETM56" s="1"/>
      <c r="ETN56" s="1"/>
      <c r="ETO56" s="1"/>
      <c r="ETP56" s="1"/>
      <c r="ETQ56" s="1"/>
      <c r="ETR56" s="1"/>
      <c r="ETS56" s="1"/>
      <c r="ETT56" s="1"/>
      <c r="ETU56" s="1"/>
      <c r="ETV56" s="1"/>
      <c r="ETW56" s="1"/>
      <c r="ETX56" s="1"/>
      <c r="ETY56" s="1"/>
      <c r="ETZ56" s="1"/>
      <c r="EUA56" s="1"/>
      <c r="EUB56" s="1"/>
      <c r="EUC56" s="1"/>
      <c r="EUD56" s="1"/>
      <c r="EUE56" s="1"/>
      <c r="EUF56" s="1"/>
      <c r="EUG56" s="1"/>
      <c r="EUH56" s="1"/>
      <c r="EUI56" s="1"/>
      <c r="EUJ56" s="1"/>
      <c r="EUK56" s="1"/>
      <c r="EUL56" s="1"/>
      <c r="EUM56" s="1"/>
      <c r="EUN56" s="1"/>
      <c r="EUO56" s="1"/>
      <c r="EUP56" s="1"/>
      <c r="EUQ56" s="1"/>
      <c r="EUR56" s="1"/>
      <c r="EUS56" s="1"/>
      <c r="EUT56" s="1"/>
      <c r="EUU56" s="1"/>
      <c r="EUV56" s="1"/>
      <c r="EUW56" s="1"/>
      <c r="EUX56" s="1"/>
      <c r="EUY56" s="1"/>
      <c r="EUZ56" s="1"/>
      <c r="EVA56" s="1"/>
      <c r="EVB56" s="1"/>
      <c r="EVC56" s="1"/>
      <c r="EVD56" s="1"/>
      <c r="EVE56" s="1"/>
      <c r="EVF56" s="1"/>
      <c r="EVG56" s="1"/>
      <c r="EVH56" s="1"/>
      <c r="EVI56" s="1"/>
      <c r="EVJ56" s="1"/>
      <c r="EVK56" s="1"/>
      <c r="EVL56" s="1"/>
      <c r="EVM56" s="1"/>
      <c r="EVN56" s="1"/>
      <c r="EVO56" s="1"/>
      <c r="EVP56" s="1"/>
      <c r="EVQ56" s="1"/>
      <c r="EVR56" s="1"/>
      <c r="EVS56" s="1"/>
      <c r="EVT56" s="1"/>
      <c r="EVU56" s="1"/>
      <c r="EVV56" s="1"/>
      <c r="EVW56" s="1"/>
      <c r="EVX56" s="1"/>
      <c r="EVY56" s="1"/>
      <c r="EVZ56" s="1"/>
      <c r="EWA56" s="1"/>
      <c r="EWB56" s="1"/>
      <c r="EWC56" s="1"/>
      <c r="EWD56" s="1"/>
      <c r="EWE56" s="1"/>
      <c r="EWF56" s="1"/>
      <c r="EWG56" s="1"/>
      <c r="EWH56" s="1"/>
      <c r="EWI56" s="1"/>
      <c r="EWJ56" s="1"/>
      <c r="EWK56" s="1"/>
      <c r="EWL56" s="1"/>
      <c r="EWM56" s="1"/>
      <c r="EWN56" s="1"/>
      <c r="EWO56" s="1"/>
      <c r="EWP56" s="1"/>
      <c r="EWQ56" s="1"/>
      <c r="EWR56" s="1"/>
      <c r="EWS56" s="1"/>
      <c r="EWT56" s="1"/>
      <c r="EWU56" s="1"/>
      <c r="EWV56" s="1"/>
      <c r="EWW56" s="1"/>
      <c r="EWX56" s="1"/>
      <c r="EWY56" s="1"/>
      <c r="EWZ56" s="1"/>
      <c r="EXA56" s="1"/>
      <c r="EXB56" s="1"/>
      <c r="EXC56" s="1"/>
      <c r="EXD56" s="1"/>
      <c r="EXE56" s="1"/>
      <c r="EXF56" s="1"/>
      <c r="EXG56" s="1"/>
      <c r="EXH56" s="1"/>
      <c r="EXI56" s="1"/>
      <c r="EXJ56" s="1"/>
      <c r="EXK56" s="1"/>
      <c r="EXL56" s="1"/>
      <c r="EXM56" s="1"/>
      <c r="EXN56" s="1"/>
      <c r="EXO56" s="1"/>
      <c r="EXP56" s="1"/>
      <c r="EXQ56" s="1"/>
      <c r="EXR56" s="1"/>
      <c r="EXS56" s="1"/>
      <c r="EXT56" s="1"/>
      <c r="EXU56" s="1"/>
      <c r="EXV56" s="1"/>
      <c r="EXW56" s="1"/>
      <c r="EXX56" s="1"/>
      <c r="EXY56" s="1"/>
      <c r="EXZ56" s="1"/>
      <c r="EYA56" s="1"/>
      <c r="EYB56" s="1"/>
      <c r="EYC56" s="1"/>
      <c r="EYD56" s="1"/>
      <c r="EYE56" s="1"/>
      <c r="EYF56" s="1"/>
      <c r="EYG56" s="1"/>
      <c r="EYH56" s="1"/>
      <c r="EYI56" s="1"/>
      <c r="EYJ56" s="1"/>
      <c r="EYK56" s="1"/>
      <c r="EYL56" s="1"/>
      <c r="EYM56" s="1"/>
      <c r="EYN56" s="1"/>
      <c r="EYO56" s="1"/>
      <c r="EYP56" s="1"/>
      <c r="EYQ56" s="1"/>
      <c r="EYR56" s="1"/>
      <c r="EYS56" s="1"/>
      <c r="EYT56" s="1"/>
      <c r="EYU56" s="1"/>
      <c r="EYV56" s="1"/>
      <c r="EYW56" s="1"/>
      <c r="EYX56" s="1"/>
      <c r="EYY56" s="1"/>
      <c r="EYZ56" s="1"/>
      <c r="EZA56" s="1"/>
      <c r="EZB56" s="1"/>
      <c r="EZC56" s="1"/>
      <c r="EZD56" s="1"/>
      <c r="EZE56" s="1"/>
      <c r="EZF56" s="1"/>
      <c r="EZG56" s="1"/>
      <c r="EZH56" s="1"/>
      <c r="EZI56" s="1"/>
      <c r="EZJ56" s="1"/>
      <c r="EZK56" s="1"/>
      <c r="EZL56" s="1"/>
      <c r="EZM56" s="1"/>
      <c r="EZN56" s="1"/>
      <c r="EZO56" s="1"/>
      <c r="EZP56" s="1"/>
      <c r="EZQ56" s="1"/>
      <c r="EZR56" s="1"/>
      <c r="EZS56" s="1"/>
      <c r="EZT56" s="1"/>
      <c r="EZU56" s="1"/>
      <c r="EZV56" s="1"/>
      <c r="EZW56" s="1"/>
      <c r="EZX56" s="1"/>
      <c r="EZY56" s="1"/>
      <c r="EZZ56" s="1"/>
      <c r="FAA56" s="1"/>
      <c r="FAB56" s="1"/>
      <c r="FAC56" s="1"/>
      <c r="FAD56" s="1"/>
      <c r="FAE56" s="1"/>
      <c r="FAF56" s="1"/>
      <c r="FAG56" s="1"/>
      <c r="FAH56" s="1"/>
      <c r="FAI56" s="1"/>
      <c r="FAJ56" s="1"/>
      <c r="FAK56" s="1"/>
      <c r="FAL56" s="1"/>
      <c r="FAM56" s="1"/>
      <c r="FAN56" s="1"/>
      <c r="FAO56" s="1"/>
      <c r="FAP56" s="1"/>
      <c r="FAQ56" s="1"/>
      <c r="FAR56" s="1"/>
      <c r="FAS56" s="1"/>
      <c r="FAT56" s="1"/>
      <c r="FAU56" s="1"/>
      <c r="FAV56" s="1"/>
      <c r="FAW56" s="1"/>
      <c r="FAX56" s="1"/>
      <c r="FAY56" s="1"/>
      <c r="FAZ56" s="1"/>
      <c r="FBA56" s="1"/>
      <c r="FBB56" s="1"/>
      <c r="FBC56" s="1"/>
      <c r="FBD56" s="1"/>
      <c r="FBE56" s="1"/>
      <c r="FBF56" s="1"/>
      <c r="FBG56" s="1"/>
      <c r="FBH56" s="1"/>
      <c r="FBI56" s="1"/>
      <c r="FBJ56" s="1"/>
      <c r="FBK56" s="1"/>
      <c r="FBL56" s="1"/>
      <c r="FBM56" s="1"/>
      <c r="FBN56" s="1"/>
      <c r="FBO56" s="1"/>
      <c r="FBP56" s="1"/>
      <c r="FBQ56" s="1"/>
      <c r="FBR56" s="1"/>
      <c r="FBS56" s="1"/>
      <c r="FBT56" s="1"/>
      <c r="FBU56" s="1"/>
      <c r="FBV56" s="1"/>
      <c r="FBW56" s="1"/>
      <c r="FBX56" s="1"/>
      <c r="FBY56" s="1"/>
      <c r="FBZ56" s="1"/>
      <c r="FCA56" s="1"/>
      <c r="FCB56" s="1"/>
      <c r="FCC56" s="1"/>
      <c r="FCD56" s="1"/>
      <c r="FCE56" s="1"/>
      <c r="FCF56" s="1"/>
      <c r="FCG56" s="1"/>
      <c r="FCH56" s="1"/>
      <c r="FCI56" s="1"/>
      <c r="FCJ56" s="1"/>
      <c r="FCK56" s="1"/>
      <c r="FCL56" s="1"/>
      <c r="FCM56" s="1"/>
      <c r="FCN56" s="1"/>
      <c r="FCO56" s="1"/>
      <c r="FCP56" s="1"/>
      <c r="FCQ56" s="1"/>
      <c r="FCR56" s="1"/>
      <c r="FCS56" s="1"/>
      <c r="FCT56" s="1"/>
      <c r="FCU56" s="1"/>
      <c r="FCV56" s="1"/>
      <c r="FCW56" s="1"/>
      <c r="FCX56" s="1"/>
      <c r="FCY56" s="1"/>
      <c r="FCZ56" s="1"/>
      <c r="FDA56" s="1"/>
      <c r="FDB56" s="1"/>
      <c r="FDC56" s="1"/>
      <c r="FDD56" s="1"/>
      <c r="FDE56" s="1"/>
      <c r="FDF56" s="1"/>
      <c r="FDG56" s="1"/>
      <c r="FDH56" s="1"/>
      <c r="FDI56" s="1"/>
      <c r="FDJ56" s="1"/>
      <c r="FDK56" s="1"/>
      <c r="FDL56" s="1"/>
      <c r="FDM56" s="1"/>
      <c r="FDN56" s="1"/>
      <c r="FDO56" s="1"/>
      <c r="FDP56" s="1"/>
      <c r="FDQ56" s="1"/>
      <c r="FDR56" s="1"/>
      <c r="FDS56" s="1"/>
      <c r="FDT56" s="1"/>
      <c r="FDU56" s="1"/>
      <c r="FDV56" s="1"/>
      <c r="FDW56" s="1"/>
      <c r="FDX56" s="1"/>
      <c r="FDY56" s="1"/>
      <c r="FDZ56" s="1"/>
      <c r="FEA56" s="1"/>
      <c r="FEB56" s="1"/>
      <c r="FEC56" s="1"/>
      <c r="FED56" s="1"/>
      <c r="FEE56" s="1"/>
      <c r="FEF56" s="1"/>
      <c r="FEG56" s="1"/>
      <c r="FEH56" s="1"/>
      <c r="FEI56" s="1"/>
      <c r="FEJ56" s="1"/>
      <c r="FEK56" s="1"/>
      <c r="FEL56" s="1"/>
      <c r="FEM56" s="1"/>
      <c r="FEN56" s="1"/>
      <c r="FEO56" s="1"/>
      <c r="FEP56" s="1"/>
      <c r="FEQ56" s="1"/>
      <c r="FER56" s="1"/>
      <c r="FES56" s="1"/>
      <c r="FET56" s="1"/>
      <c r="FEU56" s="1"/>
      <c r="FEV56" s="1"/>
      <c r="FEW56" s="1"/>
      <c r="FEX56" s="1"/>
      <c r="FEY56" s="1"/>
      <c r="FEZ56" s="1"/>
      <c r="FFA56" s="1"/>
      <c r="FFB56" s="1"/>
      <c r="FFC56" s="1"/>
      <c r="FFD56" s="1"/>
      <c r="FFE56" s="1"/>
      <c r="FFF56" s="1"/>
      <c r="FFG56" s="1"/>
      <c r="FFH56" s="1"/>
      <c r="FFI56" s="1"/>
      <c r="FFJ56" s="1"/>
      <c r="FFK56" s="1"/>
      <c r="FFL56" s="1"/>
      <c r="FFM56" s="1"/>
      <c r="FFN56" s="1"/>
      <c r="FFO56" s="1"/>
      <c r="FFP56" s="1"/>
      <c r="FFQ56" s="1"/>
      <c r="FFR56" s="1"/>
      <c r="FFS56" s="1"/>
      <c r="FFT56" s="1"/>
      <c r="FFU56" s="1"/>
      <c r="FFV56" s="1"/>
      <c r="FFW56" s="1"/>
      <c r="FFX56" s="1"/>
      <c r="FFY56" s="1"/>
      <c r="FFZ56" s="1"/>
      <c r="FGA56" s="1"/>
      <c r="FGB56" s="1"/>
      <c r="FGC56" s="1"/>
      <c r="FGD56" s="1"/>
      <c r="FGE56" s="1"/>
      <c r="FGF56" s="1"/>
      <c r="FGG56" s="1"/>
      <c r="FGH56" s="1"/>
      <c r="FGI56" s="1"/>
      <c r="FGJ56" s="1"/>
      <c r="FGK56" s="1"/>
      <c r="FGL56" s="1"/>
      <c r="FGM56" s="1"/>
      <c r="FGN56" s="1"/>
      <c r="FGO56" s="1"/>
      <c r="FGP56" s="1"/>
      <c r="FGQ56" s="1"/>
      <c r="FGR56" s="1"/>
      <c r="FGS56" s="1"/>
      <c r="FGT56" s="1"/>
      <c r="FGU56" s="1"/>
      <c r="FGV56" s="1"/>
      <c r="FGW56" s="1"/>
      <c r="FGX56" s="1"/>
      <c r="FGY56" s="1"/>
      <c r="FGZ56" s="1"/>
      <c r="FHA56" s="1"/>
      <c r="FHB56" s="1"/>
      <c r="FHC56" s="1"/>
      <c r="FHD56" s="1"/>
      <c r="FHE56" s="1"/>
      <c r="FHF56" s="1"/>
      <c r="FHG56" s="1"/>
      <c r="FHH56" s="1"/>
      <c r="FHI56" s="1"/>
      <c r="FHJ56" s="1"/>
      <c r="FHK56" s="1"/>
      <c r="FHL56" s="1"/>
      <c r="FHM56" s="1"/>
      <c r="FHN56" s="1"/>
      <c r="FHO56" s="1"/>
      <c r="FHP56" s="1"/>
      <c r="FHQ56" s="1"/>
      <c r="FHR56" s="1"/>
      <c r="FHS56" s="1"/>
      <c r="FHT56" s="1"/>
      <c r="FHU56" s="1"/>
      <c r="FHV56" s="1"/>
      <c r="FHW56" s="1"/>
      <c r="FHX56" s="1"/>
      <c r="FHY56" s="1"/>
      <c r="FHZ56" s="1"/>
      <c r="FIA56" s="1"/>
      <c r="FIB56" s="1"/>
      <c r="FIC56" s="1"/>
      <c r="FID56" s="1"/>
      <c r="FIE56" s="1"/>
      <c r="FIF56" s="1"/>
      <c r="FIG56" s="1"/>
      <c r="FIH56" s="1"/>
      <c r="FII56" s="1"/>
      <c r="FIJ56" s="1"/>
      <c r="FIK56" s="1"/>
      <c r="FIL56" s="1"/>
      <c r="FIM56" s="1"/>
      <c r="FIN56" s="1"/>
      <c r="FIO56" s="1"/>
      <c r="FIP56" s="1"/>
      <c r="FIQ56" s="1"/>
      <c r="FIR56" s="1"/>
      <c r="FIS56" s="1"/>
      <c r="FIT56" s="1"/>
      <c r="FIU56" s="1"/>
      <c r="FIV56" s="1"/>
      <c r="FIW56" s="1"/>
      <c r="FIX56" s="1"/>
      <c r="FIY56" s="1"/>
      <c r="FIZ56" s="1"/>
      <c r="FJA56" s="1"/>
      <c r="FJB56" s="1"/>
      <c r="FJC56" s="1"/>
      <c r="FJD56" s="1"/>
      <c r="FJE56" s="1"/>
      <c r="FJF56" s="1"/>
      <c r="FJG56" s="1"/>
      <c r="FJH56" s="1"/>
      <c r="FJI56" s="1"/>
      <c r="FJJ56" s="1"/>
      <c r="FJK56" s="1"/>
      <c r="FJL56" s="1"/>
      <c r="FJM56" s="1"/>
      <c r="FJN56" s="1"/>
      <c r="FJO56" s="1"/>
      <c r="FJP56" s="1"/>
      <c r="FJQ56" s="1"/>
      <c r="FJR56" s="1"/>
      <c r="FJS56" s="1"/>
      <c r="FJT56" s="1"/>
      <c r="FJU56" s="1"/>
      <c r="FJV56" s="1"/>
      <c r="FJW56" s="1"/>
      <c r="FJX56" s="1"/>
      <c r="FJY56" s="1"/>
      <c r="FJZ56" s="1"/>
      <c r="FKA56" s="1"/>
      <c r="FKB56" s="1"/>
      <c r="FKC56" s="1"/>
      <c r="FKD56" s="1"/>
      <c r="FKE56" s="1"/>
      <c r="FKF56" s="1"/>
      <c r="FKG56" s="1"/>
      <c r="FKH56" s="1"/>
      <c r="FKI56" s="1"/>
      <c r="FKJ56" s="1"/>
      <c r="FKK56" s="1"/>
      <c r="FKL56" s="1"/>
      <c r="FKM56" s="1"/>
      <c r="FKN56" s="1"/>
      <c r="FKO56" s="1"/>
      <c r="FKP56" s="1"/>
      <c r="FKQ56" s="1"/>
      <c r="FKR56" s="1"/>
      <c r="FKS56" s="1"/>
      <c r="FKT56" s="1"/>
      <c r="FKU56" s="1"/>
      <c r="FKV56" s="1"/>
      <c r="FKW56" s="1"/>
      <c r="FKX56" s="1"/>
      <c r="FKY56" s="1"/>
      <c r="FKZ56" s="1"/>
      <c r="FLA56" s="1"/>
      <c r="FLB56" s="1"/>
      <c r="FLC56" s="1"/>
      <c r="FLD56" s="1"/>
      <c r="FLE56" s="1"/>
      <c r="FLF56" s="1"/>
      <c r="FLG56" s="1"/>
      <c r="FLH56" s="1"/>
      <c r="FLI56" s="1"/>
      <c r="FLJ56" s="1"/>
      <c r="FLK56" s="1"/>
      <c r="FLL56" s="1"/>
      <c r="FLM56" s="1"/>
      <c r="FLN56" s="1"/>
      <c r="FLO56" s="1"/>
      <c r="FLP56" s="1"/>
      <c r="FLQ56" s="1"/>
      <c r="FLR56" s="1"/>
      <c r="FLS56" s="1"/>
      <c r="FLT56" s="1"/>
      <c r="FLU56" s="1"/>
      <c r="FLV56" s="1"/>
      <c r="FLW56" s="1"/>
      <c r="FLX56" s="1"/>
      <c r="FLY56" s="1"/>
      <c r="FLZ56" s="1"/>
      <c r="FMA56" s="1"/>
      <c r="FMB56" s="1"/>
      <c r="FMC56" s="1"/>
      <c r="FMD56" s="1"/>
      <c r="FME56" s="1"/>
      <c r="FMF56" s="1"/>
      <c r="FMG56" s="1"/>
      <c r="FMH56" s="1"/>
      <c r="FMI56" s="1"/>
      <c r="FMJ56" s="1"/>
      <c r="FMK56" s="1"/>
      <c r="FML56" s="1"/>
      <c r="FMM56" s="1"/>
      <c r="FMN56" s="1"/>
      <c r="FMO56" s="1"/>
      <c r="FMP56" s="1"/>
      <c r="FMQ56" s="1"/>
      <c r="FMR56" s="1"/>
      <c r="FMS56" s="1"/>
      <c r="FMT56" s="1"/>
      <c r="FMU56" s="1"/>
      <c r="FMV56" s="1"/>
      <c r="FMW56" s="1"/>
      <c r="FMX56" s="1"/>
      <c r="FMY56" s="1"/>
      <c r="FMZ56" s="1"/>
      <c r="FNA56" s="1"/>
      <c r="FNB56" s="1"/>
      <c r="FNC56" s="1"/>
      <c r="FND56" s="1"/>
      <c r="FNE56" s="1"/>
      <c r="FNF56" s="1"/>
      <c r="FNG56" s="1"/>
      <c r="FNH56" s="1"/>
      <c r="FNI56" s="1"/>
      <c r="FNJ56" s="1"/>
      <c r="FNK56" s="1"/>
      <c r="FNL56" s="1"/>
      <c r="FNM56" s="1"/>
      <c r="FNN56" s="1"/>
      <c r="FNO56" s="1"/>
      <c r="FNP56" s="1"/>
      <c r="FNQ56" s="1"/>
      <c r="FNR56" s="1"/>
      <c r="FNS56" s="1"/>
      <c r="FNT56" s="1"/>
      <c r="FNU56" s="1"/>
      <c r="FNV56" s="1"/>
      <c r="FNW56" s="1"/>
      <c r="FNX56" s="1"/>
      <c r="FNY56" s="1"/>
      <c r="FNZ56" s="1"/>
      <c r="FOA56" s="1"/>
      <c r="FOB56" s="1"/>
      <c r="FOC56" s="1"/>
      <c r="FOD56" s="1"/>
      <c r="FOE56" s="1"/>
      <c r="FOF56" s="1"/>
      <c r="FOG56" s="1"/>
      <c r="FOH56" s="1"/>
      <c r="FOI56" s="1"/>
      <c r="FOJ56" s="1"/>
      <c r="FOK56" s="1"/>
      <c r="FOL56" s="1"/>
      <c r="FOM56" s="1"/>
      <c r="FON56" s="1"/>
      <c r="FOO56" s="1"/>
      <c r="FOP56" s="1"/>
      <c r="FOQ56" s="1"/>
      <c r="FOR56" s="1"/>
      <c r="FOS56" s="1"/>
      <c r="FOT56" s="1"/>
      <c r="FOU56" s="1"/>
      <c r="FOV56" s="1"/>
      <c r="FOW56" s="1"/>
      <c r="FOX56" s="1"/>
      <c r="FOY56" s="1"/>
      <c r="FOZ56" s="1"/>
      <c r="FPA56" s="1"/>
      <c r="FPB56" s="1"/>
      <c r="FPC56" s="1"/>
      <c r="FPD56" s="1"/>
      <c r="FPE56" s="1"/>
      <c r="FPF56" s="1"/>
      <c r="FPG56" s="1"/>
      <c r="FPH56" s="1"/>
      <c r="FPI56" s="1"/>
      <c r="FPJ56" s="1"/>
      <c r="FPK56" s="1"/>
      <c r="FPL56" s="1"/>
      <c r="FPM56" s="1"/>
      <c r="FPN56" s="1"/>
      <c r="FPO56" s="1"/>
      <c r="FPP56" s="1"/>
      <c r="FPQ56" s="1"/>
      <c r="FPR56" s="1"/>
      <c r="FPS56" s="1"/>
      <c r="FPT56" s="1"/>
      <c r="FPU56" s="1"/>
      <c r="FPV56" s="1"/>
      <c r="FPW56" s="1"/>
      <c r="FPX56" s="1"/>
      <c r="FPY56" s="1"/>
      <c r="FPZ56" s="1"/>
      <c r="FQA56" s="1"/>
      <c r="FQB56" s="1"/>
      <c r="FQC56" s="1"/>
      <c r="FQD56" s="1"/>
      <c r="FQE56" s="1"/>
      <c r="FQF56" s="1"/>
      <c r="FQG56" s="1"/>
      <c r="FQH56" s="1"/>
      <c r="FQI56" s="1"/>
      <c r="FQJ56" s="1"/>
      <c r="FQK56" s="1"/>
      <c r="FQL56" s="1"/>
      <c r="FQM56" s="1"/>
      <c r="FQN56" s="1"/>
      <c r="FQO56" s="1"/>
      <c r="FQP56" s="1"/>
      <c r="FQQ56" s="1"/>
      <c r="FQR56" s="1"/>
      <c r="FQS56" s="1"/>
      <c r="FQT56" s="1"/>
      <c r="FQU56" s="1"/>
      <c r="FQV56" s="1"/>
      <c r="FQW56" s="1"/>
      <c r="FQX56" s="1"/>
      <c r="FQY56" s="1"/>
      <c r="FQZ56" s="1"/>
      <c r="FRA56" s="1"/>
      <c r="FRB56" s="1"/>
      <c r="FRC56" s="1"/>
      <c r="FRD56" s="1"/>
      <c r="FRE56" s="1"/>
      <c r="FRF56" s="1"/>
      <c r="FRG56" s="1"/>
      <c r="FRH56" s="1"/>
      <c r="FRI56" s="1"/>
      <c r="FRJ56" s="1"/>
      <c r="FRK56" s="1"/>
      <c r="FRL56" s="1"/>
      <c r="FRM56" s="1"/>
      <c r="FRN56" s="1"/>
      <c r="FRO56" s="1"/>
      <c r="FRP56" s="1"/>
      <c r="FRQ56" s="1"/>
      <c r="FRR56" s="1"/>
      <c r="FRS56" s="1"/>
      <c r="FRT56" s="1"/>
      <c r="FRU56" s="1"/>
      <c r="FRV56" s="1"/>
      <c r="FRW56" s="1"/>
      <c r="FRX56" s="1"/>
      <c r="FRY56" s="1"/>
      <c r="FRZ56" s="1"/>
      <c r="FSA56" s="1"/>
      <c r="FSB56" s="1"/>
      <c r="FSC56" s="1"/>
      <c r="FSD56" s="1"/>
      <c r="FSE56" s="1"/>
      <c r="FSF56" s="1"/>
      <c r="FSG56" s="1"/>
      <c r="FSH56" s="1"/>
      <c r="FSI56" s="1"/>
      <c r="FSJ56" s="1"/>
      <c r="FSK56" s="1"/>
      <c r="FSL56" s="1"/>
      <c r="FSM56" s="1"/>
      <c r="FSN56" s="1"/>
      <c r="FSO56" s="1"/>
      <c r="FSP56" s="1"/>
      <c r="FSQ56" s="1"/>
      <c r="FSR56" s="1"/>
      <c r="FSS56" s="1"/>
      <c r="FST56" s="1"/>
      <c r="FSU56" s="1"/>
      <c r="FSV56" s="1"/>
      <c r="FSW56" s="1"/>
      <c r="FSX56" s="1"/>
      <c r="FSY56" s="1"/>
      <c r="FSZ56" s="1"/>
      <c r="FTA56" s="1"/>
      <c r="FTB56" s="1"/>
      <c r="FTC56" s="1"/>
      <c r="FTD56" s="1"/>
      <c r="FTE56" s="1"/>
      <c r="FTF56" s="1"/>
      <c r="FTG56" s="1"/>
      <c r="FTH56" s="1"/>
      <c r="FTI56" s="1"/>
      <c r="FTJ56" s="1"/>
      <c r="FTK56" s="1"/>
      <c r="FTL56" s="1"/>
      <c r="FTM56" s="1"/>
      <c r="FTN56" s="1"/>
      <c r="FTO56" s="1"/>
      <c r="FTP56" s="1"/>
      <c r="FTQ56" s="1"/>
      <c r="FTR56" s="1"/>
      <c r="FTS56" s="1"/>
      <c r="FTT56" s="1"/>
      <c r="FTU56" s="1"/>
      <c r="FTV56" s="1"/>
      <c r="FTW56" s="1"/>
      <c r="FTX56" s="1"/>
      <c r="FTY56" s="1"/>
      <c r="FTZ56" s="1"/>
      <c r="FUA56" s="1"/>
      <c r="FUB56" s="1"/>
      <c r="FUC56" s="1"/>
      <c r="FUD56" s="1"/>
      <c r="FUE56" s="1"/>
      <c r="FUF56" s="1"/>
      <c r="FUG56" s="1"/>
      <c r="FUH56" s="1"/>
      <c r="FUI56" s="1"/>
      <c r="FUJ56" s="1"/>
      <c r="FUK56" s="1"/>
      <c r="FUL56" s="1"/>
      <c r="FUM56" s="1"/>
      <c r="FUN56" s="1"/>
      <c r="FUO56" s="1"/>
      <c r="FUP56" s="1"/>
      <c r="FUQ56" s="1"/>
      <c r="FUR56" s="1"/>
      <c r="FUS56" s="1"/>
      <c r="FUT56" s="1"/>
      <c r="FUU56" s="1"/>
      <c r="FUV56" s="1"/>
      <c r="FUW56" s="1"/>
      <c r="FUX56" s="1"/>
      <c r="FUY56" s="1"/>
      <c r="FUZ56" s="1"/>
      <c r="FVA56" s="1"/>
      <c r="FVB56" s="1"/>
      <c r="FVC56" s="1"/>
      <c r="FVD56" s="1"/>
      <c r="FVE56" s="1"/>
      <c r="FVF56" s="1"/>
      <c r="FVG56" s="1"/>
      <c r="FVH56" s="1"/>
      <c r="FVI56" s="1"/>
      <c r="FVJ56" s="1"/>
      <c r="FVK56" s="1"/>
      <c r="FVL56" s="1"/>
      <c r="FVM56" s="1"/>
      <c r="FVN56" s="1"/>
      <c r="FVO56" s="1"/>
      <c r="FVP56" s="1"/>
      <c r="FVQ56" s="1"/>
      <c r="FVR56" s="1"/>
      <c r="FVS56" s="1"/>
      <c r="FVT56" s="1"/>
      <c r="FVU56" s="1"/>
      <c r="FVV56" s="1"/>
      <c r="FVW56" s="1"/>
      <c r="FVX56" s="1"/>
      <c r="FVY56" s="1"/>
      <c r="FVZ56" s="1"/>
      <c r="FWA56" s="1"/>
      <c r="FWB56" s="1"/>
      <c r="FWC56" s="1"/>
      <c r="FWD56" s="1"/>
      <c r="FWE56" s="1"/>
      <c r="FWF56" s="1"/>
      <c r="FWG56" s="1"/>
      <c r="FWH56" s="1"/>
      <c r="FWI56" s="1"/>
      <c r="FWJ56" s="1"/>
      <c r="FWK56" s="1"/>
      <c r="FWL56" s="1"/>
      <c r="FWM56" s="1"/>
      <c r="FWN56" s="1"/>
      <c r="FWO56" s="1"/>
      <c r="FWP56" s="1"/>
      <c r="FWQ56" s="1"/>
      <c r="FWR56" s="1"/>
      <c r="FWS56" s="1"/>
      <c r="FWT56" s="1"/>
      <c r="FWU56" s="1"/>
      <c r="FWV56" s="1"/>
      <c r="FWW56" s="1"/>
      <c r="FWX56" s="1"/>
      <c r="FWY56" s="1"/>
      <c r="FWZ56" s="1"/>
      <c r="FXA56" s="1"/>
      <c r="FXB56" s="1"/>
      <c r="FXC56" s="1"/>
      <c r="FXD56" s="1"/>
      <c r="FXE56" s="1"/>
      <c r="FXF56" s="1"/>
      <c r="FXG56" s="1"/>
      <c r="FXH56" s="1"/>
      <c r="FXI56" s="1"/>
      <c r="FXJ56" s="1"/>
      <c r="FXK56" s="1"/>
      <c r="FXL56" s="1"/>
      <c r="FXM56" s="1"/>
      <c r="FXN56" s="1"/>
      <c r="FXO56" s="1"/>
      <c r="FXP56" s="1"/>
      <c r="FXQ56" s="1"/>
      <c r="FXR56" s="1"/>
      <c r="FXS56" s="1"/>
      <c r="FXT56" s="1"/>
      <c r="FXU56" s="1"/>
      <c r="FXV56" s="1"/>
      <c r="FXW56" s="1"/>
      <c r="FXX56" s="1"/>
      <c r="FXY56" s="1"/>
      <c r="FXZ56" s="1"/>
      <c r="FYA56" s="1"/>
      <c r="FYB56" s="1"/>
      <c r="FYC56" s="1"/>
      <c r="FYD56" s="1"/>
      <c r="FYE56" s="1"/>
      <c r="FYF56" s="1"/>
      <c r="FYG56" s="1"/>
      <c r="FYH56" s="1"/>
      <c r="FYI56" s="1"/>
      <c r="FYJ56" s="1"/>
      <c r="FYK56" s="1"/>
      <c r="FYL56" s="1"/>
      <c r="FYM56" s="1"/>
      <c r="FYN56" s="1"/>
      <c r="FYO56" s="1"/>
      <c r="FYP56" s="1"/>
      <c r="FYQ56" s="1"/>
      <c r="FYR56" s="1"/>
      <c r="FYS56" s="1"/>
      <c r="FYT56" s="1"/>
      <c r="FYU56" s="1"/>
      <c r="FYV56" s="1"/>
      <c r="FYW56" s="1"/>
      <c r="FYX56" s="1"/>
      <c r="FYY56" s="1"/>
      <c r="FYZ56" s="1"/>
      <c r="FZA56" s="1"/>
      <c r="FZB56" s="1"/>
      <c r="FZC56" s="1"/>
      <c r="FZD56" s="1"/>
      <c r="FZE56" s="1"/>
      <c r="FZF56" s="1"/>
      <c r="FZG56" s="1"/>
      <c r="FZH56" s="1"/>
      <c r="FZI56" s="1"/>
      <c r="FZJ56" s="1"/>
      <c r="FZK56" s="1"/>
      <c r="FZL56" s="1"/>
      <c r="FZM56" s="1"/>
      <c r="FZN56" s="1"/>
      <c r="FZO56" s="1"/>
      <c r="FZP56" s="1"/>
      <c r="FZQ56" s="1"/>
      <c r="FZR56" s="1"/>
      <c r="FZS56" s="1"/>
      <c r="FZT56" s="1"/>
      <c r="FZU56" s="1"/>
      <c r="FZV56" s="1"/>
      <c r="FZW56" s="1"/>
      <c r="FZX56" s="1"/>
      <c r="FZY56" s="1"/>
      <c r="FZZ56" s="1"/>
      <c r="GAA56" s="1"/>
      <c r="GAB56" s="1"/>
      <c r="GAC56" s="1"/>
      <c r="GAD56" s="1"/>
      <c r="GAE56" s="1"/>
      <c r="GAF56" s="1"/>
      <c r="GAG56" s="1"/>
      <c r="GAH56" s="1"/>
      <c r="GAI56" s="1"/>
      <c r="GAJ56" s="1"/>
      <c r="GAK56" s="1"/>
      <c r="GAL56" s="1"/>
      <c r="GAM56" s="1"/>
      <c r="GAN56" s="1"/>
      <c r="GAO56" s="1"/>
      <c r="GAP56" s="1"/>
      <c r="GAQ56" s="1"/>
      <c r="GAR56" s="1"/>
      <c r="GAS56" s="1"/>
      <c r="GAT56" s="1"/>
      <c r="GAU56" s="1"/>
      <c r="GAV56" s="1"/>
      <c r="GAW56" s="1"/>
      <c r="GAX56" s="1"/>
      <c r="GAY56" s="1"/>
      <c r="GAZ56" s="1"/>
      <c r="GBA56" s="1"/>
      <c r="GBB56" s="1"/>
      <c r="GBC56" s="1"/>
      <c r="GBD56" s="1"/>
      <c r="GBE56" s="1"/>
      <c r="GBF56" s="1"/>
      <c r="GBG56" s="1"/>
      <c r="GBH56" s="1"/>
      <c r="GBI56" s="1"/>
      <c r="GBJ56" s="1"/>
      <c r="GBK56" s="1"/>
      <c r="GBL56" s="1"/>
      <c r="GBM56" s="1"/>
      <c r="GBN56" s="1"/>
      <c r="GBO56" s="1"/>
      <c r="GBP56" s="1"/>
      <c r="GBQ56" s="1"/>
      <c r="GBR56" s="1"/>
      <c r="GBS56" s="1"/>
      <c r="GBT56" s="1"/>
      <c r="GBU56" s="1"/>
      <c r="GBV56" s="1"/>
      <c r="GBW56" s="1"/>
      <c r="GBX56" s="1"/>
      <c r="GBY56" s="1"/>
      <c r="GBZ56" s="1"/>
      <c r="GCA56" s="1"/>
      <c r="GCB56" s="1"/>
      <c r="GCC56" s="1"/>
      <c r="GCD56" s="1"/>
      <c r="GCE56" s="1"/>
      <c r="GCF56" s="1"/>
      <c r="GCG56" s="1"/>
      <c r="GCH56" s="1"/>
      <c r="GCI56" s="1"/>
      <c r="GCJ56" s="1"/>
      <c r="GCK56" s="1"/>
      <c r="GCL56" s="1"/>
      <c r="GCM56" s="1"/>
      <c r="GCN56" s="1"/>
      <c r="GCO56" s="1"/>
      <c r="GCP56" s="1"/>
      <c r="GCQ56" s="1"/>
      <c r="GCR56" s="1"/>
      <c r="GCS56" s="1"/>
      <c r="GCT56" s="1"/>
      <c r="GCU56" s="1"/>
      <c r="GCV56" s="1"/>
      <c r="GCW56" s="1"/>
      <c r="GCX56" s="1"/>
      <c r="GCY56" s="1"/>
      <c r="GCZ56" s="1"/>
      <c r="GDA56" s="1"/>
      <c r="GDB56" s="1"/>
      <c r="GDC56" s="1"/>
      <c r="GDD56" s="1"/>
      <c r="GDE56" s="1"/>
      <c r="GDF56" s="1"/>
      <c r="GDG56" s="1"/>
      <c r="GDH56" s="1"/>
      <c r="GDI56" s="1"/>
      <c r="GDJ56" s="1"/>
      <c r="GDK56" s="1"/>
      <c r="GDL56" s="1"/>
      <c r="GDM56" s="1"/>
      <c r="GDN56" s="1"/>
      <c r="GDO56" s="1"/>
      <c r="GDP56" s="1"/>
      <c r="GDQ56" s="1"/>
      <c r="GDR56" s="1"/>
      <c r="GDS56" s="1"/>
      <c r="GDT56" s="1"/>
      <c r="GDU56" s="1"/>
      <c r="GDV56" s="1"/>
      <c r="GDW56" s="1"/>
      <c r="GDX56" s="1"/>
      <c r="GDY56" s="1"/>
      <c r="GDZ56" s="1"/>
      <c r="GEA56" s="1"/>
      <c r="GEB56" s="1"/>
      <c r="GEC56" s="1"/>
      <c r="GED56" s="1"/>
      <c r="GEE56" s="1"/>
      <c r="GEF56" s="1"/>
      <c r="GEG56" s="1"/>
      <c r="GEH56" s="1"/>
      <c r="GEI56" s="1"/>
      <c r="GEJ56" s="1"/>
      <c r="GEK56" s="1"/>
      <c r="GEL56" s="1"/>
      <c r="GEM56" s="1"/>
      <c r="GEN56" s="1"/>
      <c r="GEO56" s="1"/>
      <c r="GEP56" s="1"/>
      <c r="GEQ56" s="1"/>
      <c r="GER56" s="1"/>
      <c r="GES56" s="1"/>
      <c r="GET56" s="1"/>
      <c r="GEU56" s="1"/>
      <c r="GEV56" s="1"/>
      <c r="GEW56" s="1"/>
      <c r="GEX56" s="1"/>
      <c r="GEY56" s="1"/>
      <c r="GEZ56" s="1"/>
      <c r="GFA56" s="1"/>
      <c r="GFB56" s="1"/>
      <c r="GFC56" s="1"/>
      <c r="GFD56" s="1"/>
      <c r="GFE56" s="1"/>
      <c r="GFF56" s="1"/>
      <c r="GFG56" s="1"/>
      <c r="GFH56" s="1"/>
      <c r="GFI56" s="1"/>
      <c r="GFJ56" s="1"/>
      <c r="GFK56" s="1"/>
      <c r="GFL56" s="1"/>
      <c r="GFM56" s="1"/>
      <c r="GFN56" s="1"/>
      <c r="GFO56" s="1"/>
      <c r="GFP56" s="1"/>
      <c r="GFQ56" s="1"/>
      <c r="GFR56" s="1"/>
      <c r="GFS56" s="1"/>
      <c r="GFT56" s="1"/>
      <c r="GFU56" s="1"/>
      <c r="GFV56" s="1"/>
      <c r="GFW56" s="1"/>
      <c r="GFX56" s="1"/>
      <c r="GFY56" s="1"/>
      <c r="GFZ56" s="1"/>
      <c r="GGA56" s="1"/>
      <c r="GGB56" s="1"/>
      <c r="GGC56" s="1"/>
      <c r="GGD56" s="1"/>
      <c r="GGE56" s="1"/>
      <c r="GGF56" s="1"/>
      <c r="GGG56" s="1"/>
      <c r="GGH56" s="1"/>
      <c r="GGI56" s="1"/>
      <c r="GGJ56" s="1"/>
      <c r="GGK56" s="1"/>
      <c r="GGL56" s="1"/>
      <c r="GGM56" s="1"/>
      <c r="GGN56" s="1"/>
      <c r="GGO56" s="1"/>
      <c r="GGP56" s="1"/>
      <c r="GGQ56" s="1"/>
      <c r="GGR56" s="1"/>
      <c r="GGS56" s="1"/>
      <c r="GGT56" s="1"/>
      <c r="GGU56" s="1"/>
      <c r="GGV56" s="1"/>
      <c r="GGW56" s="1"/>
      <c r="GGX56" s="1"/>
      <c r="GGY56" s="1"/>
      <c r="GGZ56" s="1"/>
      <c r="GHA56" s="1"/>
      <c r="GHB56" s="1"/>
      <c r="GHC56" s="1"/>
      <c r="GHD56" s="1"/>
      <c r="GHE56" s="1"/>
      <c r="GHF56" s="1"/>
      <c r="GHG56" s="1"/>
      <c r="GHH56" s="1"/>
      <c r="GHI56" s="1"/>
      <c r="GHJ56" s="1"/>
      <c r="GHK56" s="1"/>
      <c r="GHL56" s="1"/>
      <c r="GHM56" s="1"/>
      <c r="GHN56" s="1"/>
      <c r="GHO56" s="1"/>
      <c r="GHP56" s="1"/>
      <c r="GHQ56" s="1"/>
      <c r="GHR56" s="1"/>
      <c r="GHS56" s="1"/>
      <c r="GHT56" s="1"/>
      <c r="GHU56" s="1"/>
      <c r="GHV56" s="1"/>
      <c r="GHW56" s="1"/>
      <c r="GHX56" s="1"/>
      <c r="GHY56" s="1"/>
      <c r="GHZ56" s="1"/>
      <c r="GIA56" s="1"/>
      <c r="GIB56" s="1"/>
      <c r="GIC56" s="1"/>
      <c r="GID56" s="1"/>
      <c r="GIE56" s="1"/>
      <c r="GIF56" s="1"/>
      <c r="GIG56" s="1"/>
      <c r="GIH56" s="1"/>
      <c r="GII56" s="1"/>
      <c r="GIJ56" s="1"/>
      <c r="GIK56" s="1"/>
      <c r="GIL56" s="1"/>
      <c r="GIM56" s="1"/>
      <c r="GIN56" s="1"/>
      <c r="GIO56" s="1"/>
      <c r="GIP56" s="1"/>
      <c r="GIQ56" s="1"/>
      <c r="GIR56" s="1"/>
      <c r="GIS56" s="1"/>
      <c r="GIT56" s="1"/>
      <c r="GIU56" s="1"/>
      <c r="GIV56" s="1"/>
      <c r="GIW56" s="1"/>
      <c r="GIX56" s="1"/>
      <c r="GIY56" s="1"/>
      <c r="GIZ56" s="1"/>
      <c r="GJA56" s="1"/>
      <c r="GJB56" s="1"/>
      <c r="GJC56" s="1"/>
      <c r="GJD56" s="1"/>
      <c r="GJE56" s="1"/>
      <c r="GJF56" s="1"/>
      <c r="GJG56" s="1"/>
      <c r="GJH56" s="1"/>
      <c r="GJI56" s="1"/>
      <c r="GJJ56" s="1"/>
      <c r="GJK56" s="1"/>
      <c r="GJL56" s="1"/>
      <c r="GJM56" s="1"/>
      <c r="GJN56" s="1"/>
      <c r="GJO56" s="1"/>
      <c r="GJP56" s="1"/>
      <c r="GJQ56" s="1"/>
      <c r="GJR56" s="1"/>
      <c r="GJS56" s="1"/>
      <c r="GJT56" s="1"/>
      <c r="GJU56" s="1"/>
      <c r="GJV56" s="1"/>
      <c r="GJW56" s="1"/>
      <c r="GJX56" s="1"/>
      <c r="GJY56" s="1"/>
      <c r="GJZ56" s="1"/>
      <c r="GKA56" s="1"/>
      <c r="GKB56" s="1"/>
      <c r="GKC56" s="1"/>
      <c r="GKD56" s="1"/>
      <c r="GKE56" s="1"/>
      <c r="GKF56" s="1"/>
      <c r="GKG56" s="1"/>
      <c r="GKH56" s="1"/>
      <c r="GKI56" s="1"/>
      <c r="GKJ56" s="1"/>
      <c r="GKK56" s="1"/>
      <c r="GKL56" s="1"/>
      <c r="GKM56" s="1"/>
      <c r="GKN56" s="1"/>
      <c r="GKO56" s="1"/>
      <c r="GKP56" s="1"/>
      <c r="GKQ56" s="1"/>
      <c r="GKR56" s="1"/>
      <c r="GKS56" s="1"/>
      <c r="GKT56" s="1"/>
      <c r="GKU56" s="1"/>
      <c r="GKV56" s="1"/>
      <c r="GKW56" s="1"/>
      <c r="GKX56" s="1"/>
      <c r="GKY56" s="1"/>
      <c r="GKZ56" s="1"/>
      <c r="GLA56" s="1"/>
      <c r="GLB56" s="1"/>
      <c r="GLC56" s="1"/>
      <c r="GLD56" s="1"/>
      <c r="GLE56" s="1"/>
      <c r="GLF56" s="1"/>
      <c r="GLG56" s="1"/>
      <c r="GLH56" s="1"/>
      <c r="GLI56" s="1"/>
      <c r="GLJ56" s="1"/>
      <c r="GLK56" s="1"/>
      <c r="GLL56" s="1"/>
      <c r="GLM56" s="1"/>
      <c r="GLN56" s="1"/>
      <c r="GLO56" s="1"/>
      <c r="GLP56" s="1"/>
      <c r="GLQ56" s="1"/>
      <c r="GLR56" s="1"/>
      <c r="GLS56" s="1"/>
      <c r="GLT56" s="1"/>
      <c r="GLU56" s="1"/>
      <c r="GLV56" s="1"/>
      <c r="GLW56" s="1"/>
      <c r="GLX56" s="1"/>
      <c r="GLY56" s="1"/>
      <c r="GLZ56" s="1"/>
      <c r="GMA56" s="1"/>
      <c r="GMB56" s="1"/>
      <c r="GMC56" s="1"/>
      <c r="GMD56" s="1"/>
      <c r="GME56" s="1"/>
      <c r="GMF56" s="1"/>
      <c r="GMG56" s="1"/>
      <c r="GMH56" s="1"/>
      <c r="GMI56" s="1"/>
      <c r="GMJ56" s="1"/>
      <c r="GMK56" s="1"/>
      <c r="GML56" s="1"/>
      <c r="GMM56" s="1"/>
      <c r="GMN56" s="1"/>
      <c r="GMO56" s="1"/>
      <c r="GMP56" s="1"/>
      <c r="GMQ56" s="1"/>
      <c r="GMR56" s="1"/>
      <c r="GMS56" s="1"/>
      <c r="GMT56" s="1"/>
      <c r="GMU56" s="1"/>
      <c r="GMV56" s="1"/>
      <c r="GMW56" s="1"/>
      <c r="GMX56" s="1"/>
      <c r="GMY56" s="1"/>
      <c r="GMZ56" s="1"/>
      <c r="GNA56" s="1"/>
      <c r="GNB56" s="1"/>
      <c r="GNC56" s="1"/>
      <c r="GND56" s="1"/>
      <c r="GNE56" s="1"/>
      <c r="GNF56" s="1"/>
      <c r="GNG56" s="1"/>
      <c r="GNH56" s="1"/>
      <c r="GNI56" s="1"/>
      <c r="GNJ56" s="1"/>
      <c r="GNK56" s="1"/>
      <c r="GNL56" s="1"/>
      <c r="GNM56" s="1"/>
      <c r="GNN56" s="1"/>
      <c r="GNO56" s="1"/>
      <c r="GNP56" s="1"/>
      <c r="GNQ56" s="1"/>
      <c r="GNR56" s="1"/>
      <c r="GNS56" s="1"/>
      <c r="GNT56" s="1"/>
      <c r="GNU56" s="1"/>
      <c r="GNV56" s="1"/>
      <c r="GNW56" s="1"/>
      <c r="GNX56" s="1"/>
      <c r="GNY56" s="1"/>
      <c r="GNZ56" s="1"/>
      <c r="GOA56" s="1"/>
      <c r="GOB56" s="1"/>
      <c r="GOC56" s="1"/>
      <c r="GOD56" s="1"/>
      <c r="GOE56" s="1"/>
      <c r="GOF56" s="1"/>
      <c r="GOG56" s="1"/>
      <c r="GOH56" s="1"/>
      <c r="GOI56" s="1"/>
      <c r="GOJ56" s="1"/>
      <c r="GOK56" s="1"/>
      <c r="GOL56" s="1"/>
      <c r="GOM56" s="1"/>
      <c r="GON56" s="1"/>
      <c r="GOO56" s="1"/>
      <c r="GOP56" s="1"/>
      <c r="GOQ56" s="1"/>
      <c r="GOR56" s="1"/>
      <c r="GOS56" s="1"/>
      <c r="GOT56" s="1"/>
      <c r="GOU56" s="1"/>
      <c r="GOV56" s="1"/>
      <c r="GOW56" s="1"/>
      <c r="GOX56" s="1"/>
      <c r="GOY56" s="1"/>
      <c r="GOZ56" s="1"/>
      <c r="GPA56" s="1"/>
      <c r="GPB56" s="1"/>
      <c r="GPC56" s="1"/>
      <c r="GPD56" s="1"/>
      <c r="GPE56" s="1"/>
      <c r="GPF56" s="1"/>
      <c r="GPG56" s="1"/>
      <c r="GPH56" s="1"/>
      <c r="GPI56" s="1"/>
      <c r="GPJ56" s="1"/>
      <c r="GPK56" s="1"/>
      <c r="GPL56" s="1"/>
      <c r="GPM56" s="1"/>
      <c r="GPN56" s="1"/>
      <c r="GPO56" s="1"/>
      <c r="GPP56" s="1"/>
      <c r="GPQ56" s="1"/>
      <c r="GPR56" s="1"/>
      <c r="GPS56" s="1"/>
      <c r="GPT56" s="1"/>
      <c r="GPU56" s="1"/>
      <c r="GPV56" s="1"/>
      <c r="GPW56" s="1"/>
      <c r="GPX56" s="1"/>
      <c r="GPY56" s="1"/>
      <c r="GPZ56" s="1"/>
      <c r="GQA56" s="1"/>
      <c r="GQB56" s="1"/>
      <c r="GQC56" s="1"/>
      <c r="GQD56" s="1"/>
      <c r="GQE56" s="1"/>
      <c r="GQF56" s="1"/>
      <c r="GQG56" s="1"/>
      <c r="GQH56" s="1"/>
      <c r="GQI56" s="1"/>
      <c r="GQJ56" s="1"/>
      <c r="GQK56" s="1"/>
      <c r="GQL56" s="1"/>
      <c r="GQM56" s="1"/>
      <c r="GQN56" s="1"/>
      <c r="GQO56" s="1"/>
      <c r="GQP56" s="1"/>
      <c r="GQQ56" s="1"/>
      <c r="GQR56" s="1"/>
      <c r="GQS56" s="1"/>
      <c r="GQT56" s="1"/>
      <c r="GQU56" s="1"/>
      <c r="GQV56" s="1"/>
      <c r="GQW56" s="1"/>
      <c r="GQX56" s="1"/>
      <c r="GQY56" s="1"/>
      <c r="GQZ56" s="1"/>
      <c r="GRA56" s="1"/>
      <c r="GRB56" s="1"/>
      <c r="GRC56" s="1"/>
      <c r="GRD56" s="1"/>
      <c r="GRE56" s="1"/>
      <c r="GRF56" s="1"/>
      <c r="GRG56" s="1"/>
      <c r="GRH56" s="1"/>
      <c r="GRI56" s="1"/>
      <c r="GRJ56" s="1"/>
      <c r="GRK56" s="1"/>
      <c r="GRL56" s="1"/>
      <c r="GRM56" s="1"/>
      <c r="GRN56" s="1"/>
      <c r="GRO56" s="1"/>
      <c r="GRP56" s="1"/>
      <c r="GRQ56" s="1"/>
      <c r="GRR56" s="1"/>
      <c r="GRS56" s="1"/>
      <c r="GRT56" s="1"/>
      <c r="GRU56" s="1"/>
      <c r="GRV56" s="1"/>
      <c r="GRW56" s="1"/>
      <c r="GRX56" s="1"/>
      <c r="GRY56" s="1"/>
      <c r="GRZ56" s="1"/>
      <c r="GSA56" s="1"/>
      <c r="GSB56" s="1"/>
      <c r="GSC56" s="1"/>
      <c r="GSD56" s="1"/>
      <c r="GSE56" s="1"/>
      <c r="GSF56" s="1"/>
      <c r="GSG56" s="1"/>
      <c r="GSH56" s="1"/>
      <c r="GSI56" s="1"/>
      <c r="GSJ56" s="1"/>
      <c r="GSK56" s="1"/>
      <c r="GSL56" s="1"/>
      <c r="GSM56" s="1"/>
      <c r="GSN56" s="1"/>
      <c r="GSO56" s="1"/>
      <c r="GSP56" s="1"/>
      <c r="GSQ56" s="1"/>
      <c r="GSR56" s="1"/>
      <c r="GSS56" s="1"/>
      <c r="GST56" s="1"/>
      <c r="GSU56" s="1"/>
      <c r="GSV56" s="1"/>
      <c r="GSW56" s="1"/>
      <c r="GSX56" s="1"/>
      <c r="GSY56" s="1"/>
      <c r="GSZ56" s="1"/>
      <c r="GTA56" s="1"/>
      <c r="GTB56" s="1"/>
      <c r="GTC56" s="1"/>
      <c r="GTD56" s="1"/>
      <c r="GTE56" s="1"/>
      <c r="GTF56" s="1"/>
      <c r="GTG56" s="1"/>
      <c r="GTH56" s="1"/>
      <c r="GTI56" s="1"/>
      <c r="GTJ56" s="1"/>
      <c r="GTK56" s="1"/>
      <c r="GTL56" s="1"/>
      <c r="GTM56" s="1"/>
      <c r="GTN56" s="1"/>
      <c r="GTO56" s="1"/>
      <c r="GTP56" s="1"/>
      <c r="GTQ56" s="1"/>
      <c r="GTR56" s="1"/>
      <c r="GTS56" s="1"/>
      <c r="GTT56" s="1"/>
      <c r="GTU56" s="1"/>
      <c r="GTV56" s="1"/>
      <c r="GTW56" s="1"/>
      <c r="GTX56" s="1"/>
      <c r="GTY56" s="1"/>
      <c r="GTZ56" s="1"/>
      <c r="GUA56" s="1"/>
      <c r="GUB56" s="1"/>
      <c r="GUC56" s="1"/>
      <c r="GUD56" s="1"/>
      <c r="GUE56" s="1"/>
      <c r="GUF56" s="1"/>
      <c r="GUG56" s="1"/>
      <c r="GUH56" s="1"/>
      <c r="GUI56" s="1"/>
      <c r="GUJ56" s="1"/>
      <c r="GUK56" s="1"/>
      <c r="GUL56" s="1"/>
      <c r="GUM56" s="1"/>
      <c r="GUN56" s="1"/>
      <c r="GUO56" s="1"/>
      <c r="GUP56" s="1"/>
      <c r="GUQ56" s="1"/>
      <c r="GUR56" s="1"/>
      <c r="GUS56" s="1"/>
      <c r="GUT56" s="1"/>
      <c r="GUU56" s="1"/>
      <c r="GUV56" s="1"/>
      <c r="GUW56" s="1"/>
      <c r="GUX56" s="1"/>
      <c r="GUY56" s="1"/>
      <c r="GUZ56" s="1"/>
      <c r="GVA56" s="1"/>
      <c r="GVB56" s="1"/>
      <c r="GVC56" s="1"/>
      <c r="GVD56" s="1"/>
      <c r="GVE56" s="1"/>
      <c r="GVF56" s="1"/>
      <c r="GVG56" s="1"/>
      <c r="GVH56" s="1"/>
      <c r="GVI56" s="1"/>
      <c r="GVJ56" s="1"/>
      <c r="GVK56" s="1"/>
      <c r="GVL56" s="1"/>
      <c r="GVM56" s="1"/>
      <c r="GVN56" s="1"/>
      <c r="GVO56" s="1"/>
      <c r="GVP56" s="1"/>
      <c r="GVQ56" s="1"/>
      <c r="GVR56" s="1"/>
      <c r="GVS56" s="1"/>
      <c r="GVT56" s="1"/>
      <c r="GVU56" s="1"/>
      <c r="GVV56" s="1"/>
      <c r="GVW56" s="1"/>
      <c r="GVX56" s="1"/>
      <c r="GVY56" s="1"/>
      <c r="GVZ56" s="1"/>
      <c r="GWA56" s="1"/>
      <c r="GWB56" s="1"/>
      <c r="GWC56" s="1"/>
      <c r="GWD56" s="1"/>
      <c r="GWE56" s="1"/>
      <c r="GWF56" s="1"/>
      <c r="GWG56" s="1"/>
      <c r="GWH56" s="1"/>
      <c r="GWI56" s="1"/>
      <c r="GWJ56" s="1"/>
      <c r="GWK56" s="1"/>
      <c r="GWL56" s="1"/>
      <c r="GWM56" s="1"/>
      <c r="GWN56" s="1"/>
      <c r="GWO56" s="1"/>
      <c r="GWP56" s="1"/>
      <c r="GWQ56" s="1"/>
      <c r="GWR56" s="1"/>
      <c r="GWS56" s="1"/>
      <c r="GWT56" s="1"/>
      <c r="GWU56" s="1"/>
      <c r="GWV56" s="1"/>
      <c r="GWW56" s="1"/>
      <c r="GWX56" s="1"/>
      <c r="GWY56" s="1"/>
      <c r="GWZ56" s="1"/>
      <c r="GXA56" s="1"/>
      <c r="GXB56" s="1"/>
      <c r="GXC56" s="1"/>
      <c r="GXD56" s="1"/>
      <c r="GXE56" s="1"/>
      <c r="GXF56" s="1"/>
      <c r="GXG56" s="1"/>
      <c r="GXH56" s="1"/>
      <c r="GXI56" s="1"/>
      <c r="GXJ56" s="1"/>
      <c r="GXK56" s="1"/>
      <c r="GXL56" s="1"/>
      <c r="GXM56" s="1"/>
      <c r="GXN56" s="1"/>
      <c r="GXO56" s="1"/>
      <c r="GXP56" s="1"/>
      <c r="GXQ56" s="1"/>
      <c r="GXR56" s="1"/>
      <c r="GXS56" s="1"/>
      <c r="GXT56" s="1"/>
      <c r="GXU56" s="1"/>
      <c r="GXV56" s="1"/>
      <c r="GXW56" s="1"/>
      <c r="GXX56" s="1"/>
      <c r="GXY56" s="1"/>
      <c r="GXZ56" s="1"/>
      <c r="GYA56" s="1"/>
      <c r="GYB56" s="1"/>
      <c r="GYC56" s="1"/>
      <c r="GYD56" s="1"/>
      <c r="GYE56" s="1"/>
      <c r="GYF56" s="1"/>
      <c r="GYG56" s="1"/>
      <c r="GYH56" s="1"/>
      <c r="GYI56" s="1"/>
      <c r="GYJ56" s="1"/>
      <c r="GYK56" s="1"/>
      <c r="GYL56" s="1"/>
      <c r="GYM56" s="1"/>
      <c r="GYN56" s="1"/>
      <c r="GYO56" s="1"/>
      <c r="GYP56" s="1"/>
      <c r="GYQ56" s="1"/>
      <c r="GYR56" s="1"/>
      <c r="GYS56" s="1"/>
      <c r="GYT56" s="1"/>
      <c r="GYU56" s="1"/>
      <c r="GYV56" s="1"/>
      <c r="GYW56" s="1"/>
      <c r="GYX56" s="1"/>
      <c r="GYY56" s="1"/>
      <c r="GYZ56" s="1"/>
      <c r="GZA56" s="1"/>
      <c r="GZB56" s="1"/>
      <c r="GZC56" s="1"/>
      <c r="GZD56" s="1"/>
      <c r="GZE56" s="1"/>
      <c r="GZF56" s="1"/>
      <c r="GZG56" s="1"/>
      <c r="GZH56" s="1"/>
      <c r="GZI56" s="1"/>
      <c r="GZJ56" s="1"/>
      <c r="GZK56" s="1"/>
      <c r="GZL56" s="1"/>
      <c r="GZM56" s="1"/>
      <c r="GZN56" s="1"/>
      <c r="GZO56" s="1"/>
      <c r="GZP56" s="1"/>
      <c r="GZQ56" s="1"/>
      <c r="GZR56" s="1"/>
      <c r="GZS56" s="1"/>
      <c r="GZT56" s="1"/>
      <c r="GZU56" s="1"/>
      <c r="GZV56" s="1"/>
      <c r="GZW56" s="1"/>
      <c r="GZX56" s="1"/>
      <c r="GZY56" s="1"/>
      <c r="GZZ56" s="1"/>
      <c r="HAA56" s="1"/>
      <c r="HAB56" s="1"/>
      <c r="HAC56" s="1"/>
      <c r="HAD56" s="1"/>
      <c r="HAE56" s="1"/>
      <c r="HAF56" s="1"/>
      <c r="HAG56" s="1"/>
      <c r="HAH56" s="1"/>
      <c r="HAI56" s="1"/>
      <c r="HAJ56" s="1"/>
      <c r="HAK56" s="1"/>
      <c r="HAL56" s="1"/>
      <c r="HAM56" s="1"/>
      <c r="HAN56" s="1"/>
      <c r="HAO56" s="1"/>
      <c r="HAP56" s="1"/>
      <c r="HAQ56" s="1"/>
      <c r="HAR56" s="1"/>
      <c r="HAS56" s="1"/>
      <c r="HAT56" s="1"/>
      <c r="HAU56" s="1"/>
      <c r="HAV56" s="1"/>
      <c r="HAW56" s="1"/>
      <c r="HAX56" s="1"/>
      <c r="HAY56" s="1"/>
      <c r="HAZ56" s="1"/>
      <c r="HBA56" s="1"/>
      <c r="HBB56" s="1"/>
      <c r="HBC56" s="1"/>
      <c r="HBD56" s="1"/>
      <c r="HBE56" s="1"/>
      <c r="HBF56" s="1"/>
      <c r="HBG56" s="1"/>
      <c r="HBH56" s="1"/>
      <c r="HBI56" s="1"/>
      <c r="HBJ56" s="1"/>
      <c r="HBK56" s="1"/>
      <c r="HBL56" s="1"/>
      <c r="HBM56" s="1"/>
      <c r="HBN56" s="1"/>
      <c r="HBO56" s="1"/>
      <c r="HBP56" s="1"/>
      <c r="HBQ56" s="1"/>
      <c r="HBR56" s="1"/>
      <c r="HBS56" s="1"/>
      <c r="HBT56" s="1"/>
      <c r="HBU56" s="1"/>
      <c r="HBV56" s="1"/>
      <c r="HBW56" s="1"/>
      <c r="HBX56" s="1"/>
      <c r="HBY56" s="1"/>
      <c r="HBZ56" s="1"/>
      <c r="HCA56" s="1"/>
      <c r="HCB56" s="1"/>
      <c r="HCC56" s="1"/>
      <c r="HCD56" s="1"/>
      <c r="HCE56" s="1"/>
      <c r="HCF56" s="1"/>
      <c r="HCG56" s="1"/>
      <c r="HCH56" s="1"/>
      <c r="HCI56" s="1"/>
      <c r="HCJ56" s="1"/>
      <c r="HCK56" s="1"/>
      <c r="HCL56" s="1"/>
      <c r="HCM56" s="1"/>
      <c r="HCN56" s="1"/>
      <c r="HCO56" s="1"/>
      <c r="HCP56" s="1"/>
      <c r="HCQ56" s="1"/>
      <c r="HCR56" s="1"/>
      <c r="HCS56" s="1"/>
      <c r="HCT56" s="1"/>
      <c r="HCU56" s="1"/>
      <c r="HCV56" s="1"/>
      <c r="HCW56" s="1"/>
      <c r="HCX56" s="1"/>
      <c r="HCY56" s="1"/>
      <c r="HCZ56" s="1"/>
      <c r="HDA56" s="1"/>
      <c r="HDB56" s="1"/>
      <c r="HDC56" s="1"/>
      <c r="HDD56" s="1"/>
      <c r="HDE56" s="1"/>
      <c r="HDF56" s="1"/>
      <c r="HDG56" s="1"/>
      <c r="HDH56" s="1"/>
      <c r="HDI56" s="1"/>
      <c r="HDJ56" s="1"/>
      <c r="HDK56" s="1"/>
      <c r="HDL56" s="1"/>
      <c r="HDM56" s="1"/>
      <c r="HDN56" s="1"/>
      <c r="HDO56" s="1"/>
      <c r="HDP56" s="1"/>
      <c r="HDQ56" s="1"/>
      <c r="HDR56" s="1"/>
      <c r="HDS56" s="1"/>
      <c r="HDT56" s="1"/>
      <c r="HDU56" s="1"/>
      <c r="HDV56" s="1"/>
      <c r="HDW56" s="1"/>
      <c r="HDX56" s="1"/>
      <c r="HDY56" s="1"/>
      <c r="HDZ56" s="1"/>
      <c r="HEA56" s="1"/>
      <c r="HEB56" s="1"/>
      <c r="HEC56" s="1"/>
      <c r="HED56" s="1"/>
      <c r="HEE56" s="1"/>
      <c r="HEF56" s="1"/>
      <c r="HEG56" s="1"/>
      <c r="HEH56" s="1"/>
      <c r="HEI56" s="1"/>
      <c r="HEJ56" s="1"/>
      <c r="HEK56" s="1"/>
      <c r="HEL56" s="1"/>
      <c r="HEM56" s="1"/>
      <c r="HEN56" s="1"/>
      <c r="HEO56" s="1"/>
      <c r="HEP56" s="1"/>
      <c r="HEQ56" s="1"/>
      <c r="HER56" s="1"/>
      <c r="HES56" s="1"/>
      <c r="HET56" s="1"/>
      <c r="HEU56" s="1"/>
      <c r="HEV56" s="1"/>
      <c r="HEW56" s="1"/>
      <c r="HEX56" s="1"/>
      <c r="HEY56" s="1"/>
      <c r="HEZ56" s="1"/>
      <c r="HFA56" s="1"/>
      <c r="HFB56" s="1"/>
      <c r="HFC56" s="1"/>
      <c r="HFD56" s="1"/>
      <c r="HFE56" s="1"/>
      <c r="HFF56" s="1"/>
      <c r="HFG56" s="1"/>
      <c r="HFH56" s="1"/>
      <c r="HFI56" s="1"/>
      <c r="HFJ56" s="1"/>
      <c r="HFK56" s="1"/>
      <c r="HFL56" s="1"/>
      <c r="HFM56" s="1"/>
      <c r="HFN56" s="1"/>
      <c r="HFO56" s="1"/>
      <c r="HFP56" s="1"/>
      <c r="HFQ56" s="1"/>
      <c r="HFR56" s="1"/>
      <c r="HFS56" s="1"/>
      <c r="HFT56" s="1"/>
      <c r="HFU56" s="1"/>
      <c r="HFV56" s="1"/>
      <c r="HFW56" s="1"/>
      <c r="HFX56" s="1"/>
      <c r="HFY56" s="1"/>
      <c r="HFZ56" s="1"/>
      <c r="HGA56" s="1"/>
      <c r="HGB56" s="1"/>
      <c r="HGC56" s="1"/>
      <c r="HGD56" s="1"/>
      <c r="HGE56" s="1"/>
      <c r="HGF56" s="1"/>
      <c r="HGG56" s="1"/>
      <c r="HGH56" s="1"/>
      <c r="HGI56" s="1"/>
      <c r="HGJ56" s="1"/>
      <c r="HGK56" s="1"/>
      <c r="HGL56" s="1"/>
      <c r="HGM56" s="1"/>
      <c r="HGN56" s="1"/>
      <c r="HGO56" s="1"/>
      <c r="HGP56" s="1"/>
      <c r="HGQ56" s="1"/>
      <c r="HGR56" s="1"/>
      <c r="HGS56" s="1"/>
      <c r="HGT56" s="1"/>
      <c r="HGU56" s="1"/>
      <c r="HGV56" s="1"/>
      <c r="HGW56" s="1"/>
      <c r="HGX56" s="1"/>
      <c r="HGY56" s="1"/>
      <c r="HGZ56" s="1"/>
      <c r="HHA56" s="1"/>
      <c r="HHB56" s="1"/>
      <c r="HHC56" s="1"/>
      <c r="HHD56" s="1"/>
      <c r="HHE56" s="1"/>
      <c r="HHF56" s="1"/>
      <c r="HHG56" s="1"/>
      <c r="HHH56" s="1"/>
      <c r="HHI56" s="1"/>
      <c r="HHJ56" s="1"/>
      <c r="HHK56" s="1"/>
      <c r="HHL56" s="1"/>
      <c r="HHM56" s="1"/>
      <c r="HHN56" s="1"/>
      <c r="HHO56" s="1"/>
      <c r="HHP56" s="1"/>
      <c r="HHQ56" s="1"/>
      <c r="HHR56" s="1"/>
      <c r="HHS56" s="1"/>
      <c r="HHT56" s="1"/>
      <c r="HHU56" s="1"/>
      <c r="HHV56" s="1"/>
      <c r="HHW56" s="1"/>
      <c r="HHX56" s="1"/>
      <c r="HHY56" s="1"/>
      <c r="HHZ56" s="1"/>
      <c r="HIA56" s="1"/>
      <c r="HIB56" s="1"/>
      <c r="HIC56" s="1"/>
      <c r="HID56" s="1"/>
      <c r="HIE56" s="1"/>
      <c r="HIF56" s="1"/>
      <c r="HIG56" s="1"/>
      <c r="HIH56" s="1"/>
      <c r="HII56" s="1"/>
      <c r="HIJ56" s="1"/>
      <c r="HIK56" s="1"/>
      <c r="HIL56" s="1"/>
      <c r="HIM56" s="1"/>
      <c r="HIN56" s="1"/>
      <c r="HIO56" s="1"/>
      <c r="HIP56" s="1"/>
      <c r="HIQ56" s="1"/>
      <c r="HIR56" s="1"/>
      <c r="HIS56" s="1"/>
      <c r="HIT56" s="1"/>
      <c r="HIU56" s="1"/>
      <c r="HIV56" s="1"/>
      <c r="HIW56" s="1"/>
      <c r="HIX56" s="1"/>
      <c r="HIY56" s="1"/>
      <c r="HIZ56" s="1"/>
      <c r="HJA56" s="1"/>
      <c r="HJB56" s="1"/>
      <c r="HJC56" s="1"/>
      <c r="HJD56" s="1"/>
      <c r="HJE56" s="1"/>
      <c r="HJF56" s="1"/>
      <c r="HJG56" s="1"/>
      <c r="HJH56" s="1"/>
      <c r="HJI56" s="1"/>
      <c r="HJJ56" s="1"/>
      <c r="HJK56" s="1"/>
      <c r="HJL56" s="1"/>
      <c r="HJM56" s="1"/>
      <c r="HJN56" s="1"/>
      <c r="HJO56" s="1"/>
      <c r="HJP56" s="1"/>
      <c r="HJQ56" s="1"/>
      <c r="HJR56" s="1"/>
      <c r="HJS56" s="1"/>
      <c r="HJT56" s="1"/>
      <c r="HJU56" s="1"/>
      <c r="HJV56" s="1"/>
      <c r="HJW56" s="1"/>
      <c r="HJX56" s="1"/>
      <c r="HJY56" s="1"/>
      <c r="HJZ56" s="1"/>
      <c r="HKA56" s="1"/>
      <c r="HKB56" s="1"/>
      <c r="HKC56" s="1"/>
      <c r="HKD56" s="1"/>
      <c r="HKE56" s="1"/>
      <c r="HKF56" s="1"/>
      <c r="HKG56" s="1"/>
      <c r="HKH56" s="1"/>
      <c r="HKI56" s="1"/>
      <c r="HKJ56" s="1"/>
      <c r="HKK56" s="1"/>
      <c r="HKL56" s="1"/>
      <c r="HKM56" s="1"/>
      <c r="HKN56" s="1"/>
      <c r="HKO56" s="1"/>
      <c r="HKP56" s="1"/>
      <c r="HKQ56" s="1"/>
      <c r="HKR56" s="1"/>
      <c r="HKS56" s="1"/>
      <c r="HKT56" s="1"/>
      <c r="HKU56" s="1"/>
      <c r="HKV56" s="1"/>
      <c r="HKW56" s="1"/>
      <c r="HKX56" s="1"/>
      <c r="HKY56" s="1"/>
      <c r="HKZ56" s="1"/>
      <c r="HLA56" s="1"/>
      <c r="HLB56" s="1"/>
      <c r="HLC56" s="1"/>
      <c r="HLD56" s="1"/>
      <c r="HLE56" s="1"/>
      <c r="HLF56" s="1"/>
      <c r="HLG56" s="1"/>
      <c r="HLH56" s="1"/>
      <c r="HLI56" s="1"/>
      <c r="HLJ56" s="1"/>
      <c r="HLK56" s="1"/>
      <c r="HLL56" s="1"/>
      <c r="HLM56" s="1"/>
      <c r="HLN56" s="1"/>
      <c r="HLO56" s="1"/>
      <c r="HLP56" s="1"/>
      <c r="HLQ56" s="1"/>
      <c r="HLR56" s="1"/>
      <c r="HLS56" s="1"/>
      <c r="HLT56" s="1"/>
      <c r="HLU56" s="1"/>
      <c r="HLV56" s="1"/>
      <c r="HLW56" s="1"/>
      <c r="HLX56" s="1"/>
      <c r="HLY56" s="1"/>
      <c r="HLZ56" s="1"/>
      <c r="HMA56" s="1"/>
      <c r="HMB56" s="1"/>
      <c r="HMC56" s="1"/>
      <c r="HMD56" s="1"/>
      <c r="HME56" s="1"/>
      <c r="HMF56" s="1"/>
      <c r="HMG56" s="1"/>
      <c r="HMH56" s="1"/>
      <c r="HMI56" s="1"/>
      <c r="HMJ56" s="1"/>
      <c r="HMK56" s="1"/>
      <c r="HML56" s="1"/>
      <c r="HMM56" s="1"/>
      <c r="HMN56" s="1"/>
      <c r="HMO56" s="1"/>
      <c r="HMP56" s="1"/>
      <c r="HMQ56" s="1"/>
      <c r="HMR56" s="1"/>
      <c r="HMS56" s="1"/>
      <c r="HMT56" s="1"/>
      <c r="HMU56" s="1"/>
      <c r="HMV56" s="1"/>
      <c r="HMW56" s="1"/>
      <c r="HMX56" s="1"/>
      <c r="HMY56" s="1"/>
      <c r="HMZ56" s="1"/>
      <c r="HNA56" s="1"/>
      <c r="HNB56" s="1"/>
      <c r="HNC56" s="1"/>
      <c r="HND56" s="1"/>
      <c r="HNE56" s="1"/>
      <c r="HNF56" s="1"/>
      <c r="HNG56" s="1"/>
      <c r="HNH56" s="1"/>
      <c r="HNI56" s="1"/>
      <c r="HNJ56" s="1"/>
      <c r="HNK56" s="1"/>
      <c r="HNL56" s="1"/>
      <c r="HNM56" s="1"/>
      <c r="HNN56" s="1"/>
      <c r="HNO56" s="1"/>
      <c r="HNP56" s="1"/>
      <c r="HNQ56" s="1"/>
      <c r="HNR56" s="1"/>
      <c r="HNS56" s="1"/>
      <c r="HNT56" s="1"/>
      <c r="HNU56" s="1"/>
      <c r="HNV56" s="1"/>
      <c r="HNW56" s="1"/>
      <c r="HNX56" s="1"/>
      <c r="HNY56" s="1"/>
      <c r="HNZ56" s="1"/>
      <c r="HOA56" s="1"/>
      <c r="HOB56" s="1"/>
      <c r="HOC56" s="1"/>
      <c r="HOD56" s="1"/>
      <c r="HOE56" s="1"/>
      <c r="HOF56" s="1"/>
      <c r="HOG56" s="1"/>
      <c r="HOH56" s="1"/>
      <c r="HOI56" s="1"/>
      <c r="HOJ56" s="1"/>
      <c r="HOK56" s="1"/>
      <c r="HOL56" s="1"/>
      <c r="HOM56" s="1"/>
      <c r="HON56" s="1"/>
      <c r="HOO56" s="1"/>
      <c r="HOP56" s="1"/>
      <c r="HOQ56" s="1"/>
      <c r="HOR56" s="1"/>
      <c r="HOS56" s="1"/>
      <c r="HOT56" s="1"/>
      <c r="HOU56" s="1"/>
      <c r="HOV56" s="1"/>
      <c r="HOW56" s="1"/>
      <c r="HOX56" s="1"/>
      <c r="HOY56" s="1"/>
      <c r="HOZ56" s="1"/>
      <c r="HPA56" s="1"/>
      <c r="HPB56" s="1"/>
      <c r="HPC56" s="1"/>
      <c r="HPD56" s="1"/>
      <c r="HPE56" s="1"/>
      <c r="HPF56" s="1"/>
      <c r="HPG56" s="1"/>
      <c r="HPH56" s="1"/>
      <c r="HPI56" s="1"/>
      <c r="HPJ56" s="1"/>
      <c r="HPK56" s="1"/>
      <c r="HPL56" s="1"/>
      <c r="HPM56" s="1"/>
      <c r="HPN56" s="1"/>
      <c r="HPO56" s="1"/>
      <c r="HPP56" s="1"/>
      <c r="HPQ56" s="1"/>
      <c r="HPR56" s="1"/>
      <c r="HPS56" s="1"/>
      <c r="HPT56" s="1"/>
      <c r="HPU56" s="1"/>
      <c r="HPV56" s="1"/>
      <c r="HPW56" s="1"/>
      <c r="HPX56" s="1"/>
      <c r="HPY56" s="1"/>
      <c r="HPZ56" s="1"/>
      <c r="HQA56" s="1"/>
      <c r="HQB56" s="1"/>
      <c r="HQC56" s="1"/>
      <c r="HQD56" s="1"/>
      <c r="HQE56" s="1"/>
      <c r="HQF56" s="1"/>
      <c r="HQG56" s="1"/>
      <c r="HQH56" s="1"/>
      <c r="HQI56" s="1"/>
      <c r="HQJ56" s="1"/>
      <c r="HQK56" s="1"/>
      <c r="HQL56" s="1"/>
      <c r="HQM56" s="1"/>
      <c r="HQN56" s="1"/>
      <c r="HQO56" s="1"/>
      <c r="HQP56" s="1"/>
      <c r="HQQ56" s="1"/>
      <c r="HQR56" s="1"/>
      <c r="HQS56" s="1"/>
      <c r="HQT56" s="1"/>
      <c r="HQU56" s="1"/>
      <c r="HQV56" s="1"/>
      <c r="HQW56" s="1"/>
      <c r="HQX56" s="1"/>
      <c r="HQY56" s="1"/>
      <c r="HQZ56" s="1"/>
      <c r="HRA56" s="1"/>
      <c r="HRB56" s="1"/>
      <c r="HRC56" s="1"/>
      <c r="HRD56" s="1"/>
      <c r="HRE56" s="1"/>
      <c r="HRF56" s="1"/>
      <c r="HRG56" s="1"/>
      <c r="HRH56" s="1"/>
      <c r="HRI56" s="1"/>
      <c r="HRJ56" s="1"/>
      <c r="HRK56" s="1"/>
      <c r="HRL56" s="1"/>
      <c r="HRM56" s="1"/>
      <c r="HRN56" s="1"/>
      <c r="HRO56" s="1"/>
      <c r="HRP56" s="1"/>
      <c r="HRQ56" s="1"/>
      <c r="HRR56" s="1"/>
      <c r="HRS56" s="1"/>
      <c r="HRT56" s="1"/>
      <c r="HRU56" s="1"/>
      <c r="HRV56" s="1"/>
      <c r="HRW56" s="1"/>
      <c r="HRX56" s="1"/>
      <c r="HRY56" s="1"/>
      <c r="HRZ56" s="1"/>
      <c r="HSA56" s="1"/>
      <c r="HSB56" s="1"/>
      <c r="HSC56" s="1"/>
      <c r="HSD56" s="1"/>
      <c r="HSE56" s="1"/>
      <c r="HSF56" s="1"/>
      <c r="HSG56" s="1"/>
      <c r="HSH56" s="1"/>
      <c r="HSI56" s="1"/>
      <c r="HSJ56" s="1"/>
      <c r="HSK56" s="1"/>
      <c r="HSL56" s="1"/>
      <c r="HSM56" s="1"/>
      <c r="HSN56" s="1"/>
      <c r="HSO56" s="1"/>
      <c r="HSP56" s="1"/>
      <c r="HSQ56" s="1"/>
      <c r="HSR56" s="1"/>
      <c r="HSS56" s="1"/>
      <c r="HST56" s="1"/>
      <c r="HSU56" s="1"/>
      <c r="HSV56" s="1"/>
      <c r="HSW56" s="1"/>
      <c r="HSX56" s="1"/>
      <c r="HSY56" s="1"/>
      <c r="HSZ56" s="1"/>
      <c r="HTA56" s="1"/>
      <c r="HTB56" s="1"/>
      <c r="HTC56" s="1"/>
      <c r="HTD56" s="1"/>
      <c r="HTE56" s="1"/>
      <c r="HTF56" s="1"/>
      <c r="HTG56" s="1"/>
      <c r="HTH56" s="1"/>
      <c r="HTI56" s="1"/>
      <c r="HTJ56" s="1"/>
      <c r="HTK56" s="1"/>
      <c r="HTL56" s="1"/>
      <c r="HTM56" s="1"/>
      <c r="HTN56" s="1"/>
      <c r="HTO56" s="1"/>
      <c r="HTP56" s="1"/>
      <c r="HTQ56" s="1"/>
      <c r="HTR56" s="1"/>
      <c r="HTS56" s="1"/>
      <c r="HTT56" s="1"/>
      <c r="HTU56" s="1"/>
      <c r="HTV56" s="1"/>
      <c r="HTW56" s="1"/>
      <c r="HTX56" s="1"/>
      <c r="HTY56" s="1"/>
      <c r="HTZ56" s="1"/>
      <c r="HUA56" s="1"/>
      <c r="HUB56" s="1"/>
      <c r="HUC56" s="1"/>
      <c r="HUD56" s="1"/>
      <c r="HUE56" s="1"/>
      <c r="HUF56" s="1"/>
      <c r="HUG56" s="1"/>
      <c r="HUH56" s="1"/>
      <c r="HUI56" s="1"/>
      <c r="HUJ56" s="1"/>
      <c r="HUK56" s="1"/>
      <c r="HUL56" s="1"/>
      <c r="HUM56" s="1"/>
      <c r="HUN56" s="1"/>
      <c r="HUO56" s="1"/>
      <c r="HUP56" s="1"/>
      <c r="HUQ56" s="1"/>
      <c r="HUR56" s="1"/>
      <c r="HUS56" s="1"/>
      <c r="HUT56" s="1"/>
      <c r="HUU56" s="1"/>
      <c r="HUV56" s="1"/>
      <c r="HUW56" s="1"/>
      <c r="HUX56" s="1"/>
      <c r="HUY56" s="1"/>
      <c r="HUZ56" s="1"/>
      <c r="HVA56" s="1"/>
      <c r="HVB56" s="1"/>
      <c r="HVC56" s="1"/>
      <c r="HVD56" s="1"/>
      <c r="HVE56" s="1"/>
      <c r="HVF56" s="1"/>
      <c r="HVG56" s="1"/>
      <c r="HVH56" s="1"/>
      <c r="HVI56" s="1"/>
      <c r="HVJ56" s="1"/>
      <c r="HVK56" s="1"/>
      <c r="HVL56" s="1"/>
      <c r="HVM56" s="1"/>
      <c r="HVN56" s="1"/>
      <c r="HVO56" s="1"/>
      <c r="HVP56" s="1"/>
      <c r="HVQ56" s="1"/>
      <c r="HVR56" s="1"/>
      <c r="HVS56" s="1"/>
      <c r="HVT56" s="1"/>
      <c r="HVU56" s="1"/>
      <c r="HVV56" s="1"/>
      <c r="HVW56" s="1"/>
      <c r="HVX56" s="1"/>
      <c r="HVY56" s="1"/>
      <c r="HVZ56" s="1"/>
      <c r="HWA56" s="1"/>
      <c r="HWB56" s="1"/>
      <c r="HWC56" s="1"/>
      <c r="HWD56" s="1"/>
      <c r="HWE56" s="1"/>
      <c r="HWF56" s="1"/>
      <c r="HWG56" s="1"/>
      <c r="HWH56" s="1"/>
      <c r="HWI56" s="1"/>
      <c r="HWJ56" s="1"/>
      <c r="HWK56" s="1"/>
      <c r="HWL56" s="1"/>
      <c r="HWM56" s="1"/>
      <c r="HWN56" s="1"/>
      <c r="HWO56" s="1"/>
      <c r="HWP56" s="1"/>
      <c r="HWQ56" s="1"/>
      <c r="HWR56" s="1"/>
      <c r="HWS56" s="1"/>
      <c r="HWT56" s="1"/>
      <c r="HWU56" s="1"/>
      <c r="HWV56" s="1"/>
      <c r="HWW56" s="1"/>
      <c r="HWX56" s="1"/>
      <c r="HWY56" s="1"/>
      <c r="HWZ56" s="1"/>
      <c r="HXA56" s="1"/>
      <c r="HXB56" s="1"/>
      <c r="HXC56" s="1"/>
      <c r="HXD56" s="1"/>
      <c r="HXE56" s="1"/>
      <c r="HXF56" s="1"/>
      <c r="HXG56" s="1"/>
      <c r="HXH56" s="1"/>
      <c r="HXI56" s="1"/>
      <c r="HXJ56" s="1"/>
      <c r="HXK56" s="1"/>
      <c r="HXL56" s="1"/>
      <c r="HXM56" s="1"/>
      <c r="HXN56" s="1"/>
      <c r="HXO56" s="1"/>
      <c r="HXP56" s="1"/>
      <c r="HXQ56" s="1"/>
      <c r="HXR56" s="1"/>
      <c r="HXS56" s="1"/>
      <c r="HXT56" s="1"/>
      <c r="HXU56" s="1"/>
      <c r="HXV56" s="1"/>
      <c r="HXW56" s="1"/>
      <c r="HXX56" s="1"/>
      <c r="HXY56" s="1"/>
      <c r="HXZ56" s="1"/>
      <c r="HYA56" s="1"/>
      <c r="HYB56" s="1"/>
      <c r="HYC56" s="1"/>
      <c r="HYD56" s="1"/>
      <c r="HYE56" s="1"/>
      <c r="HYF56" s="1"/>
      <c r="HYG56" s="1"/>
      <c r="HYH56" s="1"/>
      <c r="HYI56" s="1"/>
      <c r="HYJ56" s="1"/>
      <c r="HYK56" s="1"/>
      <c r="HYL56" s="1"/>
      <c r="HYM56" s="1"/>
      <c r="HYN56" s="1"/>
      <c r="HYO56" s="1"/>
      <c r="HYP56" s="1"/>
      <c r="HYQ56" s="1"/>
      <c r="HYR56" s="1"/>
      <c r="HYS56" s="1"/>
      <c r="HYT56" s="1"/>
      <c r="HYU56" s="1"/>
      <c r="HYV56" s="1"/>
      <c r="HYW56" s="1"/>
      <c r="HYX56" s="1"/>
      <c r="HYY56" s="1"/>
      <c r="HYZ56" s="1"/>
      <c r="HZA56" s="1"/>
      <c r="HZB56" s="1"/>
      <c r="HZC56" s="1"/>
      <c r="HZD56" s="1"/>
      <c r="HZE56" s="1"/>
      <c r="HZF56" s="1"/>
      <c r="HZG56" s="1"/>
      <c r="HZH56" s="1"/>
      <c r="HZI56" s="1"/>
      <c r="HZJ56" s="1"/>
      <c r="HZK56" s="1"/>
      <c r="HZL56" s="1"/>
      <c r="HZM56" s="1"/>
      <c r="HZN56" s="1"/>
      <c r="HZO56" s="1"/>
      <c r="HZP56" s="1"/>
      <c r="HZQ56" s="1"/>
      <c r="HZR56" s="1"/>
      <c r="HZS56" s="1"/>
      <c r="HZT56" s="1"/>
      <c r="HZU56" s="1"/>
      <c r="HZV56" s="1"/>
      <c r="HZW56" s="1"/>
      <c r="HZX56" s="1"/>
      <c r="HZY56" s="1"/>
      <c r="HZZ56" s="1"/>
      <c r="IAA56" s="1"/>
      <c r="IAB56" s="1"/>
      <c r="IAC56" s="1"/>
      <c r="IAD56" s="1"/>
      <c r="IAE56" s="1"/>
      <c r="IAF56" s="1"/>
      <c r="IAG56" s="1"/>
      <c r="IAH56" s="1"/>
      <c r="IAI56" s="1"/>
      <c r="IAJ56" s="1"/>
      <c r="IAK56" s="1"/>
      <c r="IAL56" s="1"/>
      <c r="IAM56" s="1"/>
      <c r="IAN56" s="1"/>
      <c r="IAO56" s="1"/>
      <c r="IAP56" s="1"/>
      <c r="IAQ56" s="1"/>
      <c r="IAR56" s="1"/>
      <c r="IAS56" s="1"/>
      <c r="IAT56" s="1"/>
      <c r="IAU56" s="1"/>
      <c r="IAV56" s="1"/>
      <c r="IAW56" s="1"/>
      <c r="IAX56" s="1"/>
      <c r="IAY56" s="1"/>
      <c r="IAZ56" s="1"/>
      <c r="IBA56" s="1"/>
      <c r="IBB56" s="1"/>
      <c r="IBC56" s="1"/>
      <c r="IBD56" s="1"/>
      <c r="IBE56" s="1"/>
      <c r="IBF56" s="1"/>
      <c r="IBG56" s="1"/>
      <c r="IBH56" s="1"/>
      <c r="IBI56" s="1"/>
      <c r="IBJ56" s="1"/>
      <c r="IBK56" s="1"/>
      <c r="IBL56" s="1"/>
      <c r="IBM56" s="1"/>
      <c r="IBN56" s="1"/>
      <c r="IBO56" s="1"/>
      <c r="IBP56" s="1"/>
      <c r="IBQ56" s="1"/>
      <c r="IBR56" s="1"/>
      <c r="IBS56" s="1"/>
      <c r="IBT56" s="1"/>
      <c r="IBU56" s="1"/>
      <c r="IBV56" s="1"/>
      <c r="IBW56" s="1"/>
      <c r="IBX56" s="1"/>
      <c r="IBY56" s="1"/>
      <c r="IBZ56" s="1"/>
      <c r="ICA56" s="1"/>
      <c r="ICB56" s="1"/>
      <c r="ICC56" s="1"/>
      <c r="ICD56" s="1"/>
      <c r="ICE56" s="1"/>
      <c r="ICF56" s="1"/>
      <c r="ICG56" s="1"/>
      <c r="ICH56" s="1"/>
      <c r="ICI56" s="1"/>
      <c r="ICJ56" s="1"/>
      <c r="ICK56" s="1"/>
      <c r="ICL56" s="1"/>
      <c r="ICM56" s="1"/>
      <c r="ICN56" s="1"/>
      <c r="ICO56" s="1"/>
      <c r="ICP56" s="1"/>
      <c r="ICQ56" s="1"/>
      <c r="ICR56" s="1"/>
      <c r="ICS56" s="1"/>
      <c r="ICT56" s="1"/>
      <c r="ICU56" s="1"/>
      <c r="ICV56" s="1"/>
      <c r="ICW56" s="1"/>
      <c r="ICX56" s="1"/>
      <c r="ICY56" s="1"/>
      <c r="ICZ56" s="1"/>
      <c r="IDA56" s="1"/>
      <c r="IDB56" s="1"/>
      <c r="IDC56" s="1"/>
      <c r="IDD56" s="1"/>
      <c r="IDE56" s="1"/>
      <c r="IDF56" s="1"/>
      <c r="IDG56" s="1"/>
      <c r="IDH56" s="1"/>
      <c r="IDI56" s="1"/>
      <c r="IDJ56" s="1"/>
      <c r="IDK56" s="1"/>
      <c r="IDL56" s="1"/>
      <c r="IDM56" s="1"/>
      <c r="IDN56" s="1"/>
      <c r="IDO56" s="1"/>
      <c r="IDP56" s="1"/>
      <c r="IDQ56" s="1"/>
      <c r="IDR56" s="1"/>
      <c r="IDS56" s="1"/>
      <c r="IDT56" s="1"/>
      <c r="IDU56" s="1"/>
      <c r="IDV56" s="1"/>
      <c r="IDW56" s="1"/>
      <c r="IDX56" s="1"/>
      <c r="IDY56" s="1"/>
      <c r="IDZ56" s="1"/>
      <c r="IEA56" s="1"/>
      <c r="IEB56" s="1"/>
      <c r="IEC56" s="1"/>
      <c r="IED56" s="1"/>
      <c r="IEE56" s="1"/>
      <c r="IEF56" s="1"/>
      <c r="IEG56" s="1"/>
      <c r="IEH56" s="1"/>
      <c r="IEI56" s="1"/>
      <c r="IEJ56" s="1"/>
      <c r="IEK56" s="1"/>
      <c r="IEL56" s="1"/>
      <c r="IEM56" s="1"/>
      <c r="IEN56" s="1"/>
      <c r="IEO56" s="1"/>
      <c r="IEP56" s="1"/>
      <c r="IEQ56" s="1"/>
      <c r="IER56" s="1"/>
      <c r="IES56" s="1"/>
      <c r="IET56" s="1"/>
      <c r="IEU56" s="1"/>
      <c r="IEV56" s="1"/>
      <c r="IEW56" s="1"/>
      <c r="IEX56" s="1"/>
      <c r="IEY56" s="1"/>
      <c r="IEZ56" s="1"/>
      <c r="IFA56" s="1"/>
      <c r="IFB56" s="1"/>
      <c r="IFC56" s="1"/>
      <c r="IFD56" s="1"/>
      <c r="IFE56" s="1"/>
      <c r="IFF56" s="1"/>
      <c r="IFG56" s="1"/>
      <c r="IFH56" s="1"/>
      <c r="IFI56" s="1"/>
      <c r="IFJ56" s="1"/>
      <c r="IFK56" s="1"/>
      <c r="IFL56" s="1"/>
      <c r="IFM56" s="1"/>
      <c r="IFN56" s="1"/>
      <c r="IFO56" s="1"/>
      <c r="IFP56" s="1"/>
      <c r="IFQ56" s="1"/>
      <c r="IFR56" s="1"/>
      <c r="IFS56" s="1"/>
      <c r="IFT56" s="1"/>
      <c r="IFU56" s="1"/>
      <c r="IFV56" s="1"/>
      <c r="IFW56" s="1"/>
      <c r="IFX56" s="1"/>
      <c r="IFY56" s="1"/>
      <c r="IFZ56" s="1"/>
      <c r="IGA56" s="1"/>
      <c r="IGB56" s="1"/>
      <c r="IGC56" s="1"/>
      <c r="IGD56" s="1"/>
      <c r="IGE56" s="1"/>
      <c r="IGF56" s="1"/>
      <c r="IGG56" s="1"/>
      <c r="IGH56" s="1"/>
      <c r="IGI56" s="1"/>
      <c r="IGJ56" s="1"/>
      <c r="IGK56" s="1"/>
      <c r="IGL56" s="1"/>
      <c r="IGM56" s="1"/>
      <c r="IGN56" s="1"/>
      <c r="IGO56" s="1"/>
      <c r="IGP56" s="1"/>
      <c r="IGQ56" s="1"/>
      <c r="IGR56" s="1"/>
      <c r="IGS56" s="1"/>
      <c r="IGT56" s="1"/>
      <c r="IGU56" s="1"/>
      <c r="IGV56" s="1"/>
      <c r="IGW56" s="1"/>
      <c r="IGX56" s="1"/>
      <c r="IGY56" s="1"/>
      <c r="IGZ56" s="1"/>
      <c r="IHA56" s="1"/>
      <c r="IHB56" s="1"/>
      <c r="IHC56" s="1"/>
      <c r="IHD56" s="1"/>
      <c r="IHE56" s="1"/>
      <c r="IHF56" s="1"/>
      <c r="IHG56" s="1"/>
      <c r="IHH56" s="1"/>
      <c r="IHI56" s="1"/>
      <c r="IHJ56" s="1"/>
      <c r="IHK56" s="1"/>
      <c r="IHL56" s="1"/>
      <c r="IHM56" s="1"/>
      <c r="IHN56" s="1"/>
      <c r="IHO56" s="1"/>
      <c r="IHP56" s="1"/>
      <c r="IHQ56" s="1"/>
      <c r="IHR56" s="1"/>
      <c r="IHS56" s="1"/>
      <c r="IHT56" s="1"/>
      <c r="IHU56" s="1"/>
      <c r="IHV56" s="1"/>
      <c r="IHW56" s="1"/>
      <c r="IHX56" s="1"/>
      <c r="IHY56" s="1"/>
      <c r="IHZ56" s="1"/>
      <c r="IIA56" s="1"/>
      <c r="IIB56" s="1"/>
      <c r="IIC56" s="1"/>
      <c r="IID56" s="1"/>
      <c r="IIE56" s="1"/>
      <c r="IIF56" s="1"/>
      <c r="IIG56" s="1"/>
      <c r="IIH56" s="1"/>
      <c r="III56" s="1"/>
      <c r="IIJ56" s="1"/>
      <c r="IIK56" s="1"/>
      <c r="IIL56" s="1"/>
      <c r="IIM56" s="1"/>
      <c r="IIN56" s="1"/>
      <c r="IIO56" s="1"/>
      <c r="IIP56" s="1"/>
      <c r="IIQ56" s="1"/>
      <c r="IIR56" s="1"/>
      <c r="IIS56" s="1"/>
      <c r="IIT56" s="1"/>
      <c r="IIU56" s="1"/>
      <c r="IIV56" s="1"/>
      <c r="IIW56" s="1"/>
      <c r="IIX56" s="1"/>
      <c r="IIY56" s="1"/>
      <c r="IIZ56" s="1"/>
      <c r="IJA56" s="1"/>
      <c r="IJB56" s="1"/>
      <c r="IJC56" s="1"/>
      <c r="IJD56" s="1"/>
      <c r="IJE56" s="1"/>
      <c r="IJF56" s="1"/>
      <c r="IJG56" s="1"/>
      <c r="IJH56" s="1"/>
      <c r="IJI56" s="1"/>
      <c r="IJJ56" s="1"/>
      <c r="IJK56" s="1"/>
      <c r="IJL56" s="1"/>
      <c r="IJM56" s="1"/>
      <c r="IJN56" s="1"/>
      <c r="IJO56" s="1"/>
      <c r="IJP56" s="1"/>
      <c r="IJQ56" s="1"/>
      <c r="IJR56" s="1"/>
      <c r="IJS56" s="1"/>
      <c r="IJT56" s="1"/>
      <c r="IJU56" s="1"/>
      <c r="IJV56" s="1"/>
      <c r="IJW56" s="1"/>
      <c r="IJX56" s="1"/>
      <c r="IJY56" s="1"/>
      <c r="IJZ56" s="1"/>
      <c r="IKA56" s="1"/>
      <c r="IKB56" s="1"/>
      <c r="IKC56" s="1"/>
      <c r="IKD56" s="1"/>
      <c r="IKE56" s="1"/>
      <c r="IKF56" s="1"/>
      <c r="IKG56" s="1"/>
      <c r="IKH56" s="1"/>
      <c r="IKI56" s="1"/>
      <c r="IKJ56" s="1"/>
      <c r="IKK56" s="1"/>
      <c r="IKL56" s="1"/>
      <c r="IKM56" s="1"/>
      <c r="IKN56" s="1"/>
      <c r="IKO56" s="1"/>
      <c r="IKP56" s="1"/>
      <c r="IKQ56" s="1"/>
      <c r="IKR56" s="1"/>
      <c r="IKS56" s="1"/>
      <c r="IKT56" s="1"/>
      <c r="IKU56" s="1"/>
      <c r="IKV56" s="1"/>
      <c r="IKW56" s="1"/>
      <c r="IKX56" s="1"/>
      <c r="IKY56" s="1"/>
      <c r="IKZ56" s="1"/>
      <c r="ILA56" s="1"/>
      <c r="ILB56" s="1"/>
      <c r="ILC56" s="1"/>
      <c r="ILD56" s="1"/>
      <c r="ILE56" s="1"/>
      <c r="ILF56" s="1"/>
      <c r="ILG56" s="1"/>
      <c r="ILH56" s="1"/>
      <c r="ILI56" s="1"/>
      <c r="ILJ56" s="1"/>
      <c r="ILK56" s="1"/>
      <c r="ILL56" s="1"/>
      <c r="ILM56" s="1"/>
      <c r="ILN56" s="1"/>
      <c r="ILO56" s="1"/>
      <c r="ILP56" s="1"/>
      <c r="ILQ56" s="1"/>
      <c r="ILR56" s="1"/>
      <c r="ILS56" s="1"/>
      <c r="ILT56" s="1"/>
      <c r="ILU56" s="1"/>
      <c r="ILV56" s="1"/>
      <c r="ILW56" s="1"/>
      <c r="ILX56" s="1"/>
      <c r="ILY56" s="1"/>
      <c r="ILZ56" s="1"/>
      <c r="IMA56" s="1"/>
      <c r="IMB56" s="1"/>
      <c r="IMC56" s="1"/>
      <c r="IMD56" s="1"/>
      <c r="IME56" s="1"/>
      <c r="IMF56" s="1"/>
      <c r="IMG56" s="1"/>
      <c r="IMH56" s="1"/>
      <c r="IMI56" s="1"/>
      <c r="IMJ56" s="1"/>
      <c r="IMK56" s="1"/>
      <c r="IML56" s="1"/>
      <c r="IMM56" s="1"/>
      <c r="IMN56" s="1"/>
      <c r="IMO56" s="1"/>
      <c r="IMP56" s="1"/>
      <c r="IMQ56" s="1"/>
      <c r="IMR56" s="1"/>
      <c r="IMS56" s="1"/>
      <c r="IMT56" s="1"/>
      <c r="IMU56" s="1"/>
      <c r="IMV56" s="1"/>
      <c r="IMW56" s="1"/>
      <c r="IMX56" s="1"/>
      <c r="IMY56" s="1"/>
      <c r="IMZ56" s="1"/>
      <c r="INA56" s="1"/>
      <c r="INB56" s="1"/>
      <c r="INC56" s="1"/>
      <c r="IND56" s="1"/>
      <c r="INE56" s="1"/>
      <c r="INF56" s="1"/>
      <c r="ING56" s="1"/>
      <c r="INH56" s="1"/>
      <c r="INI56" s="1"/>
      <c r="INJ56" s="1"/>
      <c r="INK56" s="1"/>
      <c r="INL56" s="1"/>
      <c r="INM56" s="1"/>
      <c r="INN56" s="1"/>
      <c r="INO56" s="1"/>
      <c r="INP56" s="1"/>
      <c r="INQ56" s="1"/>
      <c r="INR56" s="1"/>
      <c r="INS56" s="1"/>
      <c r="INT56" s="1"/>
      <c r="INU56" s="1"/>
      <c r="INV56" s="1"/>
      <c r="INW56" s="1"/>
      <c r="INX56" s="1"/>
      <c r="INY56" s="1"/>
      <c r="INZ56" s="1"/>
      <c r="IOA56" s="1"/>
      <c r="IOB56" s="1"/>
      <c r="IOC56" s="1"/>
      <c r="IOD56" s="1"/>
      <c r="IOE56" s="1"/>
      <c r="IOF56" s="1"/>
      <c r="IOG56" s="1"/>
      <c r="IOH56" s="1"/>
      <c r="IOI56" s="1"/>
      <c r="IOJ56" s="1"/>
      <c r="IOK56" s="1"/>
      <c r="IOL56" s="1"/>
      <c r="IOM56" s="1"/>
      <c r="ION56" s="1"/>
      <c r="IOO56" s="1"/>
      <c r="IOP56" s="1"/>
      <c r="IOQ56" s="1"/>
      <c r="IOR56" s="1"/>
      <c r="IOS56" s="1"/>
      <c r="IOT56" s="1"/>
      <c r="IOU56" s="1"/>
      <c r="IOV56" s="1"/>
      <c r="IOW56" s="1"/>
      <c r="IOX56" s="1"/>
      <c r="IOY56" s="1"/>
      <c r="IOZ56" s="1"/>
      <c r="IPA56" s="1"/>
      <c r="IPB56" s="1"/>
      <c r="IPC56" s="1"/>
      <c r="IPD56" s="1"/>
      <c r="IPE56" s="1"/>
      <c r="IPF56" s="1"/>
      <c r="IPG56" s="1"/>
      <c r="IPH56" s="1"/>
      <c r="IPI56" s="1"/>
      <c r="IPJ56" s="1"/>
      <c r="IPK56" s="1"/>
      <c r="IPL56" s="1"/>
      <c r="IPM56" s="1"/>
      <c r="IPN56" s="1"/>
      <c r="IPO56" s="1"/>
      <c r="IPP56" s="1"/>
      <c r="IPQ56" s="1"/>
      <c r="IPR56" s="1"/>
      <c r="IPS56" s="1"/>
      <c r="IPT56" s="1"/>
      <c r="IPU56" s="1"/>
      <c r="IPV56" s="1"/>
      <c r="IPW56" s="1"/>
      <c r="IPX56" s="1"/>
      <c r="IPY56" s="1"/>
      <c r="IPZ56" s="1"/>
      <c r="IQA56" s="1"/>
      <c r="IQB56" s="1"/>
      <c r="IQC56" s="1"/>
      <c r="IQD56" s="1"/>
      <c r="IQE56" s="1"/>
      <c r="IQF56" s="1"/>
      <c r="IQG56" s="1"/>
      <c r="IQH56" s="1"/>
      <c r="IQI56" s="1"/>
      <c r="IQJ56" s="1"/>
      <c r="IQK56" s="1"/>
      <c r="IQL56" s="1"/>
      <c r="IQM56" s="1"/>
      <c r="IQN56" s="1"/>
      <c r="IQO56" s="1"/>
      <c r="IQP56" s="1"/>
      <c r="IQQ56" s="1"/>
      <c r="IQR56" s="1"/>
      <c r="IQS56" s="1"/>
      <c r="IQT56" s="1"/>
      <c r="IQU56" s="1"/>
      <c r="IQV56" s="1"/>
      <c r="IQW56" s="1"/>
      <c r="IQX56" s="1"/>
      <c r="IQY56" s="1"/>
      <c r="IQZ56" s="1"/>
      <c r="IRA56" s="1"/>
      <c r="IRB56" s="1"/>
      <c r="IRC56" s="1"/>
      <c r="IRD56" s="1"/>
      <c r="IRE56" s="1"/>
      <c r="IRF56" s="1"/>
      <c r="IRG56" s="1"/>
      <c r="IRH56" s="1"/>
      <c r="IRI56" s="1"/>
      <c r="IRJ56" s="1"/>
      <c r="IRK56" s="1"/>
      <c r="IRL56" s="1"/>
      <c r="IRM56" s="1"/>
      <c r="IRN56" s="1"/>
      <c r="IRO56" s="1"/>
      <c r="IRP56" s="1"/>
      <c r="IRQ56" s="1"/>
      <c r="IRR56" s="1"/>
      <c r="IRS56" s="1"/>
      <c r="IRT56" s="1"/>
      <c r="IRU56" s="1"/>
      <c r="IRV56" s="1"/>
      <c r="IRW56" s="1"/>
      <c r="IRX56" s="1"/>
      <c r="IRY56" s="1"/>
      <c r="IRZ56" s="1"/>
      <c r="ISA56" s="1"/>
      <c r="ISB56" s="1"/>
      <c r="ISC56" s="1"/>
      <c r="ISD56" s="1"/>
      <c r="ISE56" s="1"/>
      <c r="ISF56" s="1"/>
      <c r="ISG56" s="1"/>
      <c r="ISH56" s="1"/>
      <c r="ISI56" s="1"/>
      <c r="ISJ56" s="1"/>
      <c r="ISK56" s="1"/>
      <c r="ISL56" s="1"/>
      <c r="ISM56" s="1"/>
      <c r="ISN56" s="1"/>
      <c r="ISO56" s="1"/>
      <c r="ISP56" s="1"/>
      <c r="ISQ56" s="1"/>
      <c r="ISR56" s="1"/>
      <c r="ISS56" s="1"/>
      <c r="IST56" s="1"/>
      <c r="ISU56" s="1"/>
      <c r="ISV56" s="1"/>
      <c r="ISW56" s="1"/>
      <c r="ISX56" s="1"/>
      <c r="ISY56" s="1"/>
      <c r="ISZ56" s="1"/>
      <c r="ITA56" s="1"/>
      <c r="ITB56" s="1"/>
      <c r="ITC56" s="1"/>
      <c r="ITD56" s="1"/>
      <c r="ITE56" s="1"/>
      <c r="ITF56" s="1"/>
      <c r="ITG56" s="1"/>
      <c r="ITH56" s="1"/>
      <c r="ITI56" s="1"/>
      <c r="ITJ56" s="1"/>
      <c r="ITK56" s="1"/>
      <c r="ITL56" s="1"/>
      <c r="ITM56" s="1"/>
      <c r="ITN56" s="1"/>
      <c r="ITO56" s="1"/>
      <c r="ITP56" s="1"/>
      <c r="ITQ56" s="1"/>
      <c r="ITR56" s="1"/>
      <c r="ITS56" s="1"/>
      <c r="ITT56" s="1"/>
      <c r="ITU56" s="1"/>
      <c r="ITV56" s="1"/>
      <c r="ITW56" s="1"/>
      <c r="ITX56" s="1"/>
      <c r="ITY56" s="1"/>
      <c r="ITZ56" s="1"/>
      <c r="IUA56" s="1"/>
      <c r="IUB56" s="1"/>
      <c r="IUC56" s="1"/>
      <c r="IUD56" s="1"/>
      <c r="IUE56" s="1"/>
      <c r="IUF56" s="1"/>
      <c r="IUG56" s="1"/>
      <c r="IUH56" s="1"/>
      <c r="IUI56" s="1"/>
      <c r="IUJ56" s="1"/>
      <c r="IUK56" s="1"/>
      <c r="IUL56" s="1"/>
      <c r="IUM56" s="1"/>
      <c r="IUN56" s="1"/>
      <c r="IUO56" s="1"/>
      <c r="IUP56" s="1"/>
      <c r="IUQ56" s="1"/>
      <c r="IUR56" s="1"/>
      <c r="IUS56" s="1"/>
      <c r="IUT56" s="1"/>
      <c r="IUU56" s="1"/>
      <c r="IUV56" s="1"/>
      <c r="IUW56" s="1"/>
      <c r="IUX56" s="1"/>
      <c r="IUY56" s="1"/>
      <c r="IUZ56" s="1"/>
      <c r="IVA56" s="1"/>
      <c r="IVB56" s="1"/>
      <c r="IVC56" s="1"/>
      <c r="IVD56" s="1"/>
      <c r="IVE56" s="1"/>
      <c r="IVF56" s="1"/>
      <c r="IVG56" s="1"/>
      <c r="IVH56" s="1"/>
      <c r="IVI56" s="1"/>
      <c r="IVJ56" s="1"/>
      <c r="IVK56" s="1"/>
      <c r="IVL56" s="1"/>
      <c r="IVM56" s="1"/>
      <c r="IVN56" s="1"/>
      <c r="IVO56" s="1"/>
      <c r="IVP56" s="1"/>
      <c r="IVQ56" s="1"/>
      <c r="IVR56" s="1"/>
      <c r="IVS56" s="1"/>
      <c r="IVT56" s="1"/>
      <c r="IVU56" s="1"/>
      <c r="IVV56" s="1"/>
      <c r="IVW56" s="1"/>
      <c r="IVX56" s="1"/>
      <c r="IVY56" s="1"/>
      <c r="IVZ56" s="1"/>
      <c r="IWA56" s="1"/>
      <c r="IWB56" s="1"/>
      <c r="IWC56" s="1"/>
      <c r="IWD56" s="1"/>
      <c r="IWE56" s="1"/>
      <c r="IWF56" s="1"/>
      <c r="IWG56" s="1"/>
      <c r="IWH56" s="1"/>
      <c r="IWI56" s="1"/>
      <c r="IWJ56" s="1"/>
      <c r="IWK56" s="1"/>
      <c r="IWL56" s="1"/>
      <c r="IWM56" s="1"/>
      <c r="IWN56" s="1"/>
      <c r="IWO56" s="1"/>
      <c r="IWP56" s="1"/>
      <c r="IWQ56" s="1"/>
      <c r="IWR56" s="1"/>
      <c r="IWS56" s="1"/>
      <c r="IWT56" s="1"/>
      <c r="IWU56" s="1"/>
      <c r="IWV56" s="1"/>
      <c r="IWW56" s="1"/>
      <c r="IWX56" s="1"/>
      <c r="IWY56" s="1"/>
      <c r="IWZ56" s="1"/>
      <c r="IXA56" s="1"/>
      <c r="IXB56" s="1"/>
      <c r="IXC56" s="1"/>
      <c r="IXD56" s="1"/>
      <c r="IXE56" s="1"/>
      <c r="IXF56" s="1"/>
      <c r="IXG56" s="1"/>
      <c r="IXH56" s="1"/>
      <c r="IXI56" s="1"/>
      <c r="IXJ56" s="1"/>
      <c r="IXK56" s="1"/>
      <c r="IXL56" s="1"/>
      <c r="IXM56" s="1"/>
      <c r="IXN56" s="1"/>
      <c r="IXO56" s="1"/>
      <c r="IXP56" s="1"/>
      <c r="IXQ56" s="1"/>
      <c r="IXR56" s="1"/>
      <c r="IXS56" s="1"/>
      <c r="IXT56" s="1"/>
      <c r="IXU56" s="1"/>
      <c r="IXV56" s="1"/>
      <c r="IXW56" s="1"/>
      <c r="IXX56" s="1"/>
      <c r="IXY56" s="1"/>
      <c r="IXZ56" s="1"/>
      <c r="IYA56" s="1"/>
      <c r="IYB56" s="1"/>
      <c r="IYC56" s="1"/>
      <c r="IYD56" s="1"/>
      <c r="IYE56" s="1"/>
      <c r="IYF56" s="1"/>
      <c r="IYG56" s="1"/>
      <c r="IYH56" s="1"/>
      <c r="IYI56" s="1"/>
      <c r="IYJ56" s="1"/>
      <c r="IYK56" s="1"/>
      <c r="IYL56" s="1"/>
      <c r="IYM56" s="1"/>
      <c r="IYN56" s="1"/>
      <c r="IYO56" s="1"/>
      <c r="IYP56" s="1"/>
      <c r="IYQ56" s="1"/>
      <c r="IYR56" s="1"/>
      <c r="IYS56" s="1"/>
      <c r="IYT56" s="1"/>
      <c r="IYU56" s="1"/>
      <c r="IYV56" s="1"/>
      <c r="IYW56" s="1"/>
      <c r="IYX56" s="1"/>
      <c r="IYY56" s="1"/>
      <c r="IYZ56" s="1"/>
      <c r="IZA56" s="1"/>
      <c r="IZB56" s="1"/>
      <c r="IZC56" s="1"/>
      <c r="IZD56" s="1"/>
      <c r="IZE56" s="1"/>
      <c r="IZF56" s="1"/>
      <c r="IZG56" s="1"/>
      <c r="IZH56" s="1"/>
      <c r="IZI56" s="1"/>
      <c r="IZJ56" s="1"/>
      <c r="IZK56" s="1"/>
      <c r="IZL56" s="1"/>
      <c r="IZM56" s="1"/>
      <c r="IZN56" s="1"/>
      <c r="IZO56" s="1"/>
      <c r="IZP56" s="1"/>
      <c r="IZQ56" s="1"/>
      <c r="IZR56" s="1"/>
      <c r="IZS56" s="1"/>
      <c r="IZT56" s="1"/>
      <c r="IZU56" s="1"/>
      <c r="IZV56" s="1"/>
      <c r="IZW56" s="1"/>
      <c r="IZX56" s="1"/>
      <c r="IZY56" s="1"/>
      <c r="IZZ56" s="1"/>
      <c r="JAA56" s="1"/>
      <c r="JAB56" s="1"/>
      <c r="JAC56" s="1"/>
      <c r="JAD56" s="1"/>
      <c r="JAE56" s="1"/>
      <c r="JAF56" s="1"/>
      <c r="JAG56" s="1"/>
      <c r="JAH56" s="1"/>
      <c r="JAI56" s="1"/>
      <c r="JAJ56" s="1"/>
      <c r="JAK56" s="1"/>
      <c r="JAL56" s="1"/>
      <c r="JAM56" s="1"/>
      <c r="JAN56" s="1"/>
      <c r="JAO56" s="1"/>
      <c r="JAP56" s="1"/>
      <c r="JAQ56" s="1"/>
      <c r="JAR56" s="1"/>
      <c r="JAS56" s="1"/>
      <c r="JAT56" s="1"/>
      <c r="JAU56" s="1"/>
      <c r="JAV56" s="1"/>
      <c r="JAW56" s="1"/>
      <c r="JAX56" s="1"/>
      <c r="JAY56" s="1"/>
      <c r="JAZ56" s="1"/>
      <c r="JBA56" s="1"/>
      <c r="JBB56" s="1"/>
      <c r="JBC56" s="1"/>
      <c r="JBD56" s="1"/>
      <c r="JBE56" s="1"/>
      <c r="JBF56" s="1"/>
      <c r="JBG56" s="1"/>
      <c r="JBH56" s="1"/>
      <c r="JBI56" s="1"/>
      <c r="JBJ56" s="1"/>
      <c r="JBK56" s="1"/>
      <c r="JBL56" s="1"/>
      <c r="JBM56" s="1"/>
      <c r="JBN56" s="1"/>
      <c r="JBO56" s="1"/>
      <c r="JBP56" s="1"/>
      <c r="JBQ56" s="1"/>
      <c r="JBR56" s="1"/>
      <c r="JBS56" s="1"/>
      <c r="JBT56" s="1"/>
      <c r="JBU56" s="1"/>
      <c r="JBV56" s="1"/>
      <c r="JBW56" s="1"/>
      <c r="JBX56" s="1"/>
      <c r="JBY56" s="1"/>
      <c r="JBZ56" s="1"/>
      <c r="JCA56" s="1"/>
      <c r="JCB56" s="1"/>
      <c r="JCC56" s="1"/>
      <c r="JCD56" s="1"/>
      <c r="JCE56" s="1"/>
      <c r="JCF56" s="1"/>
      <c r="JCG56" s="1"/>
      <c r="JCH56" s="1"/>
      <c r="JCI56" s="1"/>
      <c r="JCJ56" s="1"/>
      <c r="JCK56" s="1"/>
      <c r="JCL56" s="1"/>
      <c r="JCM56" s="1"/>
      <c r="JCN56" s="1"/>
      <c r="JCO56" s="1"/>
      <c r="JCP56" s="1"/>
      <c r="JCQ56" s="1"/>
      <c r="JCR56" s="1"/>
      <c r="JCS56" s="1"/>
      <c r="JCT56" s="1"/>
      <c r="JCU56" s="1"/>
      <c r="JCV56" s="1"/>
      <c r="JCW56" s="1"/>
      <c r="JCX56" s="1"/>
      <c r="JCY56" s="1"/>
      <c r="JCZ56" s="1"/>
      <c r="JDA56" s="1"/>
      <c r="JDB56" s="1"/>
      <c r="JDC56" s="1"/>
      <c r="JDD56" s="1"/>
      <c r="JDE56" s="1"/>
      <c r="JDF56" s="1"/>
      <c r="JDG56" s="1"/>
      <c r="JDH56" s="1"/>
      <c r="JDI56" s="1"/>
      <c r="JDJ56" s="1"/>
      <c r="JDK56" s="1"/>
      <c r="JDL56" s="1"/>
      <c r="JDM56" s="1"/>
      <c r="JDN56" s="1"/>
      <c r="JDO56" s="1"/>
      <c r="JDP56" s="1"/>
      <c r="JDQ56" s="1"/>
      <c r="JDR56" s="1"/>
      <c r="JDS56" s="1"/>
      <c r="JDT56" s="1"/>
      <c r="JDU56" s="1"/>
      <c r="JDV56" s="1"/>
      <c r="JDW56" s="1"/>
      <c r="JDX56" s="1"/>
      <c r="JDY56" s="1"/>
      <c r="JDZ56" s="1"/>
      <c r="JEA56" s="1"/>
      <c r="JEB56" s="1"/>
      <c r="JEC56" s="1"/>
      <c r="JED56" s="1"/>
      <c r="JEE56" s="1"/>
      <c r="JEF56" s="1"/>
      <c r="JEG56" s="1"/>
      <c r="JEH56" s="1"/>
      <c r="JEI56" s="1"/>
      <c r="JEJ56" s="1"/>
      <c r="JEK56" s="1"/>
      <c r="JEL56" s="1"/>
      <c r="JEM56" s="1"/>
      <c r="JEN56" s="1"/>
      <c r="JEO56" s="1"/>
      <c r="JEP56" s="1"/>
      <c r="JEQ56" s="1"/>
      <c r="JER56" s="1"/>
      <c r="JES56" s="1"/>
      <c r="JET56" s="1"/>
      <c r="JEU56" s="1"/>
      <c r="JEV56" s="1"/>
      <c r="JEW56" s="1"/>
      <c r="JEX56" s="1"/>
      <c r="JEY56" s="1"/>
      <c r="JEZ56" s="1"/>
      <c r="JFA56" s="1"/>
      <c r="JFB56" s="1"/>
      <c r="JFC56" s="1"/>
      <c r="JFD56" s="1"/>
      <c r="JFE56" s="1"/>
      <c r="JFF56" s="1"/>
      <c r="JFG56" s="1"/>
      <c r="JFH56" s="1"/>
      <c r="JFI56" s="1"/>
      <c r="JFJ56" s="1"/>
      <c r="JFK56" s="1"/>
      <c r="JFL56" s="1"/>
      <c r="JFM56" s="1"/>
      <c r="JFN56" s="1"/>
      <c r="JFO56" s="1"/>
      <c r="JFP56" s="1"/>
      <c r="JFQ56" s="1"/>
      <c r="JFR56" s="1"/>
      <c r="JFS56" s="1"/>
      <c r="JFT56" s="1"/>
      <c r="JFU56" s="1"/>
      <c r="JFV56" s="1"/>
      <c r="JFW56" s="1"/>
      <c r="JFX56" s="1"/>
      <c r="JFY56" s="1"/>
      <c r="JFZ56" s="1"/>
      <c r="JGA56" s="1"/>
      <c r="JGB56" s="1"/>
      <c r="JGC56" s="1"/>
      <c r="JGD56" s="1"/>
      <c r="JGE56" s="1"/>
      <c r="JGF56" s="1"/>
      <c r="JGG56" s="1"/>
      <c r="JGH56" s="1"/>
      <c r="JGI56" s="1"/>
      <c r="JGJ56" s="1"/>
      <c r="JGK56" s="1"/>
      <c r="JGL56" s="1"/>
      <c r="JGM56" s="1"/>
      <c r="JGN56" s="1"/>
      <c r="JGO56" s="1"/>
      <c r="JGP56" s="1"/>
      <c r="JGQ56" s="1"/>
      <c r="JGR56" s="1"/>
      <c r="JGS56" s="1"/>
      <c r="JGT56" s="1"/>
      <c r="JGU56" s="1"/>
      <c r="JGV56" s="1"/>
      <c r="JGW56" s="1"/>
      <c r="JGX56" s="1"/>
      <c r="JGY56" s="1"/>
      <c r="JGZ56" s="1"/>
      <c r="JHA56" s="1"/>
      <c r="JHB56" s="1"/>
      <c r="JHC56" s="1"/>
      <c r="JHD56" s="1"/>
      <c r="JHE56" s="1"/>
      <c r="JHF56" s="1"/>
      <c r="JHG56" s="1"/>
      <c r="JHH56" s="1"/>
      <c r="JHI56" s="1"/>
      <c r="JHJ56" s="1"/>
      <c r="JHK56" s="1"/>
      <c r="JHL56" s="1"/>
      <c r="JHM56" s="1"/>
      <c r="JHN56" s="1"/>
      <c r="JHO56" s="1"/>
      <c r="JHP56" s="1"/>
      <c r="JHQ56" s="1"/>
      <c r="JHR56" s="1"/>
      <c r="JHS56" s="1"/>
      <c r="JHT56" s="1"/>
      <c r="JHU56" s="1"/>
      <c r="JHV56" s="1"/>
      <c r="JHW56" s="1"/>
      <c r="JHX56" s="1"/>
      <c r="JHY56" s="1"/>
      <c r="JHZ56" s="1"/>
      <c r="JIA56" s="1"/>
      <c r="JIB56" s="1"/>
      <c r="JIC56" s="1"/>
      <c r="JID56" s="1"/>
      <c r="JIE56" s="1"/>
      <c r="JIF56" s="1"/>
      <c r="JIG56" s="1"/>
      <c r="JIH56" s="1"/>
      <c r="JII56" s="1"/>
      <c r="JIJ56" s="1"/>
      <c r="JIK56" s="1"/>
      <c r="JIL56" s="1"/>
      <c r="JIM56" s="1"/>
      <c r="JIN56" s="1"/>
      <c r="JIO56" s="1"/>
      <c r="JIP56" s="1"/>
      <c r="JIQ56" s="1"/>
      <c r="JIR56" s="1"/>
      <c r="JIS56" s="1"/>
      <c r="JIT56" s="1"/>
      <c r="JIU56" s="1"/>
      <c r="JIV56" s="1"/>
      <c r="JIW56" s="1"/>
      <c r="JIX56" s="1"/>
      <c r="JIY56" s="1"/>
      <c r="JIZ56" s="1"/>
      <c r="JJA56" s="1"/>
      <c r="JJB56" s="1"/>
      <c r="JJC56" s="1"/>
      <c r="JJD56" s="1"/>
      <c r="JJE56" s="1"/>
      <c r="JJF56" s="1"/>
      <c r="JJG56" s="1"/>
      <c r="JJH56" s="1"/>
      <c r="JJI56" s="1"/>
      <c r="JJJ56" s="1"/>
      <c r="JJK56" s="1"/>
      <c r="JJL56" s="1"/>
      <c r="JJM56" s="1"/>
      <c r="JJN56" s="1"/>
      <c r="JJO56" s="1"/>
      <c r="JJP56" s="1"/>
      <c r="JJQ56" s="1"/>
      <c r="JJR56" s="1"/>
      <c r="JJS56" s="1"/>
      <c r="JJT56" s="1"/>
      <c r="JJU56" s="1"/>
      <c r="JJV56" s="1"/>
      <c r="JJW56" s="1"/>
      <c r="JJX56" s="1"/>
      <c r="JJY56" s="1"/>
      <c r="JJZ56" s="1"/>
      <c r="JKA56" s="1"/>
      <c r="JKB56" s="1"/>
      <c r="JKC56" s="1"/>
      <c r="JKD56" s="1"/>
      <c r="JKE56" s="1"/>
      <c r="JKF56" s="1"/>
      <c r="JKG56" s="1"/>
      <c r="JKH56" s="1"/>
      <c r="JKI56" s="1"/>
      <c r="JKJ56" s="1"/>
      <c r="JKK56" s="1"/>
      <c r="JKL56" s="1"/>
      <c r="JKM56" s="1"/>
      <c r="JKN56" s="1"/>
      <c r="JKO56" s="1"/>
      <c r="JKP56" s="1"/>
      <c r="JKQ56" s="1"/>
      <c r="JKR56" s="1"/>
      <c r="JKS56" s="1"/>
      <c r="JKT56" s="1"/>
      <c r="JKU56" s="1"/>
      <c r="JKV56" s="1"/>
      <c r="JKW56" s="1"/>
      <c r="JKX56" s="1"/>
      <c r="JKY56" s="1"/>
      <c r="JKZ56" s="1"/>
      <c r="JLA56" s="1"/>
      <c r="JLB56" s="1"/>
      <c r="JLC56" s="1"/>
      <c r="JLD56" s="1"/>
      <c r="JLE56" s="1"/>
      <c r="JLF56" s="1"/>
      <c r="JLG56" s="1"/>
      <c r="JLH56" s="1"/>
      <c r="JLI56" s="1"/>
      <c r="JLJ56" s="1"/>
      <c r="JLK56" s="1"/>
      <c r="JLL56" s="1"/>
      <c r="JLM56" s="1"/>
      <c r="JLN56" s="1"/>
      <c r="JLO56" s="1"/>
      <c r="JLP56" s="1"/>
      <c r="JLQ56" s="1"/>
      <c r="JLR56" s="1"/>
      <c r="JLS56" s="1"/>
      <c r="JLT56" s="1"/>
      <c r="JLU56" s="1"/>
      <c r="JLV56" s="1"/>
      <c r="JLW56" s="1"/>
      <c r="JLX56" s="1"/>
      <c r="JLY56" s="1"/>
      <c r="JLZ56" s="1"/>
      <c r="JMA56" s="1"/>
      <c r="JMB56" s="1"/>
      <c r="JMC56" s="1"/>
      <c r="JMD56" s="1"/>
      <c r="JME56" s="1"/>
      <c r="JMF56" s="1"/>
      <c r="JMG56" s="1"/>
      <c r="JMH56" s="1"/>
      <c r="JMI56" s="1"/>
      <c r="JMJ56" s="1"/>
      <c r="JMK56" s="1"/>
      <c r="JML56" s="1"/>
      <c r="JMM56" s="1"/>
      <c r="JMN56" s="1"/>
      <c r="JMO56" s="1"/>
      <c r="JMP56" s="1"/>
      <c r="JMQ56" s="1"/>
      <c r="JMR56" s="1"/>
      <c r="JMS56" s="1"/>
      <c r="JMT56" s="1"/>
      <c r="JMU56" s="1"/>
      <c r="JMV56" s="1"/>
      <c r="JMW56" s="1"/>
      <c r="JMX56" s="1"/>
      <c r="JMY56" s="1"/>
      <c r="JMZ56" s="1"/>
      <c r="JNA56" s="1"/>
      <c r="JNB56" s="1"/>
      <c r="JNC56" s="1"/>
      <c r="JND56" s="1"/>
      <c r="JNE56" s="1"/>
      <c r="JNF56" s="1"/>
      <c r="JNG56" s="1"/>
      <c r="JNH56" s="1"/>
      <c r="JNI56" s="1"/>
      <c r="JNJ56" s="1"/>
      <c r="JNK56" s="1"/>
      <c r="JNL56" s="1"/>
      <c r="JNM56" s="1"/>
      <c r="JNN56" s="1"/>
      <c r="JNO56" s="1"/>
      <c r="JNP56" s="1"/>
      <c r="JNQ56" s="1"/>
      <c r="JNR56" s="1"/>
      <c r="JNS56" s="1"/>
      <c r="JNT56" s="1"/>
      <c r="JNU56" s="1"/>
      <c r="JNV56" s="1"/>
      <c r="JNW56" s="1"/>
      <c r="JNX56" s="1"/>
      <c r="JNY56" s="1"/>
      <c r="JNZ56" s="1"/>
      <c r="JOA56" s="1"/>
      <c r="JOB56" s="1"/>
      <c r="JOC56" s="1"/>
      <c r="JOD56" s="1"/>
      <c r="JOE56" s="1"/>
      <c r="JOF56" s="1"/>
      <c r="JOG56" s="1"/>
      <c r="JOH56" s="1"/>
      <c r="JOI56" s="1"/>
      <c r="JOJ56" s="1"/>
      <c r="JOK56" s="1"/>
      <c r="JOL56" s="1"/>
      <c r="JOM56" s="1"/>
      <c r="JON56" s="1"/>
      <c r="JOO56" s="1"/>
      <c r="JOP56" s="1"/>
      <c r="JOQ56" s="1"/>
      <c r="JOR56" s="1"/>
      <c r="JOS56" s="1"/>
      <c r="JOT56" s="1"/>
      <c r="JOU56" s="1"/>
      <c r="JOV56" s="1"/>
      <c r="JOW56" s="1"/>
      <c r="JOX56" s="1"/>
      <c r="JOY56" s="1"/>
      <c r="JOZ56" s="1"/>
      <c r="JPA56" s="1"/>
      <c r="JPB56" s="1"/>
      <c r="JPC56" s="1"/>
      <c r="JPD56" s="1"/>
      <c r="JPE56" s="1"/>
      <c r="JPF56" s="1"/>
      <c r="JPG56" s="1"/>
      <c r="JPH56" s="1"/>
      <c r="JPI56" s="1"/>
      <c r="JPJ56" s="1"/>
      <c r="JPK56" s="1"/>
      <c r="JPL56" s="1"/>
      <c r="JPM56" s="1"/>
      <c r="JPN56" s="1"/>
      <c r="JPO56" s="1"/>
      <c r="JPP56" s="1"/>
      <c r="JPQ56" s="1"/>
      <c r="JPR56" s="1"/>
      <c r="JPS56" s="1"/>
      <c r="JPT56" s="1"/>
      <c r="JPU56" s="1"/>
      <c r="JPV56" s="1"/>
      <c r="JPW56" s="1"/>
      <c r="JPX56" s="1"/>
      <c r="JPY56" s="1"/>
      <c r="JPZ56" s="1"/>
      <c r="JQA56" s="1"/>
      <c r="JQB56" s="1"/>
      <c r="JQC56" s="1"/>
      <c r="JQD56" s="1"/>
      <c r="JQE56" s="1"/>
      <c r="JQF56" s="1"/>
      <c r="JQG56" s="1"/>
      <c r="JQH56" s="1"/>
      <c r="JQI56" s="1"/>
      <c r="JQJ56" s="1"/>
      <c r="JQK56" s="1"/>
      <c r="JQL56" s="1"/>
      <c r="JQM56" s="1"/>
      <c r="JQN56" s="1"/>
      <c r="JQO56" s="1"/>
      <c r="JQP56" s="1"/>
      <c r="JQQ56" s="1"/>
      <c r="JQR56" s="1"/>
      <c r="JQS56" s="1"/>
      <c r="JQT56" s="1"/>
      <c r="JQU56" s="1"/>
      <c r="JQV56" s="1"/>
      <c r="JQW56" s="1"/>
      <c r="JQX56" s="1"/>
      <c r="JQY56" s="1"/>
      <c r="JQZ56" s="1"/>
      <c r="JRA56" s="1"/>
      <c r="JRB56" s="1"/>
      <c r="JRC56" s="1"/>
      <c r="JRD56" s="1"/>
      <c r="JRE56" s="1"/>
      <c r="JRF56" s="1"/>
      <c r="JRG56" s="1"/>
      <c r="JRH56" s="1"/>
      <c r="JRI56" s="1"/>
      <c r="JRJ56" s="1"/>
      <c r="JRK56" s="1"/>
      <c r="JRL56" s="1"/>
      <c r="JRM56" s="1"/>
      <c r="JRN56" s="1"/>
      <c r="JRO56" s="1"/>
      <c r="JRP56" s="1"/>
      <c r="JRQ56" s="1"/>
      <c r="JRR56" s="1"/>
      <c r="JRS56" s="1"/>
      <c r="JRT56" s="1"/>
      <c r="JRU56" s="1"/>
      <c r="JRV56" s="1"/>
      <c r="JRW56" s="1"/>
      <c r="JRX56" s="1"/>
      <c r="JRY56" s="1"/>
      <c r="JRZ56" s="1"/>
      <c r="JSA56" s="1"/>
      <c r="JSB56" s="1"/>
      <c r="JSC56" s="1"/>
      <c r="JSD56" s="1"/>
      <c r="JSE56" s="1"/>
      <c r="JSF56" s="1"/>
      <c r="JSG56" s="1"/>
      <c r="JSH56" s="1"/>
      <c r="JSI56" s="1"/>
      <c r="JSJ56" s="1"/>
      <c r="JSK56" s="1"/>
      <c r="JSL56" s="1"/>
      <c r="JSM56" s="1"/>
      <c r="JSN56" s="1"/>
      <c r="JSO56" s="1"/>
      <c r="JSP56" s="1"/>
      <c r="JSQ56" s="1"/>
      <c r="JSR56" s="1"/>
      <c r="JSS56" s="1"/>
      <c r="JST56" s="1"/>
      <c r="JSU56" s="1"/>
      <c r="JSV56" s="1"/>
      <c r="JSW56" s="1"/>
      <c r="JSX56" s="1"/>
      <c r="JSY56" s="1"/>
      <c r="JSZ56" s="1"/>
      <c r="JTA56" s="1"/>
      <c r="JTB56" s="1"/>
      <c r="JTC56" s="1"/>
      <c r="JTD56" s="1"/>
      <c r="JTE56" s="1"/>
      <c r="JTF56" s="1"/>
      <c r="JTG56" s="1"/>
      <c r="JTH56" s="1"/>
      <c r="JTI56" s="1"/>
      <c r="JTJ56" s="1"/>
      <c r="JTK56" s="1"/>
      <c r="JTL56" s="1"/>
      <c r="JTM56" s="1"/>
      <c r="JTN56" s="1"/>
      <c r="JTO56" s="1"/>
      <c r="JTP56" s="1"/>
      <c r="JTQ56" s="1"/>
      <c r="JTR56" s="1"/>
      <c r="JTS56" s="1"/>
      <c r="JTT56" s="1"/>
      <c r="JTU56" s="1"/>
      <c r="JTV56" s="1"/>
      <c r="JTW56" s="1"/>
      <c r="JTX56" s="1"/>
      <c r="JTY56" s="1"/>
      <c r="JTZ56" s="1"/>
      <c r="JUA56" s="1"/>
      <c r="JUB56" s="1"/>
      <c r="JUC56" s="1"/>
      <c r="JUD56" s="1"/>
      <c r="JUE56" s="1"/>
      <c r="JUF56" s="1"/>
      <c r="JUG56" s="1"/>
      <c r="JUH56" s="1"/>
      <c r="JUI56" s="1"/>
      <c r="JUJ56" s="1"/>
      <c r="JUK56" s="1"/>
      <c r="JUL56" s="1"/>
      <c r="JUM56" s="1"/>
      <c r="JUN56" s="1"/>
      <c r="JUO56" s="1"/>
      <c r="JUP56" s="1"/>
      <c r="JUQ56" s="1"/>
      <c r="JUR56" s="1"/>
      <c r="JUS56" s="1"/>
      <c r="JUT56" s="1"/>
      <c r="JUU56" s="1"/>
      <c r="JUV56" s="1"/>
      <c r="JUW56" s="1"/>
      <c r="JUX56" s="1"/>
      <c r="JUY56" s="1"/>
      <c r="JUZ56" s="1"/>
      <c r="JVA56" s="1"/>
      <c r="JVB56" s="1"/>
      <c r="JVC56" s="1"/>
      <c r="JVD56" s="1"/>
      <c r="JVE56" s="1"/>
      <c r="JVF56" s="1"/>
      <c r="JVG56" s="1"/>
      <c r="JVH56" s="1"/>
      <c r="JVI56" s="1"/>
      <c r="JVJ56" s="1"/>
      <c r="JVK56" s="1"/>
      <c r="JVL56" s="1"/>
      <c r="JVM56" s="1"/>
      <c r="JVN56" s="1"/>
      <c r="JVO56" s="1"/>
      <c r="JVP56" s="1"/>
      <c r="JVQ56" s="1"/>
      <c r="JVR56" s="1"/>
      <c r="JVS56" s="1"/>
      <c r="JVT56" s="1"/>
      <c r="JVU56" s="1"/>
      <c r="JVV56" s="1"/>
      <c r="JVW56" s="1"/>
      <c r="JVX56" s="1"/>
      <c r="JVY56" s="1"/>
      <c r="JVZ56" s="1"/>
      <c r="JWA56" s="1"/>
      <c r="JWB56" s="1"/>
      <c r="JWC56" s="1"/>
      <c r="JWD56" s="1"/>
      <c r="JWE56" s="1"/>
      <c r="JWF56" s="1"/>
      <c r="JWG56" s="1"/>
      <c r="JWH56" s="1"/>
      <c r="JWI56" s="1"/>
      <c r="JWJ56" s="1"/>
      <c r="JWK56" s="1"/>
      <c r="JWL56" s="1"/>
      <c r="JWM56" s="1"/>
      <c r="JWN56" s="1"/>
      <c r="JWO56" s="1"/>
      <c r="JWP56" s="1"/>
      <c r="JWQ56" s="1"/>
      <c r="JWR56" s="1"/>
      <c r="JWS56" s="1"/>
      <c r="JWT56" s="1"/>
      <c r="JWU56" s="1"/>
      <c r="JWV56" s="1"/>
      <c r="JWW56" s="1"/>
      <c r="JWX56" s="1"/>
      <c r="JWY56" s="1"/>
      <c r="JWZ56" s="1"/>
      <c r="JXA56" s="1"/>
      <c r="JXB56" s="1"/>
      <c r="JXC56" s="1"/>
      <c r="JXD56" s="1"/>
      <c r="JXE56" s="1"/>
      <c r="JXF56" s="1"/>
      <c r="JXG56" s="1"/>
      <c r="JXH56" s="1"/>
      <c r="JXI56" s="1"/>
      <c r="JXJ56" s="1"/>
      <c r="JXK56" s="1"/>
      <c r="JXL56" s="1"/>
      <c r="JXM56" s="1"/>
      <c r="JXN56" s="1"/>
      <c r="JXO56" s="1"/>
      <c r="JXP56" s="1"/>
      <c r="JXQ56" s="1"/>
      <c r="JXR56" s="1"/>
      <c r="JXS56" s="1"/>
      <c r="JXT56" s="1"/>
      <c r="JXU56" s="1"/>
      <c r="JXV56" s="1"/>
      <c r="JXW56" s="1"/>
      <c r="JXX56" s="1"/>
      <c r="JXY56" s="1"/>
      <c r="JXZ56" s="1"/>
      <c r="JYA56" s="1"/>
      <c r="JYB56" s="1"/>
      <c r="JYC56" s="1"/>
      <c r="JYD56" s="1"/>
      <c r="JYE56" s="1"/>
      <c r="JYF56" s="1"/>
      <c r="JYG56" s="1"/>
      <c r="JYH56" s="1"/>
      <c r="JYI56" s="1"/>
      <c r="JYJ56" s="1"/>
      <c r="JYK56" s="1"/>
      <c r="JYL56" s="1"/>
      <c r="JYM56" s="1"/>
      <c r="JYN56" s="1"/>
      <c r="JYO56" s="1"/>
      <c r="JYP56" s="1"/>
      <c r="JYQ56" s="1"/>
      <c r="JYR56" s="1"/>
      <c r="JYS56" s="1"/>
      <c r="JYT56" s="1"/>
      <c r="JYU56" s="1"/>
      <c r="JYV56" s="1"/>
      <c r="JYW56" s="1"/>
      <c r="JYX56" s="1"/>
      <c r="JYY56" s="1"/>
      <c r="JYZ56" s="1"/>
      <c r="JZA56" s="1"/>
      <c r="JZB56" s="1"/>
      <c r="JZC56" s="1"/>
      <c r="JZD56" s="1"/>
      <c r="JZE56" s="1"/>
      <c r="JZF56" s="1"/>
      <c r="JZG56" s="1"/>
      <c r="JZH56" s="1"/>
      <c r="JZI56" s="1"/>
      <c r="JZJ56" s="1"/>
      <c r="JZK56" s="1"/>
      <c r="JZL56" s="1"/>
      <c r="JZM56" s="1"/>
      <c r="JZN56" s="1"/>
      <c r="JZO56" s="1"/>
      <c r="JZP56" s="1"/>
      <c r="JZQ56" s="1"/>
      <c r="JZR56" s="1"/>
      <c r="JZS56" s="1"/>
      <c r="JZT56" s="1"/>
      <c r="JZU56" s="1"/>
      <c r="JZV56" s="1"/>
      <c r="JZW56" s="1"/>
      <c r="JZX56" s="1"/>
      <c r="JZY56" s="1"/>
      <c r="JZZ56" s="1"/>
      <c r="KAA56" s="1"/>
      <c r="KAB56" s="1"/>
      <c r="KAC56" s="1"/>
      <c r="KAD56" s="1"/>
      <c r="KAE56" s="1"/>
      <c r="KAF56" s="1"/>
      <c r="KAG56" s="1"/>
      <c r="KAH56" s="1"/>
      <c r="KAI56" s="1"/>
      <c r="KAJ56" s="1"/>
      <c r="KAK56" s="1"/>
      <c r="KAL56" s="1"/>
      <c r="KAM56" s="1"/>
      <c r="KAN56" s="1"/>
      <c r="KAO56" s="1"/>
      <c r="KAP56" s="1"/>
      <c r="KAQ56" s="1"/>
      <c r="KAR56" s="1"/>
      <c r="KAS56" s="1"/>
      <c r="KAT56" s="1"/>
      <c r="KAU56" s="1"/>
      <c r="KAV56" s="1"/>
      <c r="KAW56" s="1"/>
      <c r="KAX56" s="1"/>
      <c r="KAY56" s="1"/>
      <c r="KAZ56" s="1"/>
      <c r="KBA56" s="1"/>
      <c r="KBB56" s="1"/>
      <c r="KBC56" s="1"/>
      <c r="KBD56" s="1"/>
      <c r="KBE56" s="1"/>
      <c r="KBF56" s="1"/>
      <c r="KBG56" s="1"/>
      <c r="KBH56" s="1"/>
      <c r="KBI56" s="1"/>
      <c r="KBJ56" s="1"/>
      <c r="KBK56" s="1"/>
      <c r="KBL56" s="1"/>
      <c r="KBM56" s="1"/>
      <c r="KBN56" s="1"/>
      <c r="KBO56" s="1"/>
      <c r="KBP56" s="1"/>
      <c r="KBQ56" s="1"/>
      <c r="KBR56" s="1"/>
      <c r="KBS56" s="1"/>
      <c r="KBT56" s="1"/>
      <c r="KBU56" s="1"/>
      <c r="KBV56" s="1"/>
      <c r="KBW56" s="1"/>
      <c r="KBX56" s="1"/>
      <c r="KBY56" s="1"/>
      <c r="KBZ56" s="1"/>
      <c r="KCA56" s="1"/>
      <c r="KCB56" s="1"/>
      <c r="KCC56" s="1"/>
      <c r="KCD56" s="1"/>
      <c r="KCE56" s="1"/>
      <c r="KCF56" s="1"/>
      <c r="KCG56" s="1"/>
      <c r="KCH56" s="1"/>
      <c r="KCI56" s="1"/>
      <c r="KCJ56" s="1"/>
      <c r="KCK56" s="1"/>
      <c r="KCL56" s="1"/>
      <c r="KCM56" s="1"/>
      <c r="KCN56" s="1"/>
      <c r="KCO56" s="1"/>
      <c r="KCP56" s="1"/>
      <c r="KCQ56" s="1"/>
      <c r="KCR56" s="1"/>
      <c r="KCS56" s="1"/>
      <c r="KCT56" s="1"/>
      <c r="KCU56" s="1"/>
      <c r="KCV56" s="1"/>
      <c r="KCW56" s="1"/>
      <c r="KCX56" s="1"/>
      <c r="KCY56" s="1"/>
      <c r="KCZ56" s="1"/>
      <c r="KDA56" s="1"/>
      <c r="KDB56" s="1"/>
      <c r="KDC56" s="1"/>
      <c r="KDD56" s="1"/>
      <c r="KDE56" s="1"/>
      <c r="KDF56" s="1"/>
      <c r="KDG56" s="1"/>
      <c r="KDH56" s="1"/>
      <c r="KDI56" s="1"/>
      <c r="KDJ56" s="1"/>
      <c r="KDK56" s="1"/>
      <c r="KDL56" s="1"/>
      <c r="KDM56" s="1"/>
      <c r="KDN56" s="1"/>
      <c r="KDO56" s="1"/>
      <c r="KDP56" s="1"/>
      <c r="KDQ56" s="1"/>
      <c r="KDR56" s="1"/>
      <c r="KDS56" s="1"/>
      <c r="KDT56" s="1"/>
      <c r="KDU56" s="1"/>
      <c r="KDV56" s="1"/>
      <c r="KDW56" s="1"/>
      <c r="KDX56" s="1"/>
      <c r="KDY56" s="1"/>
      <c r="KDZ56" s="1"/>
      <c r="KEA56" s="1"/>
      <c r="KEB56" s="1"/>
      <c r="KEC56" s="1"/>
      <c r="KED56" s="1"/>
      <c r="KEE56" s="1"/>
      <c r="KEF56" s="1"/>
      <c r="KEG56" s="1"/>
      <c r="KEH56" s="1"/>
      <c r="KEI56" s="1"/>
      <c r="KEJ56" s="1"/>
      <c r="KEK56" s="1"/>
      <c r="KEL56" s="1"/>
      <c r="KEM56" s="1"/>
      <c r="KEN56" s="1"/>
      <c r="KEO56" s="1"/>
      <c r="KEP56" s="1"/>
      <c r="KEQ56" s="1"/>
      <c r="KER56" s="1"/>
      <c r="KES56" s="1"/>
      <c r="KET56" s="1"/>
      <c r="KEU56" s="1"/>
      <c r="KEV56" s="1"/>
      <c r="KEW56" s="1"/>
      <c r="KEX56" s="1"/>
      <c r="KEY56" s="1"/>
      <c r="KEZ56" s="1"/>
      <c r="KFA56" s="1"/>
      <c r="KFB56" s="1"/>
      <c r="KFC56" s="1"/>
      <c r="KFD56" s="1"/>
      <c r="KFE56" s="1"/>
      <c r="KFF56" s="1"/>
      <c r="KFG56" s="1"/>
      <c r="KFH56" s="1"/>
      <c r="KFI56" s="1"/>
      <c r="KFJ56" s="1"/>
      <c r="KFK56" s="1"/>
      <c r="KFL56" s="1"/>
      <c r="KFM56" s="1"/>
      <c r="KFN56" s="1"/>
      <c r="KFO56" s="1"/>
      <c r="KFP56" s="1"/>
      <c r="KFQ56" s="1"/>
      <c r="KFR56" s="1"/>
      <c r="KFS56" s="1"/>
      <c r="KFT56" s="1"/>
      <c r="KFU56" s="1"/>
      <c r="KFV56" s="1"/>
      <c r="KFW56" s="1"/>
      <c r="KFX56" s="1"/>
      <c r="KFY56" s="1"/>
      <c r="KFZ56" s="1"/>
      <c r="KGA56" s="1"/>
      <c r="KGB56" s="1"/>
      <c r="KGC56" s="1"/>
      <c r="KGD56" s="1"/>
      <c r="KGE56" s="1"/>
      <c r="KGF56" s="1"/>
      <c r="KGG56" s="1"/>
      <c r="KGH56" s="1"/>
      <c r="KGI56" s="1"/>
      <c r="KGJ56" s="1"/>
      <c r="KGK56" s="1"/>
      <c r="KGL56" s="1"/>
      <c r="KGM56" s="1"/>
      <c r="KGN56" s="1"/>
      <c r="KGO56" s="1"/>
      <c r="KGP56" s="1"/>
      <c r="KGQ56" s="1"/>
      <c r="KGR56" s="1"/>
      <c r="KGS56" s="1"/>
      <c r="KGT56" s="1"/>
      <c r="KGU56" s="1"/>
      <c r="KGV56" s="1"/>
      <c r="KGW56" s="1"/>
      <c r="KGX56" s="1"/>
      <c r="KGY56" s="1"/>
      <c r="KGZ56" s="1"/>
      <c r="KHA56" s="1"/>
      <c r="KHB56" s="1"/>
      <c r="KHC56" s="1"/>
      <c r="KHD56" s="1"/>
      <c r="KHE56" s="1"/>
      <c r="KHF56" s="1"/>
      <c r="KHG56" s="1"/>
      <c r="KHH56" s="1"/>
      <c r="KHI56" s="1"/>
      <c r="KHJ56" s="1"/>
      <c r="KHK56" s="1"/>
      <c r="KHL56" s="1"/>
      <c r="KHM56" s="1"/>
      <c r="KHN56" s="1"/>
      <c r="KHO56" s="1"/>
      <c r="KHP56" s="1"/>
      <c r="KHQ56" s="1"/>
      <c r="KHR56" s="1"/>
      <c r="KHS56" s="1"/>
      <c r="KHT56" s="1"/>
      <c r="KHU56" s="1"/>
      <c r="KHV56" s="1"/>
      <c r="KHW56" s="1"/>
      <c r="KHX56" s="1"/>
      <c r="KHY56" s="1"/>
      <c r="KHZ56" s="1"/>
      <c r="KIA56" s="1"/>
      <c r="KIB56" s="1"/>
      <c r="KIC56" s="1"/>
      <c r="KID56" s="1"/>
      <c r="KIE56" s="1"/>
      <c r="KIF56" s="1"/>
      <c r="KIG56" s="1"/>
      <c r="KIH56" s="1"/>
      <c r="KII56" s="1"/>
      <c r="KIJ56" s="1"/>
      <c r="KIK56" s="1"/>
      <c r="KIL56" s="1"/>
      <c r="KIM56" s="1"/>
      <c r="KIN56" s="1"/>
      <c r="KIO56" s="1"/>
      <c r="KIP56" s="1"/>
      <c r="KIQ56" s="1"/>
      <c r="KIR56" s="1"/>
      <c r="KIS56" s="1"/>
      <c r="KIT56" s="1"/>
      <c r="KIU56" s="1"/>
      <c r="KIV56" s="1"/>
      <c r="KIW56" s="1"/>
      <c r="KIX56" s="1"/>
      <c r="KIY56" s="1"/>
      <c r="KIZ56" s="1"/>
      <c r="KJA56" s="1"/>
      <c r="KJB56" s="1"/>
      <c r="KJC56" s="1"/>
      <c r="KJD56" s="1"/>
      <c r="KJE56" s="1"/>
      <c r="KJF56" s="1"/>
      <c r="KJG56" s="1"/>
      <c r="KJH56" s="1"/>
      <c r="KJI56" s="1"/>
      <c r="KJJ56" s="1"/>
      <c r="KJK56" s="1"/>
      <c r="KJL56" s="1"/>
      <c r="KJM56" s="1"/>
      <c r="KJN56" s="1"/>
      <c r="KJO56" s="1"/>
      <c r="KJP56" s="1"/>
      <c r="KJQ56" s="1"/>
      <c r="KJR56" s="1"/>
      <c r="KJS56" s="1"/>
      <c r="KJT56" s="1"/>
      <c r="KJU56" s="1"/>
      <c r="KJV56" s="1"/>
      <c r="KJW56" s="1"/>
      <c r="KJX56" s="1"/>
      <c r="KJY56" s="1"/>
      <c r="KJZ56" s="1"/>
      <c r="KKA56" s="1"/>
      <c r="KKB56" s="1"/>
      <c r="KKC56" s="1"/>
      <c r="KKD56" s="1"/>
      <c r="KKE56" s="1"/>
      <c r="KKF56" s="1"/>
      <c r="KKG56" s="1"/>
      <c r="KKH56" s="1"/>
      <c r="KKI56" s="1"/>
      <c r="KKJ56" s="1"/>
      <c r="KKK56" s="1"/>
      <c r="KKL56" s="1"/>
      <c r="KKM56" s="1"/>
      <c r="KKN56" s="1"/>
      <c r="KKO56" s="1"/>
      <c r="KKP56" s="1"/>
      <c r="KKQ56" s="1"/>
      <c r="KKR56" s="1"/>
      <c r="KKS56" s="1"/>
      <c r="KKT56" s="1"/>
      <c r="KKU56" s="1"/>
      <c r="KKV56" s="1"/>
      <c r="KKW56" s="1"/>
      <c r="KKX56" s="1"/>
      <c r="KKY56" s="1"/>
      <c r="KKZ56" s="1"/>
      <c r="KLA56" s="1"/>
      <c r="KLB56" s="1"/>
      <c r="KLC56" s="1"/>
      <c r="KLD56" s="1"/>
      <c r="KLE56" s="1"/>
      <c r="KLF56" s="1"/>
      <c r="KLG56" s="1"/>
      <c r="KLH56" s="1"/>
      <c r="KLI56" s="1"/>
      <c r="KLJ56" s="1"/>
      <c r="KLK56" s="1"/>
      <c r="KLL56" s="1"/>
      <c r="KLM56" s="1"/>
      <c r="KLN56" s="1"/>
      <c r="KLO56" s="1"/>
      <c r="KLP56" s="1"/>
      <c r="KLQ56" s="1"/>
      <c r="KLR56" s="1"/>
      <c r="KLS56" s="1"/>
      <c r="KLT56" s="1"/>
      <c r="KLU56" s="1"/>
      <c r="KLV56" s="1"/>
      <c r="KLW56" s="1"/>
      <c r="KLX56" s="1"/>
      <c r="KLY56" s="1"/>
      <c r="KLZ56" s="1"/>
      <c r="KMA56" s="1"/>
      <c r="KMB56" s="1"/>
      <c r="KMC56" s="1"/>
      <c r="KMD56" s="1"/>
      <c r="KME56" s="1"/>
      <c r="KMF56" s="1"/>
      <c r="KMG56" s="1"/>
      <c r="KMH56" s="1"/>
      <c r="KMI56" s="1"/>
      <c r="KMJ56" s="1"/>
      <c r="KMK56" s="1"/>
      <c r="KML56" s="1"/>
      <c r="KMM56" s="1"/>
      <c r="KMN56" s="1"/>
      <c r="KMO56" s="1"/>
      <c r="KMP56" s="1"/>
      <c r="KMQ56" s="1"/>
      <c r="KMR56" s="1"/>
      <c r="KMS56" s="1"/>
      <c r="KMT56" s="1"/>
      <c r="KMU56" s="1"/>
      <c r="KMV56" s="1"/>
      <c r="KMW56" s="1"/>
      <c r="KMX56" s="1"/>
      <c r="KMY56" s="1"/>
      <c r="KMZ56" s="1"/>
      <c r="KNA56" s="1"/>
      <c r="KNB56" s="1"/>
      <c r="KNC56" s="1"/>
      <c r="KND56" s="1"/>
      <c r="KNE56" s="1"/>
      <c r="KNF56" s="1"/>
      <c r="KNG56" s="1"/>
      <c r="KNH56" s="1"/>
      <c r="KNI56" s="1"/>
      <c r="KNJ56" s="1"/>
      <c r="KNK56" s="1"/>
      <c r="KNL56" s="1"/>
      <c r="KNM56" s="1"/>
      <c r="KNN56" s="1"/>
      <c r="KNO56" s="1"/>
      <c r="KNP56" s="1"/>
      <c r="KNQ56" s="1"/>
      <c r="KNR56" s="1"/>
      <c r="KNS56" s="1"/>
      <c r="KNT56" s="1"/>
      <c r="KNU56" s="1"/>
      <c r="KNV56" s="1"/>
      <c r="KNW56" s="1"/>
      <c r="KNX56" s="1"/>
      <c r="KNY56" s="1"/>
      <c r="KNZ56" s="1"/>
      <c r="KOA56" s="1"/>
      <c r="KOB56" s="1"/>
      <c r="KOC56" s="1"/>
      <c r="KOD56" s="1"/>
      <c r="KOE56" s="1"/>
      <c r="KOF56" s="1"/>
      <c r="KOG56" s="1"/>
      <c r="KOH56" s="1"/>
      <c r="KOI56" s="1"/>
      <c r="KOJ56" s="1"/>
      <c r="KOK56" s="1"/>
      <c r="KOL56" s="1"/>
      <c r="KOM56" s="1"/>
      <c r="KON56" s="1"/>
      <c r="KOO56" s="1"/>
      <c r="KOP56" s="1"/>
      <c r="KOQ56" s="1"/>
      <c r="KOR56" s="1"/>
      <c r="KOS56" s="1"/>
      <c r="KOT56" s="1"/>
      <c r="KOU56" s="1"/>
      <c r="KOV56" s="1"/>
      <c r="KOW56" s="1"/>
      <c r="KOX56" s="1"/>
      <c r="KOY56" s="1"/>
      <c r="KOZ56" s="1"/>
      <c r="KPA56" s="1"/>
      <c r="KPB56" s="1"/>
      <c r="KPC56" s="1"/>
      <c r="KPD56" s="1"/>
      <c r="KPE56" s="1"/>
      <c r="KPF56" s="1"/>
      <c r="KPG56" s="1"/>
      <c r="KPH56" s="1"/>
      <c r="KPI56" s="1"/>
      <c r="KPJ56" s="1"/>
      <c r="KPK56" s="1"/>
      <c r="KPL56" s="1"/>
      <c r="KPM56" s="1"/>
      <c r="KPN56" s="1"/>
      <c r="KPO56" s="1"/>
      <c r="KPP56" s="1"/>
      <c r="KPQ56" s="1"/>
      <c r="KPR56" s="1"/>
      <c r="KPS56" s="1"/>
      <c r="KPT56" s="1"/>
      <c r="KPU56" s="1"/>
      <c r="KPV56" s="1"/>
      <c r="KPW56" s="1"/>
      <c r="KPX56" s="1"/>
      <c r="KPY56" s="1"/>
      <c r="KPZ56" s="1"/>
      <c r="KQA56" s="1"/>
      <c r="KQB56" s="1"/>
      <c r="KQC56" s="1"/>
      <c r="KQD56" s="1"/>
      <c r="KQE56" s="1"/>
      <c r="KQF56" s="1"/>
      <c r="KQG56" s="1"/>
      <c r="KQH56" s="1"/>
      <c r="KQI56" s="1"/>
      <c r="KQJ56" s="1"/>
      <c r="KQK56" s="1"/>
      <c r="KQL56" s="1"/>
      <c r="KQM56" s="1"/>
      <c r="KQN56" s="1"/>
      <c r="KQO56" s="1"/>
      <c r="KQP56" s="1"/>
      <c r="KQQ56" s="1"/>
      <c r="KQR56" s="1"/>
      <c r="KQS56" s="1"/>
      <c r="KQT56" s="1"/>
      <c r="KQU56" s="1"/>
      <c r="KQV56" s="1"/>
      <c r="KQW56" s="1"/>
      <c r="KQX56" s="1"/>
      <c r="KQY56" s="1"/>
      <c r="KQZ56" s="1"/>
      <c r="KRA56" s="1"/>
      <c r="KRB56" s="1"/>
      <c r="KRC56" s="1"/>
      <c r="KRD56" s="1"/>
      <c r="KRE56" s="1"/>
      <c r="KRF56" s="1"/>
      <c r="KRG56" s="1"/>
      <c r="KRH56" s="1"/>
      <c r="KRI56" s="1"/>
      <c r="KRJ56" s="1"/>
      <c r="KRK56" s="1"/>
      <c r="KRL56" s="1"/>
      <c r="KRM56" s="1"/>
      <c r="KRN56" s="1"/>
      <c r="KRO56" s="1"/>
      <c r="KRP56" s="1"/>
      <c r="KRQ56" s="1"/>
      <c r="KRR56" s="1"/>
      <c r="KRS56" s="1"/>
      <c r="KRT56" s="1"/>
      <c r="KRU56" s="1"/>
      <c r="KRV56" s="1"/>
      <c r="KRW56" s="1"/>
      <c r="KRX56" s="1"/>
      <c r="KRY56" s="1"/>
      <c r="KRZ56" s="1"/>
      <c r="KSA56" s="1"/>
      <c r="KSB56" s="1"/>
      <c r="KSC56" s="1"/>
      <c r="KSD56" s="1"/>
      <c r="KSE56" s="1"/>
      <c r="KSF56" s="1"/>
      <c r="KSG56" s="1"/>
      <c r="KSH56" s="1"/>
      <c r="KSI56" s="1"/>
      <c r="KSJ56" s="1"/>
      <c r="KSK56" s="1"/>
      <c r="KSL56" s="1"/>
      <c r="KSM56" s="1"/>
      <c r="KSN56" s="1"/>
      <c r="KSO56" s="1"/>
      <c r="KSP56" s="1"/>
      <c r="KSQ56" s="1"/>
      <c r="KSR56" s="1"/>
      <c r="KSS56" s="1"/>
      <c r="KST56" s="1"/>
      <c r="KSU56" s="1"/>
      <c r="KSV56" s="1"/>
      <c r="KSW56" s="1"/>
      <c r="KSX56" s="1"/>
      <c r="KSY56" s="1"/>
      <c r="KSZ56" s="1"/>
      <c r="KTA56" s="1"/>
      <c r="KTB56" s="1"/>
      <c r="KTC56" s="1"/>
      <c r="KTD56" s="1"/>
      <c r="KTE56" s="1"/>
      <c r="KTF56" s="1"/>
      <c r="KTG56" s="1"/>
      <c r="KTH56" s="1"/>
      <c r="KTI56" s="1"/>
      <c r="KTJ56" s="1"/>
      <c r="KTK56" s="1"/>
      <c r="KTL56" s="1"/>
      <c r="KTM56" s="1"/>
      <c r="KTN56" s="1"/>
      <c r="KTO56" s="1"/>
      <c r="KTP56" s="1"/>
      <c r="KTQ56" s="1"/>
      <c r="KTR56" s="1"/>
      <c r="KTS56" s="1"/>
      <c r="KTT56" s="1"/>
      <c r="KTU56" s="1"/>
      <c r="KTV56" s="1"/>
      <c r="KTW56" s="1"/>
      <c r="KTX56" s="1"/>
      <c r="KTY56" s="1"/>
      <c r="KTZ56" s="1"/>
      <c r="KUA56" s="1"/>
      <c r="KUB56" s="1"/>
      <c r="KUC56" s="1"/>
      <c r="KUD56" s="1"/>
      <c r="KUE56" s="1"/>
      <c r="KUF56" s="1"/>
      <c r="KUG56" s="1"/>
      <c r="KUH56" s="1"/>
      <c r="KUI56" s="1"/>
      <c r="KUJ56" s="1"/>
      <c r="KUK56" s="1"/>
      <c r="KUL56" s="1"/>
      <c r="KUM56" s="1"/>
      <c r="KUN56" s="1"/>
      <c r="KUO56" s="1"/>
      <c r="KUP56" s="1"/>
      <c r="KUQ56" s="1"/>
      <c r="KUR56" s="1"/>
      <c r="KUS56" s="1"/>
      <c r="KUT56" s="1"/>
      <c r="KUU56" s="1"/>
      <c r="KUV56" s="1"/>
      <c r="KUW56" s="1"/>
      <c r="KUX56" s="1"/>
      <c r="KUY56" s="1"/>
      <c r="KUZ56" s="1"/>
      <c r="KVA56" s="1"/>
      <c r="KVB56" s="1"/>
      <c r="KVC56" s="1"/>
      <c r="KVD56" s="1"/>
      <c r="KVE56" s="1"/>
      <c r="KVF56" s="1"/>
      <c r="KVG56" s="1"/>
      <c r="KVH56" s="1"/>
      <c r="KVI56" s="1"/>
      <c r="KVJ56" s="1"/>
      <c r="KVK56" s="1"/>
      <c r="KVL56" s="1"/>
      <c r="KVM56" s="1"/>
      <c r="KVN56" s="1"/>
      <c r="KVO56" s="1"/>
      <c r="KVP56" s="1"/>
      <c r="KVQ56" s="1"/>
      <c r="KVR56" s="1"/>
      <c r="KVS56" s="1"/>
      <c r="KVT56" s="1"/>
      <c r="KVU56" s="1"/>
      <c r="KVV56" s="1"/>
      <c r="KVW56" s="1"/>
      <c r="KVX56" s="1"/>
      <c r="KVY56" s="1"/>
      <c r="KVZ56" s="1"/>
      <c r="KWA56" s="1"/>
      <c r="KWB56" s="1"/>
      <c r="KWC56" s="1"/>
      <c r="KWD56" s="1"/>
      <c r="KWE56" s="1"/>
      <c r="KWF56" s="1"/>
      <c r="KWG56" s="1"/>
      <c r="KWH56" s="1"/>
      <c r="KWI56" s="1"/>
      <c r="KWJ56" s="1"/>
      <c r="KWK56" s="1"/>
      <c r="KWL56" s="1"/>
      <c r="KWM56" s="1"/>
      <c r="KWN56" s="1"/>
      <c r="KWO56" s="1"/>
      <c r="KWP56" s="1"/>
      <c r="KWQ56" s="1"/>
      <c r="KWR56" s="1"/>
      <c r="KWS56" s="1"/>
      <c r="KWT56" s="1"/>
      <c r="KWU56" s="1"/>
      <c r="KWV56" s="1"/>
      <c r="KWW56" s="1"/>
      <c r="KWX56" s="1"/>
      <c r="KWY56" s="1"/>
      <c r="KWZ56" s="1"/>
      <c r="KXA56" s="1"/>
      <c r="KXB56" s="1"/>
      <c r="KXC56" s="1"/>
      <c r="KXD56" s="1"/>
      <c r="KXE56" s="1"/>
      <c r="KXF56" s="1"/>
      <c r="KXG56" s="1"/>
      <c r="KXH56" s="1"/>
      <c r="KXI56" s="1"/>
      <c r="KXJ56" s="1"/>
      <c r="KXK56" s="1"/>
      <c r="KXL56" s="1"/>
      <c r="KXM56" s="1"/>
      <c r="KXN56" s="1"/>
      <c r="KXO56" s="1"/>
      <c r="KXP56" s="1"/>
      <c r="KXQ56" s="1"/>
      <c r="KXR56" s="1"/>
      <c r="KXS56" s="1"/>
      <c r="KXT56" s="1"/>
      <c r="KXU56" s="1"/>
      <c r="KXV56" s="1"/>
      <c r="KXW56" s="1"/>
      <c r="KXX56" s="1"/>
      <c r="KXY56" s="1"/>
      <c r="KXZ56" s="1"/>
      <c r="KYA56" s="1"/>
      <c r="KYB56" s="1"/>
      <c r="KYC56" s="1"/>
      <c r="KYD56" s="1"/>
      <c r="KYE56" s="1"/>
      <c r="KYF56" s="1"/>
      <c r="KYG56" s="1"/>
      <c r="KYH56" s="1"/>
      <c r="KYI56" s="1"/>
      <c r="KYJ56" s="1"/>
      <c r="KYK56" s="1"/>
      <c r="KYL56" s="1"/>
      <c r="KYM56" s="1"/>
      <c r="KYN56" s="1"/>
      <c r="KYO56" s="1"/>
      <c r="KYP56" s="1"/>
      <c r="KYQ56" s="1"/>
      <c r="KYR56" s="1"/>
      <c r="KYS56" s="1"/>
      <c r="KYT56" s="1"/>
      <c r="KYU56" s="1"/>
      <c r="KYV56" s="1"/>
      <c r="KYW56" s="1"/>
      <c r="KYX56" s="1"/>
      <c r="KYY56" s="1"/>
      <c r="KYZ56" s="1"/>
      <c r="KZA56" s="1"/>
      <c r="KZB56" s="1"/>
      <c r="KZC56" s="1"/>
      <c r="KZD56" s="1"/>
      <c r="KZE56" s="1"/>
      <c r="KZF56" s="1"/>
      <c r="KZG56" s="1"/>
      <c r="KZH56" s="1"/>
      <c r="KZI56" s="1"/>
      <c r="KZJ56" s="1"/>
      <c r="KZK56" s="1"/>
      <c r="KZL56" s="1"/>
      <c r="KZM56" s="1"/>
      <c r="KZN56" s="1"/>
      <c r="KZO56" s="1"/>
      <c r="KZP56" s="1"/>
      <c r="KZQ56" s="1"/>
      <c r="KZR56" s="1"/>
      <c r="KZS56" s="1"/>
      <c r="KZT56" s="1"/>
      <c r="KZU56" s="1"/>
      <c r="KZV56" s="1"/>
      <c r="KZW56" s="1"/>
      <c r="KZX56" s="1"/>
      <c r="KZY56" s="1"/>
      <c r="KZZ56" s="1"/>
      <c r="LAA56" s="1"/>
      <c r="LAB56" s="1"/>
      <c r="LAC56" s="1"/>
      <c r="LAD56" s="1"/>
      <c r="LAE56" s="1"/>
      <c r="LAF56" s="1"/>
      <c r="LAG56" s="1"/>
      <c r="LAH56" s="1"/>
      <c r="LAI56" s="1"/>
      <c r="LAJ56" s="1"/>
      <c r="LAK56" s="1"/>
      <c r="LAL56" s="1"/>
      <c r="LAM56" s="1"/>
      <c r="LAN56" s="1"/>
      <c r="LAO56" s="1"/>
      <c r="LAP56" s="1"/>
      <c r="LAQ56" s="1"/>
      <c r="LAR56" s="1"/>
      <c r="LAS56" s="1"/>
      <c r="LAT56" s="1"/>
      <c r="LAU56" s="1"/>
      <c r="LAV56" s="1"/>
      <c r="LAW56" s="1"/>
      <c r="LAX56" s="1"/>
      <c r="LAY56" s="1"/>
      <c r="LAZ56" s="1"/>
      <c r="LBA56" s="1"/>
      <c r="LBB56" s="1"/>
      <c r="LBC56" s="1"/>
      <c r="LBD56" s="1"/>
      <c r="LBE56" s="1"/>
      <c r="LBF56" s="1"/>
      <c r="LBG56" s="1"/>
      <c r="LBH56" s="1"/>
      <c r="LBI56" s="1"/>
      <c r="LBJ56" s="1"/>
      <c r="LBK56" s="1"/>
      <c r="LBL56" s="1"/>
      <c r="LBM56" s="1"/>
      <c r="LBN56" s="1"/>
      <c r="LBO56" s="1"/>
      <c r="LBP56" s="1"/>
      <c r="LBQ56" s="1"/>
      <c r="LBR56" s="1"/>
      <c r="LBS56" s="1"/>
      <c r="LBT56" s="1"/>
      <c r="LBU56" s="1"/>
      <c r="LBV56" s="1"/>
      <c r="LBW56" s="1"/>
      <c r="LBX56" s="1"/>
      <c r="LBY56" s="1"/>
      <c r="LBZ56" s="1"/>
      <c r="LCA56" s="1"/>
      <c r="LCB56" s="1"/>
      <c r="LCC56" s="1"/>
      <c r="LCD56" s="1"/>
      <c r="LCE56" s="1"/>
      <c r="LCF56" s="1"/>
      <c r="LCG56" s="1"/>
      <c r="LCH56" s="1"/>
      <c r="LCI56" s="1"/>
      <c r="LCJ56" s="1"/>
      <c r="LCK56" s="1"/>
      <c r="LCL56" s="1"/>
      <c r="LCM56" s="1"/>
      <c r="LCN56" s="1"/>
      <c r="LCO56" s="1"/>
      <c r="LCP56" s="1"/>
      <c r="LCQ56" s="1"/>
      <c r="LCR56" s="1"/>
      <c r="LCS56" s="1"/>
      <c r="LCT56" s="1"/>
      <c r="LCU56" s="1"/>
      <c r="LCV56" s="1"/>
      <c r="LCW56" s="1"/>
      <c r="LCX56" s="1"/>
      <c r="LCY56" s="1"/>
      <c r="LCZ56" s="1"/>
      <c r="LDA56" s="1"/>
      <c r="LDB56" s="1"/>
      <c r="LDC56" s="1"/>
      <c r="LDD56" s="1"/>
      <c r="LDE56" s="1"/>
      <c r="LDF56" s="1"/>
      <c r="LDG56" s="1"/>
      <c r="LDH56" s="1"/>
      <c r="LDI56" s="1"/>
      <c r="LDJ56" s="1"/>
      <c r="LDK56" s="1"/>
      <c r="LDL56" s="1"/>
      <c r="LDM56" s="1"/>
      <c r="LDN56" s="1"/>
      <c r="LDO56" s="1"/>
      <c r="LDP56" s="1"/>
      <c r="LDQ56" s="1"/>
      <c r="LDR56" s="1"/>
      <c r="LDS56" s="1"/>
      <c r="LDT56" s="1"/>
      <c r="LDU56" s="1"/>
      <c r="LDV56" s="1"/>
      <c r="LDW56" s="1"/>
      <c r="LDX56" s="1"/>
      <c r="LDY56" s="1"/>
      <c r="LDZ56" s="1"/>
      <c r="LEA56" s="1"/>
      <c r="LEB56" s="1"/>
      <c r="LEC56" s="1"/>
      <c r="LED56" s="1"/>
      <c r="LEE56" s="1"/>
      <c r="LEF56" s="1"/>
      <c r="LEG56" s="1"/>
      <c r="LEH56" s="1"/>
      <c r="LEI56" s="1"/>
      <c r="LEJ56" s="1"/>
      <c r="LEK56" s="1"/>
      <c r="LEL56" s="1"/>
      <c r="LEM56" s="1"/>
      <c r="LEN56" s="1"/>
      <c r="LEO56" s="1"/>
      <c r="LEP56" s="1"/>
      <c r="LEQ56" s="1"/>
      <c r="LER56" s="1"/>
      <c r="LES56" s="1"/>
      <c r="LET56" s="1"/>
      <c r="LEU56" s="1"/>
      <c r="LEV56" s="1"/>
      <c r="LEW56" s="1"/>
      <c r="LEX56" s="1"/>
      <c r="LEY56" s="1"/>
      <c r="LEZ56" s="1"/>
      <c r="LFA56" s="1"/>
      <c r="LFB56" s="1"/>
      <c r="LFC56" s="1"/>
      <c r="LFD56" s="1"/>
      <c r="LFE56" s="1"/>
      <c r="LFF56" s="1"/>
      <c r="LFG56" s="1"/>
      <c r="LFH56" s="1"/>
      <c r="LFI56" s="1"/>
      <c r="LFJ56" s="1"/>
      <c r="LFK56" s="1"/>
      <c r="LFL56" s="1"/>
      <c r="LFM56" s="1"/>
      <c r="LFN56" s="1"/>
      <c r="LFO56" s="1"/>
      <c r="LFP56" s="1"/>
      <c r="LFQ56" s="1"/>
      <c r="LFR56" s="1"/>
      <c r="LFS56" s="1"/>
      <c r="LFT56" s="1"/>
      <c r="LFU56" s="1"/>
      <c r="LFV56" s="1"/>
      <c r="LFW56" s="1"/>
      <c r="LFX56" s="1"/>
      <c r="LFY56" s="1"/>
      <c r="LFZ56" s="1"/>
      <c r="LGA56" s="1"/>
      <c r="LGB56" s="1"/>
      <c r="LGC56" s="1"/>
      <c r="LGD56" s="1"/>
      <c r="LGE56" s="1"/>
      <c r="LGF56" s="1"/>
      <c r="LGG56" s="1"/>
      <c r="LGH56" s="1"/>
      <c r="LGI56" s="1"/>
      <c r="LGJ56" s="1"/>
      <c r="LGK56" s="1"/>
      <c r="LGL56" s="1"/>
      <c r="LGM56" s="1"/>
      <c r="LGN56" s="1"/>
      <c r="LGO56" s="1"/>
      <c r="LGP56" s="1"/>
      <c r="LGQ56" s="1"/>
      <c r="LGR56" s="1"/>
      <c r="LGS56" s="1"/>
      <c r="LGT56" s="1"/>
      <c r="LGU56" s="1"/>
      <c r="LGV56" s="1"/>
      <c r="LGW56" s="1"/>
      <c r="LGX56" s="1"/>
      <c r="LGY56" s="1"/>
      <c r="LGZ56" s="1"/>
      <c r="LHA56" s="1"/>
      <c r="LHB56" s="1"/>
      <c r="LHC56" s="1"/>
      <c r="LHD56" s="1"/>
      <c r="LHE56" s="1"/>
      <c r="LHF56" s="1"/>
      <c r="LHG56" s="1"/>
      <c r="LHH56" s="1"/>
      <c r="LHI56" s="1"/>
      <c r="LHJ56" s="1"/>
      <c r="LHK56" s="1"/>
      <c r="LHL56" s="1"/>
      <c r="LHM56" s="1"/>
      <c r="LHN56" s="1"/>
      <c r="LHO56" s="1"/>
      <c r="LHP56" s="1"/>
      <c r="LHQ56" s="1"/>
      <c r="LHR56" s="1"/>
      <c r="LHS56" s="1"/>
      <c r="LHT56" s="1"/>
      <c r="LHU56" s="1"/>
      <c r="LHV56" s="1"/>
      <c r="LHW56" s="1"/>
      <c r="LHX56" s="1"/>
      <c r="LHY56" s="1"/>
      <c r="LHZ56" s="1"/>
      <c r="LIA56" s="1"/>
      <c r="LIB56" s="1"/>
      <c r="LIC56" s="1"/>
      <c r="LID56" s="1"/>
      <c r="LIE56" s="1"/>
      <c r="LIF56" s="1"/>
      <c r="LIG56" s="1"/>
      <c r="LIH56" s="1"/>
      <c r="LII56" s="1"/>
      <c r="LIJ56" s="1"/>
      <c r="LIK56" s="1"/>
      <c r="LIL56" s="1"/>
      <c r="LIM56" s="1"/>
      <c r="LIN56" s="1"/>
      <c r="LIO56" s="1"/>
      <c r="LIP56" s="1"/>
      <c r="LIQ56" s="1"/>
      <c r="LIR56" s="1"/>
      <c r="LIS56" s="1"/>
      <c r="LIT56" s="1"/>
      <c r="LIU56" s="1"/>
      <c r="LIV56" s="1"/>
      <c r="LIW56" s="1"/>
      <c r="LIX56" s="1"/>
      <c r="LIY56" s="1"/>
      <c r="LIZ56" s="1"/>
      <c r="LJA56" s="1"/>
      <c r="LJB56" s="1"/>
      <c r="LJC56" s="1"/>
      <c r="LJD56" s="1"/>
      <c r="LJE56" s="1"/>
      <c r="LJF56" s="1"/>
      <c r="LJG56" s="1"/>
      <c r="LJH56" s="1"/>
      <c r="LJI56" s="1"/>
      <c r="LJJ56" s="1"/>
      <c r="LJK56" s="1"/>
      <c r="LJL56" s="1"/>
      <c r="LJM56" s="1"/>
      <c r="LJN56" s="1"/>
      <c r="LJO56" s="1"/>
      <c r="LJP56" s="1"/>
      <c r="LJQ56" s="1"/>
      <c r="LJR56" s="1"/>
      <c r="LJS56" s="1"/>
      <c r="LJT56" s="1"/>
      <c r="LJU56" s="1"/>
      <c r="LJV56" s="1"/>
      <c r="LJW56" s="1"/>
      <c r="LJX56" s="1"/>
      <c r="LJY56" s="1"/>
      <c r="LJZ56" s="1"/>
      <c r="LKA56" s="1"/>
      <c r="LKB56" s="1"/>
      <c r="LKC56" s="1"/>
      <c r="LKD56" s="1"/>
      <c r="LKE56" s="1"/>
      <c r="LKF56" s="1"/>
      <c r="LKG56" s="1"/>
      <c r="LKH56" s="1"/>
      <c r="LKI56" s="1"/>
      <c r="LKJ56" s="1"/>
      <c r="LKK56" s="1"/>
      <c r="LKL56" s="1"/>
      <c r="LKM56" s="1"/>
      <c r="LKN56" s="1"/>
      <c r="LKO56" s="1"/>
      <c r="LKP56" s="1"/>
      <c r="LKQ56" s="1"/>
      <c r="LKR56" s="1"/>
      <c r="LKS56" s="1"/>
      <c r="LKT56" s="1"/>
      <c r="LKU56" s="1"/>
      <c r="LKV56" s="1"/>
      <c r="LKW56" s="1"/>
      <c r="LKX56" s="1"/>
      <c r="LKY56" s="1"/>
      <c r="LKZ56" s="1"/>
      <c r="LLA56" s="1"/>
      <c r="LLB56" s="1"/>
      <c r="LLC56" s="1"/>
      <c r="LLD56" s="1"/>
      <c r="LLE56" s="1"/>
      <c r="LLF56" s="1"/>
      <c r="LLG56" s="1"/>
      <c r="LLH56" s="1"/>
      <c r="LLI56" s="1"/>
      <c r="LLJ56" s="1"/>
      <c r="LLK56" s="1"/>
      <c r="LLL56" s="1"/>
      <c r="LLM56" s="1"/>
      <c r="LLN56" s="1"/>
      <c r="LLO56" s="1"/>
      <c r="LLP56" s="1"/>
      <c r="LLQ56" s="1"/>
      <c r="LLR56" s="1"/>
      <c r="LLS56" s="1"/>
      <c r="LLT56" s="1"/>
      <c r="LLU56" s="1"/>
      <c r="LLV56" s="1"/>
      <c r="LLW56" s="1"/>
      <c r="LLX56" s="1"/>
      <c r="LLY56" s="1"/>
      <c r="LLZ56" s="1"/>
      <c r="LMA56" s="1"/>
      <c r="LMB56" s="1"/>
      <c r="LMC56" s="1"/>
      <c r="LMD56" s="1"/>
      <c r="LME56" s="1"/>
      <c r="LMF56" s="1"/>
      <c r="LMG56" s="1"/>
      <c r="LMH56" s="1"/>
      <c r="LMI56" s="1"/>
      <c r="LMJ56" s="1"/>
      <c r="LMK56" s="1"/>
      <c r="LML56" s="1"/>
      <c r="LMM56" s="1"/>
      <c r="LMN56" s="1"/>
      <c r="LMO56" s="1"/>
      <c r="LMP56" s="1"/>
      <c r="LMQ56" s="1"/>
      <c r="LMR56" s="1"/>
      <c r="LMS56" s="1"/>
      <c r="LMT56" s="1"/>
      <c r="LMU56" s="1"/>
      <c r="LMV56" s="1"/>
      <c r="LMW56" s="1"/>
      <c r="LMX56" s="1"/>
      <c r="LMY56" s="1"/>
      <c r="LMZ56" s="1"/>
      <c r="LNA56" s="1"/>
      <c r="LNB56" s="1"/>
      <c r="LNC56" s="1"/>
      <c r="LND56" s="1"/>
      <c r="LNE56" s="1"/>
      <c r="LNF56" s="1"/>
      <c r="LNG56" s="1"/>
      <c r="LNH56" s="1"/>
      <c r="LNI56" s="1"/>
      <c r="LNJ56" s="1"/>
      <c r="LNK56" s="1"/>
      <c r="LNL56" s="1"/>
      <c r="LNM56" s="1"/>
      <c r="LNN56" s="1"/>
      <c r="LNO56" s="1"/>
      <c r="LNP56" s="1"/>
      <c r="LNQ56" s="1"/>
      <c r="LNR56" s="1"/>
      <c r="LNS56" s="1"/>
      <c r="LNT56" s="1"/>
      <c r="LNU56" s="1"/>
      <c r="LNV56" s="1"/>
      <c r="LNW56" s="1"/>
      <c r="LNX56" s="1"/>
      <c r="LNY56" s="1"/>
      <c r="LNZ56" s="1"/>
      <c r="LOA56" s="1"/>
      <c r="LOB56" s="1"/>
      <c r="LOC56" s="1"/>
      <c r="LOD56" s="1"/>
      <c r="LOE56" s="1"/>
      <c r="LOF56" s="1"/>
      <c r="LOG56" s="1"/>
      <c r="LOH56" s="1"/>
      <c r="LOI56" s="1"/>
      <c r="LOJ56" s="1"/>
      <c r="LOK56" s="1"/>
      <c r="LOL56" s="1"/>
      <c r="LOM56" s="1"/>
      <c r="LON56" s="1"/>
      <c r="LOO56" s="1"/>
      <c r="LOP56" s="1"/>
      <c r="LOQ56" s="1"/>
      <c r="LOR56" s="1"/>
      <c r="LOS56" s="1"/>
      <c r="LOT56" s="1"/>
      <c r="LOU56" s="1"/>
      <c r="LOV56" s="1"/>
      <c r="LOW56" s="1"/>
      <c r="LOX56" s="1"/>
      <c r="LOY56" s="1"/>
      <c r="LOZ56" s="1"/>
      <c r="LPA56" s="1"/>
      <c r="LPB56" s="1"/>
      <c r="LPC56" s="1"/>
      <c r="LPD56" s="1"/>
      <c r="LPE56" s="1"/>
      <c r="LPF56" s="1"/>
      <c r="LPG56" s="1"/>
      <c r="LPH56" s="1"/>
      <c r="LPI56" s="1"/>
      <c r="LPJ56" s="1"/>
      <c r="LPK56" s="1"/>
      <c r="LPL56" s="1"/>
      <c r="LPM56" s="1"/>
      <c r="LPN56" s="1"/>
      <c r="LPO56" s="1"/>
      <c r="LPP56" s="1"/>
      <c r="LPQ56" s="1"/>
      <c r="LPR56" s="1"/>
      <c r="LPS56" s="1"/>
      <c r="LPT56" s="1"/>
      <c r="LPU56" s="1"/>
      <c r="LPV56" s="1"/>
      <c r="LPW56" s="1"/>
      <c r="LPX56" s="1"/>
      <c r="LPY56" s="1"/>
      <c r="LPZ56" s="1"/>
      <c r="LQA56" s="1"/>
      <c r="LQB56" s="1"/>
      <c r="LQC56" s="1"/>
      <c r="LQD56" s="1"/>
      <c r="LQE56" s="1"/>
      <c r="LQF56" s="1"/>
      <c r="LQG56" s="1"/>
      <c r="LQH56" s="1"/>
      <c r="LQI56" s="1"/>
      <c r="LQJ56" s="1"/>
      <c r="LQK56" s="1"/>
      <c r="LQL56" s="1"/>
      <c r="LQM56" s="1"/>
      <c r="LQN56" s="1"/>
      <c r="LQO56" s="1"/>
      <c r="LQP56" s="1"/>
      <c r="LQQ56" s="1"/>
      <c r="LQR56" s="1"/>
      <c r="LQS56" s="1"/>
      <c r="LQT56" s="1"/>
      <c r="LQU56" s="1"/>
      <c r="LQV56" s="1"/>
      <c r="LQW56" s="1"/>
      <c r="LQX56" s="1"/>
      <c r="LQY56" s="1"/>
      <c r="LQZ56" s="1"/>
      <c r="LRA56" s="1"/>
      <c r="LRB56" s="1"/>
      <c r="LRC56" s="1"/>
      <c r="LRD56" s="1"/>
      <c r="LRE56" s="1"/>
      <c r="LRF56" s="1"/>
      <c r="LRG56" s="1"/>
      <c r="LRH56" s="1"/>
      <c r="LRI56" s="1"/>
      <c r="LRJ56" s="1"/>
      <c r="LRK56" s="1"/>
      <c r="LRL56" s="1"/>
      <c r="LRM56" s="1"/>
      <c r="LRN56" s="1"/>
      <c r="LRO56" s="1"/>
      <c r="LRP56" s="1"/>
      <c r="LRQ56" s="1"/>
      <c r="LRR56" s="1"/>
      <c r="LRS56" s="1"/>
      <c r="LRT56" s="1"/>
      <c r="LRU56" s="1"/>
      <c r="LRV56" s="1"/>
      <c r="LRW56" s="1"/>
      <c r="LRX56" s="1"/>
      <c r="LRY56" s="1"/>
      <c r="LRZ56" s="1"/>
      <c r="LSA56" s="1"/>
      <c r="LSB56" s="1"/>
      <c r="LSC56" s="1"/>
      <c r="LSD56" s="1"/>
      <c r="LSE56" s="1"/>
      <c r="LSF56" s="1"/>
      <c r="LSG56" s="1"/>
      <c r="LSH56" s="1"/>
      <c r="LSI56" s="1"/>
      <c r="LSJ56" s="1"/>
      <c r="LSK56" s="1"/>
      <c r="LSL56" s="1"/>
      <c r="LSM56" s="1"/>
      <c r="LSN56" s="1"/>
      <c r="LSO56" s="1"/>
      <c r="LSP56" s="1"/>
      <c r="LSQ56" s="1"/>
      <c r="LSR56" s="1"/>
      <c r="LSS56" s="1"/>
      <c r="LST56" s="1"/>
      <c r="LSU56" s="1"/>
      <c r="LSV56" s="1"/>
      <c r="LSW56" s="1"/>
      <c r="LSX56" s="1"/>
      <c r="LSY56" s="1"/>
      <c r="LSZ56" s="1"/>
      <c r="LTA56" s="1"/>
      <c r="LTB56" s="1"/>
      <c r="LTC56" s="1"/>
      <c r="LTD56" s="1"/>
      <c r="LTE56" s="1"/>
      <c r="LTF56" s="1"/>
      <c r="LTG56" s="1"/>
      <c r="LTH56" s="1"/>
      <c r="LTI56" s="1"/>
      <c r="LTJ56" s="1"/>
      <c r="LTK56" s="1"/>
      <c r="LTL56" s="1"/>
      <c r="LTM56" s="1"/>
      <c r="LTN56" s="1"/>
      <c r="LTO56" s="1"/>
      <c r="LTP56" s="1"/>
      <c r="LTQ56" s="1"/>
      <c r="LTR56" s="1"/>
      <c r="LTS56" s="1"/>
      <c r="LTT56" s="1"/>
      <c r="LTU56" s="1"/>
      <c r="LTV56" s="1"/>
      <c r="LTW56" s="1"/>
      <c r="LTX56" s="1"/>
      <c r="LTY56" s="1"/>
      <c r="LTZ56" s="1"/>
      <c r="LUA56" s="1"/>
      <c r="LUB56" s="1"/>
      <c r="LUC56" s="1"/>
      <c r="LUD56" s="1"/>
      <c r="LUE56" s="1"/>
      <c r="LUF56" s="1"/>
      <c r="LUG56" s="1"/>
      <c r="LUH56" s="1"/>
      <c r="LUI56" s="1"/>
      <c r="LUJ56" s="1"/>
      <c r="LUK56" s="1"/>
      <c r="LUL56" s="1"/>
      <c r="LUM56" s="1"/>
      <c r="LUN56" s="1"/>
      <c r="LUO56" s="1"/>
      <c r="LUP56" s="1"/>
      <c r="LUQ56" s="1"/>
      <c r="LUR56" s="1"/>
      <c r="LUS56" s="1"/>
      <c r="LUT56" s="1"/>
      <c r="LUU56" s="1"/>
      <c r="LUV56" s="1"/>
      <c r="LUW56" s="1"/>
      <c r="LUX56" s="1"/>
      <c r="LUY56" s="1"/>
      <c r="LUZ56" s="1"/>
      <c r="LVA56" s="1"/>
      <c r="LVB56" s="1"/>
      <c r="LVC56" s="1"/>
      <c r="LVD56" s="1"/>
      <c r="LVE56" s="1"/>
      <c r="LVF56" s="1"/>
      <c r="LVG56" s="1"/>
      <c r="LVH56" s="1"/>
      <c r="LVI56" s="1"/>
      <c r="LVJ56" s="1"/>
      <c r="LVK56" s="1"/>
      <c r="LVL56" s="1"/>
      <c r="LVM56" s="1"/>
      <c r="LVN56" s="1"/>
      <c r="LVO56" s="1"/>
      <c r="LVP56" s="1"/>
      <c r="LVQ56" s="1"/>
      <c r="LVR56" s="1"/>
      <c r="LVS56" s="1"/>
      <c r="LVT56" s="1"/>
      <c r="LVU56" s="1"/>
      <c r="LVV56" s="1"/>
      <c r="LVW56" s="1"/>
      <c r="LVX56" s="1"/>
      <c r="LVY56" s="1"/>
      <c r="LVZ56" s="1"/>
      <c r="LWA56" s="1"/>
      <c r="LWB56" s="1"/>
      <c r="LWC56" s="1"/>
      <c r="LWD56" s="1"/>
      <c r="LWE56" s="1"/>
      <c r="LWF56" s="1"/>
      <c r="LWG56" s="1"/>
      <c r="LWH56" s="1"/>
      <c r="LWI56" s="1"/>
      <c r="LWJ56" s="1"/>
      <c r="LWK56" s="1"/>
      <c r="LWL56" s="1"/>
      <c r="LWM56" s="1"/>
      <c r="LWN56" s="1"/>
      <c r="LWO56" s="1"/>
      <c r="LWP56" s="1"/>
      <c r="LWQ56" s="1"/>
      <c r="LWR56" s="1"/>
      <c r="LWS56" s="1"/>
      <c r="LWT56" s="1"/>
      <c r="LWU56" s="1"/>
      <c r="LWV56" s="1"/>
      <c r="LWW56" s="1"/>
      <c r="LWX56" s="1"/>
      <c r="LWY56" s="1"/>
      <c r="LWZ56" s="1"/>
      <c r="LXA56" s="1"/>
      <c r="LXB56" s="1"/>
      <c r="LXC56" s="1"/>
      <c r="LXD56" s="1"/>
      <c r="LXE56" s="1"/>
      <c r="LXF56" s="1"/>
      <c r="LXG56" s="1"/>
      <c r="LXH56" s="1"/>
      <c r="LXI56" s="1"/>
      <c r="LXJ56" s="1"/>
      <c r="LXK56" s="1"/>
      <c r="LXL56" s="1"/>
      <c r="LXM56" s="1"/>
      <c r="LXN56" s="1"/>
      <c r="LXO56" s="1"/>
      <c r="LXP56" s="1"/>
      <c r="LXQ56" s="1"/>
      <c r="LXR56" s="1"/>
      <c r="LXS56" s="1"/>
      <c r="LXT56" s="1"/>
      <c r="LXU56" s="1"/>
      <c r="LXV56" s="1"/>
      <c r="LXW56" s="1"/>
      <c r="LXX56" s="1"/>
      <c r="LXY56" s="1"/>
      <c r="LXZ56" s="1"/>
      <c r="LYA56" s="1"/>
      <c r="LYB56" s="1"/>
      <c r="LYC56" s="1"/>
      <c r="LYD56" s="1"/>
      <c r="LYE56" s="1"/>
      <c r="LYF56" s="1"/>
      <c r="LYG56" s="1"/>
      <c r="LYH56" s="1"/>
      <c r="LYI56" s="1"/>
      <c r="LYJ56" s="1"/>
      <c r="LYK56" s="1"/>
      <c r="LYL56" s="1"/>
      <c r="LYM56" s="1"/>
      <c r="LYN56" s="1"/>
      <c r="LYO56" s="1"/>
      <c r="LYP56" s="1"/>
      <c r="LYQ56" s="1"/>
      <c r="LYR56" s="1"/>
      <c r="LYS56" s="1"/>
      <c r="LYT56" s="1"/>
      <c r="LYU56" s="1"/>
      <c r="LYV56" s="1"/>
      <c r="LYW56" s="1"/>
      <c r="LYX56" s="1"/>
      <c r="LYY56" s="1"/>
      <c r="LYZ56" s="1"/>
      <c r="LZA56" s="1"/>
      <c r="LZB56" s="1"/>
      <c r="LZC56" s="1"/>
      <c r="LZD56" s="1"/>
      <c r="LZE56" s="1"/>
      <c r="LZF56" s="1"/>
      <c r="LZG56" s="1"/>
      <c r="LZH56" s="1"/>
      <c r="LZI56" s="1"/>
      <c r="LZJ56" s="1"/>
      <c r="LZK56" s="1"/>
      <c r="LZL56" s="1"/>
      <c r="LZM56" s="1"/>
      <c r="LZN56" s="1"/>
      <c r="LZO56" s="1"/>
      <c r="LZP56" s="1"/>
      <c r="LZQ56" s="1"/>
      <c r="LZR56" s="1"/>
      <c r="LZS56" s="1"/>
      <c r="LZT56" s="1"/>
      <c r="LZU56" s="1"/>
      <c r="LZV56" s="1"/>
      <c r="LZW56" s="1"/>
      <c r="LZX56" s="1"/>
      <c r="LZY56" s="1"/>
      <c r="LZZ56" s="1"/>
      <c r="MAA56" s="1"/>
      <c r="MAB56" s="1"/>
      <c r="MAC56" s="1"/>
      <c r="MAD56" s="1"/>
      <c r="MAE56" s="1"/>
      <c r="MAF56" s="1"/>
      <c r="MAG56" s="1"/>
      <c r="MAH56" s="1"/>
      <c r="MAI56" s="1"/>
      <c r="MAJ56" s="1"/>
      <c r="MAK56" s="1"/>
      <c r="MAL56" s="1"/>
      <c r="MAM56" s="1"/>
      <c r="MAN56" s="1"/>
      <c r="MAO56" s="1"/>
      <c r="MAP56" s="1"/>
      <c r="MAQ56" s="1"/>
      <c r="MAR56" s="1"/>
      <c r="MAS56" s="1"/>
      <c r="MAT56" s="1"/>
      <c r="MAU56" s="1"/>
      <c r="MAV56" s="1"/>
      <c r="MAW56" s="1"/>
      <c r="MAX56" s="1"/>
      <c r="MAY56" s="1"/>
      <c r="MAZ56" s="1"/>
      <c r="MBA56" s="1"/>
      <c r="MBB56" s="1"/>
      <c r="MBC56" s="1"/>
      <c r="MBD56" s="1"/>
      <c r="MBE56" s="1"/>
      <c r="MBF56" s="1"/>
      <c r="MBG56" s="1"/>
      <c r="MBH56" s="1"/>
      <c r="MBI56" s="1"/>
      <c r="MBJ56" s="1"/>
      <c r="MBK56" s="1"/>
      <c r="MBL56" s="1"/>
      <c r="MBM56" s="1"/>
      <c r="MBN56" s="1"/>
      <c r="MBO56" s="1"/>
      <c r="MBP56" s="1"/>
      <c r="MBQ56" s="1"/>
      <c r="MBR56" s="1"/>
      <c r="MBS56" s="1"/>
      <c r="MBT56" s="1"/>
      <c r="MBU56" s="1"/>
      <c r="MBV56" s="1"/>
      <c r="MBW56" s="1"/>
      <c r="MBX56" s="1"/>
      <c r="MBY56" s="1"/>
      <c r="MBZ56" s="1"/>
      <c r="MCA56" s="1"/>
      <c r="MCB56" s="1"/>
      <c r="MCC56" s="1"/>
      <c r="MCD56" s="1"/>
      <c r="MCE56" s="1"/>
      <c r="MCF56" s="1"/>
      <c r="MCG56" s="1"/>
      <c r="MCH56" s="1"/>
      <c r="MCI56" s="1"/>
      <c r="MCJ56" s="1"/>
      <c r="MCK56" s="1"/>
      <c r="MCL56" s="1"/>
      <c r="MCM56" s="1"/>
      <c r="MCN56" s="1"/>
      <c r="MCO56" s="1"/>
      <c r="MCP56" s="1"/>
      <c r="MCQ56" s="1"/>
      <c r="MCR56" s="1"/>
      <c r="MCS56" s="1"/>
      <c r="MCT56" s="1"/>
      <c r="MCU56" s="1"/>
      <c r="MCV56" s="1"/>
      <c r="MCW56" s="1"/>
      <c r="MCX56" s="1"/>
      <c r="MCY56" s="1"/>
      <c r="MCZ56" s="1"/>
      <c r="MDA56" s="1"/>
      <c r="MDB56" s="1"/>
      <c r="MDC56" s="1"/>
      <c r="MDD56" s="1"/>
      <c r="MDE56" s="1"/>
      <c r="MDF56" s="1"/>
      <c r="MDG56" s="1"/>
      <c r="MDH56" s="1"/>
      <c r="MDI56" s="1"/>
      <c r="MDJ56" s="1"/>
      <c r="MDK56" s="1"/>
      <c r="MDL56" s="1"/>
      <c r="MDM56" s="1"/>
      <c r="MDN56" s="1"/>
      <c r="MDO56" s="1"/>
      <c r="MDP56" s="1"/>
      <c r="MDQ56" s="1"/>
      <c r="MDR56" s="1"/>
      <c r="MDS56" s="1"/>
      <c r="MDT56" s="1"/>
      <c r="MDU56" s="1"/>
      <c r="MDV56" s="1"/>
      <c r="MDW56" s="1"/>
      <c r="MDX56" s="1"/>
      <c r="MDY56" s="1"/>
      <c r="MDZ56" s="1"/>
      <c r="MEA56" s="1"/>
      <c r="MEB56" s="1"/>
      <c r="MEC56" s="1"/>
      <c r="MED56" s="1"/>
      <c r="MEE56" s="1"/>
      <c r="MEF56" s="1"/>
      <c r="MEG56" s="1"/>
      <c r="MEH56" s="1"/>
      <c r="MEI56" s="1"/>
      <c r="MEJ56" s="1"/>
      <c r="MEK56" s="1"/>
      <c r="MEL56" s="1"/>
      <c r="MEM56" s="1"/>
      <c r="MEN56" s="1"/>
      <c r="MEO56" s="1"/>
      <c r="MEP56" s="1"/>
      <c r="MEQ56" s="1"/>
      <c r="MER56" s="1"/>
      <c r="MES56" s="1"/>
      <c r="MET56" s="1"/>
      <c r="MEU56" s="1"/>
      <c r="MEV56" s="1"/>
      <c r="MEW56" s="1"/>
      <c r="MEX56" s="1"/>
      <c r="MEY56" s="1"/>
      <c r="MEZ56" s="1"/>
      <c r="MFA56" s="1"/>
      <c r="MFB56" s="1"/>
      <c r="MFC56" s="1"/>
      <c r="MFD56" s="1"/>
      <c r="MFE56" s="1"/>
      <c r="MFF56" s="1"/>
      <c r="MFG56" s="1"/>
      <c r="MFH56" s="1"/>
      <c r="MFI56" s="1"/>
      <c r="MFJ56" s="1"/>
      <c r="MFK56" s="1"/>
      <c r="MFL56" s="1"/>
      <c r="MFM56" s="1"/>
      <c r="MFN56" s="1"/>
      <c r="MFO56" s="1"/>
      <c r="MFP56" s="1"/>
      <c r="MFQ56" s="1"/>
      <c r="MFR56" s="1"/>
      <c r="MFS56" s="1"/>
      <c r="MFT56" s="1"/>
      <c r="MFU56" s="1"/>
      <c r="MFV56" s="1"/>
      <c r="MFW56" s="1"/>
      <c r="MFX56" s="1"/>
      <c r="MFY56" s="1"/>
      <c r="MFZ56" s="1"/>
      <c r="MGA56" s="1"/>
      <c r="MGB56" s="1"/>
      <c r="MGC56" s="1"/>
      <c r="MGD56" s="1"/>
      <c r="MGE56" s="1"/>
      <c r="MGF56" s="1"/>
      <c r="MGG56" s="1"/>
      <c r="MGH56" s="1"/>
      <c r="MGI56" s="1"/>
      <c r="MGJ56" s="1"/>
      <c r="MGK56" s="1"/>
      <c r="MGL56" s="1"/>
      <c r="MGM56" s="1"/>
      <c r="MGN56" s="1"/>
      <c r="MGO56" s="1"/>
      <c r="MGP56" s="1"/>
      <c r="MGQ56" s="1"/>
      <c r="MGR56" s="1"/>
      <c r="MGS56" s="1"/>
      <c r="MGT56" s="1"/>
      <c r="MGU56" s="1"/>
      <c r="MGV56" s="1"/>
      <c r="MGW56" s="1"/>
      <c r="MGX56" s="1"/>
      <c r="MGY56" s="1"/>
      <c r="MGZ56" s="1"/>
      <c r="MHA56" s="1"/>
      <c r="MHB56" s="1"/>
      <c r="MHC56" s="1"/>
      <c r="MHD56" s="1"/>
      <c r="MHE56" s="1"/>
      <c r="MHF56" s="1"/>
      <c r="MHG56" s="1"/>
      <c r="MHH56" s="1"/>
      <c r="MHI56" s="1"/>
      <c r="MHJ56" s="1"/>
      <c r="MHK56" s="1"/>
      <c r="MHL56" s="1"/>
      <c r="MHM56" s="1"/>
      <c r="MHN56" s="1"/>
      <c r="MHO56" s="1"/>
      <c r="MHP56" s="1"/>
      <c r="MHQ56" s="1"/>
      <c r="MHR56" s="1"/>
      <c r="MHS56" s="1"/>
      <c r="MHT56" s="1"/>
      <c r="MHU56" s="1"/>
      <c r="MHV56" s="1"/>
      <c r="MHW56" s="1"/>
      <c r="MHX56" s="1"/>
      <c r="MHY56" s="1"/>
      <c r="MHZ56" s="1"/>
      <c r="MIA56" s="1"/>
      <c r="MIB56" s="1"/>
      <c r="MIC56" s="1"/>
      <c r="MID56" s="1"/>
      <c r="MIE56" s="1"/>
      <c r="MIF56" s="1"/>
      <c r="MIG56" s="1"/>
      <c r="MIH56" s="1"/>
      <c r="MII56" s="1"/>
      <c r="MIJ56" s="1"/>
      <c r="MIK56" s="1"/>
      <c r="MIL56" s="1"/>
      <c r="MIM56" s="1"/>
      <c r="MIN56" s="1"/>
      <c r="MIO56" s="1"/>
      <c r="MIP56" s="1"/>
      <c r="MIQ56" s="1"/>
      <c r="MIR56" s="1"/>
      <c r="MIS56" s="1"/>
      <c r="MIT56" s="1"/>
      <c r="MIU56" s="1"/>
      <c r="MIV56" s="1"/>
      <c r="MIW56" s="1"/>
      <c r="MIX56" s="1"/>
      <c r="MIY56" s="1"/>
      <c r="MIZ56" s="1"/>
      <c r="MJA56" s="1"/>
      <c r="MJB56" s="1"/>
      <c r="MJC56" s="1"/>
      <c r="MJD56" s="1"/>
      <c r="MJE56" s="1"/>
      <c r="MJF56" s="1"/>
      <c r="MJG56" s="1"/>
      <c r="MJH56" s="1"/>
      <c r="MJI56" s="1"/>
      <c r="MJJ56" s="1"/>
      <c r="MJK56" s="1"/>
      <c r="MJL56" s="1"/>
      <c r="MJM56" s="1"/>
      <c r="MJN56" s="1"/>
      <c r="MJO56" s="1"/>
      <c r="MJP56" s="1"/>
      <c r="MJQ56" s="1"/>
      <c r="MJR56" s="1"/>
      <c r="MJS56" s="1"/>
      <c r="MJT56" s="1"/>
      <c r="MJU56" s="1"/>
      <c r="MJV56" s="1"/>
      <c r="MJW56" s="1"/>
      <c r="MJX56" s="1"/>
      <c r="MJY56" s="1"/>
      <c r="MJZ56" s="1"/>
      <c r="MKA56" s="1"/>
      <c r="MKB56" s="1"/>
      <c r="MKC56" s="1"/>
      <c r="MKD56" s="1"/>
      <c r="MKE56" s="1"/>
      <c r="MKF56" s="1"/>
      <c r="MKG56" s="1"/>
      <c r="MKH56" s="1"/>
      <c r="MKI56" s="1"/>
      <c r="MKJ56" s="1"/>
      <c r="MKK56" s="1"/>
      <c r="MKL56" s="1"/>
      <c r="MKM56" s="1"/>
      <c r="MKN56" s="1"/>
      <c r="MKO56" s="1"/>
      <c r="MKP56" s="1"/>
      <c r="MKQ56" s="1"/>
      <c r="MKR56" s="1"/>
      <c r="MKS56" s="1"/>
      <c r="MKT56" s="1"/>
      <c r="MKU56" s="1"/>
      <c r="MKV56" s="1"/>
      <c r="MKW56" s="1"/>
      <c r="MKX56" s="1"/>
      <c r="MKY56" s="1"/>
      <c r="MKZ56" s="1"/>
      <c r="MLA56" s="1"/>
      <c r="MLB56" s="1"/>
      <c r="MLC56" s="1"/>
      <c r="MLD56" s="1"/>
      <c r="MLE56" s="1"/>
      <c r="MLF56" s="1"/>
      <c r="MLG56" s="1"/>
      <c r="MLH56" s="1"/>
      <c r="MLI56" s="1"/>
      <c r="MLJ56" s="1"/>
      <c r="MLK56" s="1"/>
      <c r="MLL56" s="1"/>
      <c r="MLM56" s="1"/>
      <c r="MLN56" s="1"/>
      <c r="MLO56" s="1"/>
      <c r="MLP56" s="1"/>
      <c r="MLQ56" s="1"/>
      <c r="MLR56" s="1"/>
      <c r="MLS56" s="1"/>
      <c r="MLT56" s="1"/>
      <c r="MLU56" s="1"/>
      <c r="MLV56" s="1"/>
      <c r="MLW56" s="1"/>
      <c r="MLX56" s="1"/>
      <c r="MLY56" s="1"/>
      <c r="MLZ56" s="1"/>
      <c r="MMA56" s="1"/>
      <c r="MMB56" s="1"/>
      <c r="MMC56" s="1"/>
      <c r="MMD56" s="1"/>
      <c r="MME56" s="1"/>
      <c r="MMF56" s="1"/>
      <c r="MMG56" s="1"/>
      <c r="MMH56" s="1"/>
      <c r="MMI56" s="1"/>
      <c r="MMJ56" s="1"/>
      <c r="MMK56" s="1"/>
      <c r="MML56" s="1"/>
      <c r="MMM56" s="1"/>
      <c r="MMN56" s="1"/>
      <c r="MMO56" s="1"/>
      <c r="MMP56" s="1"/>
      <c r="MMQ56" s="1"/>
      <c r="MMR56" s="1"/>
      <c r="MMS56" s="1"/>
      <c r="MMT56" s="1"/>
      <c r="MMU56" s="1"/>
      <c r="MMV56" s="1"/>
      <c r="MMW56" s="1"/>
      <c r="MMX56" s="1"/>
      <c r="MMY56" s="1"/>
      <c r="MMZ56" s="1"/>
      <c r="MNA56" s="1"/>
      <c r="MNB56" s="1"/>
      <c r="MNC56" s="1"/>
      <c r="MND56" s="1"/>
      <c r="MNE56" s="1"/>
      <c r="MNF56" s="1"/>
      <c r="MNG56" s="1"/>
      <c r="MNH56" s="1"/>
      <c r="MNI56" s="1"/>
      <c r="MNJ56" s="1"/>
      <c r="MNK56" s="1"/>
      <c r="MNL56" s="1"/>
      <c r="MNM56" s="1"/>
      <c r="MNN56" s="1"/>
      <c r="MNO56" s="1"/>
      <c r="MNP56" s="1"/>
      <c r="MNQ56" s="1"/>
      <c r="MNR56" s="1"/>
      <c r="MNS56" s="1"/>
      <c r="MNT56" s="1"/>
      <c r="MNU56" s="1"/>
      <c r="MNV56" s="1"/>
      <c r="MNW56" s="1"/>
      <c r="MNX56" s="1"/>
      <c r="MNY56" s="1"/>
      <c r="MNZ56" s="1"/>
      <c r="MOA56" s="1"/>
      <c r="MOB56" s="1"/>
      <c r="MOC56" s="1"/>
      <c r="MOD56" s="1"/>
      <c r="MOE56" s="1"/>
      <c r="MOF56" s="1"/>
      <c r="MOG56" s="1"/>
      <c r="MOH56" s="1"/>
      <c r="MOI56" s="1"/>
      <c r="MOJ56" s="1"/>
      <c r="MOK56" s="1"/>
      <c r="MOL56" s="1"/>
      <c r="MOM56" s="1"/>
      <c r="MON56" s="1"/>
      <c r="MOO56" s="1"/>
      <c r="MOP56" s="1"/>
      <c r="MOQ56" s="1"/>
      <c r="MOR56" s="1"/>
      <c r="MOS56" s="1"/>
      <c r="MOT56" s="1"/>
      <c r="MOU56" s="1"/>
      <c r="MOV56" s="1"/>
      <c r="MOW56" s="1"/>
      <c r="MOX56" s="1"/>
      <c r="MOY56" s="1"/>
      <c r="MOZ56" s="1"/>
      <c r="MPA56" s="1"/>
      <c r="MPB56" s="1"/>
      <c r="MPC56" s="1"/>
      <c r="MPD56" s="1"/>
      <c r="MPE56" s="1"/>
      <c r="MPF56" s="1"/>
      <c r="MPG56" s="1"/>
      <c r="MPH56" s="1"/>
      <c r="MPI56" s="1"/>
      <c r="MPJ56" s="1"/>
      <c r="MPK56" s="1"/>
      <c r="MPL56" s="1"/>
      <c r="MPM56" s="1"/>
      <c r="MPN56" s="1"/>
      <c r="MPO56" s="1"/>
      <c r="MPP56" s="1"/>
      <c r="MPQ56" s="1"/>
      <c r="MPR56" s="1"/>
      <c r="MPS56" s="1"/>
      <c r="MPT56" s="1"/>
      <c r="MPU56" s="1"/>
      <c r="MPV56" s="1"/>
      <c r="MPW56" s="1"/>
      <c r="MPX56" s="1"/>
      <c r="MPY56" s="1"/>
      <c r="MPZ56" s="1"/>
      <c r="MQA56" s="1"/>
      <c r="MQB56" s="1"/>
      <c r="MQC56" s="1"/>
      <c r="MQD56" s="1"/>
      <c r="MQE56" s="1"/>
      <c r="MQF56" s="1"/>
      <c r="MQG56" s="1"/>
      <c r="MQH56" s="1"/>
      <c r="MQI56" s="1"/>
      <c r="MQJ56" s="1"/>
      <c r="MQK56" s="1"/>
      <c r="MQL56" s="1"/>
      <c r="MQM56" s="1"/>
      <c r="MQN56" s="1"/>
      <c r="MQO56" s="1"/>
      <c r="MQP56" s="1"/>
      <c r="MQQ56" s="1"/>
      <c r="MQR56" s="1"/>
      <c r="MQS56" s="1"/>
      <c r="MQT56" s="1"/>
      <c r="MQU56" s="1"/>
      <c r="MQV56" s="1"/>
      <c r="MQW56" s="1"/>
      <c r="MQX56" s="1"/>
      <c r="MQY56" s="1"/>
      <c r="MQZ56" s="1"/>
      <c r="MRA56" s="1"/>
      <c r="MRB56" s="1"/>
      <c r="MRC56" s="1"/>
      <c r="MRD56" s="1"/>
      <c r="MRE56" s="1"/>
      <c r="MRF56" s="1"/>
      <c r="MRG56" s="1"/>
      <c r="MRH56" s="1"/>
      <c r="MRI56" s="1"/>
      <c r="MRJ56" s="1"/>
      <c r="MRK56" s="1"/>
      <c r="MRL56" s="1"/>
      <c r="MRM56" s="1"/>
      <c r="MRN56" s="1"/>
      <c r="MRO56" s="1"/>
      <c r="MRP56" s="1"/>
      <c r="MRQ56" s="1"/>
      <c r="MRR56" s="1"/>
      <c r="MRS56" s="1"/>
      <c r="MRT56" s="1"/>
      <c r="MRU56" s="1"/>
      <c r="MRV56" s="1"/>
      <c r="MRW56" s="1"/>
      <c r="MRX56" s="1"/>
      <c r="MRY56" s="1"/>
      <c r="MRZ56" s="1"/>
      <c r="MSA56" s="1"/>
      <c r="MSB56" s="1"/>
      <c r="MSC56" s="1"/>
      <c r="MSD56" s="1"/>
      <c r="MSE56" s="1"/>
      <c r="MSF56" s="1"/>
      <c r="MSG56" s="1"/>
      <c r="MSH56" s="1"/>
      <c r="MSI56" s="1"/>
      <c r="MSJ56" s="1"/>
      <c r="MSK56" s="1"/>
      <c r="MSL56" s="1"/>
      <c r="MSM56" s="1"/>
      <c r="MSN56" s="1"/>
      <c r="MSO56" s="1"/>
      <c r="MSP56" s="1"/>
      <c r="MSQ56" s="1"/>
      <c r="MSR56" s="1"/>
      <c r="MSS56" s="1"/>
      <c r="MST56" s="1"/>
      <c r="MSU56" s="1"/>
      <c r="MSV56" s="1"/>
      <c r="MSW56" s="1"/>
      <c r="MSX56" s="1"/>
      <c r="MSY56" s="1"/>
      <c r="MSZ56" s="1"/>
      <c r="MTA56" s="1"/>
      <c r="MTB56" s="1"/>
      <c r="MTC56" s="1"/>
      <c r="MTD56" s="1"/>
      <c r="MTE56" s="1"/>
      <c r="MTF56" s="1"/>
      <c r="MTG56" s="1"/>
      <c r="MTH56" s="1"/>
      <c r="MTI56" s="1"/>
      <c r="MTJ56" s="1"/>
      <c r="MTK56" s="1"/>
      <c r="MTL56" s="1"/>
      <c r="MTM56" s="1"/>
      <c r="MTN56" s="1"/>
      <c r="MTO56" s="1"/>
      <c r="MTP56" s="1"/>
      <c r="MTQ56" s="1"/>
      <c r="MTR56" s="1"/>
      <c r="MTS56" s="1"/>
      <c r="MTT56" s="1"/>
      <c r="MTU56" s="1"/>
      <c r="MTV56" s="1"/>
      <c r="MTW56" s="1"/>
      <c r="MTX56" s="1"/>
      <c r="MTY56" s="1"/>
      <c r="MTZ56" s="1"/>
      <c r="MUA56" s="1"/>
      <c r="MUB56" s="1"/>
      <c r="MUC56" s="1"/>
      <c r="MUD56" s="1"/>
      <c r="MUE56" s="1"/>
      <c r="MUF56" s="1"/>
      <c r="MUG56" s="1"/>
      <c r="MUH56" s="1"/>
      <c r="MUI56" s="1"/>
      <c r="MUJ56" s="1"/>
      <c r="MUK56" s="1"/>
      <c r="MUL56" s="1"/>
      <c r="MUM56" s="1"/>
      <c r="MUN56" s="1"/>
      <c r="MUO56" s="1"/>
      <c r="MUP56" s="1"/>
      <c r="MUQ56" s="1"/>
      <c r="MUR56" s="1"/>
      <c r="MUS56" s="1"/>
      <c r="MUT56" s="1"/>
      <c r="MUU56" s="1"/>
      <c r="MUV56" s="1"/>
      <c r="MUW56" s="1"/>
      <c r="MUX56" s="1"/>
      <c r="MUY56" s="1"/>
      <c r="MUZ56" s="1"/>
      <c r="MVA56" s="1"/>
      <c r="MVB56" s="1"/>
      <c r="MVC56" s="1"/>
      <c r="MVD56" s="1"/>
      <c r="MVE56" s="1"/>
      <c r="MVF56" s="1"/>
      <c r="MVG56" s="1"/>
      <c r="MVH56" s="1"/>
      <c r="MVI56" s="1"/>
      <c r="MVJ56" s="1"/>
      <c r="MVK56" s="1"/>
      <c r="MVL56" s="1"/>
      <c r="MVM56" s="1"/>
      <c r="MVN56" s="1"/>
      <c r="MVO56" s="1"/>
      <c r="MVP56" s="1"/>
      <c r="MVQ56" s="1"/>
      <c r="MVR56" s="1"/>
      <c r="MVS56" s="1"/>
      <c r="MVT56" s="1"/>
      <c r="MVU56" s="1"/>
      <c r="MVV56" s="1"/>
      <c r="MVW56" s="1"/>
      <c r="MVX56" s="1"/>
      <c r="MVY56" s="1"/>
      <c r="MVZ56" s="1"/>
      <c r="MWA56" s="1"/>
      <c r="MWB56" s="1"/>
      <c r="MWC56" s="1"/>
      <c r="MWD56" s="1"/>
      <c r="MWE56" s="1"/>
      <c r="MWF56" s="1"/>
      <c r="MWG56" s="1"/>
      <c r="MWH56" s="1"/>
      <c r="MWI56" s="1"/>
      <c r="MWJ56" s="1"/>
      <c r="MWK56" s="1"/>
      <c r="MWL56" s="1"/>
      <c r="MWM56" s="1"/>
      <c r="MWN56" s="1"/>
      <c r="MWO56" s="1"/>
      <c r="MWP56" s="1"/>
      <c r="MWQ56" s="1"/>
      <c r="MWR56" s="1"/>
      <c r="MWS56" s="1"/>
      <c r="MWT56" s="1"/>
      <c r="MWU56" s="1"/>
      <c r="MWV56" s="1"/>
      <c r="MWW56" s="1"/>
      <c r="MWX56" s="1"/>
      <c r="MWY56" s="1"/>
      <c r="MWZ56" s="1"/>
      <c r="MXA56" s="1"/>
      <c r="MXB56" s="1"/>
      <c r="MXC56" s="1"/>
      <c r="MXD56" s="1"/>
      <c r="MXE56" s="1"/>
      <c r="MXF56" s="1"/>
      <c r="MXG56" s="1"/>
      <c r="MXH56" s="1"/>
      <c r="MXI56" s="1"/>
      <c r="MXJ56" s="1"/>
      <c r="MXK56" s="1"/>
      <c r="MXL56" s="1"/>
      <c r="MXM56" s="1"/>
      <c r="MXN56" s="1"/>
      <c r="MXO56" s="1"/>
      <c r="MXP56" s="1"/>
      <c r="MXQ56" s="1"/>
      <c r="MXR56" s="1"/>
      <c r="MXS56" s="1"/>
      <c r="MXT56" s="1"/>
      <c r="MXU56" s="1"/>
      <c r="MXV56" s="1"/>
      <c r="MXW56" s="1"/>
      <c r="MXX56" s="1"/>
      <c r="MXY56" s="1"/>
      <c r="MXZ56" s="1"/>
      <c r="MYA56" s="1"/>
      <c r="MYB56" s="1"/>
      <c r="MYC56" s="1"/>
      <c r="MYD56" s="1"/>
      <c r="MYE56" s="1"/>
      <c r="MYF56" s="1"/>
      <c r="MYG56" s="1"/>
      <c r="MYH56" s="1"/>
      <c r="MYI56" s="1"/>
      <c r="MYJ56" s="1"/>
      <c r="MYK56" s="1"/>
      <c r="MYL56" s="1"/>
      <c r="MYM56" s="1"/>
      <c r="MYN56" s="1"/>
      <c r="MYO56" s="1"/>
      <c r="MYP56" s="1"/>
      <c r="MYQ56" s="1"/>
      <c r="MYR56" s="1"/>
      <c r="MYS56" s="1"/>
      <c r="MYT56" s="1"/>
      <c r="MYU56" s="1"/>
      <c r="MYV56" s="1"/>
      <c r="MYW56" s="1"/>
      <c r="MYX56" s="1"/>
      <c r="MYY56" s="1"/>
      <c r="MYZ56" s="1"/>
      <c r="MZA56" s="1"/>
      <c r="MZB56" s="1"/>
      <c r="MZC56" s="1"/>
      <c r="MZD56" s="1"/>
      <c r="MZE56" s="1"/>
      <c r="MZF56" s="1"/>
      <c r="MZG56" s="1"/>
      <c r="MZH56" s="1"/>
      <c r="MZI56" s="1"/>
      <c r="MZJ56" s="1"/>
      <c r="MZK56" s="1"/>
      <c r="MZL56" s="1"/>
      <c r="MZM56" s="1"/>
      <c r="MZN56" s="1"/>
      <c r="MZO56" s="1"/>
      <c r="MZP56" s="1"/>
      <c r="MZQ56" s="1"/>
      <c r="MZR56" s="1"/>
      <c r="MZS56" s="1"/>
      <c r="MZT56" s="1"/>
      <c r="MZU56" s="1"/>
      <c r="MZV56" s="1"/>
      <c r="MZW56" s="1"/>
      <c r="MZX56" s="1"/>
      <c r="MZY56" s="1"/>
      <c r="MZZ56" s="1"/>
      <c r="NAA56" s="1"/>
      <c r="NAB56" s="1"/>
      <c r="NAC56" s="1"/>
      <c r="NAD56" s="1"/>
      <c r="NAE56" s="1"/>
      <c r="NAF56" s="1"/>
      <c r="NAG56" s="1"/>
      <c r="NAH56" s="1"/>
      <c r="NAI56" s="1"/>
      <c r="NAJ56" s="1"/>
      <c r="NAK56" s="1"/>
      <c r="NAL56" s="1"/>
      <c r="NAM56" s="1"/>
      <c r="NAN56" s="1"/>
      <c r="NAO56" s="1"/>
      <c r="NAP56" s="1"/>
      <c r="NAQ56" s="1"/>
      <c r="NAR56" s="1"/>
      <c r="NAS56" s="1"/>
      <c r="NAT56" s="1"/>
      <c r="NAU56" s="1"/>
      <c r="NAV56" s="1"/>
      <c r="NAW56" s="1"/>
      <c r="NAX56" s="1"/>
      <c r="NAY56" s="1"/>
      <c r="NAZ56" s="1"/>
      <c r="NBA56" s="1"/>
      <c r="NBB56" s="1"/>
      <c r="NBC56" s="1"/>
      <c r="NBD56" s="1"/>
      <c r="NBE56" s="1"/>
      <c r="NBF56" s="1"/>
      <c r="NBG56" s="1"/>
      <c r="NBH56" s="1"/>
      <c r="NBI56" s="1"/>
      <c r="NBJ56" s="1"/>
      <c r="NBK56" s="1"/>
      <c r="NBL56" s="1"/>
      <c r="NBM56" s="1"/>
      <c r="NBN56" s="1"/>
      <c r="NBO56" s="1"/>
      <c r="NBP56" s="1"/>
      <c r="NBQ56" s="1"/>
      <c r="NBR56" s="1"/>
      <c r="NBS56" s="1"/>
      <c r="NBT56" s="1"/>
      <c r="NBU56" s="1"/>
      <c r="NBV56" s="1"/>
      <c r="NBW56" s="1"/>
      <c r="NBX56" s="1"/>
      <c r="NBY56" s="1"/>
      <c r="NBZ56" s="1"/>
      <c r="NCA56" s="1"/>
      <c r="NCB56" s="1"/>
      <c r="NCC56" s="1"/>
      <c r="NCD56" s="1"/>
      <c r="NCE56" s="1"/>
      <c r="NCF56" s="1"/>
      <c r="NCG56" s="1"/>
      <c r="NCH56" s="1"/>
      <c r="NCI56" s="1"/>
      <c r="NCJ56" s="1"/>
      <c r="NCK56" s="1"/>
      <c r="NCL56" s="1"/>
      <c r="NCM56" s="1"/>
      <c r="NCN56" s="1"/>
      <c r="NCO56" s="1"/>
      <c r="NCP56" s="1"/>
      <c r="NCQ56" s="1"/>
      <c r="NCR56" s="1"/>
      <c r="NCS56" s="1"/>
      <c r="NCT56" s="1"/>
      <c r="NCU56" s="1"/>
      <c r="NCV56" s="1"/>
      <c r="NCW56" s="1"/>
      <c r="NCX56" s="1"/>
      <c r="NCY56" s="1"/>
      <c r="NCZ56" s="1"/>
      <c r="NDA56" s="1"/>
      <c r="NDB56" s="1"/>
      <c r="NDC56" s="1"/>
      <c r="NDD56" s="1"/>
      <c r="NDE56" s="1"/>
      <c r="NDF56" s="1"/>
      <c r="NDG56" s="1"/>
      <c r="NDH56" s="1"/>
      <c r="NDI56" s="1"/>
      <c r="NDJ56" s="1"/>
      <c r="NDK56" s="1"/>
      <c r="NDL56" s="1"/>
      <c r="NDM56" s="1"/>
      <c r="NDN56" s="1"/>
      <c r="NDO56" s="1"/>
      <c r="NDP56" s="1"/>
      <c r="NDQ56" s="1"/>
      <c r="NDR56" s="1"/>
      <c r="NDS56" s="1"/>
      <c r="NDT56" s="1"/>
      <c r="NDU56" s="1"/>
      <c r="NDV56" s="1"/>
      <c r="NDW56" s="1"/>
      <c r="NDX56" s="1"/>
      <c r="NDY56" s="1"/>
      <c r="NDZ56" s="1"/>
      <c r="NEA56" s="1"/>
      <c r="NEB56" s="1"/>
      <c r="NEC56" s="1"/>
      <c r="NED56" s="1"/>
      <c r="NEE56" s="1"/>
      <c r="NEF56" s="1"/>
      <c r="NEG56" s="1"/>
      <c r="NEH56" s="1"/>
      <c r="NEI56" s="1"/>
      <c r="NEJ56" s="1"/>
      <c r="NEK56" s="1"/>
      <c r="NEL56" s="1"/>
      <c r="NEM56" s="1"/>
      <c r="NEN56" s="1"/>
      <c r="NEO56" s="1"/>
      <c r="NEP56" s="1"/>
      <c r="NEQ56" s="1"/>
      <c r="NER56" s="1"/>
      <c r="NES56" s="1"/>
      <c r="NET56" s="1"/>
      <c r="NEU56" s="1"/>
      <c r="NEV56" s="1"/>
      <c r="NEW56" s="1"/>
      <c r="NEX56" s="1"/>
      <c r="NEY56" s="1"/>
      <c r="NEZ56" s="1"/>
      <c r="NFA56" s="1"/>
      <c r="NFB56" s="1"/>
      <c r="NFC56" s="1"/>
      <c r="NFD56" s="1"/>
      <c r="NFE56" s="1"/>
      <c r="NFF56" s="1"/>
      <c r="NFG56" s="1"/>
      <c r="NFH56" s="1"/>
      <c r="NFI56" s="1"/>
      <c r="NFJ56" s="1"/>
      <c r="NFK56" s="1"/>
      <c r="NFL56" s="1"/>
      <c r="NFM56" s="1"/>
      <c r="NFN56" s="1"/>
      <c r="NFO56" s="1"/>
      <c r="NFP56" s="1"/>
      <c r="NFQ56" s="1"/>
      <c r="NFR56" s="1"/>
      <c r="NFS56" s="1"/>
      <c r="NFT56" s="1"/>
      <c r="NFU56" s="1"/>
      <c r="NFV56" s="1"/>
      <c r="NFW56" s="1"/>
      <c r="NFX56" s="1"/>
      <c r="NFY56" s="1"/>
      <c r="NFZ56" s="1"/>
      <c r="NGA56" s="1"/>
      <c r="NGB56" s="1"/>
      <c r="NGC56" s="1"/>
      <c r="NGD56" s="1"/>
      <c r="NGE56" s="1"/>
      <c r="NGF56" s="1"/>
      <c r="NGG56" s="1"/>
      <c r="NGH56" s="1"/>
      <c r="NGI56" s="1"/>
      <c r="NGJ56" s="1"/>
      <c r="NGK56" s="1"/>
      <c r="NGL56" s="1"/>
      <c r="NGM56" s="1"/>
      <c r="NGN56" s="1"/>
      <c r="NGO56" s="1"/>
      <c r="NGP56" s="1"/>
      <c r="NGQ56" s="1"/>
      <c r="NGR56" s="1"/>
      <c r="NGS56" s="1"/>
      <c r="NGT56" s="1"/>
      <c r="NGU56" s="1"/>
      <c r="NGV56" s="1"/>
      <c r="NGW56" s="1"/>
      <c r="NGX56" s="1"/>
      <c r="NGY56" s="1"/>
      <c r="NGZ56" s="1"/>
      <c r="NHA56" s="1"/>
      <c r="NHB56" s="1"/>
      <c r="NHC56" s="1"/>
      <c r="NHD56" s="1"/>
      <c r="NHE56" s="1"/>
      <c r="NHF56" s="1"/>
      <c r="NHG56" s="1"/>
      <c r="NHH56" s="1"/>
      <c r="NHI56" s="1"/>
      <c r="NHJ56" s="1"/>
      <c r="NHK56" s="1"/>
      <c r="NHL56" s="1"/>
      <c r="NHM56" s="1"/>
      <c r="NHN56" s="1"/>
      <c r="NHO56" s="1"/>
      <c r="NHP56" s="1"/>
      <c r="NHQ56" s="1"/>
      <c r="NHR56" s="1"/>
      <c r="NHS56" s="1"/>
      <c r="NHT56" s="1"/>
      <c r="NHU56" s="1"/>
      <c r="NHV56" s="1"/>
      <c r="NHW56" s="1"/>
      <c r="NHX56" s="1"/>
      <c r="NHY56" s="1"/>
      <c r="NHZ56" s="1"/>
      <c r="NIA56" s="1"/>
      <c r="NIB56" s="1"/>
      <c r="NIC56" s="1"/>
      <c r="NID56" s="1"/>
      <c r="NIE56" s="1"/>
      <c r="NIF56" s="1"/>
      <c r="NIG56" s="1"/>
      <c r="NIH56" s="1"/>
      <c r="NII56" s="1"/>
      <c r="NIJ56" s="1"/>
      <c r="NIK56" s="1"/>
      <c r="NIL56" s="1"/>
      <c r="NIM56" s="1"/>
      <c r="NIN56" s="1"/>
      <c r="NIO56" s="1"/>
      <c r="NIP56" s="1"/>
      <c r="NIQ56" s="1"/>
      <c r="NIR56" s="1"/>
      <c r="NIS56" s="1"/>
      <c r="NIT56" s="1"/>
      <c r="NIU56" s="1"/>
      <c r="NIV56" s="1"/>
      <c r="NIW56" s="1"/>
      <c r="NIX56" s="1"/>
      <c r="NIY56" s="1"/>
      <c r="NIZ56" s="1"/>
      <c r="NJA56" s="1"/>
      <c r="NJB56" s="1"/>
      <c r="NJC56" s="1"/>
      <c r="NJD56" s="1"/>
      <c r="NJE56" s="1"/>
      <c r="NJF56" s="1"/>
      <c r="NJG56" s="1"/>
      <c r="NJH56" s="1"/>
      <c r="NJI56" s="1"/>
      <c r="NJJ56" s="1"/>
      <c r="NJK56" s="1"/>
      <c r="NJL56" s="1"/>
      <c r="NJM56" s="1"/>
      <c r="NJN56" s="1"/>
      <c r="NJO56" s="1"/>
      <c r="NJP56" s="1"/>
      <c r="NJQ56" s="1"/>
      <c r="NJR56" s="1"/>
      <c r="NJS56" s="1"/>
      <c r="NJT56" s="1"/>
      <c r="NJU56" s="1"/>
      <c r="NJV56" s="1"/>
      <c r="NJW56" s="1"/>
      <c r="NJX56" s="1"/>
      <c r="NJY56" s="1"/>
      <c r="NJZ56" s="1"/>
      <c r="NKA56" s="1"/>
      <c r="NKB56" s="1"/>
      <c r="NKC56" s="1"/>
      <c r="NKD56" s="1"/>
      <c r="NKE56" s="1"/>
      <c r="NKF56" s="1"/>
      <c r="NKG56" s="1"/>
      <c r="NKH56" s="1"/>
      <c r="NKI56" s="1"/>
      <c r="NKJ56" s="1"/>
      <c r="NKK56" s="1"/>
      <c r="NKL56" s="1"/>
      <c r="NKM56" s="1"/>
      <c r="NKN56" s="1"/>
      <c r="NKO56" s="1"/>
      <c r="NKP56" s="1"/>
      <c r="NKQ56" s="1"/>
      <c r="NKR56" s="1"/>
      <c r="NKS56" s="1"/>
      <c r="NKT56" s="1"/>
      <c r="NKU56" s="1"/>
      <c r="NKV56" s="1"/>
      <c r="NKW56" s="1"/>
      <c r="NKX56" s="1"/>
      <c r="NKY56" s="1"/>
      <c r="NKZ56" s="1"/>
      <c r="NLA56" s="1"/>
      <c r="NLB56" s="1"/>
      <c r="NLC56" s="1"/>
      <c r="NLD56" s="1"/>
      <c r="NLE56" s="1"/>
      <c r="NLF56" s="1"/>
      <c r="NLG56" s="1"/>
      <c r="NLH56" s="1"/>
      <c r="NLI56" s="1"/>
      <c r="NLJ56" s="1"/>
      <c r="NLK56" s="1"/>
      <c r="NLL56" s="1"/>
      <c r="NLM56" s="1"/>
      <c r="NLN56" s="1"/>
      <c r="NLO56" s="1"/>
      <c r="NLP56" s="1"/>
      <c r="NLQ56" s="1"/>
      <c r="NLR56" s="1"/>
      <c r="NLS56" s="1"/>
      <c r="NLT56" s="1"/>
      <c r="NLU56" s="1"/>
      <c r="NLV56" s="1"/>
      <c r="NLW56" s="1"/>
      <c r="NLX56" s="1"/>
      <c r="NLY56" s="1"/>
      <c r="NLZ56" s="1"/>
      <c r="NMA56" s="1"/>
      <c r="NMB56" s="1"/>
      <c r="NMC56" s="1"/>
      <c r="NMD56" s="1"/>
      <c r="NME56" s="1"/>
      <c r="NMF56" s="1"/>
      <c r="NMG56" s="1"/>
      <c r="NMH56" s="1"/>
      <c r="NMI56" s="1"/>
      <c r="NMJ56" s="1"/>
      <c r="NMK56" s="1"/>
      <c r="NML56" s="1"/>
      <c r="NMM56" s="1"/>
      <c r="NMN56" s="1"/>
      <c r="NMO56" s="1"/>
      <c r="NMP56" s="1"/>
      <c r="NMQ56" s="1"/>
      <c r="NMR56" s="1"/>
      <c r="NMS56" s="1"/>
      <c r="NMT56" s="1"/>
      <c r="NMU56" s="1"/>
      <c r="NMV56" s="1"/>
      <c r="NMW56" s="1"/>
      <c r="NMX56" s="1"/>
      <c r="NMY56" s="1"/>
      <c r="NMZ56" s="1"/>
      <c r="NNA56" s="1"/>
      <c r="NNB56" s="1"/>
      <c r="NNC56" s="1"/>
      <c r="NND56" s="1"/>
      <c r="NNE56" s="1"/>
      <c r="NNF56" s="1"/>
      <c r="NNG56" s="1"/>
      <c r="NNH56" s="1"/>
      <c r="NNI56" s="1"/>
      <c r="NNJ56" s="1"/>
      <c r="NNK56" s="1"/>
      <c r="NNL56" s="1"/>
      <c r="NNM56" s="1"/>
      <c r="NNN56" s="1"/>
      <c r="NNO56" s="1"/>
      <c r="NNP56" s="1"/>
      <c r="NNQ56" s="1"/>
      <c r="NNR56" s="1"/>
      <c r="NNS56" s="1"/>
      <c r="NNT56" s="1"/>
      <c r="NNU56" s="1"/>
      <c r="NNV56" s="1"/>
      <c r="NNW56" s="1"/>
      <c r="NNX56" s="1"/>
      <c r="NNY56" s="1"/>
      <c r="NNZ56" s="1"/>
      <c r="NOA56" s="1"/>
      <c r="NOB56" s="1"/>
      <c r="NOC56" s="1"/>
      <c r="NOD56" s="1"/>
      <c r="NOE56" s="1"/>
      <c r="NOF56" s="1"/>
      <c r="NOG56" s="1"/>
      <c r="NOH56" s="1"/>
      <c r="NOI56" s="1"/>
      <c r="NOJ56" s="1"/>
      <c r="NOK56" s="1"/>
      <c r="NOL56" s="1"/>
      <c r="NOM56" s="1"/>
      <c r="NON56" s="1"/>
      <c r="NOO56" s="1"/>
      <c r="NOP56" s="1"/>
      <c r="NOQ56" s="1"/>
      <c r="NOR56" s="1"/>
      <c r="NOS56" s="1"/>
      <c r="NOT56" s="1"/>
      <c r="NOU56" s="1"/>
      <c r="NOV56" s="1"/>
      <c r="NOW56" s="1"/>
      <c r="NOX56" s="1"/>
      <c r="NOY56" s="1"/>
      <c r="NOZ56" s="1"/>
      <c r="NPA56" s="1"/>
      <c r="NPB56" s="1"/>
      <c r="NPC56" s="1"/>
      <c r="NPD56" s="1"/>
      <c r="NPE56" s="1"/>
      <c r="NPF56" s="1"/>
      <c r="NPG56" s="1"/>
      <c r="NPH56" s="1"/>
      <c r="NPI56" s="1"/>
      <c r="NPJ56" s="1"/>
      <c r="NPK56" s="1"/>
      <c r="NPL56" s="1"/>
      <c r="NPM56" s="1"/>
      <c r="NPN56" s="1"/>
      <c r="NPO56" s="1"/>
      <c r="NPP56" s="1"/>
      <c r="NPQ56" s="1"/>
      <c r="NPR56" s="1"/>
      <c r="NPS56" s="1"/>
      <c r="NPT56" s="1"/>
      <c r="NPU56" s="1"/>
      <c r="NPV56" s="1"/>
      <c r="NPW56" s="1"/>
      <c r="NPX56" s="1"/>
      <c r="NPY56" s="1"/>
      <c r="NPZ56" s="1"/>
      <c r="NQA56" s="1"/>
      <c r="NQB56" s="1"/>
      <c r="NQC56" s="1"/>
      <c r="NQD56" s="1"/>
      <c r="NQE56" s="1"/>
      <c r="NQF56" s="1"/>
      <c r="NQG56" s="1"/>
      <c r="NQH56" s="1"/>
      <c r="NQI56" s="1"/>
      <c r="NQJ56" s="1"/>
      <c r="NQK56" s="1"/>
      <c r="NQL56" s="1"/>
      <c r="NQM56" s="1"/>
      <c r="NQN56" s="1"/>
      <c r="NQO56" s="1"/>
      <c r="NQP56" s="1"/>
      <c r="NQQ56" s="1"/>
      <c r="NQR56" s="1"/>
      <c r="NQS56" s="1"/>
      <c r="NQT56" s="1"/>
      <c r="NQU56" s="1"/>
      <c r="NQV56" s="1"/>
      <c r="NQW56" s="1"/>
      <c r="NQX56" s="1"/>
      <c r="NQY56" s="1"/>
      <c r="NQZ56" s="1"/>
      <c r="NRA56" s="1"/>
      <c r="NRB56" s="1"/>
      <c r="NRC56" s="1"/>
      <c r="NRD56" s="1"/>
      <c r="NRE56" s="1"/>
      <c r="NRF56" s="1"/>
      <c r="NRG56" s="1"/>
      <c r="NRH56" s="1"/>
      <c r="NRI56" s="1"/>
      <c r="NRJ56" s="1"/>
      <c r="NRK56" s="1"/>
      <c r="NRL56" s="1"/>
      <c r="NRM56" s="1"/>
      <c r="NRN56" s="1"/>
      <c r="NRO56" s="1"/>
      <c r="NRP56" s="1"/>
      <c r="NRQ56" s="1"/>
      <c r="NRR56" s="1"/>
      <c r="NRS56" s="1"/>
      <c r="NRT56" s="1"/>
      <c r="NRU56" s="1"/>
      <c r="NRV56" s="1"/>
      <c r="NRW56" s="1"/>
      <c r="NRX56" s="1"/>
      <c r="NRY56" s="1"/>
      <c r="NRZ56" s="1"/>
      <c r="NSA56" s="1"/>
      <c r="NSB56" s="1"/>
      <c r="NSC56" s="1"/>
      <c r="NSD56" s="1"/>
      <c r="NSE56" s="1"/>
      <c r="NSF56" s="1"/>
      <c r="NSG56" s="1"/>
      <c r="NSH56" s="1"/>
      <c r="NSI56" s="1"/>
      <c r="NSJ56" s="1"/>
      <c r="NSK56" s="1"/>
      <c r="NSL56" s="1"/>
      <c r="NSM56" s="1"/>
      <c r="NSN56" s="1"/>
      <c r="NSO56" s="1"/>
      <c r="NSP56" s="1"/>
      <c r="NSQ56" s="1"/>
      <c r="NSR56" s="1"/>
      <c r="NSS56" s="1"/>
      <c r="NST56" s="1"/>
      <c r="NSU56" s="1"/>
      <c r="NSV56" s="1"/>
      <c r="NSW56" s="1"/>
      <c r="NSX56" s="1"/>
      <c r="NSY56" s="1"/>
      <c r="NSZ56" s="1"/>
      <c r="NTA56" s="1"/>
      <c r="NTB56" s="1"/>
      <c r="NTC56" s="1"/>
      <c r="NTD56" s="1"/>
      <c r="NTE56" s="1"/>
      <c r="NTF56" s="1"/>
      <c r="NTG56" s="1"/>
      <c r="NTH56" s="1"/>
      <c r="NTI56" s="1"/>
      <c r="NTJ56" s="1"/>
      <c r="NTK56" s="1"/>
      <c r="NTL56" s="1"/>
      <c r="NTM56" s="1"/>
      <c r="NTN56" s="1"/>
      <c r="NTO56" s="1"/>
      <c r="NTP56" s="1"/>
      <c r="NTQ56" s="1"/>
      <c r="NTR56" s="1"/>
      <c r="NTS56" s="1"/>
      <c r="NTT56" s="1"/>
      <c r="NTU56" s="1"/>
      <c r="NTV56" s="1"/>
      <c r="NTW56" s="1"/>
      <c r="NTX56" s="1"/>
      <c r="NTY56" s="1"/>
      <c r="NTZ56" s="1"/>
      <c r="NUA56" s="1"/>
      <c r="NUB56" s="1"/>
      <c r="NUC56" s="1"/>
      <c r="NUD56" s="1"/>
      <c r="NUE56" s="1"/>
      <c r="NUF56" s="1"/>
      <c r="NUG56" s="1"/>
      <c r="NUH56" s="1"/>
      <c r="NUI56" s="1"/>
      <c r="NUJ56" s="1"/>
      <c r="NUK56" s="1"/>
      <c r="NUL56" s="1"/>
      <c r="NUM56" s="1"/>
      <c r="NUN56" s="1"/>
      <c r="NUO56" s="1"/>
      <c r="NUP56" s="1"/>
      <c r="NUQ56" s="1"/>
      <c r="NUR56" s="1"/>
      <c r="NUS56" s="1"/>
      <c r="NUT56" s="1"/>
      <c r="NUU56" s="1"/>
      <c r="NUV56" s="1"/>
      <c r="NUW56" s="1"/>
      <c r="NUX56" s="1"/>
      <c r="NUY56" s="1"/>
      <c r="NUZ56" s="1"/>
      <c r="NVA56" s="1"/>
      <c r="NVB56" s="1"/>
      <c r="NVC56" s="1"/>
      <c r="NVD56" s="1"/>
      <c r="NVE56" s="1"/>
      <c r="NVF56" s="1"/>
      <c r="NVG56" s="1"/>
      <c r="NVH56" s="1"/>
      <c r="NVI56" s="1"/>
      <c r="NVJ56" s="1"/>
      <c r="NVK56" s="1"/>
      <c r="NVL56" s="1"/>
      <c r="NVM56" s="1"/>
      <c r="NVN56" s="1"/>
      <c r="NVO56" s="1"/>
      <c r="NVP56" s="1"/>
      <c r="NVQ56" s="1"/>
      <c r="NVR56" s="1"/>
      <c r="NVS56" s="1"/>
      <c r="NVT56" s="1"/>
      <c r="NVU56" s="1"/>
      <c r="NVV56" s="1"/>
      <c r="NVW56" s="1"/>
      <c r="NVX56" s="1"/>
      <c r="NVY56" s="1"/>
      <c r="NVZ56" s="1"/>
      <c r="NWA56" s="1"/>
      <c r="NWB56" s="1"/>
      <c r="NWC56" s="1"/>
      <c r="NWD56" s="1"/>
      <c r="NWE56" s="1"/>
      <c r="NWF56" s="1"/>
      <c r="NWG56" s="1"/>
      <c r="NWH56" s="1"/>
      <c r="NWI56" s="1"/>
      <c r="NWJ56" s="1"/>
      <c r="NWK56" s="1"/>
      <c r="NWL56" s="1"/>
      <c r="NWM56" s="1"/>
      <c r="NWN56" s="1"/>
      <c r="NWO56" s="1"/>
      <c r="NWP56" s="1"/>
      <c r="NWQ56" s="1"/>
      <c r="NWR56" s="1"/>
      <c r="NWS56" s="1"/>
      <c r="NWT56" s="1"/>
      <c r="NWU56" s="1"/>
      <c r="NWV56" s="1"/>
      <c r="NWW56" s="1"/>
      <c r="NWX56" s="1"/>
      <c r="NWY56" s="1"/>
      <c r="NWZ56" s="1"/>
      <c r="NXA56" s="1"/>
      <c r="NXB56" s="1"/>
      <c r="NXC56" s="1"/>
      <c r="NXD56" s="1"/>
      <c r="NXE56" s="1"/>
      <c r="NXF56" s="1"/>
      <c r="NXG56" s="1"/>
      <c r="NXH56" s="1"/>
      <c r="NXI56" s="1"/>
      <c r="NXJ56" s="1"/>
      <c r="NXK56" s="1"/>
      <c r="NXL56" s="1"/>
      <c r="NXM56" s="1"/>
      <c r="NXN56" s="1"/>
      <c r="NXO56" s="1"/>
      <c r="NXP56" s="1"/>
      <c r="NXQ56" s="1"/>
      <c r="NXR56" s="1"/>
      <c r="NXS56" s="1"/>
      <c r="NXT56" s="1"/>
      <c r="NXU56" s="1"/>
      <c r="NXV56" s="1"/>
      <c r="NXW56" s="1"/>
      <c r="NXX56" s="1"/>
      <c r="NXY56" s="1"/>
      <c r="NXZ56" s="1"/>
      <c r="NYA56" s="1"/>
      <c r="NYB56" s="1"/>
      <c r="NYC56" s="1"/>
      <c r="NYD56" s="1"/>
      <c r="NYE56" s="1"/>
      <c r="NYF56" s="1"/>
      <c r="NYG56" s="1"/>
      <c r="NYH56" s="1"/>
      <c r="NYI56" s="1"/>
      <c r="NYJ56" s="1"/>
      <c r="NYK56" s="1"/>
      <c r="NYL56" s="1"/>
      <c r="NYM56" s="1"/>
      <c r="NYN56" s="1"/>
      <c r="NYO56" s="1"/>
      <c r="NYP56" s="1"/>
      <c r="NYQ56" s="1"/>
      <c r="NYR56" s="1"/>
      <c r="NYS56" s="1"/>
      <c r="NYT56" s="1"/>
      <c r="NYU56" s="1"/>
      <c r="NYV56" s="1"/>
      <c r="NYW56" s="1"/>
      <c r="NYX56" s="1"/>
      <c r="NYY56" s="1"/>
      <c r="NYZ56" s="1"/>
      <c r="NZA56" s="1"/>
      <c r="NZB56" s="1"/>
      <c r="NZC56" s="1"/>
      <c r="NZD56" s="1"/>
      <c r="NZE56" s="1"/>
      <c r="NZF56" s="1"/>
      <c r="NZG56" s="1"/>
      <c r="NZH56" s="1"/>
      <c r="NZI56" s="1"/>
      <c r="NZJ56" s="1"/>
      <c r="NZK56" s="1"/>
      <c r="NZL56" s="1"/>
      <c r="NZM56" s="1"/>
      <c r="NZN56" s="1"/>
      <c r="NZO56" s="1"/>
      <c r="NZP56" s="1"/>
      <c r="NZQ56" s="1"/>
      <c r="NZR56" s="1"/>
      <c r="NZS56" s="1"/>
      <c r="NZT56" s="1"/>
      <c r="NZU56" s="1"/>
      <c r="NZV56" s="1"/>
      <c r="NZW56" s="1"/>
      <c r="NZX56" s="1"/>
      <c r="NZY56" s="1"/>
      <c r="NZZ56" s="1"/>
      <c r="OAA56" s="1"/>
      <c r="OAB56" s="1"/>
      <c r="OAC56" s="1"/>
      <c r="OAD56" s="1"/>
      <c r="OAE56" s="1"/>
      <c r="OAF56" s="1"/>
      <c r="OAG56" s="1"/>
      <c r="OAH56" s="1"/>
      <c r="OAI56" s="1"/>
      <c r="OAJ56" s="1"/>
      <c r="OAK56" s="1"/>
      <c r="OAL56" s="1"/>
      <c r="OAM56" s="1"/>
      <c r="OAN56" s="1"/>
      <c r="OAO56" s="1"/>
      <c r="OAP56" s="1"/>
      <c r="OAQ56" s="1"/>
      <c r="OAR56" s="1"/>
      <c r="OAS56" s="1"/>
      <c r="OAT56" s="1"/>
      <c r="OAU56" s="1"/>
      <c r="OAV56" s="1"/>
      <c r="OAW56" s="1"/>
      <c r="OAX56" s="1"/>
      <c r="OAY56" s="1"/>
      <c r="OAZ56" s="1"/>
      <c r="OBA56" s="1"/>
      <c r="OBB56" s="1"/>
      <c r="OBC56" s="1"/>
      <c r="OBD56" s="1"/>
      <c r="OBE56" s="1"/>
      <c r="OBF56" s="1"/>
      <c r="OBG56" s="1"/>
      <c r="OBH56" s="1"/>
      <c r="OBI56" s="1"/>
      <c r="OBJ56" s="1"/>
      <c r="OBK56" s="1"/>
      <c r="OBL56" s="1"/>
      <c r="OBM56" s="1"/>
      <c r="OBN56" s="1"/>
      <c r="OBO56" s="1"/>
      <c r="OBP56" s="1"/>
      <c r="OBQ56" s="1"/>
      <c r="OBR56" s="1"/>
      <c r="OBS56" s="1"/>
      <c r="OBT56" s="1"/>
      <c r="OBU56" s="1"/>
      <c r="OBV56" s="1"/>
      <c r="OBW56" s="1"/>
      <c r="OBX56" s="1"/>
      <c r="OBY56" s="1"/>
      <c r="OBZ56" s="1"/>
      <c r="OCA56" s="1"/>
      <c r="OCB56" s="1"/>
      <c r="OCC56" s="1"/>
      <c r="OCD56" s="1"/>
      <c r="OCE56" s="1"/>
      <c r="OCF56" s="1"/>
      <c r="OCG56" s="1"/>
      <c r="OCH56" s="1"/>
      <c r="OCI56" s="1"/>
      <c r="OCJ56" s="1"/>
      <c r="OCK56" s="1"/>
      <c r="OCL56" s="1"/>
      <c r="OCM56" s="1"/>
      <c r="OCN56" s="1"/>
      <c r="OCO56" s="1"/>
      <c r="OCP56" s="1"/>
      <c r="OCQ56" s="1"/>
      <c r="OCR56" s="1"/>
      <c r="OCS56" s="1"/>
      <c r="OCT56" s="1"/>
      <c r="OCU56" s="1"/>
      <c r="OCV56" s="1"/>
      <c r="OCW56" s="1"/>
      <c r="OCX56" s="1"/>
      <c r="OCY56" s="1"/>
      <c r="OCZ56" s="1"/>
      <c r="ODA56" s="1"/>
      <c r="ODB56" s="1"/>
      <c r="ODC56" s="1"/>
      <c r="ODD56" s="1"/>
      <c r="ODE56" s="1"/>
      <c r="ODF56" s="1"/>
      <c r="ODG56" s="1"/>
      <c r="ODH56" s="1"/>
      <c r="ODI56" s="1"/>
      <c r="ODJ56" s="1"/>
      <c r="ODK56" s="1"/>
      <c r="ODL56" s="1"/>
      <c r="ODM56" s="1"/>
      <c r="ODN56" s="1"/>
      <c r="ODO56" s="1"/>
      <c r="ODP56" s="1"/>
      <c r="ODQ56" s="1"/>
      <c r="ODR56" s="1"/>
      <c r="ODS56" s="1"/>
      <c r="ODT56" s="1"/>
      <c r="ODU56" s="1"/>
      <c r="ODV56" s="1"/>
      <c r="ODW56" s="1"/>
      <c r="ODX56" s="1"/>
      <c r="ODY56" s="1"/>
      <c r="ODZ56" s="1"/>
      <c r="OEA56" s="1"/>
      <c r="OEB56" s="1"/>
      <c r="OEC56" s="1"/>
      <c r="OED56" s="1"/>
      <c r="OEE56" s="1"/>
      <c r="OEF56" s="1"/>
      <c r="OEG56" s="1"/>
      <c r="OEH56" s="1"/>
      <c r="OEI56" s="1"/>
      <c r="OEJ56" s="1"/>
      <c r="OEK56" s="1"/>
      <c r="OEL56" s="1"/>
      <c r="OEM56" s="1"/>
      <c r="OEN56" s="1"/>
      <c r="OEO56" s="1"/>
      <c r="OEP56" s="1"/>
      <c r="OEQ56" s="1"/>
      <c r="OER56" s="1"/>
      <c r="OES56" s="1"/>
      <c r="OET56" s="1"/>
      <c r="OEU56" s="1"/>
      <c r="OEV56" s="1"/>
      <c r="OEW56" s="1"/>
      <c r="OEX56" s="1"/>
      <c r="OEY56" s="1"/>
      <c r="OEZ56" s="1"/>
      <c r="OFA56" s="1"/>
      <c r="OFB56" s="1"/>
      <c r="OFC56" s="1"/>
      <c r="OFD56" s="1"/>
      <c r="OFE56" s="1"/>
      <c r="OFF56" s="1"/>
      <c r="OFG56" s="1"/>
      <c r="OFH56" s="1"/>
      <c r="OFI56" s="1"/>
      <c r="OFJ56" s="1"/>
      <c r="OFK56" s="1"/>
      <c r="OFL56" s="1"/>
      <c r="OFM56" s="1"/>
      <c r="OFN56" s="1"/>
      <c r="OFO56" s="1"/>
      <c r="OFP56" s="1"/>
      <c r="OFQ56" s="1"/>
      <c r="OFR56" s="1"/>
      <c r="OFS56" s="1"/>
      <c r="OFT56" s="1"/>
      <c r="OFU56" s="1"/>
      <c r="OFV56" s="1"/>
      <c r="OFW56" s="1"/>
      <c r="OFX56" s="1"/>
      <c r="OFY56" s="1"/>
      <c r="OFZ56" s="1"/>
      <c r="OGA56" s="1"/>
      <c r="OGB56" s="1"/>
      <c r="OGC56" s="1"/>
      <c r="OGD56" s="1"/>
      <c r="OGE56" s="1"/>
      <c r="OGF56" s="1"/>
      <c r="OGG56" s="1"/>
      <c r="OGH56" s="1"/>
      <c r="OGI56" s="1"/>
      <c r="OGJ56" s="1"/>
      <c r="OGK56" s="1"/>
      <c r="OGL56" s="1"/>
      <c r="OGM56" s="1"/>
      <c r="OGN56" s="1"/>
      <c r="OGO56" s="1"/>
      <c r="OGP56" s="1"/>
      <c r="OGQ56" s="1"/>
      <c r="OGR56" s="1"/>
      <c r="OGS56" s="1"/>
      <c r="OGT56" s="1"/>
      <c r="OGU56" s="1"/>
      <c r="OGV56" s="1"/>
      <c r="OGW56" s="1"/>
      <c r="OGX56" s="1"/>
      <c r="OGY56" s="1"/>
      <c r="OGZ56" s="1"/>
      <c r="OHA56" s="1"/>
      <c r="OHB56" s="1"/>
      <c r="OHC56" s="1"/>
      <c r="OHD56" s="1"/>
      <c r="OHE56" s="1"/>
      <c r="OHF56" s="1"/>
      <c r="OHG56" s="1"/>
      <c r="OHH56" s="1"/>
      <c r="OHI56" s="1"/>
      <c r="OHJ56" s="1"/>
      <c r="OHK56" s="1"/>
      <c r="OHL56" s="1"/>
      <c r="OHM56" s="1"/>
      <c r="OHN56" s="1"/>
      <c r="OHO56" s="1"/>
      <c r="OHP56" s="1"/>
      <c r="OHQ56" s="1"/>
      <c r="OHR56" s="1"/>
      <c r="OHS56" s="1"/>
      <c r="OHT56" s="1"/>
      <c r="OHU56" s="1"/>
      <c r="OHV56" s="1"/>
      <c r="OHW56" s="1"/>
      <c r="OHX56" s="1"/>
      <c r="OHY56" s="1"/>
      <c r="OHZ56" s="1"/>
      <c r="OIA56" s="1"/>
      <c r="OIB56" s="1"/>
      <c r="OIC56" s="1"/>
      <c r="OID56" s="1"/>
      <c r="OIE56" s="1"/>
      <c r="OIF56" s="1"/>
      <c r="OIG56" s="1"/>
      <c r="OIH56" s="1"/>
      <c r="OII56" s="1"/>
      <c r="OIJ56" s="1"/>
      <c r="OIK56" s="1"/>
      <c r="OIL56" s="1"/>
      <c r="OIM56" s="1"/>
      <c r="OIN56" s="1"/>
      <c r="OIO56" s="1"/>
      <c r="OIP56" s="1"/>
      <c r="OIQ56" s="1"/>
      <c r="OIR56" s="1"/>
      <c r="OIS56" s="1"/>
      <c r="OIT56" s="1"/>
      <c r="OIU56" s="1"/>
      <c r="OIV56" s="1"/>
      <c r="OIW56" s="1"/>
      <c r="OIX56" s="1"/>
      <c r="OIY56" s="1"/>
      <c r="OIZ56" s="1"/>
      <c r="OJA56" s="1"/>
      <c r="OJB56" s="1"/>
      <c r="OJC56" s="1"/>
      <c r="OJD56" s="1"/>
      <c r="OJE56" s="1"/>
      <c r="OJF56" s="1"/>
      <c r="OJG56" s="1"/>
      <c r="OJH56" s="1"/>
      <c r="OJI56" s="1"/>
      <c r="OJJ56" s="1"/>
      <c r="OJK56" s="1"/>
      <c r="OJL56" s="1"/>
      <c r="OJM56" s="1"/>
      <c r="OJN56" s="1"/>
      <c r="OJO56" s="1"/>
      <c r="OJP56" s="1"/>
      <c r="OJQ56" s="1"/>
      <c r="OJR56" s="1"/>
      <c r="OJS56" s="1"/>
      <c r="OJT56" s="1"/>
      <c r="OJU56" s="1"/>
      <c r="OJV56" s="1"/>
      <c r="OJW56" s="1"/>
      <c r="OJX56" s="1"/>
      <c r="OJY56" s="1"/>
      <c r="OJZ56" s="1"/>
      <c r="OKA56" s="1"/>
      <c r="OKB56" s="1"/>
      <c r="OKC56" s="1"/>
      <c r="OKD56" s="1"/>
      <c r="OKE56" s="1"/>
      <c r="OKF56" s="1"/>
      <c r="OKG56" s="1"/>
      <c r="OKH56" s="1"/>
      <c r="OKI56" s="1"/>
      <c r="OKJ56" s="1"/>
      <c r="OKK56" s="1"/>
      <c r="OKL56" s="1"/>
      <c r="OKM56" s="1"/>
      <c r="OKN56" s="1"/>
      <c r="OKO56" s="1"/>
      <c r="OKP56" s="1"/>
      <c r="OKQ56" s="1"/>
      <c r="OKR56" s="1"/>
      <c r="OKS56" s="1"/>
      <c r="OKT56" s="1"/>
      <c r="OKU56" s="1"/>
      <c r="OKV56" s="1"/>
      <c r="OKW56" s="1"/>
      <c r="OKX56" s="1"/>
      <c r="OKY56" s="1"/>
      <c r="OKZ56" s="1"/>
      <c r="OLA56" s="1"/>
      <c r="OLB56" s="1"/>
      <c r="OLC56" s="1"/>
      <c r="OLD56" s="1"/>
      <c r="OLE56" s="1"/>
      <c r="OLF56" s="1"/>
      <c r="OLG56" s="1"/>
      <c r="OLH56" s="1"/>
      <c r="OLI56" s="1"/>
      <c r="OLJ56" s="1"/>
      <c r="OLK56" s="1"/>
      <c r="OLL56" s="1"/>
      <c r="OLM56" s="1"/>
      <c r="OLN56" s="1"/>
      <c r="OLO56" s="1"/>
      <c r="OLP56" s="1"/>
      <c r="OLQ56" s="1"/>
      <c r="OLR56" s="1"/>
      <c r="OLS56" s="1"/>
      <c r="OLT56" s="1"/>
      <c r="OLU56" s="1"/>
      <c r="OLV56" s="1"/>
      <c r="OLW56" s="1"/>
      <c r="OLX56" s="1"/>
      <c r="OLY56" s="1"/>
      <c r="OLZ56" s="1"/>
      <c r="OMA56" s="1"/>
      <c r="OMB56" s="1"/>
      <c r="OMC56" s="1"/>
      <c r="OMD56" s="1"/>
      <c r="OME56" s="1"/>
      <c r="OMF56" s="1"/>
      <c r="OMG56" s="1"/>
      <c r="OMH56" s="1"/>
      <c r="OMI56" s="1"/>
      <c r="OMJ56" s="1"/>
      <c r="OMK56" s="1"/>
      <c r="OML56" s="1"/>
      <c r="OMM56" s="1"/>
      <c r="OMN56" s="1"/>
      <c r="OMO56" s="1"/>
      <c r="OMP56" s="1"/>
      <c r="OMQ56" s="1"/>
      <c r="OMR56" s="1"/>
      <c r="OMS56" s="1"/>
      <c r="OMT56" s="1"/>
      <c r="OMU56" s="1"/>
      <c r="OMV56" s="1"/>
      <c r="OMW56" s="1"/>
      <c r="OMX56" s="1"/>
      <c r="OMY56" s="1"/>
      <c r="OMZ56" s="1"/>
      <c r="ONA56" s="1"/>
      <c r="ONB56" s="1"/>
      <c r="ONC56" s="1"/>
      <c r="OND56" s="1"/>
      <c r="ONE56" s="1"/>
      <c r="ONF56" s="1"/>
      <c r="ONG56" s="1"/>
      <c r="ONH56" s="1"/>
      <c r="ONI56" s="1"/>
      <c r="ONJ56" s="1"/>
      <c r="ONK56" s="1"/>
      <c r="ONL56" s="1"/>
      <c r="ONM56" s="1"/>
      <c r="ONN56" s="1"/>
      <c r="ONO56" s="1"/>
      <c r="ONP56" s="1"/>
      <c r="ONQ56" s="1"/>
      <c r="ONR56" s="1"/>
      <c r="ONS56" s="1"/>
      <c r="ONT56" s="1"/>
      <c r="ONU56" s="1"/>
      <c r="ONV56" s="1"/>
      <c r="ONW56" s="1"/>
      <c r="ONX56" s="1"/>
      <c r="ONY56" s="1"/>
      <c r="ONZ56" s="1"/>
      <c r="OOA56" s="1"/>
      <c r="OOB56" s="1"/>
      <c r="OOC56" s="1"/>
      <c r="OOD56" s="1"/>
      <c r="OOE56" s="1"/>
      <c r="OOF56" s="1"/>
      <c r="OOG56" s="1"/>
      <c r="OOH56" s="1"/>
      <c r="OOI56" s="1"/>
      <c r="OOJ56" s="1"/>
      <c r="OOK56" s="1"/>
      <c r="OOL56" s="1"/>
      <c r="OOM56" s="1"/>
      <c r="OON56" s="1"/>
      <c r="OOO56" s="1"/>
      <c r="OOP56" s="1"/>
      <c r="OOQ56" s="1"/>
      <c r="OOR56" s="1"/>
      <c r="OOS56" s="1"/>
      <c r="OOT56" s="1"/>
      <c r="OOU56" s="1"/>
      <c r="OOV56" s="1"/>
      <c r="OOW56" s="1"/>
      <c r="OOX56" s="1"/>
      <c r="OOY56" s="1"/>
      <c r="OOZ56" s="1"/>
      <c r="OPA56" s="1"/>
      <c r="OPB56" s="1"/>
      <c r="OPC56" s="1"/>
      <c r="OPD56" s="1"/>
      <c r="OPE56" s="1"/>
      <c r="OPF56" s="1"/>
      <c r="OPG56" s="1"/>
      <c r="OPH56" s="1"/>
      <c r="OPI56" s="1"/>
      <c r="OPJ56" s="1"/>
      <c r="OPK56" s="1"/>
      <c r="OPL56" s="1"/>
      <c r="OPM56" s="1"/>
      <c r="OPN56" s="1"/>
      <c r="OPO56" s="1"/>
      <c r="OPP56" s="1"/>
      <c r="OPQ56" s="1"/>
      <c r="OPR56" s="1"/>
      <c r="OPS56" s="1"/>
      <c r="OPT56" s="1"/>
      <c r="OPU56" s="1"/>
      <c r="OPV56" s="1"/>
      <c r="OPW56" s="1"/>
      <c r="OPX56" s="1"/>
      <c r="OPY56" s="1"/>
      <c r="OPZ56" s="1"/>
      <c r="OQA56" s="1"/>
      <c r="OQB56" s="1"/>
      <c r="OQC56" s="1"/>
      <c r="OQD56" s="1"/>
      <c r="OQE56" s="1"/>
      <c r="OQF56" s="1"/>
      <c r="OQG56" s="1"/>
      <c r="OQH56" s="1"/>
      <c r="OQI56" s="1"/>
      <c r="OQJ56" s="1"/>
      <c r="OQK56" s="1"/>
      <c r="OQL56" s="1"/>
      <c r="OQM56" s="1"/>
      <c r="OQN56" s="1"/>
      <c r="OQO56" s="1"/>
      <c r="OQP56" s="1"/>
      <c r="OQQ56" s="1"/>
      <c r="OQR56" s="1"/>
      <c r="OQS56" s="1"/>
      <c r="OQT56" s="1"/>
      <c r="OQU56" s="1"/>
      <c r="OQV56" s="1"/>
      <c r="OQW56" s="1"/>
      <c r="OQX56" s="1"/>
      <c r="OQY56" s="1"/>
      <c r="OQZ56" s="1"/>
      <c r="ORA56" s="1"/>
      <c r="ORB56" s="1"/>
      <c r="ORC56" s="1"/>
      <c r="ORD56" s="1"/>
      <c r="ORE56" s="1"/>
      <c r="ORF56" s="1"/>
      <c r="ORG56" s="1"/>
      <c r="ORH56" s="1"/>
      <c r="ORI56" s="1"/>
      <c r="ORJ56" s="1"/>
      <c r="ORK56" s="1"/>
      <c r="ORL56" s="1"/>
      <c r="ORM56" s="1"/>
      <c r="ORN56" s="1"/>
      <c r="ORO56" s="1"/>
      <c r="ORP56" s="1"/>
      <c r="ORQ56" s="1"/>
      <c r="ORR56" s="1"/>
      <c r="ORS56" s="1"/>
      <c r="ORT56" s="1"/>
      <c r="ORU56" s="1"/>
      <c r="ORV56" s="1"/>
      <c r="ORW56" s="1"/>
      <c r="ORX56" s="1"/>
      <c r="ORY56" s="1"/>
      <c r="ORZ56" s="1"/>
      <c r="OSA56" s="1"/>
      <c r="OSB56" s="1"/>
      <c r="OSC56" s="1"/>
      <c r="OSD56" s="1"/>
      <c r="OSE56" s="1"/>
      <c r="OSF56" s="1"/>
      <c r="OSG56" s="1"/>
      <c r="OSH56" s="1"/>
      <c r="OSI56" s="1"/>
      <c r="OSJ56" s="1"/>
      <c r="OSK56" s="1"/>
      <c r="OSL56" s="1"/>
      <c r="OSM56" s="1"/>
      <c r="OSN56" s="1"/>
      <c r="OSO56" s="1"/>
      <c r="OSP56" s="1"/>
      <c r="OSQ56" s="1"/>
      <c r="OSR56" s="1"/>
      <c r="OSS56" s="1"/>
      <c r="OST56" s="1"/>
      <c r="OSU56" s="1"/>
      <c r="OSV56" s="1"/>
      <c r="OSW56" s="1"/>
      <c r="OSX56" s="1"/>
      <c r="OSY56" s="1"/>
      <c r="OSZ56" s="1"/>
      <c r="OTA56" s="1"/>
      <c r="OTB56" s="1"/>
      <c r="OTC56" s="1"/>
      <c r="OTD56" s="1"/>
      <c r="OTE56" s="1"/>
      <c r="OTF56" s="1"/>
      <c r="OTG56" s="1"/>
      <c r="OTH56" s="1"/>
      <c r="OTI56" s="1"/>
      <c r="OTJ56" s="1"/>
      <c r="OTK56" s="1"/>
      <c r="OTL56" s="1"/>
      <c r="OTM56" s="1"/>
      <c r="OTN56" s="1"/>
      <c r="OTO56" s="1"/>
      <c r="OTP56" s="1"/>
      <c r="OTQ56" s="1"/>
      <c r="OTR56" s="1"/>
      <c r="OTS56" s="1"/>
      <c r="OTT56" s="1"/>
      <c r="OTU56" s="1"/>
      <c r="OTV56" s="1"/>
      <c r="OTW56" s="1"/>
      <c r="OTX56" s="1"/>
      <c r="OTY56" s="1"/>
      <c r="OTZ56" s="1"/>
      <c r="OUA56" s="1"/>
      <c r="OUB56" s="1"/>
      <c r="OUC56" s="1"/>
      <c r="OUD56" s="1"/>
      <c r="OUE56" s="1"/>
      <c r="OUF56" s="1"/>
      <c r="OUG56" s="1"/>
      <c r="OUH56" s="1"/>
      <c r="OUI56" s="1"/>
      <c r="OUJ56" s="1"/>
      <c r="OUK56" s="1"/>
      <c r="OUL56" s="1"/>
      <c r="OUM56" s="1"/>
      <c r="OUN56" s="1"/>
      <c r="OUO56" s="1"/>
      <c r="OUP56" s="1"/>
      <c r="OUQ56" s="1"/>
      <c r="OUR56" s="1"/>
      <c r="OUS56" s="1"/>
      <c r="OUT56" s="1"/>
      <c r="OUU56" s="1"/>
      <c r="OUV56" s="1"/>
      <c r="OUW56" s="1"/>
      <c r="OUX56" s="1"/>
      <c r="OUY56" s="1"/>
      <c r="OUZ56" s="1"/>
      <c r="OVA56" s="1"/>
      <c r="OVB56" s="1"/>
      <c r="OVC56" s="1"/>
      <c r="OVD56" s="1"/>
      <c r="OVE56" s="1"/>
      <c r="OVF56" s="1"/>
      <c r="OVG56" s="1"/>
      <c r="OVH56" s="1"/>
      <c r="OVI56" s="1"/>
      <c r="OVJ56" s="1"/>
      <c r="OVK56" s="1"/>
      <c r="OVL56" s="1"/>
      <c r="OVM56" s="1"/>
      <c r="OVN56" s="1"/>
      <c r="OVO56" s="1"/>
      <c r="OVP56" s="1"/>
      <c r="OVQ56" s="1"/>
      <c r="OVR56" s="1"/>
      <c r="OVS56" s="1"/>
      <c r="OVT56" s="1"/>
      <c r="OVU56" s="1"/>
      <c r="OVV56" s="1"/>
      <c r="OVW56" s="1"/>
      <c r="OVX56" s="1"/>
      <c r="OVY56" s="1"/>
      <c r="OVZ56" s="1"/>
      <c r="OWA56" s="1"/>
      <c r="OWB56" s="1"/>
      <c r="OWC56" s="1"/>
      <c r="OWD56" s="1"/>
      <c r="OWE56" s="1"/>
      <c r="OWF56" s="1"/>
      <c r="OWG56" s="1"/>
      <c r="OWH56" s="1"/>
      <c r="OWI56" s="1"/>
      <c r="OWJ56" s="1"/>
      <c r="OWK56" s="1"/>
      <c r="OWL56" s="1"/>
      <c r="OWM56" s="1"/>
      <c r="OWN56" s="1"/>
      <c r="OWO56" s="1"/>
      <c r="OWP56" s="1"/>
      <c r="OWQ56" s="1"/>
      <c r="OWR56" s="1"/>
      <c r="OWS56" s="1"/>
      <c r="OWT56" s="1"/>
      <c r="OWU56" s="1"/>
      <c r="OWV56" s="1"/>
      <c r="OWW56" s="1"/>
      <c r="OWX56" s="1"/>
      <c r="OWY56" s="1"/>
      <c r="OWZ56" s="1"/>
      <c r="OXA56" s="1"/>
      <c r="OXB56" s="1"/>
      <c r="OXC56" s="1"/>
      <c r="OXD56" s="1"/>
      <c r="OXE56" s="1"/>
      <c r="OXF56" s="1"/>
      <c r="OXG56" s="1"/>
      <c r="OXH56" s="1"/>
      <c r="OXI56" s="1"/>
      <c r="OXJ56" s="1"/>
      <c r="OXK56" s="1"/>
      <c r="OXL56" s="1"/>
      <c r="OXM56" s="1"/>
      <c r="OXN56" s="1"/>
      <c r="OXO56" s="1"/>
      <c r="OXP56" s="1"/>
      <c r="OXQ56" s="1"/>
      <c r="OXR56" s="1"/>
      <c r="OXS56" s="1"/>
      <c r="OXT56" s="1"/>
      <c r="OXU56" s="1"/>
      <c r="OXV56" s="1"/>
      <c r="OXW56" s="1"/>
      <c r="OXX56" s="1"/>
      <c r="OXY56" s="1"/>
      <c r="OXZ56" s="1"/>
      <c r="OYA56" s="1"/>
      <c r="OYB56" s="1"/>
      <c r="OYC56" s="1"/>
      <c r="OYD56" s="1"/>
      <c r="OYE56" s="1"/>
      <c r="OYF56" s="1"/>
      <c r="OYG56" s="1"/>
      <c r="OYH56" s="1"/>
      <c r="OYI56" s="1"/>
      <c r="OYJ56" s="1"/>
      <c r="OYK56" s="1"/>
      <c r="OYL56" s="1"/>
      <c r="OYM56" s="1"/>
      <c r="OYN56" s="1"/>
      <c r="OYO56" s="1"/>
      <c r="OYP56" s="1"/>
      <c r="OYQ56" s="1"/>
      <c r="OYR56" s="1"/>
      <c r="OYS56" s="1"/>
      <c r="OYT56" s="1"/>
      <c r="OYU56" s="1"/>
      <c r="OYV56" s="1"/>
      <c r="OYW56" s="1"/>
      <c r="OYX56" s="1"/>
      <c r="OYY56" s="1"/>
      <c r="OYZ56" s="1"/>
      <c r="OZA56" s="1"/>
      <c r="OZB56" s="1"/>
      <c r="OZC56" s="1"/>
      <c r="OZD56" s="1"/>
      <c r="OZE56" s="1"/>
      <c r="OZF56" s="1"/>
      <c r="OZG56" s="1"/>
      <c r="OZH56" s="1"/>
      <c r="OZI56" s="1"/>
      <c r="OZJ56" s="1"/>
      <c r="OZK56" s="1"/>
      <c r="OZL56" s="1"/>
      <c r="OZM56" s="1"/>
      <c r="OZN56" s="1"/>
      <c r="OZO56" s="1"/>
      <c r="OZP56" s="1"/>
      <c r="OZQ56" s="1"/>
      <c r="OZR56" s="1"/>
      <c r="OZS56" s="1"/>
      <c r="OZT56" s="1"/>
      <c r="OZU56" s="1"/>
      <c r="OZV56" s="1"/>
      <c r="OZW56" s="1"/>
      <c r="OZX56" s="1"/>
      <c r="OZY56" s="1"/>
      <c r="OZZ56" s="1"/>
      <c r="PAA56" s="1"/>
      <c r="PAB56" s="1"/>
      <c r="PAC56" s="1"/>
      <c r="PAD56" s="1"/>
      <c r="PAE56" s="1"/>
      <c r="PAF56" s="1"/>
      <c r="PAG56" s="1"/>
      <c r="PAH56" s="1"/>
      <c r="PAI56" s="1"/>
      <c r="PAJ56" s="1"/>
      <c r="PAK56" s="1"/>
      <c r="PAL56" s="1"/>
      <c r="PAM56" s="1"/>
      <c r="PAN56" s="1"/>
      <c r="PAO56" s="1"/>
      <c r="PAP56" s="1"/>
      <c r="PAQ56" s="1"/>
      <c r="PAR56" s="1"/>
      <c r="PAS56" s="1"/>
      <c r="PAT56" s="1"/>
      <c r="PAU56" s="1"/>
      <c r="PAV56" s="1"/>
      <c r="PAW56" s="1"/>
      <c r="PAX56" s="1"/>
      <c r="PAY56" s="1"/>
      <c r="PAZ56" s="1"/>
      <c r="PBA56" s="1"/>
      <c r="PBB56" s="1"/>
      <c r="PBC56" s="1"/>
      <c r="PBD56" s="1"/>
      <c r="PBE56" s="1"/>
      <c r="PBF56" s="1"/>
      <c r="PBG56" s="1"/>
      <c r="PBH56" s="1"/>
      <c r="PBI56" s="1"/>
      <c r="PBJ56" s="1"/>
      <c r="PBK56" s="1"/>
      <c r="PBL56" s="1"/>
      <c r="PBM56" s="1"/>
      <c r="PBN56" s="1"/>
      <c r="PBO56" s="1"/>
      <c r="PBP56" s="1"/>
      <c r="PBQ56" s="1"/>
      <c r="PBR56" s="1"/>
      <c r="PBS56" s="1"/>
      <c r="PBT56" s="1"/>
      <c r="PBU56" s="1"/>
      <c r="PBV56" s="1"/>
      <c r="PBW56" s="1"/>
      <c r="PBX56" s="1"/>
      <c r="PBY56" s="1"/>
      <c r="PBZ56" s="1"/>
      <c r="PCA56" s="1"/>
      <c r="PCB56" s="1"/>
      <c r="PCC56" s="1"/>
      <c r="PCD56" s="1"/>
      <c r="PCE56" s="1"/>
      <c r="PCF56" s="1"/>
      <c r="PCG56" s="1"/>
      <c r="PCH56" s="1"/>
      <c r="PCI56" s="1"/>
      <c r="PCJ56" s="1"/>
      <c r="PCK56" s="1"/>
      <c r="PCL56" s="1"/>
      <c r="PCM56" s="1"/>
      <c r="PCN56" s="1"/>
      <c r="PCO56" s="1"/>
      <c r="PCP56" s="1"/>
      <c r="PCQ56" s="1"/>
      <c r="PCR56" s="1"/>
      <c r="PCS56" s="1"/>
      <c r="PCT56" s="1"/>
      <c r="PCU56" s="1"/>
      <c r="PCV56" s="1"/>
      <c r="PCW56" s="1"/>
      <c r="PCX56" s="1"/>
      <c r="PCY56" s="1"/>
      <c r="PCZ56" s="1"/>
      <c r="PDA56" s="1"/>
      <c r="PDB56" s="1"/>
      <c r="PDC56" s="1"/>
      <c r="PDD56" s="1"/>
      <c r="PDE56" s="1"/>
      <c r="PDF56" s="1"/>
      <c r="PDG56" s="1"/>
      <c r="PDH56" s="1"/>
      <c r="PDI56" s="1"/>
      <c r="PDJ56" s="1"/>
      <c r="PDK56" s="1"/>
      <c r="PDL56" s="1"/>
      <c r="PDM56" s="1"/>
      <c r="PDN56" s="1"/>
      <c r="PDO56" s="1"/>
      <c r="PDP56" s="1"/>
      <c r="PDQ56" s="1"/>
      <c r="PDR56" s="1"/>
      <c r="PDS56" s="1"/>
      <c r="PDT56" s="1"/>
      <c r="PDU56" s="1"/>
      <c r="PDV56" s="1"/>
      <c r="PDW56" s="1"/>
      <c r="PDX56" s="1"/>
      <c r="PDY56" s="1"/>
      <c r="PDZ56" s="1"/>
      <c r="PEA56" s="1"/>
      <c r="PEB56" s="1"/>
      <c r="PEC56" s="1"/>
      <c r="PED56" s="1"/>
      <c r="PEE56" s="1"/>
      <c r="PEF56" s="1"/>
      <c r="PEG56" s="1"/>
      <c r="PEH56" s="1"/>
      <c r="PEI56" s="1"/>
      <c r="PEJ56" s="1"/>
      <c r="PEK56" s="1"/>
      <c r="PEL56" s="1"/>
      <c r="PEM56" s="1"/>
      <c r="PEN56" s="1"/>
      <c r="PEO56" s="1"/>
      <c r="PEP56" s="1"/>
      <c r="PEQ56" s="1"/>
      <c r="PER56" s="1"/>
      <c r="PES56" s="1"/>
      <c r="PET56" s="1"/>
      <c r="PEU56" s="1"/>
      <c r="PEV56" s="1"/>
      <c r="PEW56" s="1"/>
      <c r="PEX56" s="1"/>
      <c r="PEY56" s="1"/>
      <c r="PEZ56" s="1"/>
      <c r="PFA56" s="1"/>
      <c r="PFB56" s="1"/>
      <c r="PFC56" s="1"/>
      <c r="PFD56" s="1"/>
      <c r="PFE56" s="1"/>
      <c r="PFF56" s="1"/>
      <c r="PFG56" s="1"/>
      <c r="PFH56" s="1"/>
      <c r="PFI56" s="1"/>
      <c r="PFJ56" s="1"/>
      <c r="PFK56" s="1"/>
      <c r="PFL56" s="1"/>
      <c r="PFM56" s="1"/>
      <c r="PFN56" s="1"/>
      <c r="PFO56" s="1"/>
      <c r="PFP56" s="1"/>
      <c r="PFQ56" s="1"/>
      <c r="PFR56" s="1"/>
      <c r="PFS56" s="1"/>
      <c r="PFT56" s="1"/>
      <c r="PFU56" s="1"/>
      <c r="PFV56" s="1"/>
      <c r="PFW56" s="1"/>
      <c r="PFX56" s="1"/>
      <c r="PFY56" s="1"/>
      <c r="PFZ56" s="1"/>
      <c r="PGA56" s="1"/>
      <c r="PGB56" s="1"/>
      <c r="PGC56" s="1"/>
      <c r="PGD56" s="1"/>
      <c r="PGE56" s="1"/>
      <c r="PGF56" s="1"/>
      <c r="PGG56" s="1"/>
      <c r="PGH56" s="1"/>
      <c r="PGI56" s="1"/>
      <c r="PGJ56" s="1"/>
      <c r="PGK56" s="1"/>
      <c r="PGL56" s="1"/>
      <c r="PGM56" s="1"/>
      <c r="PGN56" s="1"/>
      <c r="PGO56" s="1"/>
      <c r="PGP56" s="1"/>
      <c r="PGQ56" s="1"/>
      <c r="PGR56" s="1"/>
      <c r="PGS56" s="1"/>
      <c r="PGT56" s="1"/>
      <c r="PGU56" s="1"/>
      <c r="PGV56" s="1"/>
      <c r="PGW56" s="1"/>
      <c r="PGX56" s="1"/>
      <c r="PGY56" s="1"/>
      <c r="PGZ56" s="1"/>
      <c r="PHA56" s="1"/>
      <c r="PHB56" s="1"/>
      <c r="PHC56" s="1"/>
      <c r="PHD56" s="1"/>
      <c r="PHE56" s="1"/>
      <c r="PHF56" s="1"/>
      <c r="PHG56" s="1"/>
      <c r="PHH56" s="1"/>
      <c r="PHI56" s="1"/>
      <c r="PHJ56" s="1"/>
      <c r="PHK56" s="1"/>
      <c r="PHL56" s="1"/>
      <c r="PHM56" s="1"/>
      <c r="PHN56" s="1"/>
      <c r="PHO56" s="1"/>
      <c r="PHP56" s="1"/>
      <c r="PHQ56" s="1"/>
      <c r="PHR56" s="1"/>
      <c r="PHS56" s="1"/>
      <c r="PHT56" s="1"/>
      <c r="PHU56" s="1"/>
      <c r="PHV56" s="1"/>
      <c r="PHW56" s="1"/>
      <c r="PHX56" s="1"/>
      <c r="PHY56" s="1"/>
      <c r="PHZ56" s="1"/>
      <c r="PIA56" s="1"/>
      <c r="PIB56" s="1"/>
      <c r="PIC56" s="1"/>
      <c r="PID56" s="1"/>
      <c r="PIE56" s="1"/>
      <c r="PIF56" s="1"/>
      <c r="PIG56" s="1"/>
      <c r="PIH56" s="1"/>
      <c r="PII56" s="1"/>
      <c r="PIJ56" s="1"/>
      <c r="PIK56" s="1"/>
      <c r="PIL56" s="1"/>
      <c r="PIM56" s="1"/>
      <c r="PIN56" s="1"/>
      <c r="PIO56" s="1"/>
      <c r="PIP56" s="1"/>
      <c r="PIQ56" s="1"/>
      <c r="PIR56" s="1"/>
      <c r="PIS56" s="1"/>
      <c r="PIT56" s="1"/>
      <c r="PIU56" s="1"/>
      <c r="PIV56" s="1"/>
      <c r="PIW56" s="1"/>
      <c r="PIX56" s="1"/>
      <c r="PIY56" s="1"/>
      <c r="PIZ56" s="1"/>
      <c r="PJA56" s="1"/>
      <c r="PJB56" s="1"/>
      <c r="PJC56" s="1"/>
      <c r="PJD56" s="1"/>
      <c r="PJE56" s="1"/>
      <c r="PJF56" s="1"/>
      <c r="PJG56" s="1"/>
      <c r="PJH56" s="1"/>
      <c r="PJI56" s="1"/>
      <c r="PJJ56" s="1"/>
      <c r="PJK56" s="1"/>
      <c r="PJL56" s="1"/>
      <c r="PJM56" s="1"/>
      <c r="PJN56" s="1"/>
      <c r="PJO56" s="1"/>
      <c r="PJP56" s="1"/>
      <c r="PJQ56" s="1"/>
      <c r="PJR56" s="1"/>
      <c r="PJS56" s="1"/>
      <c r="PJT56" s="1"/>
      <c r="PJU56" s="1"/>
      <c r="PJV56" s="1"/>
      <c r="PJW56" s="1"/>
      <c r="PJX56" s="1"/>
      <c r="PJY56" s="1"/>
      <c r="PJZ56" s="1"/>
      <c r="PKA56" s="1"/>
      <c r="PKB56" s="1"/>
      <c r="PKC56" s="1"/>
      <c r="PKD56" s="1"/>
      <c r="PKE56" s="1"/>
      <c r="PKF56" s="1"/>
      <c r="PKG56" s="1"/>
      <c r="PKH56" s="1"/>
      <c r="PKI56" s="1"/>
      <c r="PKJ56" s="1"/>
      <c r="PKK56" s="1"/>
      <c r="PKL56" s="1"/>
      <c r="PKM56" s="1"/>
      <c r="PKN56" s="1"/>
      <c r="PKO56" s="1"/>
      <c r="PKP56" s="1"/>
      <c r="PKQ56" s="1"/>
      <c r="PKR56" s="1"/>
      <c r="PKS56" s="1"/>
      <c r="PKT56" s="1"/>
      <c r="PKU56" s="1"/>
      <c r="PKV56" s="1"/>
      <c r="PKW56" s="1"/>
      <c r="PKX56" s="1"/>
      <c r="PKY56" s="1"/>
      <c r="PKZ56" s="1"/>
      <c r="PLA56" s="1"/>
      <c r="PLB56" s="1"/>
      <c r="PLC56" s="1"/>
      <c r="PLD56" s="1"/>
      <c r="PLE56" s="1"/>
      <c r="PLF56" s="1"/>
      <c r="PLG56" s="1"/>
      <c r="PLH56" s="1"/>
      <c r="PLI56" s="1"/>
      <c r="PLJ56" s="1"/>
      <c r="PLK56" s="1"/>
      <c r="PLL56" s="1"/>
      <c r="PLM56" s="1"/>
      <c r="PLN56" s="1"/>
      <c r="PLO56" s="1"/>
      <c r="PLP56" s="1"/>
      <c r="PLQ56" s="1"/>
      <c r="PLR56" s="1"/>
      <c r="PLS56" s="1"/>
      <c r="PLT56" s="1"/>
      <c r="PLU56" s="1"/>
      <c r="PLV56" s="1"/>
      <c r="PLW56" s="1"/>
      <c r="PLX56" s="1"/>
      <c r="PLY56" s="1"/>
      <c r="PLZ56" s="1"/>
      <c r="PMA56" s="1"/>
      <c r="PMB56" s="1"/>
      <c r="PMC56" s="1"/>
      <c r="PMD56" s="1"/>
      <c r="PME56" s="1"/>
      <c r="PMF56" s="1"/>
      <c r="PMG56" s="1"/>
      <c r="PMH56" s="1"/>
      <c r="PMI56" s="1"/>
      <c r="PMJ56" s="1"/>
      <c r="PMK56" s="1"/>
      <c r="PML56" s="1"/>
      <c r="PMM56" s="1"/>
      <c r="PMN56" s="1"/>
      <c r="PMO56" s="1"/>
      <c r="PMP56" s="1"/>
      <c r="PMQ56" s="1"/>
      <c r="PMR56" s="1"/>
      <c r="PMS56" s="1"/>
      <c r="PMT56" s="1"/>
      <c r="PMU56" s="1"/>
      <c r="PMV56" s="1"/>
      <c r="PMW56" s="1"/>
      <c r="PMX56" s="1"/>
      <c r="PMY56" s="1"/>
      <c r="PMZ56" s="1"/>
      <c r="PNA56" s="1"/>
      <c r="PNB56" s="1"/>
      <c r="PNC56" s="1"/>
      <c r="PND56" s="1"/>
      <c r="PNE56" s="1"/>
      <c r="PNF56" s="1"/>
      <c r="PNG56" s="1"/>
      <c r="PNH56" s="1"/>
      <c r="PNI56" s="1"/>
      <c r="PNJ56" s="1"/>
      <c r="PNK56" s="1"/>
      <c r="PNL56" s="1"/>
      <c r="PNM56" s="1"/>
      <c r="PNN56" s="1"/>
      <c r="PNO56" s="1"/>
      <c r="PNP56" s="1"/>
      <c r="PNQ56" s="1"/>
      <c r="PNR56" s="1"/>
      <c r="PNS56" s="1"/>
      <c r="PNT56" s="1"/>
      <c r="PNU56" s="1"/>
      <c r="PNV56" s="1"/>
      <c r="PNW56" s="1"/>
      <c r="PNX56" s="1"/>
      <c r="PNY56" s="1"/>
      <c r="PNZ56" s="1"/>
      <c r="POA56" s="1"/>
      <c r="POB56" s="1"/>
      <c r="POC56" s="1"/>
      <c r="POD56" s="1"/>
      <c r="POE56" s="1"/>
      <c r="POF56" s="1"/>
      <c r="POG56" s="1"/>
      <c r="POH56" s="1"/>
      <c r="POI56" s="1"/>
      <c r="POJ56" s="1"/>
      <c r="POK56" s="1"/>
      <c r="POL56" s="1"/>
      <c r="POM56" s="1"/>
      <c r="PON56" s="1"/>
      <c r="POO56" s="1"/>
      <c r="POP56" s="1"/>
      <c r="POQ56" s="1"/>
      <c r="POR56" s="1"/>
      <c r="POS56" s="1"/>
      <c r="POT56" s="1"/>
      <c r="POU56" s="1"/>
      <c r="POV56" s="1"/>
      <c r="POW56" s="1"/>
      <c r="POX56" s="1"/>
      <c r="POY56" s="1"/>
      <c r="POZ56" s="1"/>
      <c r="PPA56" s="1"/>
      <c r="PPB56" s="1"/>
      <c r="PPC56" s="1"/>
      <c r="PPD56" s="1"/>
      <c r="PPE56" s="1"/>
      <c r="PPF56" s="1"/>
      <c r="PPG56" s="1"/>
      <c r="PPH56" s="1"/>
      <c r="PPI56" s="1"/>
      <c r="PPJ56" s="1"/>
      <c r="PPK56" s="1"/>
      <c r="PPL56" s="1"/>
      <c r="PPM56" s="1"/>
      <c r="PPN56" s="1"/>
      <c r="PPO56" s="1"/>
      <c r="PPP56" s="1"/>
      <c r="PPQ56" s="1"/>
      <c r="PPR56" s="1"/>
      <c r="PPS56" s="1"/>
      <c r="PPT56" s="1"/>
      <c r="PPU56" s="1"/>
      <c r="PPV56" s="1"/>
      <c r="PPW56" s="1"/>
      <c r="PPX56" s="1"/>
      <c r="PPY56" s="1"/>
      <c r="PPZ56" s="1"/>
      <c r="PQA56" s="1"/>
      <c r="PQB56" s="1"/>
      <c r="PQC56" s="1"/>
      <c r="PQD56" s="1"/>
      <c r="PQE56" s="1"/>
      <c r="PQF56" s="1"/>
      <c r="PQG56" s="1"/>
      <c r="PQH56" s="1"/>
      <c r="PQI56" s="1"/>
      <c r="PQJ56" s="1"/>
      <c r="PQK56" s="1"/>
      <c r="PQL56" s="1"/>
      <c r="PQM56" s="1"/>
      <c r="PQN56" s="1"/>
      <c r="PQO56" s="1"/>
      <c r="PQP56" s="1"/>
      <c r="PQQ56" s="1"/>
      <c r="PQR56" s="1"/>
      <c r="PQS56" s="1"/>
      <c r="PQT56" s="1"/>
      <c r="PQU56" s="1"/>
      <c r="PQV56" s="1"/>
      <c r="PQW56" s="1"/>
      <c r="PQX56" s="1"/>
      <c r="PQY56" s="1"/>
      <c r="PQZ56" s="1"/>
      <c r="PRA56" s="1"/>
      <c r="PRB56" s="1"/>
      <c r="PRC56" s="1"/>
      <c r="PRD56" s="1"/>
      <c r="PRE56" s="1"/>
      <c r="PRF56" s="1"/>
      <c r="PRG56" s="1"/>
      <c r="PRH56" s="1"/>
      <c r="PRI56" s="1"/>
      <c r="PRJ56" s="1"/>
      <c r="PRK56" s="1"/>
      <c r="PRL56" s="1"/>
      <c r="PRM56" s="1"/>
      <c r="PRN56" s="1"/>
      <c r="PRO56" s="1"/>
      <c r="PRP56" s="1"/>
      <c r="PRQ56" s="1"/>
      <c r="PRR56" s="1"/>
      <c r="PRS56" s="1"/>
      <c r="PRT56" s="1"/>
      <c r="PRU56" s="1"/>
      <c r="PRV56" s="1"/>
      <c r="PRW56" s="1"/>
      <c r="PRX56" s="1"/>
      <c r="PRY56" s="1"/>
      <c r="PRZ56" s="1"/>
      <c r="PSA56" s="1"/>
      <c r="PSB56" s="1"/>
      <c r="PSC56" s="1"/>
      <c r="PSD56" s="1"/>
      <c r="PSE56" s="1"/>
      <c r="PSF56" s="1"/>
      <c r="PSG56" s="1"/>
      <c r="PSH56" s="1"/>
      <c r="PSI56" s="1"/>
      <c r="PSJ56" s="1"/>
      <c r="PSK56" s="1"/>
      <c r="PSL56" s="1"/>
      <c r="PSM56" s="1"/>
      <c r="PSN56" s="1"/>
      <c r="PSO56" s="1"/>
      <c r="PSP56" s="1"/>
      <c r="PSQ56" s="1"/>
      <c r="PSR56" s="1"/>
      <c r="PSS56" s="1"/>
      <c r="PST56" s="1"/>
      <c r="PSU56" s="1"/>
      <c r="PSV56" s="1"/>
      <c r="PSW56" s="1"/>
      <c r="PSX56" s="1"/>
      <c r="PSY56" s="1"/>
      <c r="PSZ56" s="1"/>
      <c r="PTA56" s="1"/>
      <c r="PTB56" s="1"/>
      <c r="PTC56" s="1"/>
      <c r="PTD56" s="1"/>
      <c r="PTE56" s="1"/>
      <c r="PTF56" s="1"/>
      <c r="PTG56" s="1"/>
      <c r="PTH56" s="1"/>
      <c r="PTI56" s="1"/>
      <c r="PTJ56" s="1"/>
      <c r="PTK56" s="1"/>
      <c r="PTL56" s="1"/>
      <c r="PTM56" s="1"/>
      <c r="PTN56" s="1"/>
      <c r="PTO56" s="1"/>
      <c r="PTP56" s="1"/>
      <c r="PTQ56" s="1"/>
      <c r="PTR56" s="1"/>
      <c r="PTS56" s="1"/>
      <c r="PTT56" s="1"/>
      <c r="PTU56" s="1"/>
      <c r="PTV56" s="1"/>
      <c r="PTW56" s="1"/>
      <c r="PTX56" s="1"/>
      <c r="PTY56" s="1"/>
      <c r="PTZ56" s="1"/>
      <c r="PUA56" s="1"/>
      <c r="PUB56" s="1"/>
      <c r="PUC56" s="1"/>
      <c r="PUD56" s="1"/>
      <c r="PUE56" s="1"/>
      <c r="PUF56" s="1"/>
      <c r="PUG56" s="1"/>
      <c r="PUH56" s="1"/>
      <c r="PUI56" s="1"/>
      <c r="PUJ56" s="1"/>
      <c r="PUK56" s="1"/>
      <c r="PUL56" s="1"/>
      <c r="PUM56" s="1"/>
      <c r="PUN56" s="1"/>
      <c r="PUO56" s="1"/>
      <c r="PUP56" s="1"/>
      <c r="PUQ56" s="1"/>
      <c r="PUR56" s="1"/>
      <c r="PUS56" s="1"/>
      <c r="PUT56" s="1"/>
      <c r="PUU56" s="1"/>
      <c r="PUV56" s="1"/>
      <c r="PUW56" s="1"/>
      <c r="PUX56" s="1"/>
      <c r="PUY56" s="1"/>
      <c r="PUZ56" s="1"/>
      <c r="PVA56" s="1"/>
      <c r="PVB56" s="1"/>
      <c r="PVC56" s="1"/>
      <c r="PVD56" s="1"/>
      <c r="PVE56" s="1"/>
      <c r="PVF56" s="1"/>
      <c r="PVG56" s="1"/>
      <c r="PVH56" s="1"/>
      <c r="PVI56" s="1"/>
      <c r="PVJ56" s="1"/>
      <c r="PVK56" s="1"/>
      <c r="PVL56" s="1"/>
      <c r="PVM56" s="1"/>
      <c r="PVN56" s="1"/>
      <c r="PVO56" s="1"/>
      <c r="PVP56" s="1"/>
      <c r="PVQ56" s="1"/>
      <c r="PVR56" s="1"/>
      <c r="PVS56" s="1"/>
      <c r="PVT56" s="1"/>
      <c r="PVU56" s="1"/>
      <c r="PVV56" s="1"/>
      <c r="PVW56" s="1"/>
      <c r="PVX56" s="1"/>
      <c r="PVY56" s="1"/>
      <c r="PVZ56" s="1"/>
      <c r="PWA56" s="1"/>
      <c r="PWB56" s="1"/>
      <c r="PWC56" s="1"/>
      <c r="PWD56" s="1"/>
      <c r="PWE56" s="1"/>
      <c r="PWF56" s="1"/>
      <c r="PWG56" s="1"/>
      <c r="PWH56" s="1"/>
      <c r="PWI56" s="1"/>
      <c r="PWJ56" s="1"/>
      <c r="PWK56" s="1"/>
      <c r="PWL56" s="1"/>
      <c r="PWM56" s="1"/>
      <c r="PWN56" s="1"/>
      <c r="PWO56" s="1"/>
      <c r="PWP56" s="1"/>
      <c r="PWQ56" s="1"/>
      <c r="PWR56" s="1"/>
      <c r="PWS56" s="1"/>
      <c r="PWT56" s="1"/>
      <c r="PWU56" s="1"/>
      <c r="PWV56" s="1"/>
      <c r="PWW56" s="1"/>
      <c r="PWX56" s="1"/>
      <c r="PWY56" s="1"/>
      <c r="PWZ56" s="1"/>
      <c r="PXA56" s="1"/>
      <c r="PXB56" s="1"/>
      <c r="PXC56" s="1"/>
      <c r="PXD56" s="1"/>
      <c r="PXE56" s="1"/>
      <c r="PXF56" s="1"/>
      <c r="PXG56" s="1"/>
      <c r="PXH56" s="1"/>
      <c r="PXI56" s="1"/>
      <c r="PXJ56" s="1"/>
      <c r="PXK56" s="1"/>
      <c r="PXL56" s="1"/>
      <c r="PXM56" s="1"/>
      <c r="PXN56" s="1"/>
      <c r="PXO56" s="1"/>
      <c r="PXP56" s="1"/>
      <c r="PXQ56" s="1"/>
      <c r="PXR56" s="1"/>
      <c r="PXS56" s="1"/>
      <c r="PXT56" s="1"/>
      <c r="PXU56" s="1"/>
      <c r="PXV56" s="1"/>
      <c r="PXW56" s="1"/>
      <c r="PXX56" s="1"/>
      <c r="PXY56" s="1"/>
      <c r="PXZ56" s="1"/>
      <c r="PYA56" s="1"/>
      <c r="PYB56" s="1"/>
      <c r="PYC56" s="1"/>
      <c r="PYD56" s="1"/>
      <c r="PYE56" s="1"/>
      <c r="PYF56" s="1"/>
      <c r="PYG56" s="1"/>
      <c r="PYH56" s="1"/>
      <c r="PYI56" s="1"/>
      <c r="PYJ56" s="1"/>
      <c r="PYK56" s="1"/>
      <c r="PYL56" s="1"/>
      <c r="PYM56" s="1"/>
      <c r="PYN56" s="1"/>
      <c r="PYO56" s="1"/>
      <c r="PYP56" s="1"/>
      <c r="PYQ56" s="1"/>
      <c r="PYR56" s="1"/>
      <c r="PYS56" s="1"/>
      <c r="PYT56" s="1"/>
      <c r="PYU56" s="1"/>
      <c r="PYV56" s="1"/>
      <c r="PYW56" s="1"/>
      <c r="PYX56" s="1"/>
      <c r="PYY56" s="1"/>
      <c r="PYZ56" s="1"/>
      <c r="PZA56" s="1"/>
      <c r="PZB56" s="1"/>
      <c r="PZC56" s="1"/>
      <c r="PZD56" s="1"/>
      <c r="PZE56" s="1"/>
      <c r="PZF56" s="1"/>
      <c r="PZG56" s="1"/>
      <c r="PZH56" s="1"/>
      <c r="PZI56" s="1"/>
      <c r="PZJ56" s="1"/>
      <c r="PZK56" s="1"/>
      <c r="PZL56" s="1"/>
      <c r="PZM56" s="1"/>
      <c r="PZN56" s="1"/>
      <c r="PZO56" s="1"/>
      <c r="PZP56" s="1"/>
      <c r="PZQ56" s="1"/>
      <c r="PZR56" s="1"/>
      <c r="PZS56" s="1"/>
      <c r="PZT56" s="1"/>
      <c r="PZU56" s="1"/>
      <c r="PZV56" s="1"/>
      <c r="PZW56" s="1"/>
      <c r="PZX56" s="1"/>
      <c r="PZY56" s="1"/>
      <c r="PZZ56" s="1"/>
      <c r="QAA56" s="1"/>
      <c r="QAB56" s="1"/>
      <c r="QAC56" s="1"/>
      <c r="QAD56" s="1"/>
      <c r="QAE56" s="1"/>
      <c r="QAF56" s="1"/>
      <c r="QAG56" s="1"/>
      <c r="QAH56" s="1"/>
      <c r="QAI56" s="1"/>
      <c r="QAJ56" s="1"/>
      <c r="QAK56" s="1"/>
      <c r="QAL56" s="1"/>
      <c r="QAM56" s="1"/>
      <c r="QAN56" s="1"/>
      <c r="QAO56" s="1"/>
      <c r="QAP56" s="1"/>
      <c r="QAQ56" s="1"/>
      <c r="QAR56" s="1"/>
      <c r="QAS56" s="1"/>
      <c r="QAT56" s="1"/>
      <c r="QAU56" s="1"/>
      <c r="QAV56" s="1"/>
      <c r="QAW56" s="1"/>
      <c r="QAX56" s="1"/>
      <c r="QAY56" s="1"/>
      <c r="QAZ56" s="1"/>
      <c r="QBA56" s="1"/>
      <c r="QBB56" s="1"/>
      <c r="QBC56" s="1"/>
      <c r="QBD56" s="1"/>
      <c r="QBE56" s="1"/>
      <c r="QBF56" s="1"/>
      <c r="QBG56" s="1"/>
      <c r="QBH56" s="1"/>
      <c r="QBI56" s="1"/>
      <c r="QBJ56" s="1"/>
      <c r="QBK56" s="1"/>
      <c r="QBL56" s="1"/>
      <c r="QBM56" s="1"/>
      <c r="QBN56" s="1"/>
      <c r="QBO56" s="1"/>
      <c r="QBP56" s="1"/>
      <c r="QBQ56" s="1"/>
      <c r="QBR56" s="1"/>
      <c r="QBS56" s="1"/>
      <c r="QBT56" s="1"/>
      <c r="QBU56" s="1"/>
      <c r="QBV56" s="1"/>
      <c r="QBW56" s="1"/>
      <c r="QBX56" s="1"/>
      <c r="QBY56" s="1"/>
      <c r="QBZ56" s="1"/>
      <c r="QCA56" s="1"/>
      <c r="QCB56" s="1"/>
      <c r="QCC56" s="1"/>
      <c r="QCD56" s="1"/>
      <c r="QCE56" s="1"/>
      <c r="QCF56" s="1"/>
      <c r="QCG56" s="1"/>
      <c r="QCH56" s="1"/>
      <c r="QCI56" s="1"/>
      <c r="QCJ56" s="1"/>
      <c r="QCK56" s="1"/>
      <c r="QCL56" s="1"/>
      <c r="QCM56" s="1"/>
      <c r="QCN56" s="1"/>
      <c r="QCO56" s="1"/>
      <c r="QCP56" s="1"/>
      <c r="QCQ56" s="1"/>
      <c r="QCR56" s="1"/>
      <c r="QCS56" s="1"/>
      <c r="QCT56" s="1"/>
      <c r="QCU56" s="1"/>
      <c r="QCV56" s="1"/>
      <c r="QCW56" s="1"/>
      <c r="QCX56" s="1"/>
      <c r="QCY56" s="1"/>
      <c r="QCZ56" s="1"/>
      <c r="QDA56" s="1"/>
      <c r="QDB56" s="1"/>
      <c r="QDC56" s="1"/>
      <c r="QDD56" s="1"/>
      <c r="QDE56" s="1"/>
      <c r="QDF56" s="1"/>
      <c r="QDG56" s="1"/>
      <c r="QDH56" s="1"/>
      <c r="QDI56" s="1"/>
      <c r="QDJ56" s="1"/>
      <c r="QDK56" s="1"/>
      <c r="QDL56" s="1"/>
      <c r="QDM56" s="1"/>
      <c r="QDN56" s="1"/>
      <c r="QDO56" s="1"/>
      <c r="QDP56" s="1"/>
      <c r="QDQ56" s="1"/>
      <c r="QDR56" s="1"/>
      <c r="QDS56" s="1"/>
      <c r="QDT56" s="1"/>
      <c r="QDU56" s="1"/>
      <c r="QDV56" s="1"/>
      <c r="QDW56" s="1"/>
      <c r="QDX56" s="1"/>
      <c r="QDY56" s="1"/>
      <c r="QDZ56" s="1"/>
      <c r="QEA56" s="1"/>
      <c r="QEB56" s="1"/>
      <c r="QEC56" s="1"/>
      <c r="QED56" s="1"/>
      <c r="QEE56" s="1"/>
      <c r="QEF56" s="1"/>
      <c r="QEG56" s="1"/>
      <c r="QEH56" s="1"/>
      <c r="QEI56" s="1"/>
      <c r="QEJ56" s="1"/>
      <c r="QEK56" s="1"/>
      <c r="QEL56" s="1"/>
      <c r="QEM56" s="1"/>
      <c r="QEN56" s="1"/>
      <c r="QEO56" s="1"/>
      <c r="QEP56" s="1"/>
      <c r="QEQ56" s="1"/>
      <c r="QER56" s="1"/>
      <c r="QES56" s="1"/>
      <c r="QET56" s="1"/>
      <c r="QEU56" s="1"/>
      <c r="QEV56" s="1"/>
      <c r="QEW56" s="1"/>
      <c r="QEX56" s="1"/>
      <c r="QEY56" s="1"/>
      <c r="QEZ56" s="1"/>
      <c r="QFA56" s="1"/>
      <c r="QFB56" s="1"/>
      <c r="QFC56" s="1"/>
      <c r="QFD56" s="1"/>
      <c r="QFE56" s="1"/>
      <c r="QFF56" s="1"/>
      <c r="QFG56" s="1"/>
      <c r="QFH56" s="1"/>
      <c r="QFI56" s="1"/>
      <c r="QFJ56" s="1"/>
      <c r="QFK56" s="1"/>
      <c r="QFL56" s="1"/>
      <c r="QFM56" s="1"/>
      <c r="QFN56" s="1"/>
      <c r="QFO56" s="1"/>
      <c r="QFP56" s="1"/>
      <c r="QFQ56" s="1"/>
      <c r="QFR56" s="1"/>
      <c r="QFS56" s="1"/>
      <c r="QFT56" s="1"/>
      <c r="QFU56" s="1"/>
      <c r="QFV56" s="1"/>
      <c r="QFW56" s="1"/>
      <c r="QFX56" s="1"/>
      <c r="QFY56" s="1"/>
      <c r="QFZ56" s="1"/>
      <c r="QGA56" s="1"/>
      <c r="QGB56" s="1"/>
      <c r="QGC56" s="1"/>
      <c r="QGD56" s="1"/>
      <c r="QGE56" s="1"/>
      <c r="QGF56" s="1"/>
      <c r="QGG56" s="1"/>
      <c r="QGH56" s="1"/>
      <c r="QGI56" s="1"/>
      <c r="QGJ56" s="1"/>
      <c r="QGK56" s="1"/>
      <c r="QGL56" s="1"/>
      <c r="QGM56" s="1"/>
      <c r="QGN56" s="1"/>
      <c r="QGO56" s="1"/>
      <c r="QGP56" s="1"/>
      <c r="QGQ56" s="1"/>
      <c r="QGR56" s="1"/>
      <c r="QGS56" s="1"/>
      <c r="QGT56" s="1"/>
      <c r="QGU56" s="1"/>
      <c r="QGV56" s="1"/>
      <c r="QGW56" s="1"/>
      <c r="QGX56" s="1"/>
      <c r="QGY56" s="1"/>
      <c r="QGZ56" s="1"/>
      <c r="QHA56" s="1"/>
      <c r="QHB56" s="1"/>
      <c r="QHC56" s="1"/>
      <c r="QHD56" s="1"/>
      <c r="QHE56" s="1"/>
      <c r="QHF56" s="1"/>
      <c r="QHG56" s="1"/>
      <c r="QHH56" s="1"/>
      <c r="QHI56" s="1"/>
      <c r="QHJ56" s="1"/>
      <c r="QHK56" s="1"/>
      <c r="QHL56" s="1"/>
      <c r="QHM56" s="1"/>
      <c r="QHN56" s="1"/>
      <c r="QHO56" s="1"/>
      <c r="QHP56" s="1"/>
      <c r="QHQ56" s="1"/>
      <c r="QHR56" s="1"/>
      <c r="QHS56" s="1"/>
      <c r="QHT56" s="1"/>
      <c r="QHU56" s="1"/>
      <c r="QHV56" s="1"/>
      <c r="QHW56" s="1"/>
      <c r="QHX56" s="1"/>
      <c r="QHY56" s="1"/>
      <c r="QHZ56" s="1"/>
      <c r="QIA56" s="1"/>
      <c r="QIB56" s="1"/>
      <c r="QIC56" s="1"/>
      <c r="QID56" s="1"/>
      <c r="QIE56" s="1"/>
      <c r="QIF56" s="1"/>
      <c r="QIG56" s="1"/>
      <c r="QIH56" s="1"/>
      <c r="QII56" s="1"/>
      <c r="QIJ56" s="1"/>
      <c r="QIK56" s="1"/>
      <c r="QIL56" s="1"/>
      <c r="QIM56" s="1"/>
      <c r="QIN56" s="1"/>
      <c r="QIO56" s="1"/>
      <c r="QIP56" s="1"/>
      <c r="QIQ56" s="1"/>
      <c r="QIR56" s="1"/>
      <c r="QIS56" s="1"/>
      <c r="QIT56" s="1"/>
      <c r="QIU56" s="1"/>
      <c r="QIV56" s="1"/>
      <c r="QIW56" s="1"/>
      <c r="QIX56" s="1"/>
      <c r="QIY56" s="1"/>
      <c r="QIZ56" s="1"/>
      <c r="QJA56" s="1"/>
      <c r="QJB56" s="1"/>
      <c r="QJC56" s="1"/>
      <c r="QJD56" s="1"/>
      <c r="QJE56" s="1"/>
      <c r="QJF56" s="1"/>
      <c r="QJG56" s="1"/>
      <c r="QJH56" s="1"/>
      <c r="QJI56" s="1"/>
      <c r="QJJ56" s="1"/>
      <c r="QJK56" s="1"/>
      <c r="QJL56" s="1"/>
      <c r="QJM56" s="1"/>
      <c r="QJN56" s="1"/>
      <c r="QJO56" s="1"/>
      <c r="QJP56" s="1"/>
      <c r="QJQ56" s="1"/>
      <c r="QJR56" s="1"/>
      <c r="QJS56" s="1"/>
      <c r="QJT56" s="1"/>
      <c r="QJU56" s="1"/>
      <c r="QJV56" s="1"/>
      <c r="QJW56" s="1"/>
      <c r="QJX56" s="1"/>
      <c r="QJY56" s="1"/>
      <c r="QJZ56" s="1"/>
      <c r="QKA56" s="1"/>
      <c r="QKB56" s="1"/>
      <c r="QKC56" s="1"/>
      <c r="QKD56" s="1"/>
      <c r="QKE56" s="1"/>
      <c r="QKF56" s="1"/>
      <c r="QKG56" s="1"/>
      <c r="QKH56" s="1"/>
      <c r="QKI56" s="1"/>
      <c r="QKJ56" s="1"/>
      <c r="QKK56" s="1"/>
      <c r="QKL56" s="1"/>
      <c r="QKM56" s="1"/>
      <c r="QKN56" s="1"/>
      <c r="QKO56" s="1"/>
      <c r="QKP56" s="1"/>
      <c r="QKQ56" s="1"/>
      <c r="QKR56" s="1"/>
      <c r="QKS56" s="1"/>
      <c r="QKT56" s="1"/>
      <c r="QKU56" s="1"/>
      <c r="QKV56" s="1"/>
      <c r="QKW56" s="1"/>
      <c r="QKX56" s="1"/>
      <c r="QKY56" s="1"/>
      <c r="QKZ56" s="1"/>
      <c r="QLA56" s="1"/>
      <c r="QLB56" s="1"/>
      <c r="QLC56" s="1"/>
      <c r="QLD56" s="1"/>
      <c r="QLE56" s="1"/>
      <c r="QLF56" s="1"/>
      <c r="QLG56" s="1"/>
      <c r="QLH56" s="1"/>
      <c r="QLI56" s="1"/>
      <c r="QLJ56" s="1"/>
      <c r="QLK56" s="1"/>
      <c r="QLL56" s="1"/>
      <c r="QLM56" s="1"/>
      <c r="QLN56" s="1"/>
      <c r="QLO56" s="1"/>
      <c r="QLP56" s="1"/>
      <c r="QLQ56" s="1"/>
      <c r="QLR56" s="1"/>
      <c r="QLS56" s="1"/>
      <c r="QLT56" s="1"/>
      <c r="QLU56" s="1"/>
      <c r="QLV56" s="1"/>
      <c r="QLW56" s="1"/>
      <c r="QLX56" s="1"/>
      <c r="QLY56" s="1"/>
      <c r="QLZ56" s="1"/>
      <c r="QMA56" s="1"/>
      <c r="QMB56" s="1"/>
      <c r="QMC56" s="1"/>
      <c r="QMD56" s="1"/>
      <c r="QME56" s="1"/>
      <c r="QMF56" s="1"/>
      <c r="QMG56" s="1"/>
      <c r="QMH56" s="1"/>
      <c r="QMI56" s="1"/>
      <c r="QMJ56" s="1"/>
      <c r="QMK56" s="1"/>
      <c r="QML56" s="1"/>
      <c r="QMM56" s="1"/>
      <c r="QMN56" s="1"/>
      <c r="QMO56" s="1"/>
      <c r="QMP56" s="1"/>
      <c r="QMQ56" s="1"/>
      <c r="QMR56" s="1"/>
      <c r="QMS56" s="1"/>
      <c r="QMT56" s="1"/>
      <c r="QMU56" s="1"/>
      <c r="QMV56" s="1"/>
      <c r="QMW56" s="1"/>
      <c r="QMX56" s="1"/>
      <c r="QMY56" s="1"/>
      <c r="QMZ56" s="1"/>
      <c r="QNA56" s="1"/>
      <c r="QNB56" s="1"/>
      <c r="QNC56" s="1"/>
      <c r="QND56" s="1"/>
      <c r="QNE56" s="1"/>
      <c r="QNF56" s="1"/>
      <c r="QNG56" s="1"/>
      <c r="QNH56" s="1"/>
      <c r="QNI56" s="1"/>
      <c r="QNJ56" s="1"/>
      <c r="QNK56" s="1"/>
      <c r="QNL56" s="1"/>
      <c r="QNM56" s="1"/>
      <c r="QNN56" s="1"/>
      <c r="QNO56" s="1"/>
      <c r="QNP56" s="1"/>
      <c r="QNQ56" s="1"/>
      <c r="QNR56" s="1"/>
      <c r="QNS56" s="1"/>
      <c r="QNT56" s="1"/>
      <c r="QNU56" s="1"/>
      <c r="QNV56" s="1"/>
      <c r="QNW56" s="1"/>
      <c r="QNX56" s="1"/>
      <c r="QNY56" s="1"/>
      <c r="QNZ56" s="1"/>
      <c r="QOA56" s="1"/>
      <c r="QOB56" s="1"/>
      <c r="QOC56" s="1"/>
      <c r="QOD56" s="1"/>
      <c r="QOE56" s="1"/>
      <c r="QOF56" s="1"/>
      <c r="QOG56" s="1"/>
      <c r="QOH56" s="1"/>
      <c r="QOI56" s="1"/>
      <c r="QOJ56" s="1"/>
      <c r="QOK56" s="1"/>
      <c r="QOL56" s="1"/>
      <c r="QOM56" s="1"/>
      <c r="QON56" s="1"/>
      <c r="QOO56" s="1"/>
      <c r="QOP56" s="1"/>
      <c r="QOQ56" s="1"/>
      <c r="QOR56" s="1"/>
      <c r="QOS56" s="1"/>
      <c r="QOT56" s="1"/>
      <c r="QOU56" s="1"/>
      <c r="QOV56" s="1"/>
      <c r="QOW56" s="1"/>
      <c r="QOX56" s="1"/>
      <c r="QOY56" s="1"/>
      <c r="QOZ56" s="1"/>
      <c r="QPA56" s="1"/>
      <c r="QPB56" s="1"/>
      <c r="QPC56" s="1"/>
      <c r="QPD56" s="1"/>
      <c r="QPE56" s="1"/>
      <c r="QPF56" s="1"/>
      <c r="QPG56" s="1"/>
      <c r="QPH56" s="1"/>
      <c r="QPI56" s="1"/>
      <c r="QPJ56" s="1"/>
      <c r="QPK56" s="1"/>
      <c r="QPL56" s="1"/>
      <c r="QPM56" s="1"/>
      <c r="QPN56" s="1"/>
      <c r="QPO56" s="1"/>
      <c r="QPP56" s="1"/>
      <c r="QPQ56" s="1"/>
      <c r="QPR56" s="1"/>
      <c r="QPS56" s="1"/>
      <c r="QPT56" s="1"/>
      <c r="QPU56" s="1"/>
      <c r="QPV56" s="1"/>
      <c r="QPW56" s="1"/>
      <c r="QPX56" s="1"/>
      <c r="QPY56" s="1"/>
      <c r="QPZ56" s="1"/>
      <c r="QQA56" s="1"/>
      <c r="QQB56" s="1"/>
      <c r="QQC56" s="1"/>
      <c r="QQD56" s="1"/>
      <c r="QQE56" s="1"/>
      <c r="QQF56" s="1"/>
      <c r="QQG56" s="1"/>
      <c r="QQH56" s="1"/>
      <c r="QQI56" s="1"/>
      <c r="QQJ56" s="1"/>
      <c r="QQK56" s="1"/>
      <c r="QQL56" s="1"/>
      <c r="QQM56" s="1"/>
      <c r="QQN56" s="1"/>
      <c r="QQO56" s="1"/>
      <c r="QQP56" s="1"/>
      <c r="QQQ56" s="1"/>
      <c r="QQR56" s="1"/>
      <c r="QQS56" s="1"/>
      <c r="QQT56" s="1"/>
      <c r="QQU56" s="1"/>
      <c r="QQV56" s="1"/>
      <c r="QQW56" s="1"/>
      <c r="QQX56" s="1"/>
      <c r="QQY56" s="1"/>
      <c r="QQZ56" s="1"/>
      <c r="QRA56" s="1"/>
      <c r="QRB56" s="1"/>
      <c r="QRC56" s="1"/>
      <c r="QRD56" s="1"/>
      <c r="QRE56" s="1"/>
      <c r="QRF56" s="1"/>
      <c r="QRG56" s="1"/>
      <c r="QRH56" s="1"/>
      <c r="QRI56" s="1"/>
      <c r="QRJ56" s="1"/>
      <c r="QRK56" s="1"/>
      <c r="QRL56" s="1"/>
      <c r="QRM56" s="1"/>
      <c r="QRN56" s="1"/>
      <c r="QRO56" s="1"/>
      <c r="QRP56" s="1"/>
      <c r="QRQ56" s="1"/>
      <c r="QRR56" s="1"/>
      <c r="QRS56" s="1"/>
      <c r="QRT56" s="1"/>
      <c r="QRU56" s="1"/>
      <c r="QRV56" s="1"/>
      <c r="QRW56" s="1"/>
      <c r="QRX56" s="1"/>
      <c r="QRY56" s="1"/>
      <c r="QRZ56" s="1"/>
      <c r="QSA56" s="1"/>
      <c r="QSB56" s="1"/>
      <c r="QSC56" s="1"/>
      <c r="QSD56" s="1"/>
      <c r="QSE56" s="1"/>
      <c r="QSF56" s="1"/>
      <c r="QSG56" s="1"/>
      <c r="QSH56" s="1"/>
      <c r="QSI56" s="1"/>
      <c r="QSJ56" s="1"/>
      <c r="QSK56" s="1"/>
      <c r="QSL56" s="1"/>
      <c r="QSM56" s="1"/>
      <c r="QSN56" s="1"/>
      <c r="QSO56" s="1"/>
      <c r="QSP56" s="1"/>
      <c r="QSQ56" s="1"/>
      <c r="QSR56" s="1"/>
      <c r="QSS56" s="1"/>
      <c r="QST56" s="1"/>
      <c r="QSU56" s="1"/>
      <c r="QSV56" s="1"/>
      <c r="QSW56" s="1"/>
      <c r="QSX56" s="1"/>
      <c r="QSY56" s="1"/>
      <c r="QSZ56" s="1"/>
      <c r="QTA56" s="1"/>
      <c r="QTB56" s="1"/>
      <c r="QTC56" s="1"/>
      <c r="QTD56" s="1"/>
      <c r="QTE56" s="1"/>
      <c r="QTF56" s="1"/>
      <c r="QTG56" s="1"/>
      <c r="QTH56" s="1"/>
      <c r="QTI56" s="1"/>
      <c r="QTJ56" s="1"/>
      <c r="QTK56" s="1"/>
      <c r="QTL56" s="1"/>
      <c r="QTM56" s="1"/>
      <c r="QTN56" s="1"/>
      <c r="QTO56" s="1"/>
      <c r="QTP56" s="1"/>
      <c r="QTQ56" s="1"/>
      <c r="QTR56" s="1"/>
      <c r="QTS56" s="1"/>
      <c r="QTT56" s="1"/>
      <c r="QTU56" s="1"/>
      <c r="QTV56" s="1"/>
      <c r="QTW56" s="1"/>
      <c r="QTX56" s="1"/>
      <c r="QTY56" s="1"/>
      <c r="QTZ56" s="1"/>
      <c r="QUA56" s="1"/>
      <c r="QUB56" s="1"/>
      <c r="QUC56" s="1"/>
      <c r="QUD56" s="1"/>
      <c r="QUE56" s="1"/>
      <c r="QUF56" s="1"/>
      <c r="QUG56" s="1"/>
      <c r="QUH56" s="1"/>
      <c r="QUI56" s="1"/>
      <c r="QUJ56" s="1"/>
      <c r="QUK56" s="1"/>
      <c r="QUL56" s="1"/>
      <c r="QUM56" s="1"/>
      <c r="QUN56" s="1"/>
      <c r="QUO56" s="1"/>
      <c r="QUP56" s="1"/>
      <c r="QUQ56" s="1"/>
      <c r="QUR56" s="1"/>
      <c r="QUS56" s="1"/>
      <c r="QUT56" s="1"/>
      <c r="QUU56" s="1"/>
      <c r="QUV56" s="1"/>
      <c r="QUW56" s="1"/>
      <c r="QUX56" s="1"/>
      <c r="QUY56" s="1"/>
      <c r="QUZ56" s="1"/>
      <c r="QVA56" s="1"/>
      <c r="QVB56" s="1"/>
      <c r="QVC56" s="1"/>
      <c r="QVD56" s="1"/>
      <c r="QVE56" s="1"/>
      <c r="QVF56" s="1"/>
      <c r="QVG56" s="1"/>
      <c r="QVH56" s="1"/>
      <c r="QVI56" s="1"/>
      <c r="QVJ56" s="1"/>
      <c r="QVK56" s="1"/>
      <c r="QVL56" s="1"/>
      <c r="QVM56" s="1"/>
      <c r="QVN56" s="1"/>
      <c r="QVO56" s="1"/>
      <c r="QVP56" s="1"/>
      <c r="QVQ56" s="1"/>
      <c r="QVR56" s="1"/>
      <c r="QVS56" s="1"/>
      <c r="QVT56" s="1"/>
      <c r="QVU56" s="1"/>
      <c r="QVV56" s="1"/>
      <c r="QVW56" s="1"/>
      <c r="QVX56" s="1"/>
      <c r="QVY56" s="1"/>
      <c r="QVZ56" s="1"/>
      <c r="QWA56" s="1"/>
      <c r="QWB56" s="1"/>
      <c r="QWC56" s="1"/>
      <c r="QWD56" s="1"/>
      <c r="QWE56" s="1"/>
      <c r="QWF56" s="1"/>
      <c r="QWG56" s="1"/>
      <c r="QWH56" s="1"/>
      <c r="QWI56" s="1"/>
      <c r="QWJ56" s="1"/>
      <c r="QWK56" s="1"/>
      <c r="QWL56" s="1"/>
      <c r="QWM56" s="1"/>
      <c r="QWN56" s="1"/>
      <c r="QWO56" s="1"/>
      <c r="QWP56" s="1"/>
      <c r="QWQ56" s="1"/>
      <c r="QWR56" s="1"/>
      <c r="QWS56" s="1"/>
      <c r="QWT56" s="1"/>
      <c r="QWU56" s="1"/>
      <c r="QWV56" s="1"/>
      <c r="QWW56" s="1"/>
      <c r="QWX56" s="1"/>
      <c r="QWY56" s="1"/>
      <c r="QWZ56" s="1"/>
      <c r="QXA56" s="1"/>
      <c r="QXB56" s="1"/>
      <c r="QXC56" s="1"/>
      <c r="QXD56" s="1"/>
      <c r="QXE56" s="1"/>
      <c r="QXF56" s="1"/>
      <c r="QXG56" s="1"/>
      <c r="QXH56" s="1"/>
      <c r="QXI56" s="1"/>
      <c r="QXJ56" s="1"/>
      <c r="QXK56" s="1"/>
      <c r="QXL56" s="1"/>
      <c r="QXM56" s="1"/>
      <c r="QXN56" s="1"/>
      <c r="QXO56" s="1"/>
      <c r="QXP56" s="1"/>
      <c r="QXQ56" s="1"/>
      <c r="QXR56" s="1"/>
      <c r="QXS56" s="1"/>
      <c r="QXT56" s="1"/>
      <c r="QXU56" s="1"/>
      <c r="QXV56" s="1"/>
      <c r="QXW56" s="1"/>
      <c r="QXX56" s="1"/>
      <c r="QXY56" s="1"/>
      <c r="QXZ56" s="1"/>
      <c r="QYA56" s="1"/>
      <c r="QYB56" s="1"/>
      <c r="QYC56" s="1"/>
      <c r="QYD56" s="1"/>
      <c r="QYE56" s="1"/>
      <c r="QYF56" s="1"/>
      <c r="QYG56" s="1"/>
      <c r="QYH56" s="1"/>
      <c r="QYI56" s="1"/>
      <c r="QYJ56" s="1"/>
      <c r="QYK56" s="1"/>
      <c r="QYL56" s="1"/>
      <c r="QYM56" s="1"/>
      <c r="QYN56" s="1"/>
      <c r="QYO56" s="1"/>
      <c r="QYP56" s="1"/>
      <c r="QYQ56" s="1"/>
      <c r="QYR56" s="1"/>
      <c r="QYS56" s="1"/>
      <c r="QYT56" s="1"/>
      <c r="QYU56" s="1"/>
      <c r="QYV56" s="1"/>
      <c r="QYW56" s="1"/>
      <c r="QYX56" s="1"/>
      <c r="QYY56" s="1"/>
      <c r="QYZ56" s="1"/>
      <c r="QZA56" s="1"/>
      <c r="QZB56" s="1"/>
      <c r="QZC56" s="1"/>
      <c r="QZD56" s="1"/>
      <c r="QZE56" s="1"/>
      <c r="QZF56" s="1"/>
      <c r="QZG56" s="1"/>
      <c r="QZH56" s="1"/>
      <c r="QZI56" s="1"/>
      <c r="QZJ56" s="1"/>
      <c r="QZK56" s="1"/>
      <c r="QZL56" s="1"/>
      <c r="QZM56" s="1"/>
      <c r="QZN56" s="1"/>
      <c r="QZO56" s="1"/>
      <c r="QZP56" s="1"/>
      <c r="QZQ56" s="1"/>
      <c r="QZR56" s="1"/>
      <c r="QZS56" s="1"/>
      <c r="QZT56" s="1"/>
      <c r="QZU56" s="1"/>
      <c r="QZV56" s="1"/>
      <c r="QZW56" s="1"/>
      <c r="QZX56" s="1"/>
      <c r="QZY56" s="1"/>
      <c r="QZZ56" s="1"/>
      <c r="RAA56" s="1"/>
      <c r="RAB56" s="1"/>
      <c r="RAC56" s="1"/>
      <c r="RAD56" s="1"/>
      <c r="RAE56" s="1"/>
      <c r="RAF56" s="1"/>
      <c r="RAG56" s="1"/>
      <c r="RAH56" s="1"/>
      <c r="RAI56" s="1"/>
      <c r="RAJ56" s="1"/>
      <c r="RAK56" s="1"/>
      <c r="RAL56" s="1"/>
      <c r="RAM56" s="1"/>
      <c r="RAN56" s="1"/>
      <c r="RAO56" s="1"/>
      <c r="RAP56" s="1"/>
      <c r="RAQ56" s="1"/>
      <c r="RAR56" s="1"/>
      <c r="RAS56" s="1"/>
      <c r="RAT56" s="1"/>
      <c r="RAU56" s="1"/>
      <c r="RAV56" s="1"/>
      <c r="RAW56" s="1"/>
      <c r="RAX56" s="1"/>
      <c r="RAY56" s="1"/>
      <c r="RAZ56" s="1"/>
      <c r="RBA56" s="1"/>
      <c r="RBB56" s="1"/>
      <c r="RBC56" s="1"/>
      <c r="RBD56" s="1"/>
      <c r="RBE56" s="1"/>
      <c r="RBF56" s="1"/>
      <c r="RBG56" s="1"/>
      <c r="RBH56" s="1"/>
      <c r="RBI56" s="1"/>
      <c r="RBJ56" s="1"/>
      <c r="RBK56" s="1"/>
      <c r="RBL56" s="1"/>
      <c r="RBM56" s="1"/>
      <c r="RBN56" s="1"/>
      <c r="RBO56" s="1"/>
      <c r="RBP56" s="1"/>
      <c r="RBQ56" s="1"/>
      <c r="RBR56" s="1"/>
      <c r="RBS56" s="1"/>
      <c r="RBT56" s="1"/>
      <c r="RBU56" s="1"/>
      <c r="RBV56" s="1"/>
      <c r="RBW56" s="1"/>
      <c r="RBX56" s="1"/>
      <c r="RBY56" s="1"/>
      <c r="RBZ56" s="1"/>
      <c r="RCA56" s="1"/>
      <c r="RCB56" s="1"/>
      <c r="RCC56" s="1"/>
      <c r="RCD56" s="1"/>
      <c r="RCE56" s="1"/>
      <c r="RCF56" s="1"/>
      <c r="RCG56" s="1"/>
      <c r="RCH56" s="1"/>
      <c r="RCI56" s="1"/>
      <c r="RCJ56" s="1"/>
      <c r="RCK56" s="1"/>
      <c r="RCL56" s="1"/>
      <c r="RCM56" s="1"/>
      <c r="RCN56" s="1"/>
      <c r="RCO56" s="1"/>
      <c r="RCP56" s="1"/>
      <c r="RCQ56" s="1"/>
      <c r="RCR56" s="1"/>
      <c r="RCS56" s="1"/>
      <c r="RCT56" s="1"/>
      <c r="RCU56" s="1"/>
      <c r="RCV56" s="1"/>
      <c r="RCW56" s="1"/>
      <c r="RCX56" s="1"/>
      <c r="RCY56" s="1"/>
      <c r="RCZ56" s="1"/>
      <c r="RDA56" s="1"/>
      <c r="RDB56" s="1"/>
      <c r="RDC56" s="1"/>
      <c r="RDD56" s="1"/>
      <c r="RDE56" s="1"/>
      <c r="RDF56" s="1"/>
      <c r="RDG56" s="1"/>
      <c r="RDH56" s="1"/>
      <c r="RDI56" s="1"/>
      <c r="RDJ56" s="1"/>
      <c r="RDK56" s="1"/>
      <c r="RDL56" s="1"/>
      <c r="RDM56" s="1"/>
      <c r="RDN56" s="1"/>
      <c r="RDO56" s="1"/>
      <c r="RDP56" s="1"/>
      <c r="RDQ56" s="1"/>
      <c r="RDR56" s="1"/>
      <c r="RDS56" s="1"/>
      <c r="RDT56" s="1"/>
      <c r="RDU56" s="1"/>
      <c r="RDV56" s="1"/>
      <c r="RDW56" s="1"/>
      <c r="RDX56" s="1"/>
      <c r="RDY56" s="1"/>
      <c r="RDZ56" s="1"/>
      <c r="REA56" s="1"/>
      <c r="REB56" s="1"/>
      <c r="REC56" s="1"/>
      <c r="RED56" s="1"/>
      <c r="REE56" s="1"/>
      <c r="REF56" s="1"/>
      <c r="REG56" s="1"/>
      <c r="REH56" s="1"/>
      <c r="REI56" s="1"/>
      <c r="REJ56" s="1"/>
      <c r="REK56" s="1"/>
      <c r="REL56" s="1"/>
      <c r="REM56" s="1"/>
      <c r="REN56" s="1"/>
      <c r="REO56" s="1"/>
      <c r="REP56" s="1"/>
      <c r="REQ56" s="1"/>
      <c r="RER56" s="1"/>
      <c r="RES56" s="1"/>
      <c r="RET56" s="1"/>
      <c r="REU56" s="1"/>
      <c r="REV56" s="1"/>
      <c r="REW56" s="1"/>
      <c r="REX56" s="1"/>
      <c r="REY56" s="1"/>
      <c r="REZ56" s="1"/>
      <c r="RFA56" s="1"/>
      <c r="RFB56" s="1"/>
      <c r="RFC56" s="1"/>
      <c r="RFD56" s="1"/>
      <c r="RFE56" s="1"/>
      <c r="RFF56" s="1"/>
      <c r="RFG56" s="1"/>
      <c r="RFH56" s="1"/>
      <c r="RFI56" s="1"/>
      <c r="RFJ56" s="1"/>
      <c r="RFK56" s="1"/>
      <c r="RFL56" s="1"/>
      <c r="RFM56" s="1"/>
      <c r="RFN56" s="1"/>
      <c r="RFO56" s="1"/>
      <c r="RFP56" s="1"/>
      <c r="RFQ56" s="1"/>
      <c r="RFR56" s="1"/>
      <c r="RFS56" s="1"/>
      <c r="RFT56" s="1"/>
      <c r="RFU56" s="1"/>
      <c r="RFV56" s="1"/>
      <c r="RFW56" s="1"/>
      <c r="RFX56" s="1"/>
      <c r="RFY56" s="1"/>
      <c r="RFZ56" s="1"/>
      <c r="RGA56" s="1"/>
      <c r="RGB56" s="1"/>
      <c r="RGC56" s="1"/>
      <c r="RGD56" s="1"/>
      <c r="RGE56" s="1"/>
      <c r="RGF56" s="1"/>
      <c r="RGG56" s="1"/>
      <c r="RGH56" s="1"/>
      <c r="RGI56" s="1"/>
      <c r="RGJ56" s="1"/>
      <c r="RGK56" s="1"/>
      <c r="RGL56" s="1"/>
      <c r="RGM56" s="1"/>
      <c r="RGN56" s="1"/>
      <c r="RGO56" s="1"/>
      <c r="RGP56" s="1"/>
      <c r="RGQ56" s="1"/>
      <c r="RGR56" s="1"/>
      <c r="RGS56" s="1"/>
      <c r="RGT56" s="1"/>
      <c r="RGU56" s="1"/>
      <c r="RGV56" s="1"/>
      <c r="RGW56" s="1"/>
      <c r="RGX56" s="1"/>
      <c r="RGY56" s="1"/>
      <c r="RGZ56" s="1"/>
      <c r="RHA56" s="1"/>
      <c r="RHB56" s="1"/>
      <c r="RHC56" s="1"/>
      <c r="RHD56" s="1"/>
      <c r="RHE56" s="1"/>
      <c r="RHF56" s="1"/>
      <c r="RHG56" s="1"/>
      <c r="RHH56" s="1"/>
      <c r="RHI56" s="1"/>
      <c r="RHJ56" s="1"/>
      <c r="RHK56" s="1"/>
      <c r="RHL56" s="1"/>
      <c r="RHM56" s="1"/>
      <c r="RHN56" s="1"/>
      <c r="RHO56" s="1"/>
      <c r="RHP56" s="1"/>
      <c r="RHQ56" s="1"/>
      <c r="RHR56" s="1"/>
      <c r="RHS56" s="1"/>
      <c r="RHT56" s="1"/>
      <c r="RHU56" s="1"/>
      <c r="RHV56" s="1"/>
      <c r="RHW56" s="1"/>
      <c r="RHX56" s="1"/>
      <c r="RHY56" s="1"/>
      <c r="RHZ56" s="1"/>
      <c r="RIA56" s="1"/>
      <c r="RIB56" s="1"/>
      <c r="RIC56" s="1"/>
      <c r="RID56" s="1"/>
      <c r="RIE56" s="1"/>
      <c r="RIF56" s="1"/>
      <c r="RIG56" s="1"/>
      <c r="RIH56" s="1"/>
      <c r="RII56" s="1"/>
      <c r="RIJ56" s="1"/>
      <c r="RIK56" s="1"/>
      <c r="RIL56" s="1"/>
      <c r="RIM56" s="1"/>
      <c r="RIN56" s="1"/>
      <c r="RIO56" s="1"/>
      <c r="RIP56" s="1"/>
      <c r="RIQ56" s="1"/>
      <c r="RIR56" s="1"/>
      <c r="RIS56" s="1"/>
      <c r="RIT56" s="1"/>
      <c r="RIU56" s="1"/>
      <c r="RIV56" s="1"/>
      <c r="RIW56" s="1"/>
      <c r="RIX56" s="1"/>
      <c r="RIY56" s="1"/>
      <c r="RIZ56" s="1"/>
      <c r="RJA56" s="1"/>
      <c r="RJB56" s="1"/>
      <c r="RJC56" s="1"/>
      <c r="RJD56" s="1"/>
      <c r="RJE56" s="1"/>
      <c r="RJF56" s="1"/>
      <c r="RJG56" s="1"/>
      <c r="RJH56" s="1"/>
      <c r="RJI56" s="1"/>
      <c r="RJJ56" s="1"/>
      <c r="RJK56" s="1"/>
      <c r="RJL56" s="1"/>
      <c r="RJM56" s="1"/>
      <c r="RJN56" s="1"/>
      <c r="RJO56" s="1"/>
      <c r="RJP56" s="1"/>
      <c r="RJQ56" s="1"/>
      <c r="RJR56" s="1"/>
      <c r="RJS56" s="1"/>
      <c r="RJT56" s="1"/>
      <c r="RJU56" s="1"/>
      <c r="RJV56" s="1"/>
      <c r="RJW56" s="1"/>
      <c r="RJX56" s="1"/>
      <c r="RJY56" s="1"/>
      <c r="RJZ56" s="1"/>
      <c r="RKA56" s="1"/>
      <c r="RKB56" s="1"/>
      <c r="RKC56" s="1"/>
      <c r="RKD56" s="1"/>
      <c r="RKE56" s="1"/>
      <c r="RKF56" s="1"/>
      <c r="RKG56" s="1"/>
      <c r="RKH56" s="1"/>
      <c r="RKI56" s="1"/>
      <c r="RKJ56" s="1"/>
      <c r="RKK56" s="1"/>
      <c r="RKL56" s="1"/>
      <c r="RKM56" s="1"/>
      <c r="RKN56" s="1"/>
      <c r="RKO56" s="1"/>
      <c r="RKP56" s="1"/>
      <c r="RKQ56" s="1"/>
      <c r="RKR56" s="1"/>
      <c r="RKS56" s="1"/>
      <c r="RKT56" s="1"/>
      <c r="RKU56" s="1"/>
      <c r="RKV56" s="1"/>
      <c r="RKW56" s="1"/>
      <c r="RKX56" s="1"/>
      <c r="RKY56" s="1"/>
      <c r="RKZ56" s="1"/>
      <c r="RLA56" s="1"/>
      <c r="RLB56" s="1"/>
      <c r="RLC56" s="1"/>
      <c r="RLD56" s="1"/>
      <c r="RLE56" s="1"/>
      <c r="RLF56" s="1"/>
      <c r="RLG56" s="1"/>
      <c r="RLH56" s="1"/>
      <c r="RLI56" s="1"/>
      <c r="RLJ56" s="1"/>
      <c r="RLK56" s="1"/>
      <c r="RLL56" s="1"/>
      <c r="RLM56" s="1"/>
      <c r="RLN56" s="1"/>
      <c r="RLO56" s="1"/>
      <c r="RLP56" s="1"/>
      <c r="RLQ56" s="1"/>
      <c r="RLR56" s="1"/>
      <c r="RLS56" s="1"/>
      <c r="RLT56" s="1"/>
      <c r="RLU56" s="1"/>
      <c r="RLV56" s="1"/>
      <c r="RLW56" s="1"/>
      <c r="RLX56" s="1"/>
      <c r="RLY56" s="1"/>
      <c r="RLZ56" s="1"/>
      <c r="RMA56" s="1"/>
      <c r="RMB56" s="1"/>
      <c r="RMC56" s="1"/>
      <c r="RMD56" s="1"/>
      <c r="RME56" s="1"/>
      <c r="RMF56" s="1"/>
      <c r="RMG56" s="1"/>
      <c r="RMH56" s="1"/>
      <c r="RMI56" s="1"/>
      <c r="RMJ56" s="1"/>
      <c r="RMK56" s="1"/>
      <c r="RML56" s="1"/>
      <c r="RMM56" s="1"/>
      <c r="RMN56" s="1"/>
      <c r="RMO56" s="1"/>
      <c r="RMP56" s="1"/>
      <c r="RMQ56" s="1"/>
      <c r="RMR56" s="1"/>
      <c r="RMS56" s="1"/>
      <c r="RMT56" s="1"/>
      <c r="RMU56" s="1"/>
      <c r="RMV56" s="1"/>
      <c r="RMW56" s="1"/>
      <c r="RMX56" s="1"/>
      <c r="RMY56" s="1"/>
      <c r="RMZ56" s="1"/>
      <c r="RNA56" s="1"/>
      <c r="RNB56" s="1"/>
      <c r="RNC56" s="1"/>
      <c r="RND56" s="1"/>
      <c r="RNE56" s="1"/>
      <c r="RNF56" s="1"/>
      <c r="RNG56" s="1"/>
      <c r="RNH56" s="1"/>
      <c r="RNI56" s="1"/>
      <c r="RNJ56" s="1"/>
      <c r="RNK56" s="1"/>
      <c r="RNL56" s="1"/>
      <c r="RNM56" s="1"/>
      <c r="RNN56" s="1"/>
      <c r="RNO56" s="1"/>
      <c r="RNP56" s="1"/>
      <c r="RNQ56" s="1"/>
      <c r="RNR56" s="1"/>
      <c r="RNS56" s="1"/>
      <c r="RNT56" s="1"/>
      <c r="RNU56" s="1"/>
      <c r="RNV56" s="1"/>
      <c r="RNW56" s="1"/>
      <c r="RNX56" s="1"/>
      <c r="RNY56" s="1"/>
      <c r="RNZ56" s="1"/>
      <c r="ROA56" s="1"/>
      <c r="ROB56" s="1"/>
      <c r="ROC56" s="1"/>
      <c r="ROD56" s="1"/>
      <c r="ROE56" s="1"/>
      <c r="ROF56" s="1"/>
      <c r="ROG56" s="1"/>
      <c r="ROH56" s="1"/>
      <c r="ROI56" s="1"/>
      <c r="ROJ56" s="1"/>
      <c r="ROK56" s="1"/>
      <c r="ROL56" s="1"/>
      <c r="ROM56" s="1"/>
      <c r="RON56" s="1"/>
      <c r="ROO56" s="1"/>
      <c r="ROP56" s="1"/>
      <c r="ROQ56" s="1"/>
      <c r="ROR56" s="1"/>
      <c r="ROS56" s="1"/>
      <c r="ROT56" s="1"/>
      <c r="ROU56" s="1"/>
      <c r="ROV56" s="1"/>
      <c r="ROW56" s="1"/>
      <c r="ROX56" s="1"/>
      <c r="ROY56" s="1"/>
      <c r="ROZ56" s="1"/>
      <c r="RPA56" s="1"/>
      <c r="RPB56" s="1"/>
      <c r="RPC56" s="1"/>
      <c r="RPD56" s="1"/>
      <c r="RPE56" s="1"/>
      <c r="RPF56" s="1"/>
      <c r="RPG56" s="1"/>
      <c r="RPH56" s="1"/>
      <c r="RPI56" s="1"/>
      <c r="RPJ56" s="1"/>
      <c r="RPK56" s="1"/>
      <c r="RPL56" s="1"/>
      <c r="RPM56" s="1"/>
      <c r="RPN56" s="1"/>
      <c r="RPO56" s="1"/>
      <c r="RPP56" s="1"/>
      <c r="RPQ56" s="1"/>
      <c r="RPR56" s="1"/>
      <c r="RPS56" s="1"/>
      <c r="RPT56" s="1"/>
      <c r="RPU56" s="1"/>
      <c r="RPV56" s="1"/>
      <c r="RPW56" s="1"/>
      <c r="RPX56" s="1"/>
      <c r="RPY56" s="1"/>
      <c r="RPZ56" s="1"/>
      <c r="RQA56" s="1"/>
      <c r="RQB56" s="1"/>
      <c r="RQC56" s="1"/>
      <c r="RQD56" s="1"/>
      <c r="RQE56" s="1"/>
      <c r="RQF56" s="1"/>
      <c r="RQG56" s="1"/>
      <c r="RQH56" s="1"/>
      <c r="RQI56" s="1"/>
      <c r="RQJ56" s="1"/>
      <c r="RQK56" s="1"/>
      <c r="RQL56" s="1"/>
      <c r="RQM56" s="1"/>
      <c r="RQN56" s="1"/>
      <c r="RQO56" s="1"/>
      <c r="RQP56" s="1"/>
      <c r="RQQ56" s="1"/>
      <c r="RQR56" s="1"/>
      <c r="RQS56" s="1"/>
      <c r="RQT56" s="1"/>
      <c r="RQU56" s="1"/>
      <c r="RQV56" s="1"/>
      <c r="RQW56" s="1"/>
      <c r="RQX56" s="1"/>
      <c r="RQY56" s="1"/>
      <c r="RQZ56" s="1"/>
      <c r="RRA56" s="1"/>
      <c r="RRB56" s="1"/>
      <c r="RRC56" s="1"/>
      <c r="RRD56" s="1"/>
      <c r="RRE56" s="1"/>
      <c r="RRF56" s="1"/>
      <c r="RRG56" s="1"/>
      <c r="RRH56" s="1"/>
      <c r="RRI56" s="1"/>
      <c r="RRJ56" s="1"/>
      <c r="RRK56" s="1"/>
      <c r="RRL56" s="1"/>
      <c r="RRM56" s="1"/>
      <c r="RRN56" s="1"/>
      <c r="RRO56" s="1"/>
      <c r="RRP56" s="1"/>
      <c r="RRQ56" s="1"/>
      <c r="RRR56" s="1"/>
      <c r="RRS56" s="1"/>
      <c r="RRT56" s="1"/>
      <c r="RRU56" s="1"/>
      <c r="RRV56" s="1"/>
      <c r="RRW56" s="1"/>
      <c r="RRX56" s="1"/>
      <c r="RRY56" s="1"/>
      <c r="RRZ56" s="1"/>
      <c r="RSA56" s="1"/>
      <c r="RSB56" s="1"/>
      <c r="RSC56" s="1"/>
      <c r="RSD56" s="1"/>
      <c r="RSE56" s="1"/>
      <c r="RSF56" s="1"/>
      <c r="RSG56" s="1"/>
      <c r="RSH56" s="1"/>
      <c r="RSI56" s="1"/>
      <c r="RSJ56" s="1"/>
      <c r="RSK56" s="1"/>
      <c r="RSL56" s="1"/>
      <c r="RSM56" s="1"/>
      <c r="RSN56" s="1"/>
      <c r="RSO56" s="1"/>
      <c r="RSP56" s="1"/>
      <c r="RSQ56" s="1"/>
      <c r="RSR56" s="1"/>
      <c r="RSS56" s="1"/>
      <c r="RST56" s="1"/>
      <c r="RSU56" s="1"/>
      <c r="RSV56" s="1"/>
      <c r="RSW56" s="1"/>
      <c r="RSX56" s="1"/>
      <c r="RSY56" s="1"/>
      <c r="RSZ56" s="1"/>
      <c r="RTA56" s="1"/>
      <c r="RTB56" s="1"/>
      <c r="RTC56" s="1"/>
      <c r="RTD56" s="1"/>
      <c r="RTE56" s="1"/>
      <c r="RTF56" s="1"/>
      <c r="RTG56" s="1"/>
      <c r="RTH56" s="1"/>
      <c r="RTI56" s="1"/>
      <c r="RTJ56" s="1"/>
      <c r="RTK56" s="1"/>
      <c r="RTL56" s="1"/>
      <c r="RTM56" s="1"/>
      <c r="RTN56" s="1"/>
      <c r="RTO56" s="1"/>
      <c r="RTP56" s="1"/>
      <c r="RTQ56" s="1"/>
      <c r="RTR56" s="1"/>
      <c r="RTS56" s="1"/>
      <c r="RTT56" s="1"/>
      <c r="RTU56" s="1"/>
      <c r="RTV56" s="1"/>
      <c r="RTW56" s="1"/>
      <c r="RTX56" s="1"/>
      <c r="RTY56" s="1"/>
      <c r="RTZ56" s="1"/>
      <c r="RUA56" s="1"/>
      <c r="RUB56" s="1"/>
      <c r="RUC56" s="1"/>
      <c r="RUD56" s="1"/>
      <c r="RUE56" s="1"/>
      <c r="RUF56" s="1"/>
      <c r="RUG56" s="1"/>
      <c r="RUH56" s="1"/>
      <c r="RUI56" s="1"/>
      <c r="RUJ56" s="1"/>
      <c r="RUK56" s="1"/>
      <c r="RUL56" s="1"/>
      <c r="RUM56" s="1"/>
      <c r="RUN56" s="1"/>
      <c r="RUO56" s="1"/>
      <c r="RUP56" s="1"/>
      <c r="RUQ56" s="1"/>
      <c r="RUR56" s="1"/>
      <c r="RUS56" s="1"/>
      <c r="RUT56" s="1"/>
      <c r="RUU56" s="1"/>
      <c r="RUV56" s="1"/>
      <c r="RUW56" s="1"/>
      <c r="RUX56" s="1"/>
      <c r="RUY56" s="1"/>
      <c r="RUZ56" s="1"/>
      <c r="RVA56" s="1"/>
      <c r="RVB56" s="1"/>
      <c r="RVC56" s="1"/>
      <c r="RVD56" s="1"/>
      <c r="RVE56" s="1"/>
      <c r="RVF56" s="1"/>
      <c r="RVG56" s="1"/>
      <c r="RVH56" s="1"/>
      <c r="RVI56" s="1"/>
      <c r="RVJ56" s="1"/>
      <c r="RVK56" s="1"/>
      <c r="RVL56" s="1"/>
      <c r="RVM56" s="1"/>
      <c r="RVN56" s="1"/>
      <c r="RVO56" s="1"/>
      <c r="RVP56" s="1"/>
      <c r="RVQ56" s="1"/>
      <c r="RVR56" s="1"/>
      <c r="RVS56" s="1"/>
      <c r="RVT56" s="1"/>
      <c r="RVU56" s="1"/>
      <c r="RVV56" s="1"/>
      <c r="RVW56" s="1"/>
      <c r="RVX56" s="1"/>
      <c r="RVY56" s="1"/>
      <c r="RVZ56" s="1"/>
      <c r="RWA56" s="1"/>
      <c r="RWB56" s="1"/>
      <c r="RWC56" s="1"/>
      <c r="RWD56" s="1"/>
      <c r="RWE56" s="1"/>
      <c r="RWF56" s="1"/>
      <c r="RWG56" s="1"/>
      <c r="RWH56" s="1"/>
      <c r="RWI56" s="1"/>
      <c r="RWJ56" s="1"/>
      <c r="RWK56" s="1"/>
      <c r="RWL56" s="1"/>
      <c r="RWM56" s="1"/>
      <c r="RWN56" s="1"/>
      <c r="RWO56" s="1"/>
      <c r="RWP56" s="1"/>
      <c r="RWQ56" s="1"/>
      <c r="RWR56" s="1"/>
      <c r="RWS56" s="1"/>
      <c r="RWT56" s="1"/>
      <c r="RWU56" s="1"/>
      <c r="RWV56" s="1"/>
      <c r="RWW56" s="1"/>
      <c r="RWX56" s="1"/>
      <c r="RWY56" s="1"/>
      <c r="RWZ56" s="1"/>
      <c r="RXA56" s="1"/>
      <c r="RXB56" s="1"/>
      <c r="RXC56" s="1"/>
      <c r="RXD56" s="1"/>
      <c r="RXE56" s="1"/>
      <c r="RXF56" s="1"/>
      <c r="RXG56" s="1"/>
      <c r="RXH56" s="1"/>
      <c r="RXI56" s="1"/>
      <c r="RXJ56" s="1"/>
      <c r="RXK56" s="1"/>
      <c r="RXL56" s="1"/>
      <c r="RXM56" s="1"/>
      <c r="RXN56" s="1"/>
      <c r="RXO56" s="1"/>
      <c r="RXP56" s="1"/>
      <c r="RXQ56" s="1"/>
      <c r="RXR56" s="1"/>
      <c r="RXS56" s="1"/>
      <c r="RXT56" s="1"/>
      <c r="RXU56" s="1"/>
      <c r="RXV56" s="1"/>
      <c r="RXW56" s="1"/>
      <c r="RXX56" s="1"/>
      <c r="RXY56" s="1"/>
      <c r="RXZ56" s="1"/>
      <c r="RYA56" s="1"/>
      <c r="RYB56" s="1"/>
      <c r="RYC56" s="1"/>
      <c r="RYD56" s="1"/>
      <c r="RYE56" s="1"/>
      <c r="RYF56" s="1"/>
      <c r="RYG56" s="1"/>
      <c r="RYH56" s="1"/>
      <c r="RYI56" s="1"/>
      <c r="RYJ56" s="1"/>
      <c r="RYK56" s="1"/>
      <c r="RYL56" s="1"/>
      <c r="RYM56" s="1"/>
      <c r="RYN56" s="1"/>
      <c r="RYO56" s="1"/>
      <c r="RYP56" s="1"/>
      <c r="RYQ56" s="1"/>
      <c r="RYR56" s="1"/>
      <c r="RYS56" s="1"/>
      <c r="RYT56" s="1"/>
      <c r="RYU56" s="1"/>
      <c r="RYV56" s="1"/>
      <c r="RYW56" s="1"/>
      <c r="RYX56" s="1"/>
      <c r="RYY56" s="1"/>
      <c r="RYZ56" s="1"/>
      <c r="RZA56" s="1"/>
      <c r="RZB56" s="1"/>
      <c r="RZC56" s="1"/>
      <c r="RZD56" s="1"/>
      <c r="RZE56" s="1"/>
      <c r="RZF56" s="1"/>
      <c r="RZG56" s="1"/>
      <c r="RZH56" s="1"/>
      <c r="RZI56" s="1"/>
      <c r="RZJ56" s="1"/>
      <c r="RZK56" s="1"/>
      <c r="RZL56" s="1"/>
      <c r="RZM56" s="1"/>
      <c r="RZN56" s="1"/>
      <c r="RZO56" s="1"/>
      <c r="RZP56" s="1"/>
      <c r="RZQ56" s="1"/>
      <c r="RZR56" s="1"/>
      <c r="RZS56" s="1"/>
      <c r="RZT56" s="1"/>
      <c r="RZU56" s="1"/>
      <c r="RZV56" s="1"/>
      <c r="RZW56" s="1"/>
      <c r="RZX56" s="1"/>
      <c r="RZY56" s="1"/>
      <c r="RZZ56" s="1"/>
      <c r="SAA56" s="1"/>
      <c r="SAB56" s="1"/>
      <c r="SAC56" s="1"/>
      <c r="SAD56" s="1"/>
      <c r="SAE56" s="1"/>
      <c r="SAF56" s="1"/>
      <c r="SAG56" s="1"/>
      <c r="SAH56" s="1"/>
      <c r="SAI56" s="1"/>
      <c r="SAJ56" s="1"/>
      <c r="SAK56" s="1"/>
      <c r="SAL56" s="1"/>
      <c r="SAM56" s="1"/>
      <c r="SAN56" s="1"/>
      <c r="SAO56" s="1"/>
      <c r="SAP56" s="1"/>
      <c r="SAQ56" s="1"/>
      <c r="SAR56" s="1"/>
      <c r="SAS56" s="1"/>
      <c r="SAT56" s="1"/>
      <c r="SAU56" s="1"/>
      <c r="SAV56" s="1"/>
      <c r="SAW56" s="1"/>
      <c r="SAX56" s="1"/>
      <c r="SAY56" s="1"/>
      <c r="SAZ56" s="1"/>
      <c r="SBA56" s="1"/>
      <c r="SBB56" s="1"/>
      <c r="SBC56" s="1"/>
      <c r="SBD56" s="1"/>
      <c r="SBE56" s="1"/>
      <c r="SBF56" s="1"/>
      <c r="SBG56" s="1"/>
      <c r="SBH56" s="1"/>
      <c r="SBI56" s="1"/>
      <c r="SBJ56" s="1"/>
      <c r="SBK56" s="1"/>
      <c r="SBL56" s="1"/>
      <c r="SBM56" s="1"/>
      <c r="SBN56" s="1"/>
      <c r="SBO56" s="1"/>
      <c r="SBP56" s="1"/>
      <c r="SBQ56" s="1"/>
      <c r="SBR56" s="1"/>
      <c r="SBS56" s="1"/>
      <c r="SBT56" s="1"/>
      <c r="SBU56" s="1"/>
      <c r="SBV56" s="1"/>
      <c r="SBW56" s="1"/>
      <c r="SBX56" s="1"/>
      <c r="SBY56" s="1"/>
      <c r="SBZ56" s="1"/>
      <c r="SCA56" s="1"/>
      <c r="SCB56" s="1"/>
      <c r="SCC56" s="1"/>
      <c r="SCD56" s="1"/>
      <c r="SCE56" s="1"/>
      <c r="SCF56" s="1"/>
      <c r="SCG56" s="1"/>
      <c r="SCH56" s="1"/>
      <c r="SCI56" s="1"/>
      <c r="SCJ56" s="1"/>
      <c r="SCK56" s="1"/>
      <c r="SCL56" s="1"/>
      <c r="SCM56" s="1"/>
      <c r="SCN56" s="1"/>
      <c r="SCO56" s="1"/>
      <c r="SCP56" s="1"/>
      <c r="SCQ56" s="1"/>
      <c r="SCR56" s="1"/>
      <c r="SCS56" s="1"/>
      <c r="SCT56" s="1"/>
      <c r="SCU56" s="1"/>
      <c r="SCV56" s="1"/>
      <c r="SCW56" s="1"/>
      <c r="SCX56" s="1"/>
      <c r="SCY56" s="1"/>
      <c r="SCZ56" s="1"/>
      <c r="SDA56" s="1"/>
      <c r="SDB56" s="1"/>
      <c r="SDC56" s="1"/>
      <c r="SDD56" s="1"/>
      <c r="SDE56" s="1"/>
      <c r="SDF56" s="1"/>
      <c r="SDG56" s="1"/>
      <c r="SDH56" s="1"/>
      <c r="SDI56" s="1"/>
      <c r="SDJ56" s="1"/>
      <c r="SDK56" s="1"/>
      <c r="SDL56" s="1"/>
      <c r="SDM56" s="1"/>
      <c r="SDN56" s="1"/>
      <c r="SDO56" s="1"/>
      <c r="SDP56" s="1"/>
      <c r="SDQ56" s="1"/>
      <c r="SDR56" s="1"/>
      <c r="SDS56" s="1"/>
      <c r="SDT56" s="1"/>
      <c r="SDU56" s="1"/>
      <c r="SDV56" s="1"/>
      <c r="SDW56" s="1"/>
      <c r="SDX56" s="1"/>
      <c r="SDY56" s="1"/>
      <c r="SDZ56" s="1"/>
      <c r="SEA56" s="1"/>
      <c r="SEB56" s="1"/>
      <c r="SEC56" s="1"/>
      <c r="SED56" s="1"/>
      <c r="SEE56" s="1"/>
      <c r="SEF56" s="1"/>
      <c r="SEG56" s="1"/>
      <c r="SEH56" s="1"/>
      <c r="SEI56" s="1"/>
      <c r="SEJ56" s="1"/>
      <c r="SEK56" s="1"/>
      <c r="SEL56" s="1"/>
      <c r="SEM56" s="1"/>
      <c r="SEN56" s="1"/>
      <c r="SEO56" s="1"/>
      <c r="SEP56" s="1"/>
      <c r="SEQ56" s="1"/>
      <c r="SER56" s="1"/>
      <c r="SES56" s="1"/>
      <c r="SET56" s="1"/>
      <c r="SEU56" s="1"/>
      <c r="SEV56" s="1"/>
      <c r="SEW56" s="1"/>
      <c r="SEX56" s="1"/>
      <c r="SEY56" s="1"/>
      <c r="SEZ56" s="1"/>
      <c r="SFA56" s="1"/>
      <c r="SFB56" s="1"/>
      <c r="SFC56" s="1"/>
      <c r="SFD56" s="1"/>
      <c r="SFE56" s="1"/>
      <c r="SFF56" s="1"/>
      <c r="SFG56" s="1"/>
      <c r="SFH56" s="1"/>
      <c r="SFI56" s="1"/>
      <c r="SFJ56" s="1"/>
      <c r="SFK56" s="1"/>
      <c r="SFL56" s="1"/>
      <c r="SFM56" s="1"/>
      <c r="SFN56" s="1"/>
      <c r="SFO56" s="1"/>
      <c r="SFP56" s="1"/>
      <c r="SFQ56" s="1"/>
      <c r="SFR56" s="1"/>
      <c r="SFS56" s="1"/>
      <c r="SFT56" s="1"/>
      <c r="SFU56" s="1"/>
      <c r="SFV56" s="1"/>
      <c r="SFW56" s="1"/>
      <c r="SFX56" s="1"/>
      <c r="SFY56" s="1"/>
      <c r="SFZ56" s="1"/>
      <c r="SGA56" s="1"/>
      <c r="SGB56" s="1"/>
      <c r="SGC56" s="1"/>
      <c r="SGD56" s="1"/>
      <c r="SGE56" s="1"/>
      <c r="SGF56" s="1"/>
      <c r="SGG56" s="1"/>
      <c r="SGH56" s="1"/>
      <c r="SGI56" s="1"/>
      <c r="SGJ56" s="1"/>
      <c r="SGK56" s="1"/>
      <c r="SGL56" s="1"/>
      <c r="SGM56" s="1"/>
      <c r="SGN56" s="1"/>
      <c r="SGO56" s="1"/>
      <c r="SGP56" s="1"/>
      <c r="SGQ56" s="1"/>
      <c r="SGR56" s="1"/>
      <c r="SGS56" s="1"/>
      <c r="SGT56" s="1"/>
      <c r="SGU56" s="1"/>
      <c r="SGV56" s="1"/>
      <c r="SGW56" s="1"/>
      <c r="SGX56" s="1"/>
      <c r="SGY56" s="1"/>
      <c r="SGZ56" s="1"/>
      <c r="SHA56" s="1"/>
      <c r="SHB56" s="1"/>
      <c r="SHC56" s="1"/>
      <c r="SHD56" s="1"/>
      <c r="SHE56" s="1"/>
      <c r="SHF56" s="1"/>
      <c r="SHG56" s="1"/>
      <c r="SHH56" s="1"/>
      <c r="SHI56" s="1"/>
      <c r="SHJ56" s="1"/>
      <c r="SHK56" s="1"/>
      <c r="SHL56" s="1"/>
      <c r="SHM56" s="1"/>
      <c r="SHN56" s="1"/>
      <c r="SHO56" s="1"/>
      <c r="SHP56" s="1"/>
      <c r="SHQ56" s="1"/>
      <c r="SHR56" s="1"/>
      <c r="SHS56" s="1"/>
      <c r="SHT56" s="1"/>
      <c r="SHU56" s="1"/>
      <c r="SHV56" s="1"/>
      <c r="SHW56" s="1"/>
      <c r="SHX56" s="1"/>
      <c r="SHY56" s="1"/>
      <c r="SHZ56" s="1"/>
      <c r="SIA56" s="1"/>
      <c r="SIB56" s="1"/>
      <c r="SIC56" s="1"/>
      <c r="SID56" s="1"/>
      <c r="SIE56" s="1"/>
      <c r="SIF56" s="1"/>
      <c r="SIG56" s="1"/>
      <c r="SIH56" s="1"/>
      <c r="SII56" s="1"/>
      <c r="SIJ56" s="1"/>
      <c r="SIK56" s="1"/>
      <c r="SIL56" s="1"/>
      <c r="SIM56" s="1"/>
      <c r="SIN56" s="1"/>
      <c r="SIO56" s="1"/>
      <c r="SIP56" s="1"/>
      <c r="SIQ56" s="1"/>
      <c r="SIR56" s="1"/>
      <c r="SIS56" s="1"/>
      <c r="SIT56" s="1"/>
      <c r="SIU56" s="1"/>
      <c r="SIV56" s="1"/>
      <c r="SIW56" s="1"/>
      <c r="SIX56" s="1"/>
      <c r="SIY56" s="1"/>
      <c r="SIZ56" s="1"/>
      <c r="SJA56" s="1"/>
      <c r="SJB56" s="1"/>
      <c r="SJC56" s="1"/>
      <c r="SJD56" s="1"/>
      <c r="SJE56" s="1"/>
      <c r="SJF56" s="1"/>
      <c r="SJG56" s="1"/>
      <c r="SJH56" s="1"/>
      <c r="SJI56" s="1"/>
      <c r="SJJ56" s="1"/>
      <c r="SJK56" s="1"/>
      <c r="SJL56" s="1"/>
      <c r="SJM56" s="1"/>
      <c r="SJN56" s="1"/>
      <c r="SJO56" s="1"/>
      <c r="SJP56" s="1"/>
      <c r="SJQ56" s="1"/>
      <c r="SJR56" s="1"/>
      <c r="SJS56" s="1"/>
      <c r="SJT56" s="1"/>
      <c r="SJU56" s="1"/>
      <c r="SJV56" s="1"/>
      <c r="SJW56" s="1"/>
      <c r="SJX56" s="1"/>
      <c r="SJY56" s="1"/>
      <c r="SJZ56" s="1"/>
      <c r="SKA56" s="1"/>
      <c r="SKB56" s="1"/>
      <c r="SKC56" s="1"/>
      <c r="SKD56" s="1"/>
      <c r="SKE56" s="1"/>
      <c r="SKF56" s="1"/>
      <c r="SKG56" s="1"/>
      <c r="SKH56" s="1"/>
      <c r="SKI56" s="1"/>
      <c r="SKJ56" s="1"/>
      <c r="SKK56" s="1"/>
      <c r="SKL56" s="1"/>
      <c r="SKM56" s="1"/>
      <c r="SKN56" s="1"/>
      <c r="SKO56" s="1"/>
      <c r="SKP56" s="1"/>
      <c r="SKQ56" s="1"/>
      <c r="SKR56" s="1"/>
      <c r="SKS56" s="1"/>
      <c r="SKT56" s="1"/>
      <c r="SKU56" s="1"/>
      <c r="SKV56" s="1"/>
      <c r="SKW56" s="1"/>
      <c r="SKX56" s="1"/>
      <c r="SKY56" s="1"/>
      <c r="SKZ56" s="1"/>
      <c r="SLA56" s="1"/>
      <c r="SLB56" s="1"/>
      <c r="SLC56" s="1"/>
      <c r="SLD56" s="1"/>
      <c r="SLE56" s="1"/>
      <c r="SLF56" s="1"/>
      <c r="SLG56" s="1"/>
      <c r="SLH56" s="1"/>
      <c r="SLI56" s="1"/>
      <c r="SLJ56" s="1"/>
      <c r="SLK56" s="1"/>
      <c r="SLL56" s="1"/>
      <c r="SLM56" s="1"/>
      <c r="SLN56" s="1"/>
      <c r="SLO56" s="1"/>
      <c r="SLP56" s="1"/>
      <c r="SLQ56" s="1"/>
      <c r="SLR56" s="1"/>
      <c r="SLS56" s="1"/>
      <c r="SLT56" s="1"/>
      <c r="SLU56" s="1"/>
      <c r="SLV56" s="1"/>
      <c r="SLW56" s="1"/>
      <c r="SLX56" s="1"/>
      <c r="SLY56" s="1"/>
      <c r="SLZ56" s="1"/>
      <c r="SMA56" s="1"/>
      <c r="SMB56" s="1"/>
      <c r="SMC56" s="1"/>
      <c r="SMD56" s="1"/>
      <c r="SME56" s="1"/>
      <c r="SMF56" s="1"/>
      <c r="SMG56" s="1"/>
      <c r="SMH56" s="1"/>
      <c r="SMI56" s="1"/>
      <c r="SMJ56" s="1"/>
      <c r="SMK56" s="1"/>
      <c r="SML56" s="1"/>
      <c r="SMM56" s="1"/>
      <c r="SMN56" s="1"/>
      <c r="SMO56" s="1"/>
      <c r="SMP56" s="1"/>
      <c r="SMQ56" s="1"/>
      <c r="SMR56" s="1"/>
      <c r="SMS56" s="1"/>
      <c r="SMT56" s="1"/>
      <c r="SMU56" s="1"/>
      <c r="SMV56" s="1"/>
      <c r="SMW56" s="1"/>
      <c r="SMX56" s="1"/>
      <c r="SMY56" s="1"/>
      <c r="SMZ56" s="1"/>
      <c r="SNA56" s="1"/>
      <c r="SNB56" s="1"/>
      <c r="SNC56" s="1"/>
      <c r="SND56" s="1"/>
      <c r="SNE56" s="1"/>
      <c r="SNF56" s="1"/>
      <c r="SNG56" s="1"/>
      <c r="SNH56" s="1"/>
      <c r="SNI56" s="1"/>
      <c r="SNJ56" s="1"/>
      <c r="SNK56" s="1"/>
      <c r="SNL56" s="1"/>
      <c r="SNM56" s="1"/>
      <c r="SNN56" s="1"/>
      <c r="SNO56" s="1"/>
      <c r="SNP56" s="1"/>
      <c r="SNQ56" s="1"/>
      <c r="SNR56" s="1"/>
      <c r="SNS56" s="1"/>
      <c r="SNT56" s="1"/>
      <c r="SNU56" s="1"/>
      <c r="SNV56" s="1"/>
      <c r="SNW56" s="1"/>
      <c r="SNX56" s="1"/>
      <c r="SNY56" s="1"/>
      <c r="SNZ56" s="1"/>
      <c r="SOA56" s="1"/>
      <c r="SOB56" s="1"/>
      <c r="SOC56" s="1"/>
      <c r="SOD56" s="1"/>
      <c r="SOE56" s="1"/>
      <c r="SOF56" s="1"/>
      <c r="SOG56" s="1"/>
      <c r="SOH56" s="1"/>
      <c r="SOI56" s="1"/>
      <c r="SOJ56" s="1"/>
      <c r="SOK56" s="1"/>
      <c r="SOL56" s="1"/>
      <c r="SOM56" s="1"/>
      <c r="SON56" s="1"/>
      <c r="SOO56" s="1"/>
      <c r="SOP56" s="1"/>
      <c r="SOQ56" s="1"/>
      <c r="SOR56" s="1"/>
      <c r="SOS56" s="1"/>
      <c r="SOT56" s="1"/>
      <c r="SOU56" s="1"/>
      <c r="SOV56" s="1"/>
      <c r="SOW56" s="1"/>
      <c r="SOX56" s="1"/>
      <c r="SOY56" s="1"/>
      <c r="SOZ56" s="1"/>
      <c r="SPA56" s="1"/>
      <c r="SPB56" s="1"/>
      <c r="SPC56" s="1"/>
      <c r="SPD56" s="1"/>
      <c r="SPE56" s="1"/>
      <c r="SPF56" s="1"/>
      <c r="SPG56" s="1"/>
      <c r="SPH56" s="1"/>
      <c r="SPI56" s="1"/>
      <c r="SPJ56" s="1"/>
      <c r="SPK56" s="1"/>
      <c r="SPL56" s="1"/>
      <c r="SPM56" s="1"/>
      <c r="SPN56" s="1"/>
      <c r="SPO56" s="1"/>
      <c r="SPP56" s="1"/>
      <c r="SPQ56" s="1"/>
      <c r="SPR56" s="1"/>
      <c r="SPS56" s="1"/>
      <c r="SPT56" s="1"/>
      <c r="SPU56" s="1"/>
      <c r="SPV56" s="1"/>
      <c r="SPW56" s="1"/>
      <c r="SPX56" s="1"/>
      <c r="SPY56" s="1"/>
      <c r="SPZ56" s="1"/>
      <c r="SQA56" s="1"/>
      <c r="SQB56" s="1"/>
      <c r="SQC56" s="1"/>
      <c r="SQD56" s="1"/>
      <c r="SQE56" s="1"/>
      <c r="SQF56" s="1"/>
      <c r="SQG56" s="1"/>
      <c r="SQH56" s="1"/>
      <c r="SQI56" s="1"/>
      <c r="SQJ56" s="1"/>
      <c r="SQK56" s="1"/>
      <c r="SQL56" s="1"/>
      <c r="SQM56" s="1"/>
      <c r="SQN56" s="1"/>
      <c r="SQO56" s="1"/>
      <c r="SQP56" s="1"/>
      <c r="SQQ56" s="1"/>
      <c r="SQR56" s="1"/>
      <c r="SQS56" s="1"/>
      <c r="SQT56" s="1"/>
      <c r="SQU56" s="1"/>
      <c r="SQV56" s="1"/>
      <c r="SQW56" s="1"/>
      <c r="SQX56" s="1"/>
      <c r="SQY56" s="1"/>
      <c r="SQZ56" s="1"/>
      <c r="SRA56" s="1"/>
      <c r="SRB56" s="1"/>
      <c r="SRC56" s="1"/>
      <c r="SRD56" s="1"/>
      <c r="SRE56" s="1"/>
      <c r="SRF56" s="1"/>
      <c r="SRG56" s="1"/>
      <c r="SRH56" s="1"/>
      <c r="SRI56" s="1"/>
      <c r="SRJ56" s="1"/>
      <c r="SRK56" s="1"/>
      <c r="SRL56" s="1"/>
      <c r="SRM56" s="1"/>
      <c r="SRN56" s="1"/>
      <c r="SRO56" s="1"/>
      <c r="SRP56" s="1"/>
      <c r="SRQ56" s="1"/>
      <c r="SRR56" s="1"/>
      <c r="SRS56" s="1"/>
      <c r="SRT56" s="1"/>
      <c r="SRU56" s="1"/>
      <c r="SRV56" s="1"/>
      <c r="SRW56" s="1"/>
      <c r="SRX56" s="1"/>
      <c r="SRY56" s="1"/>
      <c r="SRZ56" s="1"/>
      <c r="SSA56" s="1"/>
      <c r="SSB56" s="1"/>
      <c r="SSC56" s="1"/>
      <c r="SSD56" s="1"/>
      <c r="SSE56" s="1"/>
      <c r="SSF56" s="1"/>
      <c r="SSG56" s="1"/>
      <c r="SSH56" s="1"/>
      <c r="SSI56" s="1"/>
      <c r="SSJ56" s="1"/>
      <c r="SSK56" s="1"/>
      <c r="SSL56" s="1"/>
      <c r="SSM56" s="1"/>
      <c r="SSN56" s="1"/>
      <c r="SSO56" s="1"/>
      <c r="SSP56" s="1"/>
      <c r="SSQ56" s="1"/>
      <c r="SSR56" s="1"/>
      <c r="SSS56" s="1"/>
      <c r="SST56" s="1"/>
      <c r="SSU56" s="1"/>
      <c r="SSV56" s="1"/>
      <c r="SSW56" s="1"/>
      <c r="SSX56" s="1"/>
      <c r="SSY56" s="1"/>
      <c r="SSZ56" s="1"/>
      <c r="STA56" s="1"/>
      <c r="STB56" s="1"/>
      <c r="STC56" s="1"/>
      <c r="STD56" s="1"/>
      <c r="STE56" s="1"/>
      <c r="STF56" s="1"/>
      <c r="STG56" s="1"/>
      <c r="STH56" s="1"/>
      <c r="STI56" s="1"/>
      <c r="STJ56" s="1"/>
      <c r="STK56" s="1"/>
      <c r="STL56" s="1"/>
      <c r="STM56" s="1"/>
      <c r="STN56" s="1"/>
      <c r="STO56" s="1"/>
      <c r="STP56" s="1"/>
      <c r="STQ56" s="1"/>
      <c r="STR56" s="1"/>
      <c r="STS56" s="1"/>
      <c r="STT56" s="1"/>
      <c r="STU56" s="1"/>
      <c r="STV56" s="1"/>
      <c r="STW56" s="1"/>
      <c r="STX56" s="1"/>
      <c r="STY56" s="1"/>
      <c r="STZ56" s="1"/>
      <c r="SUA56" s="1"/>
      <c r="SUB56" s="1"/>
      <c r="SUC56" s="1"/>
      <c r="SUD56" s="1"/>
      <c r="SUE56" s="1"/>
      <c r="SUF56" s="1"/>
      <c r="SUG56" s="1"/>
      <c r="SUH56" s="1"/>
      <c r="SUI56" s="1"/>
      <c r="SUJ56" s="1"/>
      <c r="SUK56" s="1"/>
      <c r="SUL56" s="1"/>
      <c r="SUM56" s="1"/>
      <c r="SUN56" s="1"/>
      <c r="SUO56" s="1"/>
      <c r="SUP56" s="1"/>
      <c r="SUQ56" s="1"/>
      <c r="SUR56" s="1"/>
      <c r="SUS56" s="1"/>
      <c r="SUT56" s="1"/>
      <c r="SUU56" s="1"/>
      <c r="SUV56" s="1"/>
      <c r="SUW56" s="1"/>
      <c r="SUX56" s="1"/>
      <c r="SUY56" s="1"/>
      <c r="SUZ56" s="1"/>
      <c r="SVA56" s="1"/>
      <c r="SVB56" s="1"/>
      <c r="SVC56" s="1"/>
      <c r="SVD56" s="1"/>
      <c r="SVE56" s="1"/>
      <c r="SVF56" s="1"/>
      <c r="SVG56" s="1"/>
      <c r="SVH56" s="1"/>
      <c r="SVI56" s="1"/>
      <c r="SVJ56" s="1"/>
      <c r="SVK56" s="1"/>
      <c r="SVL56" s="1"/>
      <c r="SVM56" s="1"/>
      <c r="SVN56" s="1"/>
      <c r="SVO56" s="1"/>
      <c r="SVP56" s="1"/>
      <c r="SVQ56" s="1"/>
      <c r="SVR56" s="1"/>
      <c r="SVS56" s="1"/>
      <c r="SVT56" s="1"/>
      <c r="SVU56" s="1"/>
      <c r="SVV56" s="1"/>
      <c r="SVW56" s="1"/>
      <c r="SVX56" s="1"/>
      <c r="SVY56" s="1"/>
      <c r="SVZ56" s="1"/>
      <c r="SWA56" s="1"/>
      <c r="SWB56" s="1"/>
      <c r="SWC56" s="1"/>
      <c r="SWD56" s="1"/>
      <c r="SWE56" s="1"/>
      <c r="SWF56" s="1"/>
      <c r="SWG56" s="1"/>
      <c r="SWH56" s="1"/>
      <c r="SWI56" s="1"/>
      <c r="SWJ56" s="1"/>
      <c r="SWK56" s="1"/>
      <c r="SWL56" s="1"/>
      <c r="SWM56" s="1"/>
      <c r="SWN56" s="1"/>
      <c r="SWO56" s="1"/>
      <c r="SWP56" s="1"/>
      <c r="SWQ56" s="1"/>
      <c r="SWR56" s="1"/>
      <c r="SWS56" s="1"/>
      <c r="SWT56" s="1"/>
      <c r="SWU56" s="1"/>
      <c r="SWV56" s="1"/>
      <c r="SWW56" s="1"/>
      <c r="SWX56" s="1"/>
      <c r="SWY56" s="1"/>
      <c r="SWZ56" s="1"/>
      <c r="SXA56" s="1"/>
      <c r="SXB56" s="1"/>
      <c r="SXC56" s="1"/>
      <c r="SXD56" s="1"/>
      <c r="SXE56" s="1"/>
      <c r="SXF56" s="1"/>
      <c r="SXG56" s="1"/>
      <c r="SXH56" s="1"/>
      <c r="SXI56" s="1"/>
      <c r="SXJ56" s="1"/>
      <c r="SXK56" s="1"/>
      <c r="SXL56" s="1"/>
      <c r="SXM56" s="1"/>
      <c r="SXN56" s="1"/>
      <c r="SXO56" s="1"/>
      <c r="SXP56" s="1"/>
      <c r="SXQ56" s="1"/>
      <c r="SXR56" s="1"/>
      <c r="SXS56" s="1"/>
      <c r="SXT56" s="1"/>
      <c r="SXU56" s="1"/>
      <c r="SXV56" s="1"/>
      <c r="SXW56" s="1"/>
      <c r="SXX56" s="1"/>
      <c r="SXY56" s="1"/>
      <c r="SXZ56" s="1"/>
      <c r="SYA56" s="1"/>
      <c r="SYB56" s="1"/>
      <c r="SYC56" s="1"/>
      <c r="SYD56" s="1"/>
      <c r="SYE56" s="1"/>
      <c r="SYF56" s="1"/>
      <c r="SYG56" s="1"/>
      <c r="SYH56" s="1"/>
      <c r="SYI56" s="1"/>
      <c r="SYJ56" s="1"/>
      <c r="SYK56" s="1"/>
      <c r="SYL56" s="1"/>
      <c r="SYM56" s="1"/>
      <c r="SYN56" s="1"/>
      <c r="SYO56" s="1"/>
      <c r="SYP56" s="1"/>
      <c r="SYQ56" s="1"/>
      <c r="SYR56" s="1"/>
      <c r="SYS56" s="1"/>
      <c r="SYT56" s="1"/>
      <c r="SYU56" s="1"/>
      <c r="SYV56" s="1"/>
      <c r="SYW56" s="1"/>
      <c r="SYX56" s="1"/>
      <c r="SYY56" s="1"/>
      <c r="SYZ56" s="1"/>
      <c r="SZA56" s="1"/>
      <c r="SZB56" s="1"/>
      <c r="SZC56" s="1"/>
      <c r="SZD56" s="1"/>
      <c r="SZE56" s="1"/>
      <c r="SZF56" s="1"/>
      <c r="SZG56" s="1"/>
      <c r="SZH56" s="1"/>
      <c r="SZI56" s="1"/>
      <c r="SZJ56" s="1"/>
      <c r="SZK56" s="1"/>
      <c r="SZL56" s="1"/>
      <c r="SZM56" s="1"/>
      <c r="SZN56" s="1"/>
      <c r="SZO56" s="1"/>
      <c r="SZP56" s="1"/>
      <c r="SZQ56" s="1"/>
      <c r="SZR56" s="1"/>
      <c r="SZS56" s="1"/>
      <c r="SZT56" s="1"/>
      <c r="SZU56" s="1"/>
      <c r="SZV56" s="1"/>
      <c r="SZW56" s="1"/>
      <c r="SZX56" s="1"/>
      <c r="SZY56" s="1"/>
      <c r="SZZ56" s="1"/>
      <c r="TAA56" s="1"/>
      <c r="TAB56" s="1"/>
      <c r="TAC56" s="1"/>
      <c r="TAD56" s="1"/>
      <c r="TAE56" s="1"/>
      <c r="TAF56" s="1"/>
      <c r="TAG56" s="1"/>
      <c r="TAH56" s="1"/>
      <c r="TAI56" s="1"/>
      <c r="TAJ56" s="1"/>
      <c r="TAK56" s="1"/>
      <c r="TAL56" s="1"/>
      <c r="TAM56" s="1"/>
      <c r="TAN56" s="1"/>
      <c r="TAO56" s="1"/>
      <c r="TAP56" s="1"/>
      <c r="TAQ56" s="1"/>
      <c r="TAR56" s="1"/>
      <c r="TAS56" s="1"/>
      <c r="TAT56" s="1"/>
      <c r="TAU56" s="1"/>
      <c r="TAV56" s="1"/>
      <c r="TAW56" s="1"/>
      <c r="TAX56" s="1"/>
      <c r="TAY56" s="1"/>
      <c r="TAZ56" s="1"/>
      <c r="TBA56" s="1"/>
      <c r="TBB56" s="1"/>
      <c r="TBC56" s="1"/>
      <c r="TBD56" s="1"/>
      <c r="TBE56" s="1"/>
      <c r="TBF56" s="1"/>
      <c r="TBG56" s="1"/>
      <c r="TBH56" s="1"/>
      <c r="TBI56" s="1"/>
      <c r="TBJ56" s="1"/>
      <c r="TBK56" s="1"/>
      <c r="TBL56" s="1"/>
      <c r="TBM56" s="1"/>
      <c r="TBN56" s="1"/>
      <c r="TBO56" s="1"/>
      <c r="TBP56" s="1"/>
      <c r="TBQ56" s="1"/>
      <c r="TBR56" s="1"/>
      <c r="TBS56" s="1"/>
      <c r="TBT56" s="1"/>
      <c r="TBU56" s="1"/>
      <c r="TBV56" s="1"/>
      <c r="TBW56" s="1"/>
      <c r="TBX56" s="1"/>
      <c r="TBY56" s="1"/>
      <c r="TBZ56" s="1"/>
      <c r="TCA56" s="1"/>
      <c r="TCB56" s="1"/>
      <c r="TCC56" s="1"/>
      <c r="TCD56" s="1"/>
      <c r="TCE56" s="1"/>
      <c r="TCF56" s="1"/>
      <c r="TCG56" s="1"/>
      <c r="TCH56" s="1"/>
      <c r="TCI56" s="1"/>
      <c r="TCJ56" s="1"/>
      <c r="TCK56" s="1"/>
      <c r="TCL56" s="1"/>
      <c r="TCM56" s="1"/>
      <c r="TCN56" s="1"/>
      <c r="TCO56" s="1"/>
      <c r="TCP56" s="1"/>
      <c r="TCQ56" s="1"/>
      <c r="TCR56" s="1"/>
      <c r="TCS56" s="1"/>
      <c r="TCT56" s="1"/>
      <c r="TCU56" s="1"/>
      <c r="TCV56" s="1"/>
      <c r="TCW56" s="1"/>
      <c r="TCX56" s="1"/>
      <c r="TCY56" s="1"/>
      <c r="TCZ56" s="1"/>
      <c r="TDA56" s="1"/>
      <c r="TDB56" s="1"/>
      <c r="TDC56" s="1"/>
      <c r="TDD56" s="1"/>
      <c r="TDE56" s="1"/>
      <c r="TDF56" s="1"/>
      <c r="TDG56" s="1"/>
      <c r="TDH56" s="1"/>
      <c r="TDI56" s="1"/>
      <c r="TDJ56" s="1"/>
      <c r="TDK56" s="1"/>
      <c r="TDL56" s="1"/>
      <c r="TDM56" s="1"/>
      <c r="TDN56" s="1"/>
      <c r="TDO56" s="1"/>
      <c r="TDP56" s="1"/>
      <c r="TDQ56" s="1"/>
      <c r="TDR56" s="1"/>
      <c r="TDS56" s="1"/>
      <c r="TDT56" s="1"/>
      <c r="TDU56" s="1"/>
      <c r="TDV56" s="1"/>
      <c r="TDW56" s="1"/>
      <c r="TDX56" s="1"/>
      <c r="TDY56" s="1"/>
      <c r="TDZ56" s="1"/>
      <c r="TEA56" s="1"/>
      <c r="TEB56" s="1"/>
      <c r="TEC56" s="1"/>
      <c r="TED56" s="1"/>
      <c r="TEE56" s="1"/>
      <c r="TEF56" s="1"/>
      <c r="TEG56" s="1"/>
      <c r="TEH56" s="1"/>
      <c r="TEI56" s="1"/>
      <c r="TEJ56" s="1"/>
      <c r="TEK56" s="1"/>
      <c r="TEL56" s="1"/>
      <c r="TEM56" s="1"/>
      <c r="TEN56" s="1"/>
      <c r="TEO56" s="1"/>
      <c r="TEP56" s="1"/>
      <c r="TEQ56" s="1"/>
      <c r="TER56" s="1"/>
      <c r="TES56" s="1"/>
      <c r="TET56" s="1"/>
      <c r="TEU56" s="1"/>
      <c r="TEV56" s="1"/>
      <c r="TEW56" s="1"/>
      <c r="TEX56" s="1"/>
      <c r="TEY56" s="1"/>
      <c r="TEZ56" s="1"/>
      <c r="TFA56" s="1"/>
      <c r="TFB56" s="1"/>
      <c r="TFC56" s="1"/>
      <c r="TFD56" s="1"/>
      <c r="TFE56" s="1"/>
      <c r="TFF56" s="1"/>
      <c r="TFG56" s="1"/>
      <c r="TFH56" s="1"/>
      <c r="TFI56" s="1"/>
      <c r="TFJ56" s="1"/>
      <c r="TFK56" s="1"/>
      <c r="TFL56" s="1"/>
      <c r="TFM56" s="1"/>
      <c r="TFN56" s="1"/>
      <c r="TFO56" s="1"/>
      <c r="TFP56" s="1"/>
      <c r="TFQ56" s="1"/>
      <c r="TFR56" s="1"/>
      <c r="TFS56" s="1"/>
      <c r="TFT56" s="1"/>
      <c r="TFU56" s="1"/>
      <c r="TFV56" s="1"/>
      <c r="TFW56" s="1"/>
      <c r="TFX56" s="1"/>
      <c r="TFY56" s="1"/>
      <c r="TFZ56" s="1"/>
      <c r="TGA56" s="1"/>
      <c r="TGB56" s="1"/>
      <c r="TGC56" s="1"/>
      <c r="TGD56" s="1"/>
      <c r="TGE56" s="1"/>
      <c r="TGF56" s="1"/>
      <c r="TGG56" s="1"/>
      <c r="TGH56" s="1"/>
      <c r="TGI56" s="1"/>
      <c r="TGJ56" s="1"/>
      <c r="TGK56" s="1"/>
      <c r="TGL56" s="1"/>
      <c r="TGM56" s="1"/>
      <c r="TGN56" s="1"/>
      <c r="TGO56" s="1"/>
      <c r="TGP56" s="1"/>
      <c r="TGQ56" s="1"/>
      <c r="TGR56" s="1"/>
      <c r="TGS56" s="1"/>
      <c r="TGT56" s="1"/>
      <c r="TGU56" s="1"/>
      <c r="TGV56" s="1"/>
      <c r="TGW56" s="1"/>
      <c r="TGX56" s="1"/>
      <c r="TGY56" s="1"/>
      <c r="TGZ56" s="1"/>
      <c r="THA56" s="1"/>
      <c r="THB56" s="1"/>
      <c r="THC56" s="1"/>
      <c r="THD56" s="1"/>
      <c r="THE56" s="1"/>
      <c r="THF56" s="1"/>
      <c r="THG56" s="1"/>
      <c r="THH56" s="1"/>
      <c r="THI56" s="1"/>
      <c r="THJ56" s="1"/>
      <c r="THK56" s="1"/>
      <c r="THL56" s="1"/>
      <c r="THM56" s="1"/>
      <c r="THN56" s="1"/>
      <c r="THO56" s="1"/>
      <c r="THP56" s="1"/>
      <c r="THQ56" s="1"/>
      <c r="THR56" s="1"/>
      <c r="THS56" s="1"/>
      <c r="THT56" s="1"/>
      <c r="THU56" s="1"/>
      <c r="THV56" s="1"/>
      <c r="THW56" s="1"/>
      <c r="THX56" s="1"/>
      <c r="THY56" s="1"/>
      <c r="THZ56" s="1"/>
      <c r="TIA56" s="1"/>
      <c r="TIB56" s="1"/>
      <c r="TIC56" s="1"/>
      <c r="TID56" s="1"/>
      <c r="TIE56" s="1"/>
      <c r="TIF56" s="1"/>
      <c r="TIG56" s="1"/>
      <c r="TIH56" s="1"/>
      <c r="TII56" s="1"/>
      <c r="TIJ56" s="1"/>
      <c r="TIK56" s="1"/>
      <c r="TIL56" s="1"/>
      <c r="TIM56" s="1"/>
      <c r="TIN56" s="1"/>
      <c r="TIO56" s="1"/>
      <c r="TIP56" s="1"/>
      <c r="TIQ56" s="1"/>
      <c r="TIR56" s="1"/>
      <c r="TIS56" s="1"/>
      <c r="TIT56" s="1"/>
      <c r="TIU56" s="1"/>
      <c r="TIV56" s="1"/>
      <c r="TIW56" s="1"/>
      <c r="TIX56" s="1"/>
      <c r="TIY56" s="1"/>
      <c r="TIZ56" s="1"/>
      <c r="TJA56" s="1"/>
      <c r="TJB56" s="1"/>
      <c r="TJC56" s="1"/>
      <c r="TJD56" s="1"/>
      <c r="TJE56" s="1"/>
      <c r="TJF56" s="1"/>
      <c r="TJG56" s="1"/>
      <c r="TJH56" s="1"/>
      <c r="TJI56" s="1"/>
      <c r="TJJ56" s="1"/>
      <c r="TJK56" s="1"/>
      <c r="TJL56" s="1"/>
      <c r="TJM56" s="1"/>
      <c r="TJN56" s="1"/>
      <c r="TJO56" s="1"/>
      <c r="TJP56" s="1"/>
      <c r="TJQ56" s="1"/>
      <c r="TJR56" s="1"/>
      <c r="TJS56" s="1"/>
      <c r="TJT56" s="1"/>
      <c r="TJU56" s="1"/>
      <c r="TJV56" s="1"/>
      <c r="TJW56" s="1"/>
      <c r="TJX56" s="1"/>
      <c r="TJY56" s="1"/>
      <c r="TJZ56" s="1"/>
      <c r="TKA56" s="1"/>
      <c r="TKB56" s="1"/>
      <c r="TKC56" s="1"/>
      <c r="TKD56" s="1"/>
      <c r="TKE56" s="1"/>
      <c r="TKF56" s="1"/>
      <c r="TKG56" s="1"/>
      <c r="TKH56" s="1"/>
      <c r="TKI56" s="1"/>
      <c r="TKJ56" s="1"/>
      <c r="TKK56" s="1"/>
      <c r="TKL56" s="1"/>
      <c r="TKM56" s="1"/>
      <c r="TKN56" s="1"/>
      <c r="TKO56" s="1"/>
      <c r="TKP56" s="1"/>
      <c r="TKQ56" s="1"/>
      <c r="TKR56" s="1"/>
      <c r="TKS56" s="1"/>
      <c r="TKT56" s="1"/>
      <c r="TKU56" s="1"/>
      <c r="TKV56" s="1"/>
      <c r="TKW56" s="1"/>
      <c r="TKX56" s="1"/>
      <c r="TKY56" s="1"/>
      <c r="TKZ56" s="1"/>
      <c r="TLA56" s="1"/>
      <c r="TLB56" s="1"/>
      <c r="TLC56" s="1"/>
      <c r="TLD56" s="1"/>
      <c r="TLE56" s="1"/>
      <c r="TLF56" s="1"/>
      <c r="TLG56" s="1"/>
      <c r="TLH56" s="1"/>
      <c r="TLI56" s="1"/>
      <c r="TLJ56" s="1"/>
      <c r="TLK56" s="1"/>
      <c r="TLL56" s="1"/>
      <c r="TLM56" s="1"/>
      <c r="TLN56" s="1"/>
      <c r="TLO56" s="1"/>
      <c r="TLP56" s="1"/>
      <c r="TLQ56" s="1"/>
      <c r="TLR56" s="1"/>
      <c r="TLS56" s="1"/>
      <c r="TLT56" s="1"/>
      <c r="TLU56" s="1"/>
      <c r="TLV56" s="1"/>
      <c r="TLW56" s="1"/>
      <c r="TLX56" s="1"/>
      <c r="TLY56" s="1"/>
      <c r="TLZ56" s="1"/>
      <c r="TMA56" s="1"/>
      <c r="TMB56" s="1"/>
      <c r="TMC56" s="1"/>
      <c r="TMD56" s="1"/>
      <c r="TME56" s="1"/>
      <c r="TMF56" s="1"/>
      <c r="TMG56" s="1"/>
      <c r="TMH56" s="1"/>
      <c r="TMI56" s="1"/>
      <c r="TMJ56" s="1"/>
      <c r="TMK56" s="1"/>
      <c r="TML56" s="1"/>
      <c r="TMM56" s="1"/>
      <c r="TMN56" s="1"/>
      <c r="TMO56" s="1"/>
      <c r="TMP56" s="1"/>
      <c r="TMQ56" s="1"/>
      <c r="TMR56" s="1"/>
      <c r="TMS56" s="1"/>
      <c r="TMT56" s="1"/>
      <c r="TMU56" s="1"/>
      <c r="TMV56" s="1"/>
      <c r="TMW56" s="1"/>
      <c r="TMX56" s="1"/>
      <c r="TMY56" s="1"/>
      <c r="TMZ56" s="1"/>
      <c r="TNA56" s="1"/>
      <c r="TNB56" s="1"/>
      <c r="TNC56" s="1"/>
      <c r="TND56" s="1"/>
      <c r="TNE56" s="1"/>
      <c r="TNF56" s="1"/>
      <c r="TNG56" s="1"/>
      <c r="TNH56" s="1"/>
      <c r="TNI56" s="1"/>
      <c r="TNJ56" s="1"/>
      <c r="TNK56" s="1"/>
      <c r="TNL56" s="1"/>
      <c r="TNM56" s="1"/>
      <c r="TNN56" s="1"/>
      <c r="TNO56" s="1"/>
      <c r="TNP56" s="1"/>
      <c r="TNQ56" s="1"/>
      <c r="TNR56" s="1"/>
      <c r="TNS56" s="1"/>
      <c r="TNT56" s="1"/>
      <c r="TNU56" s="1"/>
      <c r="TNV56" s="1"/>
      <c r="TNW56" s="1"/>
      <c r="TNX56" s="1"/>
      <c r="TNY56" s="1"/>
      <c r="TNZ56" s="1"/>
      <c r="TOA56" s="1"/>
      <c r="TOB56" s="1"/>
      <c r="TOC56" s="1"/>
      <c r="TOD56" s="1"/>
      <c r="TOE56" s="1"/>
      <c r="TOF56" s="1"/>
      <c r="TOG56" s="1"/>
      <c r="TOH56" s="1"/>
      <c r="TOI56" s="1"/>
      <c r="TOJ56" s="1"/>
      <c r="TOK56" s="1"/>
      <c r="TOL56" s="1"/>
      <c r="TOM56" s="1"/>
      <c r="TON56" s="1"/>
      <c r="TOO56" s="1"/>
      <c r="TOP56" s="1"/>
      <c r="TOQ56" s="1"/>
      <c r="TOR56" s="1"/>
      <c r="TOS56" s="1"/>
      <c r="TOT56" s="1"/>
      <c r="TOU56" s="1"/>
      <c r="TOV56" s="1"/>
      <c r="TOW56" s="1"/>
      <c r="TOX56" s="1"/>
      <c r="TOY56" s="1"/>
      <c r="TOZ56" s="1"/>
      <c r="TPA56" s="1"/>
      <c r="TPB56" s="1"/>
      <c r="TPC56" s="1"/>
      <c r="TPD56" s="1"/>
      <c r="TPE56" s="1"/>
      <c r="TPF56" s="1"/>
      <c r="TPG56" s="1"/>
      <c r="TPH56" s="1"/>
      <c r="TPI56" s="1"/>
      <c r="TPJ56" s="1"/>
      <c r="TPK56" s="1"/>
      <c r="TPL56" s="1"/>
      <c r="TPM56" s="1"/>
      <c r="TPN56" s="1"/>
      <c r="TPO56" s="1"/>
      <c r="TPP56" s="1"/>
      <c r="TPQ56" s="1"/>
      <c r="TPR56" s="1"/>
      <c r="TPS56" s="1"/>
      <c r="TPT56" s="1"/>
      <c r="TPU56" s="1"/>
      <c r="TPV56" s="1"/>
      <c r="TPW56" s="1"/>
      <c r="TPX56" s="1"/>
      <c r="TPY56" s="1"/>
      <c r="TPZ56" s="1"/>
      <c r="TQA56" s="1"/>
      <c r="TQB56" s="1"/>
      <c r="TQC56" s="1"/>
      <c r="TQD56" s="1"/>
      <c r="TQE56" s="1"/>
      <c r="TQF56" s="1"/>
      <c r="TQG56" s="1"/>
      <c r="TQH56" s="1"/>
      <c r="TQI56" s="1"/>
      <c r="TQJ56" s="1"/>
      <c r="TQK56" s="1"/>
      <c r="TQL56" s="1"/>
      <c r="TQM56" s="1"/>
      <c r="TQN56" s="1"/>
      <c r="TQO56" s="1"/>
      <c r="TQP56" s="1"/>
      <c r="TQQ56" s="1"/>
      <c r="TQR56" s="1"/>
      <c r="TQS56" s="1"/>
      <c r="TQT56" s="1"/>
      <c r="TQU56" s="1"/>
      <c r="TQV56" s="1"/>
      <c r="TQW56" s="1"/>
      <c r="TQX56" s="1"/>
      <c r="TQY56" s="1"/>
      <c r="TQZ56" s="1"/>
      <c r="TRA56" s="1"/>
      <c r="TRB56" s="1"/>
      <c r="TRC56" s="1"/>
      <c r="TRD56" s="1"/>
      <c r="TRE56" s="1"/>
      <c r="TRF56" s="1"/>
      <c r="TRG56" s="1"/>
      <c r="TRH56" s="1"/>
      <c r="TRI56" s="1"/>
      <c r="TRJ56" s="1"/>
      <c r="TRK56" s="1"/>
      <c r="TRL56" s="1"/>
      <c r="TRM56" s="1"/>
      <c r="TRN56" s="1"/>
      <c r="TRO56" s="1"/>
      <c r="TRP56" s="1"/>
      <c r="TRQ56" s="1"/>
      <c r="TRR56" s="1"/>
      <c r="TRS56" s="1"/>
      <c r="TRT56" s="1"/>
      <c r="TRU56" s="1"/>
      <c r="TRV56" s="1"/>
      <c r="TRW56" s="1"/>
      <c r="TRX56" s="1"/>
      <c r="TRY56" s="1"/>
      <c r="TRZ56" s="1"/>
      <c r="TSA56" s="1"/>
      <c r="TSB56" s="1"/>
      <c r="TSC56" s="1"/>
      <c r="TSD56" s="1"/>
      <c r="TSE56" s="1"/>
      <c r="TSF56" s="1"/>
      <c r="TSG56" s="1"/>
      <c r="TSH56" s="1"/>
      <c r="TSI56" s="1"/>
      <c r="TSJ56" s="1"/>
      <c r="TSK56" s="1"/>
      <c r="TSL56" s="1"/>
      <c r="TSM56" s="1"/>
      <c r="TSN56" s="1"/>
      <c r="TSO56" s="1"/>
      <c r="TSP56" s="1"/>
      <c r="TSQ56" s="1"/>
      <c r="TSR56" s="1"/>
      <c r="TSS56" s="1"/>
      <c r="TST56" s="1"/>
      <c r="TSU56" s="1"/>
      <c r="TSV56" s="1"/>
      <c r="TSW56" s="1"/>
      <c r="TSX56" s="1"/>
      <c r="TSY56" s="1"/>
      <c r="TSZ56" s="1"/>
      <c r="TTA56" s="1"/>
      <c r="TTB56" s="1"/>
      <c r="TTC56" s="1"/>
      <c r="TTD56" s="1"/>
      <c r="TTE56" s="1"/>
      <c r="TTF56" s="1"/>
      <c r="TTG56" s="1"/>
      <c r="TTH56" s="1"/>
      <c r="TTI56" s="1"/>
      <c r="TTJ56" s="1"/>
      <c r="TTK56" s="1"/>
      <c r="TTL56" s="1"/>
      <c r="TTM56" s="1"/>
      <c r="TTN56" s="1"/>
      <c r="TTO56" s="1"/>
      <c r="TTP56" s="1"/>
      <c r="TTQ56" s="1"/>
      <c r="TTR56" s="1"/>
      <c r="TTS56" s="1"/>
      <c r="TTT56" s="1"/>
      <c r="TTU56" s="1"/>
      <c r="TTV56" s="1"/>
      <c r="TTW56" s="1"/>
      <c r="TTX56" s="1"/>
      <c r="TTY56" s="1"/>
      <c r="TTZ56" s="1"/>
      <c r="TUA56" s="1"/>
      <c r="TUB56" s="1"/>
      <c r="TUC56" s="1"/>
      <c r="TUD56" s="1"/>
      <c r="TUE56" s="1"/>
      <c r="TUF56" s="1"/>
      <c r="TUG56" s="1"/>
      <c r="TUH56" s="1"/>
      <c r="TUI56" s="1"/>
      <c r="TUJ56" s="1"/>
      <c r="TUK56" s="1"/>
      <c r="TUL56" s="1"/>
      <c r="TUM56" s="1"/>
      <c r="TUN56" s="1"/>
      <c r="TUO56" s="1"/>
      <c r="TUP56" s="1"/>
      <c r="TUQ56" s="1"/>
      <c r="TUR56" s="1"/>
      <c r="TUS56" s="1"/>
      <c r="TUT56" s="1"/>
      <c r="TUU56" s="1"/>
      <c r="TUV56" s="1"/>
      <c r="TUW56" s="1"/>
      <c r="TUX56" s="1"/>
      <c r="TUY56" s="1"/>
      <c r="TUZ56" s="1"/>
      <c r="TVA56" s="1"/>
      <c r="TVB56" s="1"/>
      <c r="TVC56" s="1"/>
      <c r="TVD56" s="1"/>
      <c r="TVE56" s="1"/>
      <c r="TVF56" s="1"/>
      <c r="TVG56" s="1"/>
      <c r="TVH56" s="1"/>
      <c r="TVI56" s="1"/>
      <c r="TVJ56" s="1"/>
      <c r="TVK56" s="1"/>
      <c r="TVL56" s="1"/>
      <c r="TVM56" s="1"/>
      <c r="TVN56" s="1"/>
      <c r="TVO56" s="1"/>
      <c r="TVP56" s="1"/>
      <c r="TVQ56" s="1"/>
      <c r="TVR56" s="1"/>
      <c r="TVS56" s="1"/>
      <c r="TVT56" s="1"/>
      <c r="TVU56" s="1"/>
      <c r="TVV56" s="1"/>
      <c r="TVW56" s="1"/>
      <c r="TVX56" s="1"/>
      <c r="TVY56" s="1"/>
      <c r="TVZ56" s="1"/>
      <c r="TWA56" s="1"/>
      <c r="TWB56" s="1"/>
      <c r="TWC56" s="1"/>
      <c r="TWD56" s="1"/>
      <c r="TWE56" s="1"/>
      <c r="TWF56" s="1"/>
      <c r="TWG56" s="1"/>
      <c r="TWH56" s="1"/>
      <c r="TWI56" s="1"/>
      <c r="TWJ56" s="1"/>
      <c r="TWK56" s="1"/>
      <c r="TWL56" s="1"/>
      <c r="TWM56" s="1"/>
      <c r="TWN56" s="1"/>
      <c r="TWO56" s="1"/>
      <c r="TWP56" s="1"/>
      <c r="TWQ56" s="1"/>
      <c r="TWR56" s="1"/>
      <c r="TWS56" s="1"/>
      <c r="TWT56" s="1"/>
      <c r="TWU56" s="1"/>
      <c r="TWV56" s="1"/>
      <c r="TWW56" s="1"/>
      <c r="TWX56" s="1"/>
      <c r="TWY56" s="1"/>
      <c r="TWZ56" s="1"/>
      <c r="TXA56" s="1"/>
      <c r="TXB56" s="1"/>
      <c r="TXC56" s="1"/>
      <c r="TXD56" s="1"/>
      <c r="TXE56" s="1"/>
      <c r="TXF56" s="1"/>
      <c r="TXG56" s="1"/>
      <c r="TXH56" s="1"/>
      <c r="TXI56" s="1"/>
      <c r="TXJ56" s="1"/>
      <c r="TXK56" s="1"/>
      <c r="TXL56" s="1"/>
      <c r="TXM56" s="1"/>
      <c r="TXN56" s="1"/>
      <c r="TXO56" s="1"/>
      <c r="TXP56" s="1"/>
      <c r="TXQ56" s="1"/>
      <c r="TXR56" s="1"/>
      <c r="TXS56" s="1"/>
      <c r="TXT56" s="1"/>
      <c r="TXU56" s="1"/>
      <c r="TXV56" s="1"/>
      <c r="TXW56" s="1"/>
      <c r="TXX56" s="1"/>
      <c r="TXY56" s="1"/>
      <c r="TXZ56" s="1"/>
      <c r="TYA56" s="1"/>
      <c r="TYB56" s="1"/>
      <c r="TYC56" s="1"/>
      <c r="TYD56" s="1"/>
      <c r="TYE56" s="1"/>
      <c r="TYF56" s="1"/>
      <c r="TYG56" s="1"/>
      <c r="TYH56" s="1"/>
      <c r="TYI56" s="1"/>
      <c r="TYJ56" s="1"/>
      <c r="TYK56" s="1"/>
      <c r="TYL56" s="1"/>
      <c r="TYM56" s="1"/>
      <c r="TYN56" s="1"/>
      <c r="TYO56" s="1"/>
      <c r="TYP56" s="1"/>
      <c r="TYQ56" s="1"/>
      <c r="TYR56" s="1"/>
      <c r="TYS56" s="1"/>
      <c r="TYT56" s="1"/>
      <c r="TYU56" s="1"/>
      <c r="TYV56" s="1"/>
      <c r="TYW56" s="1"/>
      <c r="TYX56" s="1"/>
      <c r="TYY56" s="1"/>
      <c r="TYZ56" s="1"/>
      <c r="TZA56" s="1"/>
      <c r="TZB56" s="1"/>
      <c r="TZC56" s="1"/>
      <c r="TZD56" s="1"/>
      <c r="TZE56" s="1"/>
      <c r="TZF56" s="1"/>
      <c r="TZG56" s="1"/>
      <c r="TZH56" s="1"/>
      <c r="TZI56" s="1"/>
      <c r="TZJ56" s="1"/>
      <c r="TZK56" s="1"/>
      <c r="TZL56" s="1"/>
      <c r="TZM56" s="1"/>
      <c r="TZN56" s="1"/>
      <c r="TZO56" s="1"/>
      <c r="TZP56" s="1"/>
      <c r="TZQ56" s="1"/>
      <c r="TZR56" s="1"/>
      <c r="TZS56" s="1"/>
      <c r="TZT56" s="1"/>
      <c r="TZU56" s="1"/>
      <c r="TZV56" s="1"/>
      <c r="TZW56" s="1"/>
      <c r="TZX56" s="1"/>
      <c r="TZY56" s="1"/>
      <c r="TZZ56" s="1"/>
      <c r="UAA56" s="1"/>
      <c r="UAB56" s="1"/>
      <c r="UAC56" s="1"/>
      <c r="UAD56" s="1"/>
      <c r="UAE56" s="1"/>
      <c r="UAF56" s="1"/>
      <c r="UAG56" s="1"/>
      <c r="UAH56" s="1"/>
      <c r="UAI56" s="1"/>
      <c r="UAJ56" s="1"/>
      <c r="UAK56" s="1"/>
      <c r="UAL56" s="1"/>
      <c r="UAM56" s="1"/>
      <c r="UAN56" s="1"/>
      <c r="UAO56" s="1"/>
      <c r="UAP56" s="1"/>
      <c r="UAQ56" s="1"/>
      <c r="UAR56" s="1"/>
      <c r="UAS56" s="1"/>
      <c r="UAT56" s="1"/>
      <c r="UAU56" s="1"/>
      <c r="UAV56" s="1"/>
      <c r="UAW56" s="1"/>
      <c r="UAX56" s="1"/>
      <c r="UAY56" s="1"/>
      <c r="UAZ56" s="1"/>
      <c r="UBA56" s="1"/>
      <c r="UBB56" s="1"/>
      <c r="UBC56" s="1"/>
      <c r="UBD56" s="1"/>
      <c r="UBE56" s="1"/>
      <c r="UBF56" s="1"/>
      <c r="UBG56" s="1"/>
      <c r="UBH56" s="1"/>
      <c r="UBI56" s="1"/>
      <c r="UBJ56" s="1"/>
      <c r="UBK56" s="1"/>
      <c r="UBL56" s="1"/>
      <c r="UBM56" s="1"/>
      <c r="UBN56" s="1"/>
      <c r="UBO56" s="1"/>
      <c r="UBP56" s="1"/>
      <c r="UBQ56" s="1"/>
      <c r="UBR56" s="1"/>
      <c r="UBS56" s="1"/>
      <c r="UBT56" s="1"/>
      <c r="UBU56" s="1"/>
      <c r="UBV56" s="1"/>
      <c r="UBW56" s="1"/>
      <c r="UBX56" s="1"/>
      <c r="UBY56" s="1"/>
      <c r="UBZ56" s="1"/>
      <c r="UCA56" s="1"/>
      <c r="UCB56" s="1"/>
      <c r="UCC56" s="1"/>
      <c r="UCD56" s="1"/>
      <c r="UCE56" s="1"/>
      <c r="UCF56" s="1"/>
      <c r="UCG56" s="1"/>
      <c r="UCH56" s="1"/>
      <c r="UCI56" s="1"/>
      <c r="UCJ56" s="1"/>
      <c r="UCK56" s="1"/>
      <c r="UCL56" s="1"/>
      <c r="UCM56" s="1"/>
      <c r="UCN56" s="1"/>
      <c r="UCO56" s="1"/>
      <c r="UCP56" s="1"/>
      <c r="UCQ56" s="1"/>
      <c r="UCR56" s="1"/>
      <c r="UCS56" s="1"/>
      <c r="UCT56" s="1"/>
      <c r="UCU56" s="1"/>
      <c r="UCV56" s="1"/>
      <c r="UCW56" s="1"/>
      <c r="UCX56" s="1"/>
      <c r="UCY56" s="1"/>
      <c r="UCZ56" s="1"/>
      <c r="UDA56" s="1"/>
      <c r="UDB56" s="1"/>
      <c r="UDC56" s="1"/>
      <c r="UDD56" s="1"/>
      <c r="UDE56" s="1"/>
      <c r="UDF56" s="1"/>
      <c r="UDG56" s="1"/>
      <c r="UDH56" s="1"/>
      <c r="UDI56" s="1"/>
      <c r="UDJ56" s="1"/>
      <c r="UDK56" s="1"/>
      <c r="UDL56" s="1"/>
      <c r="UDM56" s="1"/>
      <c r="UDN56" s="1"/>
      <c r="UDO56" s="1"/>
      <c r="UDP56" s="1"/>
      <c r="UDQ56" s="1"/>
      <c r="UDR56" s="1"/>
      <c r="UDS56" s="1"/>
      <c r="UDT56" s="1"/>
      <c r="UDU56" s="1"/>
      <c r="UDV56" s="1"/>
      <c r="UDW56" s="1"/>
      <c r="UDX56" s="1"/>
      <c r="UDY56" s="1"/>
      <c r="UDZ56" s="1"/>
      <c r="UEA56" s="1"/>
      <c r="UEB56" s="1"/>
      <c r="UEC56" s="1"/>
      <c r="UED56" s="1"/>
      <c r="UEE56" s="1"/>
      <c r="UEF56" s="1"/>
      <c r="UEG56" s="1"/>
      <c r="UEH56" s="1"/>
      <c r="UEI56" s="1"/>
      <c r="UEJ56" s="1"/>
      <c r="UEK56" s="1"/>
      <c r="UEL56" s="1"/>
      <c r="UEM56" s="1"/>
      <c r="UEN56" s="1"/>
      <c r="UEO56" s="1"/>
      <c r="UEP56" s="1"/>
      <c r="UEQ56" s="1"/>
      <c r="UER56" s="1"/>
      <c r="UES56" s="1"/>
      <c r="UET56" s="1"/>
      <c r="UEU56" s="1"/>
      <c r="UEV56" s="1"/>
      <c r="UEW56" s="1"/>
      <c r="UEX56" s="1"/>
      <c r="UEY56" s="1"/>
      <c r="UEZ56" s="1"/>
      <c r="UFA56" s="1"/>
      <c r="UFB56" s="1"/>
      <c r="UFC56" s="1"/>
      <c r="UFD56" s="1"/>
      <c r="UFE56" s="1"/>
      <c r="UFF56" s="1"/>
      <c r="UFG56" s="1"/>
      <c r="UFH56" s="1"/>
      <c r="UFI56" s="1"/>
      <c r="UFJ56" s="1"/>
      <c r="UFK56" s="1"/>
      <c r="UFL56" s="1"/>
      <c r="UFM56" s="1"/>
      <c r="UFN56" s="1"/>
      <c r="UFO56" s="1"/>
      <c r="UFP56" s="1"/>
      <c r="UFQ56" s="1"/>
      <c r="UFR56" s="1"/>
      <c r="UFS56" s="1"/>
      <c r="UFT56" s="1"/>
      <c r="UFU56" s="1"/>
      <c r="UFV56" s="1"/>
      <c r="UFW56" s="1"/>
      <c r="UFX56" s="1"/>
      <c r="UFY56" s="1"/>
      <c r="UFZ56" s="1"/>
      <c r="UGA56" s="1"/>
      <c r="UGB56" s="1"/>
      <c r="UGC56" s="1"/>
      <c r="UGD56" s="1"/>
      <c r="UGE56" s="1"/>
      <c r="UGF56" s="1"/>
      <c r="UGG56" s="1"/>
      <c r="UGH56" s="1"/>
      <c r="UGI56" s="1"/>
      <c r="UGJ56" s="1"/>
      <c r="UGK56" s="1"/>
      <c r="UGL56" s="1"/>
      <c r="UGM56" s="1"/>
      <c r="UGN56" s="1"/>
      <c r="UGO56" s="1"/>
      <c r="UGP56" s="1"/>
      <c r="UGQ56" s="1"/>
      <c r="UGR56" s="1"/>
      <c r="UGS56" s="1"/>
      <c r="UGT56" s="1"/>
      <c r="UGU56" s="1"/>
      <c r="UGV56" s="1"/>
      <c r="UGW56" s="1"/>
      <c r="UGX56" s="1"/>
      <c r="UGY56" s="1"/>
      <c r="UGZ56" s="1"/>
      <c r="UHA56" s="1"/>
      <c r="UHB56" s="1"/>
      <c r="UHC56" s="1"/>
      <c r="UHD56" s="1"/>
      <c r="UHE56" s="1"/>
      <c r="UHF56" s="1"/>
      <c r="UHG56" s="1"/>
      <c r="UHH56" s="1"/>
      <c r="UHI56" s="1"/>
      <c r="UHJ56" s="1"/>
      <c r="UHK56" s="1"/>
      <c r="UHL56" s="1"/>
      <c r="UHM56" s="1"/>
      <c r="UHN56" s="1"/>
      <c r="UHO56" s="1"/>
      <c r="UHP56" s="1"/>
      <c r="UHQ56" s="1"/>
      <c r="UHR56" s="1"/>
      <c r="UHS56" s="1"/>
      <c r="UHT56" s="1"/>
      <c r="UHU56" s="1"/>
      <c r="UHV56" s="1"/>
      <c r="UHW56" s="1"/>
      <c r="UHX56" s="1"/>
      <c r="UHY56" s="1"/>
      <c r="UHZ56" s="1"/>
      <c r="UIA56" s="1"/>
      <c r="UIB56" s="1"/>
      <c r="UIC56" s="1"/>
      <c r="UID56" s="1"/>
      <c r="UIE56" s="1"/>
      <c r="UIF56" s="1"/>
      <c r="UIG56" s="1"/>
      <c r="UIH56" s="1"/>
      <c r="UII56" s="1"/>
      <c r="UIJ56" s="1"/>
      <c r="UIK56" s="1"/>
      <c r="UIL56" s="1"/>
      <c r="UIM56" s="1"/>
      <c r="UIN56" s="1"/>
      <c r="UIO56" s="1"/>
      <c r="UIP56" s="1"/>
      <c r="UIQ56" s="1"/>
      <c r="UIR56" s="1"/>
      <c r="UIS56" s="1"/>
      <c r="UIT56" s="1"/>
      <c r="UIU56" s="1"/>
      <c r="UIV56" s="1"/>
      <c r="UIW56" s="1"/>
      <c r="UIX56" s="1"/>
      <c r="UIY56" s="1"/>
      <c r="UIZ56" s="1"/>
      <c r="UJA56" s="1"/>
      <c r="UJB56" s="1"/>
      <c r="UJC56" s="1"/>
      <c r="UJD56" s="1"/>
      <c r="UJE56" s="1"/>
      <c r="UJF56" s="1"/>
      <c r="UJG56" s="1"/>
      <c r="UJH56" s="1"/>
      <c r="UJI56" s="1"/>
      <c r="UJJ56" s="1"/>
      <c r="UJK56" s="1"/>
      <c r="UJL56" s="1"/>
      <c r="UJM56" s="1"/>
      <c r="UJN56" s="1"/>
      <c r="UJO56" s="1"/>
      <c r="UJP56" s="1"/>
      <c r="UJQ56" s="1"/>
      <c r="UJR56" s="1"/>
      <c r="UJS56" s="1"/>
      <c r="UJT56" s="1"/>
      <c r="UJU56" s="1"/>
      <c r="UJV56" s="1"/>
      <c r="UJW56" s="1"/>
      <c r="UJX56" s="1"/>
      <c r="UJY56" s="1"/>
      <c r="UJZ56" s="1"/>
      <c r="UKA56" s="1"/>
      <c r="UKB56" s="1"/>
      <c r="UKC56" s="1"/>
      <c r="UKD56" s="1"/>
      <c r="UKE56" s="1"/>
      <c r="UKF56" s="1"/>
      <c r="UKG56" s="1"/>
      <c r="UKH56" s="1"/>
      <c r="UKI56" s="1"/>
      <c r="UKJ56" s="1"/>
      <c r="UKK56" s="1"/>
      <c r="UKL56" s="1"/>
      <c r="UKM56" s="1"/>
      <c r="UKN56" s="1"/>
      <c r="UKO56" s="1"/>
      <c r="UKP56" s="1"/>
      <c r="UKQ56" s="1"/>
      <c r="UKR56" s="1"/>
      <c r="UKS56" s="1"/>
      <c r="UKT56" s="1"/>
      <c r="UKU56" s="1"/>
      <c r="UKV56" s="1"/>
      <c r="UKW56" s="1"/>
      <c r="UKX56" s="1"/>
      <c r="UKY56" s="1"/>
      <c r="UKZ56" s="1"/>
      <c r="ULA56" s="1"/>
      <c r="ULB56" s="1"/>
      <c r="ULC56" s="1"/>
      <c r="ULD56" s="1"/>
      <c r="ULE56" s="1"/>
      <c r="ULF56" s="1"/>
      <c r="ULG56" s="1"/>
      <c r="ULH56" s="1"/>
      <c r="ULI56" s="1"/>
      <c r="ULJ56" s="1"/>
      <c r="ULK56" s="1"/>
      <c r="ULL56" s="1"/>
      <c r="ULM56" s="1"/>
      <c r="ULN56" s="1"/>
      <c r="ULO56" s="1"/>
      <c r="ULP56" s="1"/>
      <c r="ULQ56" s="1"/>
      <c r="ULR56" s="1"/>
      <c r="ULS56" s="1"/>
      <c r="ULT56" s="1"/>
      <c r="ULU56" s="1"/>
      <c r="ULV56" s="1"/>
      <c r="ULW56" s="1"/>
      <c r="ULX56" s="1"/>
      <c r="ULY56" s="1"/>
      <c r="ULZ56" s="1"/>
      <c r="UMA56" s="1"/>
      <c r="UMB56" s="1"/>
      <c r="UMC56" s="1"/>
      <c r="UMD56" s="1"/>
      <c r="UME56" s="1"/>
      <c r="UMF56" s="1"/>
      <c r="UMG56" s="1"/>
      <c r="UMH56" s="1"/>
      <c r="UMI56" s="1"/>
      <c r="UMJ56" s="1"/>
      <c r="UMK56" s="1"/>
      <c r="UML56" s="1"/>
      <c r="UMM56" s="1"/>
      <c r="UMN56" s="1"/>
      <c r="UMO56" s="1"/>
      <c r="UMP56" s="1"/>
      <c r="UMQ56" s="1"/>
      <c r="UMR56" s="1"/>
      <c r="UMS56" s="1"/>
      <c r="UMT56" s="1"/>
      <c r="UMU56" s="1"/>
      <c r="UMV56" s="1"/>
      <c r="UMW56" s="1"/>
      <c r="UMX56" s="1"/>
      <c r="UMY56" s="1"/>
      <c r="UMZ56" s="1"/>
      <c r="UNA56" s="1"/>
      <c r="UNB56" s="1"/>
      <c r="UNC56" s="1"/>
      <c r="UND56" s="1"/>
      <c r="UNE56" s="1"/>
      <c r="UNF56" s="1"/>
      <c r="UNG56" s="1"/>
      <c r="UNH56" s="1"/>
      <c r="UNI56" s="1"/>
      <c r="UNJ56" s="1"/>
      <c r="UNK56" s="1"/>
      <c r="UNL56" s="1"/>
      <c r="UNM56" s="1"/>
      <c r="UNN56" s="1"/>
      <c r="UNO56" s="1"/>
      <c r="UNP56" s="1"/>
      <c r="UNQ56" s="1"/>
      <c r="UNR56" s="1"/>
      <c r="UNS56" s="1"/>
      <c r="UNT56" s="1"/>
      <c r="UNU56" s="1"/>
      <c r="UNV56" s="1"/>
      <c r="UNW56" s="1"/>
      <c r="UNX56" s="1"/>
      <c r="UNY56" s="1"/>
      <c r="UNZ56" s="1"/>
      <c r="UOA56" s="1"/>
      <c r="UOB56" s="1"/>
      <c r="UOC56" s="1"/>
      <c r="UOD56" s="1"/>
      <c r="UOE56" s="1"/>
      <c r="UOF56" s="1"/>
      <c r="UOG56" s="1"/>
      <c r="UOH56" s="1"/>
      <c r="UOI56" s="1"/>
      <c r="UOJ56" s="1"/>
      <c r="UOK56" s="1"/>
      <c r="UOL56" s="1"/>
      <c r="UOM56" s="1"/>
      <c r="UON56" s="1"/>
      <c r="UOO56" s="1"/>
      <c r="UOP56" s="1"/>
      <c r="UOQ56" s="1"/>
      <c r="UOR56" s="1"/>
      <c r="UOS56" s="1"/>
      <c r="UOT56" s="1"/>
      <c r="UOU56" s="1"/>
      <c r="UOV56" s="1"/>
      <c r="UOW56" s="1"/>
      <c r="UOX56" s="1"/>
      <c r="UOY56" s="1"/>
      <c r="UOZ56" s="1"/>
      <c r="UPA56" s="1"/>
      <c r="UPB56" s="1"/>
      <c r="UPC56" s="1"/>
      <c r="UPD56" s="1"/>
      <c r="UPE56" s="1"/>
      <c r="UPF56" s="1"/>
      <c r="UPG56" s="1"/>
      <c r="UPH56" s="1"/>
      <c r="UPI56" s="1"/>
      <c r="UPJ56" s="1"/>
      <c r="UPK56" s="1"/>
      <c r="UPL56" s="1"/>
      <c r="UPM56" s="1"/>
      <c r="UPN56" s="1"/>
      <c r="UPO56" s="1"/>
      <c r="UPP56" s="1"/>
      <c r="UPQ56" s="1"/>
      <c r="UPR56" s="1"/>
      <c r="UPS56" s="1"/>
      <c r="UPT56" s="1"/>
      <c r="UPU56" s="1"/>
      <c r="UPV56" s="1"/>
      <c r="UPW56" s="1"/>
      <c r="UPX56" s="1"/>
      <c r="UPY56" s="1"/>
      <c r="UPZ56" s="1"/>
      <c r="UQA56" s="1"/>
      <c r="UQB56" s="1"/>
      <c r="UQC56" s="1"/>
      <c r="UQD56" s="1"/>
      <c r="UQE56" s="1"/>
      <c r="UQF56" s="1"/>
      <c r="UQG56" s="1"/>
      <c r="UQH56" s="1"/>
      <c r="UQI56" s="1"/>
      <c r="UQJ56" s="1"/>
      <c r="UQK56" s="1"/>
      <c r="UQL56" s="1"/>
      <c r="UQM56" s="1"/>
      <c r="UQN56" s="1"/>
      <c r="UQO56" s="1"/>
      <c r="UQP56" s="1"/>
      <c r="UQQ56" s="1"/>
      <c r="UQR56" s="1"/>
      <c r="UQS56" s="1"/>
      <c r="UQT56" s="1"/>
      <c r="UQU56" s="1"/>
      <c r="UQV56" s="1"/>
      <c r="UQW56" s="1"/>
      <c r="UQX56" s="1"/>
      <c r="UQY56" s="1"/>
      <c r="UQZ56" s="1"/>
      <c r="URA56" s="1"/>
      <c r="URB56" s="1"/>
      <c r="URC56" s="1"/>
      <c r="URD56" s="1"/>
      <c r="URE56" s="1"/>
      <c r="URF56" s="1"/>
      <c r="URG56" s="1"/>
      <c r="URH56" s="1"/>
      <c r="URI56" s="1"/>
      <c r="URJ56" s="1"/>
      <c r="URK56" s="1"/>
      <c r="URL56" s="1"/>
      <c r="URM56" s="1"/>
      <c r="URN56" s="1"/>
      <c r="URO56" s="1"/>
      <c r="URP56" s="1"/>
      <c r="URQ56" s="1"/>
      <c r="URR56" s="1"/>
      <c r="URS56" s="1"/>
      <c r="URT56" s="1"/>
      <c r="URU56" s="1"/>
      <c r="URV56" s="1"/>
      <c r="URW56" s="1"/>
      <c r="URX56" s="1"/>
      <c r="URY56" s="1"/>
      <c r="URZ56" s="1"/>
      <c r="USA56" s="1"/>
      <c r="USB56" s="1"/>
      <c r="USC56" s="1"/>
      <c r="USD56" s="1"/>
      <c r="USE56" s="1"/>
      <c r="USF56" s="1"/>
      <c r="USG56" s="1"/>
      <c r="USH56" s="1"/>
      <c r="USI56" s="1"/>
      <c r="USJ56" s="1"/>
      <c r="USK56" s="1"/>
      <c r="USL56" s="1"/>
      <c r="USM56" s="1"/>
      <c r="USN56" s="1"/>
      <c r="USO56" s="1"/>
      <c r="USP56" s="1"/>
      <c r="USQ56" s="1"/>
      <c r="USR56" s="1"/>
      <c r="USS56" s="1"/>
      <c r="UST56" s="1"/>
      <c r="USU56" s="1"/>
      <c r="USV56" s="1"/>
      <c r="USW56" s="1"/>
      <c r="USX56" s="1"/>
      <c r="USY56" s="1"/>
      <c r="USZ56" s="1"/>
      <c r="UTA56" s="1"/>
      <c r="UTB56" s="1"/>
      <c r="UTC56" s="1"/>
      <c r="UTD56" s="1"/>
      <c r="UTE56" s="1"/>
      <c r="UTF56" s="1"/>
      <c r="UTG56" s="1"/>
      <c r="UTH56" s="1"/>
      <c r="UTI56" s="1"/>
      <c r="UTJ56" s="1"/>
      <c r="UTK56" s="1"/>
      <c r="UTL56" s="1"/>
      <c r="UTM56" s="1"/>
      <c r="UTN56" s="1"/>
      <c r="UTO56" s="1"/>
      <c r="UTP56" s="1"/>
      <c r="UTQ56" s="1"/>
      <c r="UTR56" s="1"/>
      <c r="UTS56" s="1"/>
      <c r="UTT56" s="1"/>
      <c r="UTU56" s="1"/>
      <c r="UTV56" s="1"/>
      <c r="UTW56" s="1"/>
      <c r="UTX56" s="1"/>
      <c r="UTY56" s="1"/>
      <c r="UTZ56" s="1"/>
      <c r="UUA56" s="1"/>
      <c r="UUB56" s="1"/>
      <c r="UUC56" s="1"/>
      <c r="UUD56" s="1"/>
      <c r="UUE56" s="1"/>
      <c r="UUF56" s="1"/>
      <c r="UUG56" s="1"/>
      <c r="UUH56" s="1"/>
      <c r="UUI56" s="1"/>
      <c r="UUJ56" s="1"/>
      <c r="UUK56" s="1"/>
      <c r="UUL56" s="1"/>
      <c r="UUM56" s="1"/>
      <c r="UUN56" s="1"/>
      <c r="UUO56" s="1"/>
      <c r="UUP56" s="1"/>
      <c r="UUQ56" s="1"/>
      <c r="UUR56" s="1"/>
      <c r="UUS56" s="1"/>
      <c r="UUT56" s="1"/>
      <c r="UUU56" s="1"/>
      <c r="UUV56" s="1"/>
      <c r="UUW56" s="1"/>
      <c r="UUX56" s="1"/>
      <c r="UUY56" s="1"/>
      <c r="UUZ56" s="1"/>
      <c r="UVA56" s="1"/>
      <c r="UVB56" s="1"/>
      <c r="UVC56" s="1"/>
      <c r="UVD56" s="1"/>
      <c r="UVE56" s="1"/>
      <c r="UVF56" s="1"/>
      <c r="UVG56" s="1"/>
      <c r="UVH56" s="1"/>
      <c r="UVI56" s="1"/>
      <c r="UVJ56" s="1"/>
      <c r="UVK56" s="1"/>
      <c r="UVL56" s="1"/>
      <c r="UVM56" s="1"/>
      <c r="UVN56" s="1"/>
      <c r="UVO56" s="1"/>
      <c r="UVP56" s="1"/>
      <c r="UVQ56" s="1"/>
      <c r="UVR56" s="1"/>
      <c r="UVS56" s="1"/>
      <c r="UVT56" s="1"/>
      <c r="UVU56" s="1"/>
      <c r="UVV56" s="1"/>
      <c r="UVW56" s="1"/>
      <c r="UVX56" s="1"/>
      <c r="UVY56" s="1"/>
      <c r="UVZ56" s="1"/>
      <c r="UWA56" s="1"/>
      <c r="UWB56" s="1"/>
      <c r="UWC56" s="1"/>
      <c r="UWD56" s="1"/>
      <c r="UWE56" s="1"/>
      <c r="UWF56" s="1"/>
      <c r="UWG56" s="1"/>
      <c r="UWH56" s="1"/>
      <c r="UWI56" s="1"/>
      <c r="UWJ56" s="1"/>
      <c r="UWK56" s="1"/>
      <c r="UWL56" s="1"/>
      <c r="UWM56" s="1"/>
      <c r="UWN56" s="1"/>
      <c r="UWO56" s="1"/>
      <c r="UWP56" s="1"/>
      <c r="UWQ56" s="1"/>
      <c r="UWR56" s="1"/>
      <c r="UWS56" s="1"/>
      <c r="UWT56" s="1"/>
      <c r="UWU56" s="1"/>
      <c r="UWV56" s="1"/>
      <c r="UWW56" s="1"/>
      <c r="UWX56" s="1"/>
      <c r="UWY56" s="1"/>
      <c r="UWZ56" s="1"/>
      <c r="UXA56" s="1"/>
      <c r="UXB56" s="1"/>
      <c r="UXC56" s="1"/>
      <c r="UXD56" s="1"/>
      <c r="UXE56" s="1"/>
      <c r="UXF56" s="1"/>
      <c r="UXG56" s="1"/>
      <c r="UXH56" s="1"/>
      <c r="UXI56" s="1"/>
      <c r="UXJ56" s="1"/>
      <c r="UXK56" s="1"/>
      <c r="UXL56" s="1"/>
      <c r="UXM56" s="1"/>
      <c r="UXN56" s="1"/>
      <c r="UXO56" s="1"/>
      <c r="UXP56" s="1"/>
      <c r="UXQ56" s="1"/>
      <c r="UXR56" s="1"/>
      <c r="UXS56" s="1"/>
      <c r="UXT56" s="1"/>
      <c r="UXU56" s="1"/>
      <c r="UXV56" s="1"/>
      <c r="UXW56" s="1"/>
      <c r="UXX56" s="1"/>
      <c r="UXY56" s="1"/>
      <c r="UXZ56" s="1"/>
      <c r="UYA56" s="1"/>
      <c r="UYB56" s="1"/>
      <c r="UYC56" s="1"/>
      <c r="UYD56" s="1"/>
      <c r="UYE56" s="1"/>
      <c r="UYF56" s="1"/>
      <c r="UYG56" s="1"/>
      <c r="UYH56" s="1"/>
      <c r="UYI56" s="1"/>
      <c r="UYJ56" s="1"/>
      <c r="UYK56" s="1"/>
      <c r="UYL56" s="1"/>
      <c r="UYM56" s="1"/>
      <c r="UYN56" s="1"/>
      <c r="UYO56" s="1"/>
      <c r="UYP56" s="1"/>
      <c r="UYQ56" s="1"/>
      <c r="UYR56" s="1"/>
      <c r="UYS56" s="1"/>
      <c r="UYT56" s="1"/>
      <c r="UYU56" s="1"/>
      <c r="UYV56" s="1"/>
      <c r="UYW56" s="1"/>
      <c r="UYX56" s="1"/>
      <c r="UYY56" s="1"/>
      <c r="UYZ56" s="1"/>
      <c r="UZA56" s="1"/>
      <c r="UZB56" s="1"/>
      <c r="UZC56" s="1"/>
      <c r="UZD56" s="1"/>
      <c r="UZE56" s="1"/>
      <c r="UZF56" s="1"/>
      <c r="UZG56" s="1"/>
      <c r="UZH56" s="1"/>
      <c r="UZI56" s="1"/>
      <c r="UZJ56" s="1"/>
      <c r="UZK56" s="1"/>
      <c r="UZL56" s="1"/>
      <c r="UZM56" s="1"/>
      <c r="UZN56" s="1"/>
      <c r="UZO56" s="1"/>
      <c r="UZP56" s="1"/>
      <c r="UZQ56" s="1"/>
      <c r="UZR56" s="1"/>
      <c r="UZS56" s="1"/>
      <c r="UZT56" s="1"/>
      <c r="UZU56" s="1"/>
      <c r="UZV56" s="1"/>
      <c r="UZW56" s="1"/>
      <c r="UZX56" s="1"/>
      <c r="UZY56" s="1"/>
      <c r="UZZ56" s="1"/>
      <c r="VAA56" s="1"/>
      <c r="VAB56" s="1"/>
      <c r="VAC56" s="1"/>
      <c r="VAD56" s="1"/>
      <c r="VAE56" s="1"/>
      <c r="VAF56" s="1"/>
      <c r="VAG56" s="1"/>
      <c r="VAH56" s="1"/>
      <c r="VAI56" s="1"/>
      <c r="VAJ56" s="1"/>
      <c r="VAK56" s="1"/>
      <c r="VAL56" s="1"/>
      <c r="VAM56" s="1"/>
      <c r="VAN56" s="1"/>
      <c r="VAO56" s="1"/>
      <c r="VAP56" s="1"/>
      <c r="VAQ56" s="1"/>
      <c r="VAR56" s="1"/>
      <c r="VAS56" s="1"/>
      <c r="VAT56" s="1"/>
      <c r="VAU56" s="1"/>
      <c r="VAV56" s="1"/>
      <c r="VAW56" s="1"/>
      <c r="VAX56" s="1"/>
      <c r="VAY56" s="1"/>
      <c r="VAZ56" s="1"/>
      <c r="VBA56" s="1"/>
      <c r="VBB56" s="1"/>
      <c r="VBC56" s="1"/>
      <c r="VBD56" s="1"/>
      <c r="VBE56" s="1"/>
      <c r="VBF56" s="1"/>
      <c r="VBG56" s="1"/>
      <c r="VBH56" s="1"/>
      <c r="VBI56" s="1"/>
      <c r="VBJ56" s="1"/>
      <c r="VBK56" s="1"/>
      <c r="VBL56" s="1"/>
      <c r="VBM56" s="1"/>
      <c r="VBN56" s="1"/>
      <c r="VBO56" s="1"/>
      <c r="VBP56" s="1"/>
      <c r="VBQ56" s="1"/>
      <c r="VBR56" s="1"/>
      <c r="VBS56" s="1"/>
      <c r="VBT56" s="1"/>
      <c r="VBU56" s="1"/>
      <c r="VBV56" s="1"/>
      <c r="VBW56" s="1"/>
      <c r="VBX56" s="1"/>
      <c r="VBY56" s="1"/>
      <c r="VBZ56" s="1"/>
      <c r="VCA56" s="1"/>
      <c r="VCB56" s="1"/>
      <c r="VCC56" s="1"/>
      <c r="VCD56" s="1"/>
      <c r="VCE56" s="1"/>
      <c r="VCF56" s="1"/>
      <c r="VCG56" s="1"/>
      <c r="VCH56" s="1"/>
      <c r="VCI56" s="1"/>
      <c r="VCJ56" s="1"/>
      <c r="VCK56" s="1"/>
      <c r="VCL56" s="1"/>
      <c r="VCM56" s="1"/>
      <c r="VCN56" s="1"/>
      <c r="VCO56" s="1"/>
      <c r="VCP56" s="1"/>
      <c r="VCQ56" s="1"/>
      <c r="VCR56" s="1"/>
      <c r="VCS56" s="1"/>
      <c r="VCT56" s="1"/>
      <c r="VCU56" s="1"/>
      <c r="VCV56" s="1"/>
      <c r="VCW56" s="1"/>
      <c r="VCX56" s="1"/>
      <c r="VCY56" s="1"/>
      <c r="VCZ56" s="1"/>
      <c r="VDA56" s="1"/>
      <c r="VDB56" s="1"/>
      <c r="VDC56" s="1"/>
      <c r="VDD56" s="1"/>
      <c r="VDE56" s="1"/>
      <c r="VDF56" s="1"/>
      <c r="VDG56" s="1"/>
      <c r="VDH56" s="1"/>
      <c r="VDI56" s="1"/>
      <c r="VDJ56" s="1"/>
      <c r="VDK56" s="1"/>
      <c r="VDL56" s="1"/>
      <c r="VDM56" s="1"/>
      <c r="VDN56" s="1"/>
      <c r="VDO56" s="1"/>
      <c r="VDP56" s="1"/>
      <c r="VDQ56" s="1"/>
      <c r="VDR56" s="1"/>
      <c r="VDS56" s="1"/>
      <c r="VDT56" s="1"/>
      <c r="VDU56" s="1"/>
      <c r="VDV56" s="1"/>
      <c r="VDW56" s="1"/>
      <c r="VDX56" s="1"/>
      <c r="VDY56" s="1"/>
      <c r="VDZ56" s="1"/>
      <c r="VEA56" s="1"/>
      <c r="VEB56" s="1"/>
      <c r="VEC56" s="1"/>
      <c r="VED56" s="1"/>
      <c r="VEE56" s="1"/>
      <c r="VEF56" s="1"/>
      <c r="VEG56" s="1"/>
      <c r="VEH56" s="1"/>
      <c r="VEI56" s="1"/>
      <c r="VEJ56" s="1"/>
      <c r="VEK56" s="1"/>
      <c r="VEL56" s="1"/>
      <c r="VEM56" s="1"/>
      <c r="VEN56" s="1"/>
      <c r="VEO56" s="1"/>
      <c r="VEP56" s="1"/>
      <c r="VEQ56" s="1"/>
      <c r="VER56" s="1"/>
      <c r="VES56" s="1"/>
      <c r="VET56" s="1"/>
      <c r="VEU56" s="1"/>
      <c r="VEV56" s="1"/>
      <c r="VEW56" s="1"/>
      <c r="VEX56" s="1"/>
      <c r="VEY56" s="1"/>
      <c r="VEZ56" s="1"/>
      <c r="VFA56" s="1"/>
      <c r="VFB56" s="1"/>
      <c r="VFC56" s="1"/>
      <c r="VFD56" s="1"/>
      <c r="VFE56" s="1"/>
      <c r="VFF56" s="1"/>
      <c r="VFG56" s="1"/>
      <c r="VFH56" s="1"/>
      <c r="VFI56" s="1"/>
      <c r="VFJ56" s="1"/>
      <c r="VFK56" s="1"/>
      <c r="VFL56" s="1"/>
      <c r="VFM56" s="1"/>
      <c r="VFN56" s="1"/>
      <c r="VFO56" s="1"/>
      <c r="VFP56" s="1"/>
      <c r="VFQ56" s="1"/>
      <c r="VFR56" s="1"/>
      <c r="VFS56" s="1"/>
      <c r="VFT56" s="1"/>
      <c r="VFU56" s="1"/>
      <c r="VFV56" s="1"/>
      <c r="VFW56" s="1"/>
      <c r="VFX56" s="1"/>
      <c r="VFY56" s="1"/>
      <c r="VFZ56" s="1"/>
      <c r="VGA56" s="1"/>
      <c r="VGB56" s="1"/>
      <c r="VGC56" s="1"/>
      <c r="VGD56" s="1"/>
      <c r="VGE56" s="1"/>
      <c r="VGF56" s="1"/>
      <c r="VGG56" s="1"/>
      <c r="VGH56" s="1"/>
      <c r="VGI56" s="1"/>
      <c r="VGJ56" s="1"/>
      <c r="VGK56" s="1"/>
      <c r="VGL56" s="1"/>
      <c r="VGM56" s="1"/>
      <c r="VGN56" s="1"/>
      <c r="VGO56" s="1"/>
      <c r="VGP56" s="1"/>
      <c r="VGQ56" s="1"/>
      <c r="VGR56" s="1"/>
      <c r="VGS56" s="1"/>
      <c r="VGT56" s="1"/>
      <c r="VGU56" s="1"/>
      <c r="VGV56" s="1"/>
      <c r="VGW56" s="1"/>
      <c r="VGX56" s="1"/>
      <c r="VGY56" s="1"/>
      <c r="VGZ56" s="1"/>
      <c r="VHA56" s="1"/>
      <c r="VHB56" s="1"/>
      <c r="VHC56" s="1"/>
      <c r="VHD56" s="1"/>
      <c r="VHE56" s="1"/>
      <c r="VHF56" s="1"/>
      <c r="VHG56" s="1"/>
      <c r="VHH56" s="1"/>
      <c r="VHI56" s="1"/>
      <c r="VHJ56" s="1"/>
      <c r="VHK56" s="1"/>
      <c r="VHL56" s="1"/>
      <c r="VHM56" s="1"/>
      <c r="VHN56" s="1"/>
      <c r="VHO56" s="1"/>
      <c r="VHP56" s="1"/>
      <c r="VHQ56" s="1"/>
      <c r="VHR56" s="1"/>
      <c r="VHS56" s="1"/>
      <c r="VHT56" s="1"/>
      <c r="VHU56" s="1"/>
      <c r="VHV56" s="1"/>
      <c r="VHW56" s="1"/>
      <c r="VHX56" s="1"/>
      <c r="VHY56" s="1"/>
      <c r="VHZ56" s="1"/>
      <c r="VIA56" s="1"/>
      <c r="VIB56" s="1"/>
      <c r="VIC56" s="1"/>
      <c r="VID56" s="1"/>
      <c r="VIE56" s="1"/>
      <c r="VIF56" s="1"/>
      <c r="VIG56" s="1"/>
      <c r="VIH56" s="1"/>
      <c r="VII56" s="1"/>
      <c r="VIJ56" s="1"/>
      <c r="VIK56" s="1"/>
      <c r="VIL56" s="1"/>
      <c r="VIM56" s="1"/>
      <c r="VIN56" s="1"/>
      <c r="VIO56" s="1"/>
      <c r="VIP56" s="1"/>
      <c r="VIQ56" s="1"/>
      <c r="VIR56" s="1"/>
      <c r="VIS56" s="1"/>
      <c r="VIT56" s="1"/>
      <c r="VIU56" s="1"/>
      <c r="VIV56" s="1"/>
      <c r="VIW56" s="1"/>
      <c r="VIX56" s="1"/>
      <c r="VIY56" s="1"/>
      <c r="VIZ56" s="1"/>
      <c r="VJA56" s="1"/>
      <c r="VJB56" s="1"/>
      <c r="VJC56" s="1"/>
      <c r="VJD56" s="1"/>
      <c r="VJE56" s="1"/>
      <c r="VJF56" s="1"/>
      <c r="VJG56" s="1"/>
      <c r="VJH56" s="1"/>
      <c r="VJI56" s="1"/>
      <c r="VJJ56" s="1"/>
      <c r="VJK56" s="1"/>
      <c r="VJL56" s="1"/>
      <c r="VJM56" s="1"/>
      <c r="VJN56" s="1"/>
      <c r="VJO56" s="1"/>
      <c r="VJP56" s="1"/>
      <c r="VJQ56" s="1"/>
      <c r="VJR56" s="1"/>
      <c r="VJS56" s="1"/>
      <c r="VJT56" s="1"/>
      <c r="VJU56" s="1"/>
      <c r="VJV56" s="1"/>
      <c r="VJW56" s="1"/>
      <c r="VJX56" s="1"/>
      <c r="VJY56" s="1"/>
      <c r="VJZ56" s="1"/>
      <c r="VKA56" s="1"/>
      <c r="VKB56" s="1"/>
      <c r="VKC56" s="1"/>
      <c r="VKD56" s="1"/>
      <c r="VKE56" s="1"/>
      <c r="VKF56" s="1"/>
      <c r="VKG56" s="1"/>
      <c r="VKH56" s="1"/>
      <c r="VKI56" s="1"/>
      <c r="VKJ56" s="1"/>
      <c r="VKK56" s="1"/>
      <c r="VKL56" s="1"/>
      <c r="VKM56" s="1"/>
      <c r="VKN56" s="1"/>
      <c r="VKO56" s="1"/>
      <c r="VKP56" s="1"/>
      <c r="VKQ56" s="1"/>
      <c r="VKR56" s="1"/>
      <c r="VKS56" s="1"/>
      <c r="VKT56" s="1"/>
      <c r="VKU56" s="1"/>
      <c r="VKV56" s="1"/>
      <c r="VKW56" s="1"/>
      <c r="VKX56" s="1"/>
      <c r="VKY56" s="1"/>
      <c r="VKZ56" s="1"/>
      <c r="VLA56" s="1"/>
      <c r="VLB56" s="1"/>
      <c r="VLC56" s="1"/>
      <c r="VLD56" s="1"/>
      <c r="VLE56" s="1"/>
      <c r="VLF56" s="1"/>
      <c r="VLG56" s="1"/>
      <c r="VLH56" s="1"/>
      <c r="VLI56" s="1"/>
      <c r="VLJ56" s="1"/>
      <c r="VLK56" s="1"/>
      <c r="VLL56" s="1"/>
      <c r="VLM56" s="1"/>
      <c r="VLN56" s="1"/>
      <c r="VLO56" s="1"/>
      <c r="VLP56" s="1"/>
      <c r="VLQ56" s="1"/>
      <c r="VLR56" s="1"/>
      <c r="VLS56" s="1"/>
      <c r="VLT56" s="1"/>
      <c r="VLU56" s="1"/>
      <c r="VLV56" s="1"/>
      <c r="VLW56" s="1"/>
      <c r="VLX56" s="1"/>
      <c r="VLY56" s="1"/>
      <c r="VLZ56" s="1"/>
      <c r="VMA56" s="1"/>
      <c r="VMB56" s="1"/>
      <c r="VMC56" s="1"/>
      <c r="VMD56" s="1"/>
      <c r="VME56" s="1"/>
      <c r="VMF56" s="1"/>
      <c r="VMG56" s="1"/>
      <c r="VMH56" s="1"/>
      <c r="VMI56" s="1"/>
      <c r="VMJ56" s="1"/>
      <c r="VMK56" s="1"/>
      <c r="VML56" s="1"/>
      <c r="VMM56" s="1"/>
      <c r="VMN56" s="1"/>
      <c r="VMO56" s="1"/>
      <c r="VMP56" s="1"/>
      <c r="VMQ56" s="1"/>
      <c r="VMR56" s="1"/>
      <c r="VMS56" s="1"/>
      <c r="VMT56" s="1"/>
      <c r="VMU56" s="1"/>
      <c r="VMV56" s="1"/>
      <c r="VMW56" s="1"/>
      <c r="VMX56" s="1"/>
      <c r="VMY56" s="1"/>
      <c r="VMZ56" s="1"/>
      <c r="VNA56" s="1"/>
      <c r="VNB56" s="1"/>
      <c r="VNC56" s="1"/>
      <c r="VND56" s="1"/>
      <c r="VNE56" s="1"/>
      <c r="VNF56" s="1"/>
      <c r="VNG56" s="1"/>
      <c r="VNH56" s="1"/>
      <c r="VNI56" s="1"/>
      <c r="VNJ56" s="1"/>
      <c r="VNK56" s="1"/>
      <c r="VNL56" s="1"/>
      <c r="VNM56" s="1"/>
      <c r="VNN56" s="1"/>
      <c r="VNO56" s="1"/>
      <c r="VNP56" s="1"/>
      <c r="VNQ56" s="1"/>
      <c r="VNR56" s="1"/>
      <c r="VNS56" s="1"/>
      <c r="VNT56" s="1"/>
      <c r="VNU56" s="1"/>
      <c r="VNV56" s="1"/>
      <c r="VNW56" s="1"/>
      <c r="VNX56" s="1"/>
      <c r="VNY56" s="1"/>
      <c r="VNZ56" s="1"/>
      <c r="VOA56" s="1"/>
      <c r="VOB56" s="1"/>
      <c r="VOC56" s="1"/>
      <c r="VOD56" s="1"/>
      <c r="VOE56" s="1"/>
      <c r="VOF56" s="1"/>
      <c r="VOG56" s="1"/>
      <c r="VOH56" s="1"/>
      <c r="VOI56" s="1"/>
      <c r="VOJ56" s="1"/>
      <c r="VOK56" s="1"/>
      <c r="VOL56" s="1"/>
      <c r="VOM56" s="1"/>
      <c r="VON56" s="1"/>
      <c r="VOO56" s="1"/>
      <c r="VOP56" s="1"/>
      <c r="VOQ56" s="1"/>
      <c r="VOR56" s="1"/>
      <c r="VOS56" s="1"/>
      <c r="VOT56" s="1"/>
      <c r="VOU56" s="1"/>
      <c r="VOV56" s="1"/>
      <c r="VOW56" s="1"/>
      <c r="VOX56" s="1"/>
      <c r="VOY56" s="1"/>
      <c r="VOZ56" s="1"/>
      <c r="VPA56" s="1"/>
      <c r="VPB56" s="1"/>
      <c r="VPC56" s="1"/>
      <c r="VPD56" s="1"/>
      <c r="VPE56" s="1"/>
      <c r="VPF56" s="1"/>
      <c r="VPG56" s="1"/>
      <c r="VPH56" s="1"/>
      <c r="VPI56" s="1"/>
      <c r="VPJ56" s="1"/>
      <c r="VPK56" s="1"/>
      <c r="VPL56" s="1"/>
      <c r="VPM56" s="1"/>
      <c r="VPN56" s="1"/>
      <c r="VPO56" s="1"/>
      <c r="VPP56" s="1"/>
      <c r="VPQ56" s="1"/>
      <c r="VPR56" s="1"/>
      <c r="VPS56" s="1"/>
      <c r="VPT56" s="1"/>
      <c r="VPU56" s="1"/>
      <c r="VPV56" s="1"/>
      <c r="VPW56" s="1"/>
      <c r="VPX56" s="1"/>
      <c r="VPY56" s="1"/>
      <c r="VPZ56" s="1"/>
      <c r="VQA56" s="1"/>
      <c r="VQB56" s="1"/>
      <c r="VQC56" s="1"/>
      <c r="VQD56" s="1"/>
      <c r="VQE56" s="1"/>
      <c r="VQF56" s="1"/>
      <c r="VQG56" s="1"/>
      <c r="VQH56" s="1"/>
      <c r="VQI56" s="1"/>
      <c r="VQJ56" s="1"/>
      <c r="VQK56" s="1"/>
      <c r="VQL56" s="1"/>
      <c r="VQM56" s="1"/>
      <c r="VQN56" s="1"/>
      <c r="VQO56" s="1"/>
      <c r="VQP56" s="1"/>
      <c r="VQQ56" s="1"/>
      <c r="VQR56" s="1"/>
      <c r="VQS56" s="1"/>
      <c r="VQT56" s="1"/>
      <c r="VQU56" s="1"/>
      <c r="VQV56" s="1"/>
      <c r="VQW56" s="1"/>
      <c r="VQX56" s="1"/>
      <c r="VQY56" s="1"/>
      <c r="VQZ56" s="1"/>
      <c r="VRA56" s="1"/>
      <c r="VRB56" s="1"/>
      <c r="VRC56" s="1"/>
      <c r="VRD56" s="1"/>
      <c r="VRE56" s="1"/>
      <c r="VRF56" s="1"/>
      <c r="VRG56" s="1"/>
      <c r="VRH56" s="1"/>
      <c r="VRI56" s="1"/>
      <c r="VRJ56" s="1"/>
      <c r="VRK56" s="1"/>
      <c r="VRL56" s="1"/>
      <c r="VRM56" s="1"/>
      <c r="VRN56" s="1"/>
      <c r="VRO56" s="1"/>
      <c r="VRP56" s="1"/>
      <c r="VRQ56" s="1"/>
      <c r="VRR56" s="1"/>
      <c r="VRS56" s="1"/>
      <c r="VRT56" s="1"/>
      <c r="VRU56" s="1"/>
      <c r="VRV56" s="1"/>
      <c r="VRW56" s="1"/>
      <c r="VRX56" s="1"/>
      <c r="VRY56" s="1"/>
      <c r="VRZ56" s="1"/>
      <c r="VSA56" s="1"/>
      <c r="VSB56" s="1"/>
      <c r="VSC56" s="1"/>
      <c r="VSD56" s="1"/>
      <c r="VSE56" s="1"/>
      <c r="VSF56" s="1"/>
      <c r="VSG56" s="1"/>
      <c r="VSH56" s="1"/>
      <c r="VSI56" s="1"/>
      <c r="VSJ56" s="1"/>
      <c r="VSK56" s="1"/>
      <c r="VSL56" s="1"/>
      <c r="VSM56" s="1"/>
      <c r="VSN56" s="1"/>
      <c r="VSO56" s="1"/>
      <c r="VSP56" s="1"/>
      <c r="VSQ56" s="1"/>
      <c r="VSR56" s="1"/>
      <c r="VSS56" s="1"/>
      <c r="VST56" s="1"/>
      <c r="VSU56" s="1"/>
      <c r="VSV56" s="1"/>
      <c r="VSW56" s="1"/>
      <c r="VSX56" s="1"/>
      <c r="VSY56" s="1"/>
      <c r="VSZ56" s="1"/>
      <c r="VTA56" s="1"/>
      <c r="VTB56" s="1"/>
      <c r="VTC56" s="1"/>
      <c r="VTD56" s="1"/>
      <c r="VTE56" s="1"/>
      <c r="VTF56" s="1"/>
      <c r="VTG56" s="1"/>
      <c r="VTH56" s="1"/>
      <c r="VTI56" s="1"/>
      <c r="VTJ56" s="1"/>
      <c r="VTK56" s="1"/>
      <c r="VTL56" s="1"/>
      <c r="VTM56" s="1"/>
      <c r="VTN56" s="1"/>
      <c r="VTO56" s="1"/>
      <c r="VTP56" s="1"/>
      <c r="VTQ56" s="1"/>
      <c r="VTR56" s="1"/>
      <c r="VTS56" s="1"/>
      <c r="VTT56" s="1"/>
      <c r="VTU56" s="1"/>
      <c r="VTV56" s="1"/>
      <c r="VTW56" s="1"/>
      <c r="VTX56" s="1"/>
      <c r="VTY56" s="1"/>
      <c r="VTZ56" s="1"/>
      <c r="VUA56" s="1"/>
      <c r="VUB56" s="1"/>
      <c r="VUC56" s="1"/>
      <c r="VUD56" s="1"/>
      <c r="VUE56" s="1"/>
      <c r="VUF56" s="1"/>
      <c r="VUG56" s="1"/>
      <c r="VUH56" s="1"/>
      <c r="VUI56" s="1"/>
      <c r="VUJ56" s="1"/>
      <c r="VUK56" s="1"/>
      <c r="VUL56" s="1"/>
      <c r="VUM56" s="1"/>
      <c r="VUN56" s="1"/>
      <c r="VUO56" s="1"/>
      <c r="VUP56" s="1"/>
      <c r="VUQ56" s="1"/>
      <c r="VUR56" s="1"/>
      <c r="VUS56" s="1"/>
      <c r="VUT56" s="1"/>
      <c r="VUU56" s="1"/>
      <c r="VUV56" s="1"/>
      <c r="VUW56" s="1"/>
      <c r="VUX56" s="1"/>
      <c r="VUY56" s="1"/>
      <c r="VUZ56" s="1"/>
      <c r="VVA56" s="1"/>
      <c r="VVB56" s="1"/>
      <c r="VVC56" s="1"/>
      <c r="VVD56" s="1"/>
      <c r="VVE56" s="1"/>
      <c r="VVF56" s="1"/>
      <c r="VVG56" s="1"/>
      <c r="VVH56" s="1"/>
      <c r="VVI56" s="1"/>
      <c r="VVJ56" s="1"/>
      <c r="VVK56" s="1"/>
      <c r="VVL56" s="1"/>
      <c r="VVM56" s="1"/>
      <c r="VVN56" s="1"/>
      <c r="VVO56" s="1"/>
      <c r="VVP56" s="1"/>
      <c r="VVQ56" s="1"/>
      <c r="VVR56" s="1"/>
      <c r="VVS56" s="1"/>
      <c r="VVT56" s="1"/>
      <c r="VVU56" s="1"/>
      <c r="VVV56" s="1"/>
      <c r="VVW56" s="1"/>
      <c r="VVX56" s="1"/>
      <c r="VVY56" s="1"/>
      <c r="VVZ56" s="1"/>
      <c r="VWA56" s="1"/>
      <c r="VWB56" s="1"/>
      <c r="VWC56" s="1"/>
      <c r="VWD56" s="1"/>
      <c r="VWE56" s="1"/>
      <c r="VWF56" s="1"/>
      <c r="VWG56" s="1"/>
      <c r="VWH56" s="1"/>
      <c r="VWI56" s="1"/>
      <c r="VWJ56" s="1"/>
      <c r="VWK56" s="1"/>
      <c r="VWL56" s="1"/>
      <c r="VWM56" s="1"/>
      <c r="VWN56" s="1"/>
      <c r="VWO56" s="1"/>
      <c r="VWP56" s="1"/>
      <c r="VWQ56" s="1"/>
      <c r="VWR56" s="1"/>
      <c r="VWS56" s="1"/>
      <c r="VWT56" s="1"/>
      <c r="VWU56" s="1"/>
      <c r="VWV56" s="1"/>
      <c r="VWW56" s="1"/>
      <c r="VWX56" s="1"/>
      <c r="VWY56" s="1"/>
      <c r="VWZ56" s="1"/>
      <c r="VXA56" s="1"/>
      <c r="VXB56" s="1"/>
      <c r="VXC56" s="1"/>
      <c r="VXD56" s="1"/>
      <c r="VXE56" s="1"/>
      <c r="VXF56" s="1"/>
      <c r="VXG56" s="1"/>
      <c r="VXH56" s="1"/>
      <c r="VXI56" s="1"/>
      <c r="VXJ56" s="1"/>
      <c r="VXK56" s="1"/>
      <c r="VXL56" s="1"/>
      <c r="VXM56" s="1"/>
      <c r="VXN56" s="1"/>
      <c r="VXO56" s="1"/>
      <c r="VXP56" s="1"/>
      <c r="VXQ56" s="1"/>
      <c r="VXR56" s="1"/>
      <c r="VXS56" s="1"/>
      <c r="VXT56" s="1"/>
      <c r="VXU56" s="1"/>
      <c r="VXV56" s="1"/>
      <c r="VXW56" s="1"/>
      <c r="VXX56" s="1"/>
      <c r="VXY56" s="1"/>
      <c r="VXZ56" s="1"/>
      <c r="VYA56" s="1"/>
      <c r="VYB56" s="1"/>
      <c r="VYC56" s="1"/>
      <c r="VYD56" s="1"/>
      <c r="VYE56" s="1"/>
      <c r="VYF56" s="1"/>
      <c r="VYG56" s="1"/>
      <c r="VYH56" s="1"/>
      <c r="VYI56" s="1"/>
      <c r="VYJ56" s="1"/>
      <c r="VYK56" s="1"/>
      <c r="VYL56" s="1"/>
      <c r="VYM56" s="1"/>
      <c r="VYN56" s="1"/>
      <c r="VYO56" s="1"/>
      <c r="VYP56" s="1"/>
      <c r="VYQ56" s="1"/>
      <c r="VYR56" s="1"/>
      <c r="VYS56" s="1"/>
      <c r="VYT56" s="1"/>
      <c r="VYU56" s="1"/>
      <c r="VYV56" s="1"/>
      <c r="VYW56" s="1"/>
      <c r="VYX56" s="1"/>
      <c r="VYY56" s="1"/>
      <c r="VYZ56" s="1"/>
      <c r="VZA56" s="1"/>
      <c r="VZB56" s="1"/>
      <c r="VZC56" s="1"/>
      <c r="VZD56" s="1"/>
      <c r="VZE56" s="1"/>
      <c r="VZF56" s="1"/>
      <c r="VZG56" s="1"/>
      <c r="VZH56" s="1"/>
      <c r="VZI56" s="1"/>
      <c r="VZJ56" s="1"/>
      <c r="VZK56" s="1"/>
      <c r="VZL56" s="1"/>
      <c r="VZM56" s="1"/>
      <c r="VZN56" s="1"/>
      <c r="VZO56" s="1"/>
      <c r="VZP56" s="1"/>
      <c r="VZQ56" s="1"/>
      <c r="VZR56" s="1"/>
      <c r="VZS56" s="1"/>
      <c r="VZT56" s="1"/>
      <c r="VZU56" s="1"/>
      <c r="VZV56" s="1"/>
      <c r="VZW56" s="1"/>
      <c r="VZX56" s="1"/>
      <c r="VZY56" s="1"/>
      <c r="VZZ56" s="1"/>
      <c r="WAA56" s="1"/>
      <c r="WAB56" s="1"/>
      <c r="WAC56" s="1"/>
      <c r="WAD56" s="1"/>
      <c r="WAE56" s="1"/>
      <c r="WAF56" s="1"/>
      <c r="WAG56" s="1"/>
      <c r="WAH56" s="1"/>
      <c r="WAI56" s="1"/>
      <c r="WAJ56" s="1"/>
      <c r="WAK56" s="1"/>
      <c r="WAL56" s="1"/>
      <c r="WAM56" s="1"/>
      <c r="WAN56" s="1"/>
      <c r="WAO56" s="1"/>
      <c r="WAP56" s="1"/>
      <c r="WAQ56" s="1"/>
      <c r="WAR56" s="1"/>
      <c r="WAS56" s="1"/>
      <c r="WAT56" s="1"/>
      <c r="WAU56" s="1"/>
      <c r="WAV56" s="1"/>
      <c r="WAW56" s="1"/>
      <c r="WAX56" s="1"/>
      <c r="WAY56" s="1"/>
      <c r="WAZ56" s="1"/>
      <c r="WBA56" s="1"/>
      <c r="WBB56" s="1"/>
      <c r="WBC56" s="1"/>
      <c r="WBD56" s="1"/>
      <c r="WBE56" s="1"/>
      <c r="WBF56" s="1"/>
      <c r="WBG56" s="1"/>
      <c r="WBH56" s="1"/>
      <c r="WBI56" s="1"/>
      <c r="WBJ56" s="1"/>
      <c r="WBK56" s="1"/>
      <c r="WBL56" s="1"/>
      <c r="WBM56" s="1"/>
      <c r="WBN56" s="1"/>
      <c r="WBO56" s="1"/>
      <c r="WBP56" s="1"/>
      <c r="WBQ56" s="1"/>
      <c r="WBR56" s="1"/>
      <c r="WBS56" s="1"/>
      <c r="WBT56" s="1"/>
      <c r="WBU56" s="1"/>
      <c r="WBV56" s="1"/>
      <c r="WBW56" s="1"/>
      <c r="WBX56" s="1"/>
      <c r="WBY56" s="1"/>
      <c r="WBZ56" s="1"/>
      <c r="WCA56" s="1"/>
      <c r="WCB56" s="1"/>
      <c r="WCC56" s="1"/>
      <c r="WCD56" s="1"/>
      <c r="WCE56" s="1"/>
      <c r="WCF56" s="1"/>
      <c r="WCG56" s="1"/>
      <c r="WCH56" s="1"/>
      <c r="WCI56" s="1"/>
      <c r="WCJ56" s="1"/>
      <c r="WCK56" s="1"/>
      <c r="WCL56" s="1"/>
      <c r="WCM56" s="1"/>
      <c r="WCN56" s="1"/>
      <c r="WCO56" s="1"/>
      <c r="WCP56" s="1"/>
      <c r="WCQ56" s="1"/>
      <c r="WCR56" s="1"/>
      <c r="WCS56" s="1"/>
      <c r="WCT56" s="1"/>
      <c r="WCU56" s="1"/>
      <c r="WCV56" s="1"/>
      <c r="WCW56" s="1"/>
      <c r="WCX56" s="1"/>
      <c r="WCY56" s="1"/>
      <c r="WCZ56" s="1"/>
      <c r="WDA56" s="1"/>
      <c r="WDB56" s="1"/>
      <c r="WDC56" s="1"/>
      <c r="WDD56" s="1"/>
      <c r="WDE56" s="1"/>
      <c r="WDF56" s="1"/>
      <c r="WDG56" s="1"/>
      <c r="WDH56" s="1"/>
      <c r="WDI56" s="1"/>
      <c r="WDJ56" s="1"/>
      <c r="WDK56" s="1"/>
      <c r="WDL56" s="1"/>
      <c r="WDM56" s="1"/>
      <c r="WDN56" s="1"/>
      <c r="WDO56" s="1"/>
      <c r="WDP56" s="1"/>
      <c r="WDQ56" s="1"/>
      <c r="WDR56" s="1"/>
      <c r="WDS56" s="1"/>
      <c r="WDT56" s="1"/>
      <c r="WDU56" s="1"/>
      <c r="WDV56" s="1"/>
      <c r="WDW56" s="1"/>
      <c r="WDX56" s="1"/>
      <c r="WDY56" s="1"/>
      <c r="WDZ56" s="1"/>
      <c r="WEA56" s="1"/>
      <c r="WEB56" s="1"/>
      <c r="WEC56" s="1"/>
      <c r="WED56" s="1"/>
      <c r="WEE56" s="1"/>
      <c r="WEF56" s="1"/>
      <c r="WEG56" s="1"/>
      <c r="WEH56" s="1"/>
      <c r="WEI56" s="1"/>
      <c r="WEJ56" s="1"/>
      <c r="WEK56" s="1"/>
      <c r="WEL56" s="1"/>
      <c r="WEM56" s="1"/>
      <c r="WEN56" s="1"/>
      <c r="WEO56" s="1"/>
      <c r="WEP56" s="1"/>
      <c r="WEQ56" s="1"/>
      <c r="WER56" s="1"/>
      <c r="WES56" s="1"/>
      <c r="WET56" s="1"/>
      <c r="WEU56" s="1"/>
      <c r="WEV56" s="1"/>
      <c r="WEW56" s="1"/>
      <c r="WEX56" s="1"/>
      <c r="WEY56" s="1"/>
      <c r="WEZ56" s="1"/>
      <c r="WFA56" s="1"/>
      <c r="WFB56" s="1"/>
      <c r="WFC56" s="1"/>
      <c r="WFD56" s="1"/>
      <c r="WFE56" s="1"/>
      <c r="WFF56" s="1"/>
      <c r="WFG56" s="1"/>
      <c r="WFH56" s="1"/>
      <c r="WFI56" s="1"/>
      <c r="WFJ56" s="1"/>
      <c r="WFK56" s="1"/>
      <c r="WFL56" s="1"/>
      <c r="WFM56" s="1"/>
      <c r="WFN56" s="1"/>
      <c r="WFO56" s="1"/>
      <c r="WFP56" s="1"/>
      <c r="WFQ56" s="1"/>
      <c r="WFR56" s="1"/>
      <c r="WFS56" s="1"/>
      <c r="WFT56" s="1"/>
      <c r="WFU56" s="1"/>
      <c r="WFV56" s="1"/>
      <c r="WFW56" s="1"/>
      <c r="WFX56" s="1"/>
      <c r="WFY56" s="1"/>
      <c r="WFZ56" s="1"/>
      <c r="WGA56" s="1"/>
      <c r="WGB56" s="1"/>
      <c r="WGC56" s="1"/>
      <c r="WGD56" s="1"/>
      <c r="WGE56" s="1"/>
      <c r="WGF56" s="1"/>
      <c r="WGG56" s="1"/>
      <c r="WGH56" s="1"/>
      <c r="WGI56" s="1"/>
      <c r="WGJ56" s="1"/>
      <c r="WGK56" s="1"/>
      <c r="WGL56" s="1"/>
      <c r="WGM56" s="1"/>
      <c r="WGN56" s="1"/>
      <c r="WGO56" s="1"/>
      <c r="WGP56" s="1"/>
      <c r="WGQ56" s="1"/>
      <c r="WGR56" s="1"/>
      <c r="WGS56" s="1"/>
      <c r="WGT56" s="1"/>
      <c r="WGU56" s="1"/>
      <c r="WGV56" s="1"/>
      <c r="WGW56" s="1"/>
      <c r="WGX56" s="1"/>
      <c r="WGY56" s="1"/>
      <c r="WGZ56" s="1"/>
      <c r="WHA56" s="1"/>
      <c r="WHB56" s="1"/>
      <c r="WHC56" s="1"/>
      <c r="WHD56" s="1"/>
      <c r="WHE56" s="1"/>
      <c r="WHF56" s="1"/>
      <c r="WHG56" s="1"/>
      <c r="WHH56" s="1"/>
      <c r="WHI56" s="1"/>
      <c r="WHJ56" s="1"/>
      <c r="WHK56" s="1"/>
      <c r="WHL56" s="1"/>
      <c r="WHM56" s="1"/>
      <c r="WHN56" s="1"/>
      <c r="WHO56" s="1"/>
      <c r="WHP56" s="1"/>
      <c r="WHQ56" s="1"/>
      <c r="WHR56" s="1"/>
      <c r="WHS56" s="1"/>
      <c r="WHT56" s="1"/>
      <c r="WHU56" s="1"/>
      <c r="WHV56" s="1"/>
      <c r="WHW56" s="1"/>
      <c r="WHX56" s="1"/>
      <c r="WHY56" s="1"/>
      <c r="WHZ56" s="1"/>
      <c r="WIA56" s="1"/>
      <c r="WIB56" s="1"/>
      <c r="WIC56" s="1"/>
      <c r="WID56" s="1"/>
      <c r="WIE56" s="1"/>
      <c r="WIF56" s="1"/>
      <c r="WIG56" s="1"/>
      <c r="WIH56" s="1"/>
      <c r="WII56" s="1"/>
      <c r="WIJ56" s="1"/>
      <c r="WIK56" s="1"/>
      <c r="WIL56" s="1"/>
      <c r="WIM56" s="1"/>
      <c r="WIN56" s="1"/>
      <c r="WIO56" s="1"/>
      <c r="WIP56" s="1"/>
      <c r="WIQ56" s="1"/>
      <c r="WIR56" s="1"/>
      <c r="WIS56" s="1"/>
      <c r="WIT56" s="1"/>
      <c r="WIU56" s="1"/>
      <c r="WIV56" s="1"/>
      <c r="WIW56" s="1"/>
      <c r="WIX56" s="1"/>
      <c r="WIY56" s="1"/>
      <c r="WIZ56" s="1"/>
      <c r="WJA56" s="1"/>
      <c r="WJB56" s="1"/>
      <c r="WJC56" s="1"/>
      <c r="WJD56" s="1"/>
      <c r="WJE56" s="1"/>
      <c r="WJF56" s="1"/>
      <c r="WJG56" s="1"/>
      <c r="WJH56" s="1"/>
      <c r="WJI56" s="1"/>
      <c r="WJJ56" s="1"/>
      <c r="WJK56" s="1"/>
      <c r="WJL56" s="1"/>
      <c r="WJM56" s="1"/>
      <c r="WJN56" s="1"/>
      <c r="WJO56" s="1"/>
      <c r="WJP56" s="1"/>
      <c r="WJQ56" s="1"/>
      <c r="WJR56" s="1"/>
      <c r="WJS56" s="1"/>
      <c r="WJT56" s="1"/>
      <c r="WJU56" s="1"/>
      <c r="WJV56" s="1"/>
      <c r="WJW56" s="1"/>
      <c r="WJX56" s="1"/>
      <c r="WJY56" s="1"/>
      <c r="WJZ56" s="1"/>
      <c r="WKA56" s="1"/>
      <c r="WKB56" s="1"/>
      <c r="WKC56" s="1"/>
      <c r="WKD56" s="1"/>
      <c r="WKE56" s="1"/>
      <c r="WKF56" s="1"/>
      <c r="WKG56" s="1"/>
      <c r="WKH56" s="1"/>
      <c r="WKI56" s="1"/>
      <c r="WKJ56" s="1"/>
      <c r="WKK56" s="1"/>
      <c r="WKL56" s="1"/>
      <c r="WKM56" s="1"/>
      <c r="WKN56" s="1"/>
      <c r="WKO56" s="1"/>
      <c r="WKP56" s="1"/>
      <c r="WKQ56" s="1"/>
      <c r="WKR56" s="1"/>
      <c r="WKS56" s="1"/>
      <c r="WKT56" s="1"/>
      <c r="WKU56" s="1"/>
      <c r="WKV56" s="1"/>
      <c r="WKW56" s="1"/>
      <c r="WKX56" s="1"/>
      <c r="WKY56" s="1"/>
      <c r="WKZ56" s="1"/>
      <c r="WLA56" s="1"/>
      <c r="WLB56" s="1"/>
      <c r="WLC56" s="1"/>
      <c r="WLD56" s="1"/>
      <c r="WLE56" s="1"/>
      <c r="WLF56" s="1"/>
      <c r="WLG56" s="1"/>
      <c r="WLH56" s="1"/>
      <c r="WLI56" s="1"/>
      <c r="WLJ56" s="1"/>
      <c r="WLK56" s="1"/>
      <c r="WLL56" s="1"/>
      <c r="WLM56" s="1"/>
      <c r="WLN56" s="1"/>
      <c r="WLO56" s="1"/>
      <c r="WLP56" s="1"/>
      <c r="WLQ56" s="1"/>
      <c r="WLR56" s="1"/>
      <c r="WLS56" s="1"/>
      <c r="WLT56" s="1"/>
      <c r="WLU56" s="1"/>
      <c r="WLV56" s="1"/>
      <c r="WLW56" s="1"/>
      <c r="WLX56" s="1"/>
      <c r="WLY56" s="1"/>
      <c r="WLZ56" s="1"/>
      <c r="WMA56" s="1"/>
      <c r="WMB56" s="1"/>
      <c r="WMC56" s="1"/>
      <c r="WMD56" s="1"/>
      <c r="WME56" s="1"/>
      <c r="WMF56" s="1"/>
      <c r="WMG56" s="1"/>
      <c r="WMH56" s="1"/>
      <c r="WMI56" s="1"/>
      <c r="WMJ56" s="1"/>
      <c r="WMK56" s="1"/>
      <c r="WML56" s="1"/>
      <c r="WMM56" s="1"/>
      <c r="WMN56" s="1"/>
      <c r="WMO56" s="1"/>
      <c r="WMP56" s="1"/>
      <c r="WMQ56" s="1"/>
      <c r="WMR56" s="1"/>
      <c r="WMS56" s="1"/>
      <c r="WMT56" s="1"/>
      <c r="WMU56" s="1"/>
      <c r="WMV56" s="1"/>
      <c r="WMW56" s="1"/>
      <c r="WMX56" s="1"/>
      <c r="WMY56" s="1"/>
      <c r="WMZ56" s="1"/>
      <c r="WNA56" s="1"/>
      <c r="WNB56" s="1"/>
      <c r="WNC56" s="1"/>
      <c r="WND56" s="1"/>
      <c r="WNE56" s="1"/>
      <c r="WNF56" s="1"/>
      <c r="WNG56" s="1"/>
      <c r="WNH56" s="1"/>
      <c r="WNI56" s="1"/>
      <c r="WNJ56" s="1"/>
      <c r="WNK56" s="1"/>
      <c r="WNL56" s="1"/>
      <c r="WNM56" s="1"/>
      <c r="WNN56" s="1"/>
      <c r="WNO56" s="1"/>
      <c r="WNP56" s="1"/>
      <c r="WNQ56" s="1"/>
      <c r="WNR56" s="1"/>
      <c r="WNS56" s="1"/>
      <c r="WNT56" s="1"/>
      <c r="WNU56" s="1"/>
      <c r="WNV56" s="1"/>
      <c r="WNW56" s="1"/>
      <c r="WNX56" s="1"/>
      <c r="WNY56" s="1"/>
      <c r="WNZ56" s="1"/>
      <c r="WOA56" s="1"/>
      <c r="WOB56" s="1"/>
      <c r="WOC56" s="1"/>
      <c r="WOD56" s="1"/>
      <c r="WOE56" s="1"/>
      <c r="WOF56" s="1"/>
      <c r="WOG56" s="1"/>
      <c r="WOH56" s="1"/>
      <c r="WOI56" s="1"/>
      <c r="WOJ56" s="1"/>
      <c r="WOK56" s="1"/>
      <c r="WOL56" s="1"/>
      <c r="WOM56" s="1"/>
      <c r="WON56" s="1"/>
      <c r="WOO56" s="1"/>
      <c r="WOP56" s="1"/>
      <c r="WOQ56" s="1"/>
      <c r="WOR56" s="1"/>
      <c r="WOS56" s="1"/>
      <c r="WOT56" s="1"/>
      <c r="WOU56" s="1"/>
      <c r="WOV56" s="1"/>
      <c r="WOW56" s="1"/>
      <c r="WOX56" s="1"/>
      <c r="WOY56" s="1"/>
      <c r="WOZ56" s="1"/>
      <c r="WPA56" s="1"/>
      <c r="WPB56" s="1"/>
      <c r="WPC56" s="1"/>
      <c r="WPD56" s="1"/>
      <c r="WPE56" s="1"/>
      <c r="WPF56" s="1"/>
      <c r="WPG56" s="1"/>
      <c r="WPH56" s="1"/>
      <c r="WPI56" s="1"/>
      <c r="WPJ56" s="1"/>
      <c r="WPK56" s="1"/>
      <c r="WPL56" s="1"/>
      <c r="WPM56" s="1"/>
      <c r="WPN56" s="1"/>
      <c r="WPO56" s="1"/>
      <c r="WPP56" s="1"/>
      <c r="WPQ56" s="1"/>
      <c r="WPR56" s="1"/>
      <c r="WPS56" s="1"/>
      <c r="WPT56" s="1"/>
      <c r="WPU56" s="1"/>
      <c r="WPV56" s="1"/>
      <c r="WPW56" s="1"/>
      <c r="WPX56" s="1"/>
      <c r="WPY56" s="1"/>
      <c r="WPZ56" s="1"/>
      <c r="WQA56" s="1"/>
      <c r="WQB56" s="1"/>
      <c r="WQC56" s="1"/>
      <c r="WQD56" s="1"/>
      <c r="WQE56" s="1"/>
      <c r="WQF56" s="1"/>
      <c r="WQG56" s="1"/>
      <c r="WQH56" s="1"/>
      <c r="WQI56" s="1"/>
      <c r="WQJ56" s="1"/>
      <c r="WQK56" s="1"/>
      <c r="WQL56" s="1"/>
      <c r="WQM56" s="1"/>
      <c r="WQN56" s="1"/>
      <c r="WQO56" s="1"/>
      <c r="WQP56" s="1"/>
      <c r="WQQ56" s="1"/>
      <c r="WQR56" s="1"/>
      <c r="WQS56" s="1"/>
      <c r="WQT56" s="1"/>
      <c r="WQU56" s="1"/>
      <c r="WQV56" s="1"/>
      <c r="WQW56" s="1"/>
      <c r="WQX56" s="1"/>
      <c r="WQY56" s="1"/>
      <c r="WQZ56" s="1"/>
      <c r="WRA56" s="1"/>
      <c r="WRB56" s="1"/>
      <c r="WRC56" s="1"/>
      <c r="WRD56" s="1"/>
      <c r="WRE56" s="1"/>
      <c r="WRF56" s="1"/>
      <c r="WRG56" s="1"/>
      <c r="WRH56" s="1"/>
      <c r="WRI56" s="1"/>
      <c r="WRJ56" s="1"/>
      <c r="WRK56" s="1"/>
      <c r="WRL56" s="1"/>
      <c r="WRM56" s="1"/>
      <c r="WRN56" s="1"/>
      <c r="WRO56" s="1"/>
      <c r="WRP56" s="1"/>
      <c r="WRQ56" s="1"/>
      <c r="WRR56" s="1"/>
      <c r="WRS56" s="1"/>
      <c r="WRT56" s="1"/>
      <c r="WRU56" s="1"/>
      <c r="WRV56" s="1"/>
      <c r="WRW56" s="1"/>
      <c r="WRX56" s="1"/>
      <c r="WRY56" s="1"/>
      <c r="WRZ56" s="1"/>
      <c r="WSA56" s="1"/>
      <c r="WSB56" s="1"/>
      <c r="WSC56" s="1"/>
      <c r="WSD56" s="1"/>
      <c r="WSE56" s="1"/>
      <c r="WSF56" s="1"/>
      <c r="WSG56" s="1"/>
      <c r="WSH56" s="1"/>
      <c r="WSI56" s="1"/>
      <c r="WSJ56" s="1"/>
      <c r="WSK56" s="1"/>
      <c r="WSL56" s="1"/>
      <c r="WSM56" s="1"/>
      <c r="WSN56" s="1"/>
      <c r="WSO56" s="1"/>
      <c r="WSP56" s="1"/>
      <c r="WSQ56" s="1"/>
      <c r="WSR56" s="1"/>
      <c r="WSS56" s="1"/>
      <c r="WST56" s="1"/>
      <c r="WSU56" s="1"/>
      <c r="WSV56" s="1"/>
      <c r="WSW56" s="1"/>
      <c r="WSX56" s="1"/>
      <c r="WSY56" s="1"/>
      <c r="WSZ56" s="1"/>
      <c r="WTA56" s="1"/>
      <c r="WTB56" s="1"/>
      <c r="WTC56" s="1"/>
      <c r="WTD56" s="1"/>
      <c r="WTE56" s="1"/>
      <c r="WTF56" s="1"/>
      <c r="WTG56" s="1"/>
      <c r="WTH56" s="1"/>
      <c r="WTI56" s="1"/>
      <c r="WTJ56" s="1"/>
      <c r="WTK56" s="1"/>
      <c r="WTL56" s="1"/>
      <c r="WTM56" s="1"/>
      <c r="WTN56" s="1"/>
      <c r="WTO56" s="1"/>
      <c r="WTP56" s="1"/>
      <c r="WTQ56" s="1"/>
      <c r="WTR56" s="1"/>
      <c r="WTS56" s="1"/>
      <c r="WTT56" s="1"/>
      <c r="WTU56" s="1"/>
      <c r="WTV56" s="1"/>
      <c r="WTW56" s="1"/>
      <c r="WTX56" s="1"/>
      <c r="WTY56" s="1"/>
      <c r="WTZ56" s="1"/>
      <c r="WUA56" s="1"/>
      <c r="WUB56" s="1"/>
      <c r="WUC56" s="1"/>
      <c r="WUD56" s="1"/>
      <c r="WUE56" s="1"/>
      <c r="WUF56" s="1"/>
      <c r="WUG56" s="1"/>
      <c r="WUH56" s="1"/>
      <c r="WUI56" s="1"/>
      <c r="WUJ56" s="1"/>
      <c r="WUK56" s="1"/>
      <c r="WUL56" s="1"/>
      <c r="WUM56" s="1"/>
      <c r="WUN56" s="1"/>
      <c r="WUO56" s="1"/>
      <c r="WUP56" s="1"/>
      <c r="WUQ56" s="1"/>
      <c r="WUR56" s="1"/>
      <c r="WUS56" s="1"/>
      <c r="WUT56" s="1"/>
      <c r="WUU56" s="1"/>
      <c r="WUV56" s="1"/>
      <c r="WUW56" s="1"/>
      <c r="WUX56" s="1"/>
      <c r="WUY56" s="1"/>
      <c r="WUZ56" s="1"/>
      <c r="WVA56" s="1"/>
      <c r="WVB56" s="1"/>
      <c r="WVC56" s="1"/>
      <c r="WVD56" s="1"/>
      <c r="WVE56" s="1"/>
      <c r="WVF56" s="1"/>
      <c r="WVG56" s="1"/>
      <c r="WVH56" s="1"/>
      <c r="WVI56" s="1"/>
      <c r="WVJ56" s="1"/>
      <c r="WVK56" s="1"/>
      <c r="WVL56" s="1"/>
      <c r="WVM56" s="1"/>
      <c r="WVN56" s="1"/>
      <c r="WVO56" s="1"/>
      <c r="WVP56" s="1"/>
      <c r="WVQ56" s="1"/>
      <c r="WVR56" s="1"/>
      <c r="WVS56" s="1"/>
      <c r="WVT56" s="1"/>
      <c r="WVU56" s="1"/>
      <c r="WVV56" s="1"/>
      <c r="WVW56" s="1"/>
      <c r="WVX56" s="1"/>
      <c r="WVY56" s="1"/>
      <c r="WVZ56" s="1"/>
      <c r="WWA56" s="1"/>
      <c r="WWB56" s="1"/>
      <c r="WWC56" s="1"/>
      <c r="WWD56" s="1"/>
      <c r="WWE56" s="1"/>
      <c r="WWF56" s="1"/>
      <c r="WWG56" s="1"/>
      <c r="WWH56" s="1"/>
      <c r="WWI56" s="1"/>
      <c r="WWJ56" s="1"/>
      <c r="WWK56" s="1"/>
      <c r="WWL56" s="1"/>
      <c r="WWM56" s="1"/>
      <c r="WWN56" s="1"/>
      <c r="WWO56" s="1"/>
      <c r="WWP56" s="1"/>
      <c r="WWQ56" s="1"/>
      <c r="WWR56" s="1"/>
      <c r="WWS56" s="1"/>
      <c r="WWT56" s="1"/>
      <c r="WWU56" s="1"/>
      <c r="WWV56" s="1"/>
      <c r="WWW56" s="1"/>
      <c r="WWX56" s="1"/>
      <c r="WWY56" s="1"/>
      <c r="WWZ56" s="1"/>
      <c r="WXA56" s="1"/>
      <c r="WXB56" s="1"/>
      <c r="WXC56" s="1"/>
      <c r="WXD56" s="1"/>
      <c r="WXE56" s="1"/>
      <c r="WXF56" s="1"/>
      <c r="WXG56" s="1"/>
      <c r="WXH56" s="1"/>
      <c r="WXI56" s="1"/>
      <c r="WXJ56" s="1"/>
      <c r="WXK56" s="1"/>
      <c r="WXL56" s="1"/>
      <c r="WXM56" s="1"/>
      <c r="WXN56" s="1"/>
      <c r="WXO56" s="1"/>
      <c r="WXP56" s="1"/>
      <c r="WXQ56" s="1"/>
      <c r="WXR56" s="1"/>
      <c r="WXS56" s="1"/>
      <c r="WXT56" s="1"/>
      <c r="WXU56" s="1"/>
      <c r="WXV56" s="1"/>
      <c r="WXW56" s="1"/>
      <c r="WXX56" s="1"/>
      <c r="WXY56" s="1"/>
      <c r="WXZ56" s="1"/>
      <c r="WYA56" s="1"/>
      <c r="WYB56" s="1"/>
      <c r="WYC56" s="1"/>
      <c r="WYD56" s="1"/>
      <c r="WYE56" s="1"/>
      <c r="WYF56" s="1"/>
      <c r="WYG56" s="1"/>
      <c r="WYH56" s="1"/>
      <c r="WYI56" s="1"/>
      <c r="WYJ56" s="1"/>
      <c r="WYK56" s="1"/>
      <c r="WYL56" s="1"/>
      <c r="WYM56" s="1"/>
      <c r="WYN56" s="1"/>
      <c r="WYO56" s="1"/>
      <c r="WYP56" s="1"/>
      <c r="WYQ56" s="1"/>
      <c r="WYR56" s="1"/>
      <c r="WYS56" s="1"/>
      <c r="WYT56" s="1"/>
      <c r="WYU56" s="1"/>
      <c r="WYV56" s="1"/>
      <c r="WYW56" s="1"/>
      <c r="WYX56" s="1"/>
      <c r="WYY56" s="1"/>
      <c r="WYZ56" s="1"/>
      <c r="WZA56" s="1"/>
      <c r="WZB56" s="1"/>
      <c r="WZC56" s="1"/>
      <c r="WZD56" s="1"/>
      <c r="WZE56" s="1"/>
      <c r="WZF56" s="1"/>
      <c r="WZG56" s="1"/>
      <c r="WZH56" s="1"/>
      <c r="WZI56" s="1"/>
      <c r="WZJ56" s="1"/>
      <c r="WZK56" s="1"/>
      <c r="WZL56" s="1"/>
      <c r="WZM56" s="1"/>
      <c r="WZN56" s="1"/>
      <c r="WZO56" s="1"/>
      <c r="WZP56" s="1"/>
      <c r="WZQ56" s="1"/>
      <c r="WZR56" s="1"/>
      <c r="WZS56" s="1"/>
      <c r="WZT56" s="1"/>
      <c r="WZU56" s="1"/>
      <c r="WZV56" s="1"/>
      <c r="WZW56" s="1"/>
      <c r="WZX56" s="1"/>
      <c r="WZY56" s="1"/>
      <c r="WZZ56" s="1"/>
      <c r="XAA56" s="1"/>
      <c r="XAB56" s="1"/>
      <c r="XAC56" s="1"/>
      <c r="XAD56" s="1"/>
      <c r="XAE56" s="1"/>
      <c r="XAF56" s="1"/>
      <c r="XAG56" s="1"/>
      <c r="XAH56" s="1"/>
      <c r="XAI56" s="1"/>
      <c r="XAJ56" s="1"/>
      <c r="XAK56" s="1"/>
      <c r="XAL56" s="1"/>
      <c r="XAM56" s="1"/>
      <c r="XAN56" s="1"/>
      <c r="XAO56" s="1"/>
      <c r="XAP56" s="1"/>
      <c r="XAQ56" s="1"/>
      <c r="XAR56" s="1"/>
      <c r="XAS56" s="1"/>
      <c r="XAT56" s="1"/>
      <c r="XAU56" s="1"/>
      <c r="XAV56" s="1"/>
      <c r="XAW56" s="1"/>
      <c r="XAX56" s="1"/>
      <c r="XAY56" s="1"/>
      <c r="XAZ56" s="1"/>
      <c r="XBA56" s="1"/>
      <c r="XBB56" s="1"/>
      <c r="XBC56" s="1"/>
      <c r="XBD56" s="1"/>
      <c r="XBE56" s="1"/>
      <c r="XBF56" s="1"/>
      <c r="XBG56" s="1"/>
      <c r="XBH56" s="1"/>
      <c r="XBI56" s="1"/>
      <c r="XBJ56" s="1"/>
      <c r="XBK56" s="1"/>
      <c r="XBL56" s="1"/>
      <c r="XBM56" s="1"/>
      <c r="XBN56" s="1"/>
      <c r="XBO56" s="1"/>
      <c r="XBP56" s="1"/>
      <c r="XBQ56" s="1"/>
      <c r="XBR56" s="1"/>
      <c r="XBS56" s="1"/>
      <c r="XBT56" s="1"/>
      <c r="XBU56" s="1"/>
      <c r="XBV56" s="1"/>
      <c r="XBW56" s="1"/>
      <c r="XBX56" s="1"/>
      <c r="XBY56" s="1"/>
      <c r="XBZ56" s="1"/>
      <c r="XCA56" s="1"/>
      <c r="XCB56" s="1"/>
      <c r="XCC56" s="1"/>
      <c r="XCD56" s="1"/>
      <c r="XCE56" s="1"/>
      <c r="XCF56" s="1"/>
      <c r="XCG56" s="1"/>
      <c r="XCH56" s="1"/>
      <c r="XCI56" s="1"/>
      <c r="XCJ56" s="1"/>
      <c r="XCK56" s="1"/>
      <c r="XCL56" s="1"/>
      <c r="XCM56" s="1"/>
      <c r="XCN56" s="1"/>
      <c r="XCO56" s="1"/>
      <c r="XCP56" s="1"/>
      <c r="XCQ56" s="1"/>
      <c r="XCR56" s="1"/>
      <c r="XCS56" s="1"/>
      <c r="XCT56" s="1"/>
      <c r="XCU56" s="1"/>
      <c r="XCV56" s="1"/>
      <c r="XCW56" s="1"/>
      <c r="XCX56" s="1"/>
      <c r="XCY56" s="1"/>
      <c r="XCZ56" s="1"/>
      <c r="XDA56" s="1"/>
      <c r="XDB56" s="1"/>
      <c r="XDC56" s="1"/>
      <c r="XDD56" s="1"/>
      <c r="XDE56" s="1"/>
      <c r="XDF56" s="1"/>
      <c r="XDG56" s="1"/>
      <c r="XDH56" s="1"/>
      <c r="XDI56" s="1"/>
      <c r="XDJ56" s="1"/>
      <c r="XDK56" s="1"/>
      <c r="XDL56" s="1"/>
      <c r="XDM56" s="1"/>
      <c r="XDN56" s="1"/>
      <c r="XDO56" s="1"/>
      <c r="XDP56" s="1"/>
      <c r="XDQ56" s="1"/>
      <c r="XDR56" s="1"/>
      <c r="XDS56" s="1"/>
      <c r="XDT56" s="1"/>
      <c r="XDU56" s="1"/>
      <c r="XDV56" s="1"/>
      <c r="XDW56" s="1"/>
      <c r="XDX56" s="1"/>
      <c r="XDY56" s="1"/>
      <c r="XDZ56" s="1"/>
      <c r="XEA56" s="1"/>
      <c r="XEB56" s="1"/>
      <c r="XEC56" s="1"/>
      <c r="XED56" s="1"/>
      <c r="XEE56" s="1"/>
      <c r="XEF56" s="1"/>
      <c r="XEG56" s="1"/>
      <c r="XEH56" s="1"/>
      <c r="XEI56" s="1"/>
      <c r="XEJ56" s="1"/>
      <c r="XEK56" s="1"/>
      <c r="XEL56" s="1"/>
      <c r="XEM56" s="1"/>
      <c r="XEN56" s="1"/>
      <c r="XEO56" s="1"/>
      <c r="XEP56" s="1"/>
      <c r="XEQ56" s="1"/>
      <c r="XER56" s="1"/>
      <c r="XES56" s="1"/>
      <c r="XET56" s="1"/>
      <c r="XEU56" s="1"/>
      <c r="XEV56" s="1"/>
      <c r="XEW56" s="1"/>
      <c r="XEX56" s="1"/>
      <c r="XEY56" s="1"/>
      <c r="XEZ56" s="1"/>
      <c r="XFA56" s="1"/>
      <c r="XFB56" s="1"/>
      <c r="XFC56" s="1"/>
      <c r="XFD56" s="1"/>
    </row>
    <row r="57" spans="1:16384" s="8" customFormat="1" x14ac:dyDescent="0.25">
      <c r="A57" s="21"/>
      <c r="B57" s="192"/>
      <c r="C57" s="191"/>
      <c r="D57" s="191"/>
      <c r="E57" s="191"/>
      <c r="F57" s="191"/>
      <c r="G57" s="191"/>
      <c r="H57" s="191"/>
      <c r="I57" s="191"/>
      <c r="J57" s="191"/>
      <c r="K57" s="191"/>
      <c r="L57" s="191"/>
      <c r="M57" s="191"/>
      <c r="N57" s="191"/>
      <c r="O57" s="191"/>
      <c r="P57" s="191"/>
      <c r="Q57" s="191"/>
      <c r="R57" s="191"/>
      <c r="S57" s="191"/>
      <c r="T57" s="191"/>
      <c r="U57" s="191"/>
      <c r="V57" s="191"/>
      <c r="W57" s="2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C57" s="1"/>
      <c r="ND57" s="1"/>
      <c r="NE57" s="1"/>
      <c r="NF57" s="1"/>
      <c r="NG57" s="1"/>
      <c r="NH57" s="1"/>
      <c r="NI57" s="1"/>
      <c r="NJ57" s="1"/>
      <c r="NK57" s="1"/>
      <c r="NL57" s="1"/>
      <c r="NM57" s="1"/>
      <c r="NN57" s="1"/>
      <c r="NO57" s="1"/>
      <c r="NP57" s="1"/>
      <c r="NQ57" s="1"/>
      <c r="NR57" s="1"/>
      <c r="NS57" s="1"/>
      <c r="NT57" s="1"/>
      <c r="NU57" s="1"/>
      <c r="NV57" s="1"/>
      <c r="NW57" s="1"/>
      <c r="NX57" s="1"/>
      <c r="NY57" s="1"/>
      <c r="NZ57" s="1"/>
      <c r="OA57" s="1"/>
      <c r="OB57" s="1"/>
      <c r="OC57" s="1"/>
      <c r="OD57" s="1"/>
      <c r="OE57" s="1"/>
      <c r="OF57" s="1"/>
      <c r="OG57" s="1"/>
      <c r="OH57" s="1"/>
      <c r="OI57" s="1"/>
      <c r="OJ57" s="1"/>
      <c r="OK57" s="1"/>
      <c r="OL57" s="1"/>
      <c r="OM57" s="1"/>
      <c r="ON57" s="1"/>
      <c r="OO57" s="1"/>
      <c r="OP57" s="1"/>
      <c r="OQ57" s="1"/>
      <c r="OR57" s="1"/>
      <c r="OS57" s="1"/>
      <c r="OT57" s="1"/>
      <c r="OU57" s="1"/>
      <c r="OV57" s="1"/>
      <c r="OW57" s="1"/>
      <c r="OX57" s="1"/>
      <c r="OY57" s="1"/>
      <c r="OZ57" s="1"/>
      <c r="PA57" s="1"/>
      <c r="PB57" s="1"/>
      <c r="PC57" s="1"/>
      <c r="PD57" s="1"/>
      <c r="PE57" s="1"/>
      <c r="PF57" s="1"/>
      <c r="PG57" s="1"/>
      <c r="PH57" s="1"/>
      <c r="PI57" s="1"/>
      <c r="PJ57" s="1"/>
      <c r="PK57" s="1"/>
      <c r="PL57" s="1"/>
      <c r="PM57" s="1"/>
      <c r="PN57" s="1"/>
      <c r="PO57" s="1"/>
      <c r="PP57" s="1"/>
      <c r="PQ57" s="1"/>
      <c r="PR57" s="1"/>
      <c r="PS57" s="1"/>
      <c r="PT57" s="1"/>
      <c r="PU57" s="1"/>
      <c r="PV57" s="1"/>
      <c r="PW57" s="1"/>
      <c r="PX57" s="1"/>
      <c r="PY57" s="1"/>
      <c r="PZ57" s="1"/>
      <c r="QA57" s="1"/>
      <c r="QB57" s="1"/>
      <c r="QC57" s="1"/>
      <c r="QD57" s="1"/>
      <c r="QE57" s="1"/>
      <c r="QF57" s="1"/>
      <c r="QG57" s="1"/>
      <c r="QH57" s="1"/>
      <c r="QI57" s="1"/>
      <c r="QJ57" s="1"/>
      <c r="QK57" s="1"/>
      <c r="QL57" s="1"/>
      <c r="QM57" s="1"/>
      <c r="QN57" s="1"/>
      <c r="QO57" s="1"/>
      <c r="QP57" s="1"/>
      <c r="QQ57" s="1"/>
      <c r="QR57" s="1"/>
      <c r="QS57" s="1"/>
      <c r="QT57" s="1"/>
      <c r="QU57" s="1"/>
      <c r="QV57" s="1"/>
      <c r="QW57" s="1"/>
      <c r="QX57" s="1"/>
      <c r="QY57" s="1"/>
      <c r="QZ57" s="1"/>
      <c r="RA57" s="1"/>
      <c r="RB57" s="1"/>
      <c r="RC57" s="1"/>
      <c r="RD57" s="1"/>
      <c r="RE57" s="1"/>
      <c r="RF57" s="1"/>
      <c r="RG57" s="1"/>
      <c r="RH57" s="1"/>
      <c r="RI57" s="1"/>
      <c r="RJ57" s="1"/>
      <c r="RK57" s="1"/>
      <c r="RL57" s="1"/>
      <c r="RM57" s="1"/>
      <c r="RN57" s="1"/>
      <c r="RO57" s="1"/>
      <c r="RP57" s="1"/>
      <c r="RQ57" s="1"/>
      <c r="RR57" s="1"/>
      <c r="RS57" s="1"/>
      <c r="RT57" s="1"/>
      <c r="RU57" s="1"/>
      <c r="RV57" s="1"/>
      <c r="RW57" s="1"/>
      <c r="RX57" s="1"/>
      <c r="RY57" s="1"/>
      <c r="RZ57" s="1"/>
      <c r="SA57" s="1"/>
      <c r="SB57" s="1"/>
      <c r="SC57" s="1"/>
      <c r="SD57" s="1"/>
      <c r="SE57" s="1"/>
      <c r="SF57" s="1"/>
      <c r="SG57" s="1"/>
      <c r="SH57" s="1"/>
      <c r="SI57" s="1"/>
      <c r="SJ57" s="1"/>
      <c r="SK57" s="1"/>
      <c r="SL57" s="1"/>
      <c r="SM57" s="1"/>
      <c r="SN57" s="1"/>
      <c r="SO57" s="1"/>
      <c r="SP57" s="1"/>
      <c r="SQ57" s="1"/>
      <c r="SR57" s="1"/>
      <c r="SS57" s="1"/>
      <c r="ST57" s="1"/>
      <c r="SU57" s="1"/>
      <c r="SV57" s="1"/>
      <c r="SW57" s="1"/>
      <c r="SX57" s="1"/>
      <c r="SY57" s="1"/>
      <c r="SZ57" s="1"/>
      <c r="TA57" s="1"/>
      <c r="TB57" s="1"/>
      <c r="TC57" s="1"/>
      <c r="TD57" s="1"/>
      <c r="TE57" s="1"/>
      <c r="TF57" s="1"/>
      <c r="TG57" s="1"/>
      <c r="TH57" s="1"/>
      <c r="TI57" s="1"/>
      <c r="TJ57" s="1"/>
      <c r="TK57" s="1"/>
      <c r="TL57" s="1"/>
      <c r="TM57" s="1"/>
      <c r="TN57" s="1"/>
      <c r="TO57" s="1"/>
      <c r="TP57" s="1"/>
      <c r="TQ57" s="1"/>
      <c r="TR57" s="1"/>
      <c r="TS57" s="1"/>
      <c r="TT57" s="1"/>
      <c r="TU57" s="1"/>
      <c r="TV57" s="1"/>
      <c r="TW57" s="1"/>
      <c r="TX57" s="1"/>
      <c r="TY57" s="1"/>
      <c r="TZ57" s="1"/>
      <c r="UA57" s="1"/>
      <c r="UB57" s="1"/>
      <c r="UC57" s="1"/>
      <c r="UD57" s="1"/>
      <c r="UE57" s="1"/>
      <c r="UF57" s="1"/>
      <c r="UG57" s="1"/>
      <c r="UH57" s="1"/>
      <c r="UI57" s="1"/>
      <c r="UJ57" s="1"/>
      <c r="UK57" s="1"/>
      <c r="UL57" s="1"/>
      <c r="UM57" s="1"/>
      <c r="UN57" s="1"/>
      <c r="UO57" s="1"/>
      <c r="UP57" s="1"/>
      <c r="UQ57" s="1"/>
      <c r="UR57" s="1"/>
      <c r="US57" s="1"/>
      <c r="UT57" s="1"/>
      <c r="UU57" s="1"/>
      <c r="UV57" s="1"/>
      <c r="UW57" s="1"/>
      <c r="UX57" s="1"/>
      <c r="UY57" s="1"/>
      <c r="UZ57" s="1"/>
      <c r="VA57" s="1"/>
      <c r="VB57" s="1"/>
      <c r="VC57" s="1"/>
      <c r="VD57" s="1"/>
      <c r="VE57" s="1"/>
      <c r="VF57" s="1"/>
      <c r="VG57" s="1"/>
      <c r="VH57" s="1"/>
      <c r="VI57" s="1"/>
      <c r="VJ57" s="1"/>
      <c r="VK57" s="1"/>
      <c r="VL57" s="1"/>
      <c r="VM57" s="1"/>
      <c r="VN57" s="1"/>
      <c r="VO57" s="1"/>
      <c r="VP57" s="1"/>
      <c r="VQ57" s="1"/>
      <c r="VR57" s="1"/>
      <c r="VS57" s="1"/>
      <c r="VT57" s="1"/>
      <c r="VU57" s="1"/>
      <c r="VV57" s="1"/>
      <c r="VW57" s="1"/>
      <c r="VX57" s="1"/>
      <c r="VY57" s="1"/>
      <c r="VZ57" s="1"/>
      <c r="WA57" s="1"/>
      <c r="WB57" s="1"/>
      <c r="WC57" s="1"/>
      <c r="WD57" s="1"/>
      <c r="WE57" s="1"/>
      <c r="WF57" s="1"/>
      <c r="WG57" s="1"/>
      <c r="WH57" s="1"/>
      <c r="WI57" s="1"/>
      <c r="WJ57" s="1"/>
      <c r="WK57" s="1"/>
      <c r="WL57" s="1"/>
      <c r="WM57" s="1"/>
      <c r="WN57" s="1"/>
      <c r="WO57" s="1"/>
      <c r="WP57" s="1"/>
      <c r="WQ57" s="1"/>
      <c r="WR57" s="1"/>
      <c r="WS57" s="1"/>
      <c r="WT57" s="1"/>
      <c r="WU57" s="1"/>
      <c r="WV57" s="1"/>
      <c r="WW57" s="1"/>
      <c r="WX57" s="1"/>
      <c r="WY57" s="1"/>
      <c r="WZ57" s="1"/>
      <c r="XA57" s="1"/>
      <c r="XB57" s="1"/>
      <c r="XC57" s="1"/>
      <c r="XD57" s="1"/>
      <c r="XE57" s="1"/>
      <c r="XF57" s="1"/>
      <c r="XG57" s="1"/>
      <c r="XH57" s="1"/>
      <c r="XI57" s="1"/>
      <c r="XJ57" s="1"/>
      <c r="XK57" s="1"/>
      <c r="XL57" s="1"/>
      <c r="XM57" s="1"/>
      <c r="XN57" s="1"/>
      <c r="XO57" s="1"/>
      <c r="XP57" s="1"/>
      <c r="XQ57" s="1"/>
      <c r="XR57" s="1"/>
      <c r="XS57" s="1"/>
      <c r="XT57" s="1"/>
      <c r="XU57" s="1"/>
      <c r="XV57" s="1"/>
      <c r="XW57" s="1"/>
      <c r="XX57" s="1"/>
      <c r="XY57" s="1"/>
      <c r="XZ57" s="1"/>
      <c r="YA57" s="1"/>
      <c r="YB57" s="1"/>
      <c r="YC57" s="1"/>
      <c r="YD57" s="1"/>
      <c r="YE57" s="1"/>
      <c r="YF57" s="1"/>
      <c r="YG57" s="1"/>
      <c r="YH57" s="1"/>
      <c r="YI57" s="1"/>
      <c r="YJ57" s="1"/>
      <c r="YK57" s="1"/>
      <c r="YL57" s="1"/>
      <c r="YM57" s="1"/>
      <c r="YN57" s="1"/>
      <c r="YO57" s="1"/>
      <c r="YP57" s="1"/>
      <c r="YQ57" s="1"/>
      <c r="YR57" s="1"/>
      <c r="YS57" s="1"/>
      <c r="YT57" s="1"/>
      <c r="YU57" s="1"/>
      <c r="YV57" s="1"/>
      <c r="YW57" s="1"/>
      <c r="YX57" s="1"/>
      <c r="YY57" s="1"/>
      <c r="YZ57" s="1"/>
      <c r="ZA57" s="1"/>
      <c r="ZB57" s="1"/>
      <c r="ZC57" s="1"/>
      <c r="ZD57" s="1"/>
      <c r="ZE57" s="1"/>
      <c r="ZF57" s="1"/>
      <c r="ZG57" s="1"/>
      <c r="ZH57" s="1"/>
      <c r="ZI57" s="1"/>
      <c r="ZJ57" s="1"/>
      <c r="ZK57" s="1"/>
      <c r="ZL57" s="1"/>
      <c r="ZM57" s="1"/>
      <c r="ZN57" s="1"/>
      <c r="ZO57" s="1"/>
      <c r="ZP57" s="1"/>
      <c r="ZQ57" s="1"/>
      <c r="ZR57" s="1"/>
      <c r="ZS57" s="1"/>
      <c r="ZT57" s="1"/>
      <c r="ZU57" s="1"/>
      <c r="ZV57" s="1"/>
      <c r="ZW57" s="1"/>
      <c r="ZX57" s="1"/>
      <c r="ZY57" s="1"/>
      <c r="ZZ57" s="1"/>
      <c r="AAA57" s="1"/>
      <c r="AAB57" s="1"/>
      <c r="AAC57" s="1"/>
      <c r="AAD57" s="1"/>
      <c r="AAE57" s="1"/>
      <c r="AAF57" s="1"/>
      <c r="AAG57" s="1"/>
      <c r="AAH57" s="1"/>
      <c r="AAI57" s="1"/>
      <c r="AAJ57" s="1"/>
      <c r="AAK57" s="1"/>
      <c r="AAL57" s="1"/>
      <c r="AAM57" s="1"/>
      <c r="AAN57" s="1"/>
      <c r="AAO57" s="1"/>
      <c r="AAP57" s="1"/>
      <c r="AAQ57" s="1"/>
      <c r="AAR57" s="1"/>
      <c r="AAS57" s="1"/>
      <c r="AAT57" s="1"/>
      <c r="AAU57" s="1"/>
      <c r="AAV57" s="1"/>
      <c r="AAW57" s="1"/>
      <c r="AAX57" s="1"/>
      <c r="AAY57" s="1"/>
      <c r="AAZ57" s="1"/>
      <c r="ABA57" s="1"/>
      <c r="ABB57" s="1"/>
      <c r="ABC57" s="1"/>
      <c r="ABD57" s="1"/>
      <c r="ABE57" s="1"/>
      <c r="ABF57" s="1"/>
      <c r="ABG57" s="1"/>
      <c r="ABH57" s="1"/>
      <c r="ABI57" s="1"/>
      <c r="ABJ57" s="1"/>
      <c r="ABK57" s="1"/>
      <c r="ABL57" s="1"/>
      <c r="ABM57" s="1"/>
      <c r="ABN57" s="1"/>
      <c r="ABO57" s="1"/>
      <c r="ABP57" s="1"/>
      <c r="ABQ57" s="1"/>
      <c r="ABR57" s="1"/>
      <c r="ABS57" s="1"/>
      <c r="ABT57" s="1"/>
      <c r="ABU57" s="1"/>
      <c r="ABV57" s="1"/>
      <c r="ABW57" s="1"/>
      <c r="ABX57" s="1"/>
      <c r="ABY57" s="1"/>
      <c r="ABZ57" s="1"/>
      <c r="ACA57" s="1"/>
      <c r="ACB57" s="1"/>
      <c r="ACC57" s="1"/>
      <c r="ACD57" s="1"/>
      <c r="ACE57" s="1"/>
      <c r="ACF57" s="1"/>
      <c r="ACG57" s="1"/>
      <c r="ACH57" s="1"/>
      <c r="ACI57" s="1"/>
      <c r="ACJ57" s="1"/>
      <c r="ACK57" s="1"/>
      <c r="ACL57" s="1"/>
      <c r="ACM57" s="1"/>
      <c r="ACN57" s="1"/>
      <c r="ACO57" s="1"/>
      <c r="ACP57" s="1"/>
      <c r="ACQ57" s="1"/>
      <c r="ACR57" s="1"/>
      <c r="ACS57" s="1"/>
      <c r="ACT57" s="1"/>
      <c r="ACU57" s="1"/>
      <c r="ACV57" s="1"/>
      <c r="ACW57" s="1"/>
      <c r="ACX57" s="1"/>
      <c r="ACY57" s="1"/>
      <c r="ACZ57" s="1"/>
      <c r="ADA57" s="1"/>
      <c r="ADB57" s="1"/>
      <c r="ADC57" s="1"/>
      <c r="ADD57" s="1"/>
      <c r="ADE57" s="1"/>
      <c r="ADF57" s="1"/>
      <c r="ADG57" s="1"/>
      <c r="ADH57" s="1"/>
      <c r="ADI57" s="1"/>
      <c r="ADJ57" s="1"/>
      <c r="ADK57" s="1"/>
      <c r="ADL57" s="1"/>
      <c r="ADM57" s="1"/>
      <c r="ADN57" s="1"/>
      <c r="ADO57" s="1"/>
      <c r="ADP57" s="1"/>
      <c r="ADQ57" s="1"/>
      <c r="ADR57" s="1"/>
      <c r="ADS57" s="1"/>
      <c r="ADT57" s="1"/>
      <c r="ADU57" s="1"/>
      <c r="ADV57" s="1"/>
      <c r="ADW57" s="1"/>
      <c r="ADX57" s="1"/>
      <c r="ADY57" s="1"/>
      <c r="ADZ57" s="1"/>
      <c r="AEA57" s="1"/>
      <c r="AEB57" s="1"/>
      <c r="AEC57" s="1"/>
      <c r="AED57" s="1"/>
      <c r="AEE57" s="1"/>
      <c r="AEF57" s="1"/>
      <c r="AEG57" s="1"/>
      <c r="AEH57" s="1"/>
      <c r="AEI57" s="1"/>
      <c r="AEJ57" s="1"/>
      <c r="AEK57" s="1"/>
      <c r="AEL57" s="1"/>
      <c r="AEM57" s="1"/>
      <c r="AEN57" s="1"/>
      <c r="AEO57" s="1"/>
      <c r="AEP57" s="1"/>
      <c r="AEQ57" s="1"/>
      <c r="AER57" s="1"/>
      <c r="AES57" s="1"/>
      <c r="AET57" s="1"/>
      <c r="AEU57" s="1"/>
      <c r="AEV57" s="1"/>
      <c r="AEW57" s="1"/>
      <c r="AEX57" s="1"/>
      <c r="AEY57" s="1"/>
      <c r="AEZ57" s="1"/>
      <c r="AFA57" s="1"/>
      <c r="AFB57" s="1"/>
      <c r="AFC57" s="1"/>
      <c r="AFD57" s="1"/>
      <c r="AFE57" s="1"/>
      <c r="AFF57" s="1"/>
      <c r="AFG57" s="1"/>
      <c r="AFH57" s="1"/>
      <c r="AFI57" s="1"/>
      <c r="AFJ57" s="1"/>
      <c r="AFK57" s="1"/>
      <c r="AFL57" s="1"/>
      <c r="AFM57" s="1"/>
      <c r="AFN57" s="1"/>
      <c r="AFO57" s="1"/>
      <c r="AFP57" s="1"/>
      <c r="AFQ57" s="1"/>
      <c r="AFR57" s="1"/>
      <c r="AFS57" s="1"/>
      <c r="AFT57" s="1"/>
      <c r="AFU57" s="1"/>
      <c r="AFV57" s="1"/>
      <c r="AFW57" s="1"/>
      <c r="AFX57" s="1"/>
      <c r="AFY57" s="1"/>
      <c r="AFZ57" s="1"/>
      <c r="AGA57" s="1"/>
      <c r="AGB57" s="1"/>
      <c r="AGC57" s="1"/>
      <c r="AGD57" s="1"/>
      <c r="AGE57" s="1"/>
      <c r="AGF57" s="1"/>
      <c r="AGG57" s="1"/>
      <c r="AGH57" s="1"/>
      <c r="AGI57" s="1"/>
      <c r="AGJ57" s="1"/>
      <c r="AGK57" s="1"/>
      <c r="AGL57" s="1"/>
      <c r="AGM57" s="1"/>
      <c r="AGN57" s="1"/>
      <c r="AGO57" s="1"/>
      <c r="AGP57" s="1"/>
      <c r="AGQ57" s="1"/>
      <c r="AGR57" s="1"/>
      <c r="AGS57" s="1"/>
      <c r="AGT57" s="1"/>
      <c r="AGU57" s="1"/>
      <c r="AGV57" s="1"/>
      <c r="AGW57" s="1"/>
      <c r="AGX57" s="1"/>
      <c r="AGY57" s="1"/>
      <c r="AGZ57" s="1"/>
      <c r="AHA57" s="1"/>
      <c r="AHB57" s="1"/>
      <c r="AHC57" s="1"/>
      <c r="AHD57" s="1"/>
      <c r="AHE57" s="1"/>
      <c r="AHF57" s="1"/>
      <c r="AHG57" s="1"/>
      <c r="AHH57" s="1"/>
      <c r="AHI57" s="1"/>
      <c r="AHJ57" s="1"/>
      <c r="AHK57" s="1"/>
      <c r="AHL57" s="1"/>
      <c r="AHM57" s="1"/>
      <c r="AHN57" s="1"/>
      <c r="AHO57" s="1"/>
      <c r="AHP57" s="1"/>
      <c r="AHQ57" s="1"/>
      <c r="AHR57" s="1"/>
      <c r="AHS57" s="1"/>
      <c r="AHT57" s="1"/>
      <c r="AHU57" s="1"/>
      <c r="AHV57" s="1"/>
      <c r="AHW57" s="1"/>
      <c r="AHX57" s="1"/>
      <c r="AHY57" s="1"/>
      <c r="AHZ57" s="1"/>
      <c r="AIA57" s="1"/>
      <c r="AIB57" s="1"/>
      <c r="AIC57" s="1"/>
      <c r="AID57" s="1"/>
      <c r="AIE57" s="1"/>
      <c r="AIF57" s="1"/>
      <c r="AIG57" s="1"/>
      <c r="AIH57" s="1"/>
      <c r="AII57" s="1"/>
      <c r="AIJ57" s="1"/>
      <c r="AIK57" s="1"/>
      <c r="AIL57" s="1"/>
      <c r="AIM57" s="1"/>
      <c r="AIN57" s="1"/>
      <c r="AIO57" s="1"/>
      <c r="AIP57" s="1"/>
      <c r="AIQ57" s="1"/>
      <c r="AIR57" s="1"/>
      <c r="AIS57" s="1"/>
      <c r="AIT57" s="1"/>
      <c r="AIU57" s="1"/>
      <c r="AIV57" s="1"/>
      <c r="AIW57" s="1"/>
      <c r="AIX57" s="1"/>
      <c r="AIY57" s="1"/>
      <c r="AIZ57" s="1"/>
      <c r="AJA57" s="1"/>
      <c r="AJB57" s="1"/>
      <c r="AJC57" s="1"/>
      <c r="AJD57" s="1"/>
      <c r="AJE57" s="1"/>
      <c r="AJF57" s="1"/>
      <c r="AJG57" s="1"/>
      <c r="AJH57" s="1"/>
      <c r="AJI57" s="1"/>
      <c r="AJJ57" s="1"/>
      <c r="AJK57" s="1"/>
      <c r="AJL57" s="1"/>
      <c r="AJM57" s="1"/>
      <c r="AJN57" s="1"/>
      <c r="AJO57" s="1"/>
      <c r="AJP57" s="1"/>
      <c r="AJQ57" s="1"/>
      <c r="AJR57" s="1"/>
      <c r="AJS57" s="1"/>
      <c r="AJT57" s="1"/>
      <c r="AJU57" s="1"/>
      <c r="AJV57" s="1"/>
      <c r="AJW57" s="1"/>
      <c r="AJX57" s="1"/>
      <c r="AJY57" s="1"/>
      <c r="AJZ57" s="1"/>
      <c r="AKA57" s="1"/>
      <c r="AKB57" s="1"/>
      <c r="AKC57" s="1"/>
      <c r="AKD57" s="1"/>
      <c r="AKE57" s="1"/>
      <c r="AKF57" s="1"/>
      <c r="AKG57" s="1"/>
      <c r="AKH57" s="1"/>
      <c r="AKI57" s="1"/>
      <c r="AKJ57" s="1"/>
      <c r="AKK57" s="1"/>
      <c r="AKL57" s="1"/>
      <c r="AKM57" s="1"/>
      <c r="AKN57" s="1"/>
      <c r="AKO57" s="1"/>
      <c r="AKP57" s="1"/>
      <c r="AKQ57" s="1"/>
      <c r="AKR57" s="1"/>
      <c r="AKS57" s="1"/>
      <c r="AKT57" s="1"/>
      <c r="AKU57" s="1"/>
      <c r="AKV57" s="1"/>
      <c r="AKW57" s="1"/>
      <c r="AKX57" s="1"/>
      <c r="AKY57" s="1"/>
      <c r="AKZ57" s="1"/>
      <c r="ALA57" s="1"/>
      <c r="ALB57" s="1"/>
      <c r="ALC57" s="1"/>
      <c r="ALD57" s="1"/>
      <c r="ALE57" s="1"/>
      <c r="ALF57" s="1"/>
      <c r="ALG57" s="1"/>
      <c r="ALH57" s="1"/>
      <c r="ALI57" s="1"/>
      <c r="ALJ57" s="1"/>
      <c r="ALK57" s="1"/>
      <c r="ALL57" s="1"/>
      <c r="ALM57" s="1"/>
      <c r="ALN57" s="1"/>
      <c r="ALO57" s="1"/>
      <c r="ALP57" s="1"/>
      <c r="ALQ57" s="1"/>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c r="BOB57" s="1"/>
      <c r="BOC57" s="1"/>
      <c r="BOD57" s="1"/>
      <c r="BOE57" s="1"/>
      <c r="BOF57" s="1"/>
      <c r="BOG57" s="1"/>
      <c r="BOH57" s="1"/>
      <c r="BOI57" s="1"/>
      <c r="BOJ57" s="1"/>
      <c r="BOK57" s="1"/>
      <c r="BOL57" s="1"/>
      <c r="BOM57" s="1"/>
      <c r="BON57" s="1"/>
      <c r="BOO57" s="1"/>
      <c r="BOP57" s="1"/>
      <c r="BOQ57" s="1"/>
      <c r="BOR57" s="1"/>
      <c r="BOS57" s="1"/>
      <c r="BOT57" s="1"/>
      <c r="BOU57" s="1"/>
      <c r="BOV57" s="1"/>
      <c r="BOW57" s="1"/>
      <c r="BOX57" s="1"/>
      <c r="BOY57" s="1"/>
      <c r="BOZ57" s="1"/>
      <c r="BPA57" s="1"/>
      <c r="BPB57" s="1"/>
      <c r="BPC57" s="1"/>
      <c r="BPD57" s="1"/>
      <c r="BPE57" s="1"/>
      <c r="BPF57" s="1"/>
      <c r="BPG57" s="1"/>
      <c r="BPH57" s="1"/>
      <c r="BPI57" s="1"/>
      <c r="BPJ57" s="1"/>
      <c r="BPK57" s="1"/>
      <c r="BPL57" s="1"/>
      <c r="BPM57" s="1"/>
      <c r="BPN57" s="1"/>
      <c r="BPO57" s="1"/>
      <c r="BPP57" s="1"/>
      <c r="BPQ57" s="1"/>
      <c r="BPR57" s="1"/>
      <c r="BPS57" s="1"/>
      <c r="BPT57" s="1"/>
      <c r="BPU57" s="1"/>
      <c r="BPV57" s="1"/>
      <c r="BPW57" s="1"/>
      <c r="BPX57" s="1"/>
      <c r="BPY57" s="1"/>
      <c r="BPZ57" s="1"/>
      <c r="BQA57" s="1"/>
      <c r="BQB57" s="1"/>
      <c r="BQC57" s="1"/>
      <c r="BQD57" s="1"/>
      <c r="BQE57" s="1"/>
      <c r="BQF57" s="1"/>
      <c r="BQG57" s="1"/>
      <c r="BQH57" s="1"/>
      <c r="BQI57" s="1"/>
      <c r="BQJ57" s="1"/>
      <c r="BQK57" s="1"/>
      <c r="BQL57" s="1"/>
      <c r="BQM57" s="1"/>
      <c r="BQN57" s="1"/>
      <c r="BQO57" s="1"/>
      <c r="BQP57" s="1"/>
      <c r="BQQ57" s="1"/>
      <c r="BQR57" s="1"/>
      <c r="BQS57" s="1"/>
      <c r="BQT57" s="1"/>
      <c r="BQU57" s="1"/>
      <c r="BQV57" s="1"/>
      <c r="BQW57" s="1"/>
      <c r="BQX57" s="1"/>
      <c r="BQY57" s="1"/>
      <c r="BQZ57" s="1"/>
      <c r="BRA57" s="1"/>
      <c r="BRB57" s="1"/>
      <c r="BRC57" s="1"/>
      <c r="BRD57" s="1"/>
      <c r="BRE57" s="1"/>
      <c r="BRF57" s="1"/>
      <c r="BRG57" s="1"/>
      <c r="BRH57" s="1"/>
      <c r="BRI57" s="1"/>
      <c r="BRJ57" s="1"/>
      <c r="BRK57" s="1"/>
      <c r="BRL57" s="1"/>
      <c r="BRM57" s="1"/>
      <c r="BRN57" s="1"/>
      <c r="BRO57" s="1"/>
      <c r="BRP57" s="1"/>
      <c r="BRQ57" s="1"/>
      <c r="BRR57" s="1"/>
      <c r="BRS57" s="1"/>
      <c r="BRT57" s="1"/>
      <c r="BRU57" s="1"/>
      <c r="BRV57" s="1"/>
      <c r="BRW57" s="1"/>
      <c r="BRX57" s="1"/>
      <c r="BRY57" s="1"/>
      <c r="BRZ57" s="1"/>
      <c r="BSA57" s="1"/>
      <c r="BSB57" s="1"/>
      <c r="BSC57" s="1"/>
      <c r="BSD57" s="1"/>
      <c r="BSE57" s="1"/>
      <c r="BSF57" s="1"/>
      <c r="BSG57" s="1"/>
      <c r="BSH57" s="1"/>
      <c r="BSI57" s="1"/>
      <c r="BSJ57" s="1"/>
      <c r="BSK57" s="1"/>
      <c r="BSL57" s="1"/>
      <c r="BSM57" s="1"/>
      <c r="BSN57" s="1"/>
      <c r="BSO57" s="1"/>
      <c r="BSP57" s="1"/>
      <c r="BSQ57" s="1"/>
      <c r="BSR57" s="1"/>
      <c r="BSS57" s="1"/>
      <c r="BST57" s="1"/>
      <c r="BSU57" s="1"/>
      <c r="BSV57" s="1"/>
      <c r="BSW57" s="1"/>
      <c r="BSX57" s="1"/>
      <c r="BSY57" s="1"/>
      <c r="BSZ57" s="1"/>
      <c r="BTA57" s="1"/>
      <c r="BTB57" s="1"/>
      <c r="BTC57" s="1"/>
      <c r="BTD57" s="1"/>
      <c r="BTE57" s="1"/>
      <c r="BTF57" s="1"/>
      <c r="BTG57" s="1"/>
      <c r="BTH57" s="1"/>
      <c r="BTI57" s="1"/>
      <c r="BTJ57" s="1"/>
      <c r="BTK57" s="1"/>
      <c r="BTL57" s="1"/>
      <c r="BTM57" s="1"/>
      <c r="BTN57" s="1"/>
      <c r="BTO57" s="1"/>
      <c r="BTP57" s="1"/>
      <c r="BTQ57" s="1"/>
      <c r="BTR57" s="1"/>
      <c r="BTS57" s="1"/>
      <c r="BTT57" s="1"/>
      <c r="BTU57" s="1"/>
      <c r="BTV57" s="1"/>
      <c r="BTW57" s="1"/>
      <c r="BTX57" s="1"/>
      <c r="BTY57" s="1"/>
      <c r="BTZ57" s="1"/>
      <c r="BUA57" s="1"/>
      <c r="BUB57" s="1"/>
      <c r="BUC57" s="1"/>
      <c r="BUD57" s="1"/>
      <c r="BUE57" s="1"/>
      <c r="BUF57" s="1"/>
      <c r="BUG57" s="1"/>
      <c r="BUH57" s="1"/>
      <c r="BUI57" s="1"/>
      <c r="BUJ57" s="1"/>
      <c r="BUK57" s="1"/>
      <c r="BUL57" s="1"/>
      <c r="BUM57" s="1"/>
      <c r="BUN57" s="1"/>
      <c r="BUO57" s="1"/>
      <c r="BUP57" s="1"/>
      <c r="BUQ57" s="1"/>
      <c r="BUR57" s="1"/>
      <c r="BUS57" s="1"/>
      <c r="BUT57" s="1"/>
      <c r="BUU57" s="1"/>
      <c r="BUV57" s="1"/>
      <c r="BUW57" s="1"/>
      <c r="BUX57" s="1"/>
      <c r="BUY57" s="1"/>
      <c r="BUZ57" s="1"/>
      <c r="BVA57" s="1"/>
      <c r="BVB57" s="1"/>
      <c r="BVC57" s="1"/>
      <c r="BVD57" s="1"/>
      <c r="BVE57" s="1"/>
      <c r="BVF57" s="1"/>
      <c r="BVG57" s="1"/>
      <c r="BVH57" s="1"/>
      <c r="BVI57" s="1"/>
      <c r="BVJ57" s="1"/>
      <c r="BVK57" s="1"/>
      <c r="BVL57" s="1"/>
      <c r="BVM57" s="1"/>
      <c r="BVN57" s="1"/>
      <c r="BVO57" s="1"/>
      <c r="BVP57" s="1"/>
      <c r="BVQ57" s="1"/>
      <c r="BVR57" s="1"/>
      <c r="BVS57" s="1"/>
      <c r="BVT57" s="1"/>
      <c r="BVU57" s="1"/>
      <c r="BVV57" s="1"/>
      <c r="BVW57" s="1"/>
      <c r="BVX57" s="1"/>
      <c r="BVY57" s="1"/>
      <c r="BVZ57" s="1"/>
      <c r="BWA57" s="1"/>
      <c r="BWB57" s="1"/>
      <c r="BWC57" s="1"/>
      <c r="BWD57" s="1"/>
      <c r="BWE57" s="1"/>
      <c r="BWF57" s="1"/>
      <c r="BWG57" s="1"/>
      <c r="BWH57" s="1"/>
      <c r="BWI57" s="1"/>
      <c r="BWJ57" s="1"/>
      <c r="BWK57" s="1"/>
      <c r="BWL57" s="1"/>
      <c r="BWM57" s="1"/>
      <c r="BWN57" s="1"/>
      <c r="BWO57" s="1"/>
      <c r="BWP57" s="1"/>
      <c r="BWQ57" s="1"/>
      <c r="BWR57" s="1"/>
      <c r="BWS57" s="1"/>
      <c r="BWT57" s="1"/>
      <c r="BWU57" s="1"/>
      <c r="BWV57" s="1"/>
      <c r="BWW57" s="1"/>
      <c r="BWX57" s="1"/>
      <c r="BWY57" s="1"/>
      <c r="BWZ57" s="1"/>
      <c r="BXA57" s="1"/>
      <c r="BXB57" s="1"/>
      <c r="BXC57" s="1"/>
      <c r="BXD57" s="1"/>
      <c r="BXE57" s="1"/>
      <c r="BXF57" s="1"/>
      <c r="BXG57" s="1"/>
      <c r="BXH57" s="1"/>
      <c r="BXI57" s="1"/>
      <c r="BXJ57" s="1"/>
      <c r="BXK57" s="1"/>
      <c r="BXL57" s="1"/>
      <c r="BXM57" s="1"/>
      <c r="BXN57" s="1"/>
      <c r="BXO57" s="1"/>
      <c r="BXP57" s="1"/>
      <c r="BXQ57" s="1"/>
      <c r="BXR57" s="1"/>
      <c r="BXS57" s="1"/>
      <c r="BXT57" s="1"/>
      <c r="BXU57" s="1"/>
      <c r="BXV57" s="1"/>
      <c r="BXW57" s="1"/>
      <c r="BXX57" s="1"/>
      <c r="BXY57" s="1"/>
      <c r="BXZ57" s="1"/>
      <c r="BYA57" s="1"/>
      <c r="BYB57" s="1"/>
      <c r="BYC57" s="1"/>
      <c r="BYD57" s="1"/>
      <c r="BYE57" s="1"/>
      <c r="BYF57" s="1"/>
      <c r="BYG57" s="1"/>
      <c r="BYH57" s="1"/>
      <c r="BYI57" s="1"/>
      <c r="BYJ57" s="1"/>
      <c r="BYK57" s="1"/>
      <c r="BYL57" s="1"/>
      <c r="BYM57" s="1"/>
      <c r="BYN57" s="1"/>
      <c r="BYO57" s="1"/>
      <c r="BYP57" s="1"/>
      <c r="BYQ57" s="1"/>
      <c r="BYR57" s="1"/>
      <c r="BYS57" s="1"/>
      <c r="BYT57" s="1"/>
      <c r="BYU57" s="1"/>
      <c r="BYV57" s="1"/>
      <c r="BYW57" s="1"/>
      <c r="BYX57" s="1"/>
      <c r="BYY57" s="1"/>
      <c r="BYZ57" s="1"/>
      <c r="BZA57" s="1"/>
      <c r="BZB57" s="1"/>
      <c r="BZC57" s="1"/>
      <c r="BZD57" s="1"/>
      <c r="BZE57" s="1"/>
      <c r="BZF57" s="1"/>
      <c r="BZG57" s="1"/>
      <c r="BZH57" s="1"/>
      <c r="BZI57" s="1"/>
      <c r="BZJ57" s="1"/>
      <c r="BZK57" s="1"/>
      <c r="BZL57" s="1"/>
      <c r="BZM57" s="1"/>
      <c r="BZN57" s="1"/>
      <c r="BZO57" s="1"/>
      <c r="BZP57" s="1"/>
      <c r="BZQ57" s="1"/>
      <c r="BZR57" s="1"/>
      <c r="BZS57" s="1"/>
      <c r="BZT57" s="1"/>
      <c r="BZU57" s="1"/>
      <c r="BZV57" s="1"/>
      <c r="BZW57" s="1"/>
      <c r="BZX57" s="1"/>
      <c r="BZY57" s="1"/>
      <c r="BZZ57" s="1"/>
      <c r="CAA57" s="1"/>
      <c r="CAB57" s="1"/>
      <c r="CAC57" s="1"/>
      <c r="CAD57" s="1"/>
      <c r="CAE57" s="1"/>
      <c r="CAF57" s="1"/>
      <c r="CAG57" s="1"/>
      <c r="CAH57" s="1"/>
      <c r="CAI57" s="1"/>
      <c r="CAJ57" s="1"/>
      <c r="CAK57" s="1"/>
      <c r="CAL57" s="1"/>
      <c r="CAM57" s="1"/>
      <c r="CAN57" s="1"/>
      <c r="CAO57" s="1"/>
      <c r="CAP57" s="1"/>
      <c r="CAQ57" s="1"/>
      <c r="CAR57" s="1"/>
      <c r="CAS57" s="1"/>
      <c r="CAT57" s="1"/>
      <c r="CAU57" s="1"/>
      <c r="CAV57" s="1"/>
      <c r="CAW57" s="1"/>
      <c r="CAX57" s="1"/>
      <c r="CAY57" s="1"/>
      <c r="CAZ57" s="1"/>
      <c r="CBA57" s="1"/>
      <c r="CBB57" s="1"/>
      <c r="CBC57" s="1"/>
      <c r="CBD57" s="1"/>
      <c r="CBE57" s="1"/>
      <c r="CBF57" s="1"/>
      <c r="CBG57" s="1"/>
      <c r="CBH57" s="1"/>
      <c r="CBI57" s="1"/>
      <c r="CBJ57" s="1"/>
      <c r="CBK57" s="1"/>
      <c r="CBL57" s="1"/>
      <c r="CBM57" s="1"/>
      <c r="CBN57" s="1"/>
      <c r="CBO57" s="1"/>
      <c r="CBP57" s="1"/>
      <c r="CBQ57" s="1"/>
      <c r="CBR57" s="1"/>
      <c r="CBS57" s="1"/>
      <c r="CBT57" s="1"/>
      <c r="CBU57" s="1"/>
      <c r="CBV57" s="1"/>
      <c r="CBW57" s="1"/>
      <c r="CBX57" s="1"/>
      <c r="CBY57" s="1"/>
      <c r="CBZ57" s="1"/>
      <c r="CCA57" s="1"/>
      <c r="CCB57" s="1"/>
      <c r="CCC57" s="1"/>
      <c r="CCD57" s="1"/>
      <c r="CCE57" s="1"/>
      <c r="CCF57" s="1"/>
      <c r="CCG57" s="1"/>
      <c r="CCH57" s="1"/>
      <c r="CCI57" s="1"/>
      <c r="CCJ57" s="1"/>
      <c r="CCK57" s="1"/>
      <c r="CCL57" s="1"/>
      <c r="CCM57" s="1"/>
      <c r="CCN57" s="1"/>
      <c r="CCO57" s="1"/>
      <c r="CCP57" s="1"/>
      <c r="CCQ57" s="1"/>
      <c r="CCR57" s="1"/>
      <c r="CCS57" s="1"/>
      <c r="CCT57" s="1"/>
      <c r="CCU57" s="1"/>
      <c r="CCV57" s="1"/>
      <c r="CCW57" s="1"/>
      <c r="CCX57" s="1"/>
      <c r="CCY57" s="1"/>
      <c r="CCZ57" s="1"/>
      <c r="CDA57" s="1"/>
      <c r="CDB57" s="1"/>
      <c r="CDC57" s="1"/>
      <c r="CDD57" s="1"/>
      <c r="CDE57" s="1"/>
      <c r="CDF57" s="1"/>
      <c r="CDG57" s="1"/>
      <c r="CDH57" s="1"/>
      <c r="CDI57" s="1"/>
      <c r="CDJ57" s="1"/>
      <c r="CDK57" s="1"/>
      <c r="CDL57" s="1"/>
      <c r="CDM57" s="1"/>
      <c r="CDN57" s="1"/>
      <c r="CDO57" s="1"/>
      <c r="CDP57" s="1"/>
      <c r="CDQ57" s="1"/>
      <c r="CDR57" s="1"/>
      <c r="CDS57" s="1"/>
      <c r="CDT57" s="1"/>
      <c r="CDU57" s="1"/>
      <c r="CDV57" s="1"/>
      <c r="CDW57" s="1"/>
      <c r="CDX57" s="1"/>
      <c r="CDY57" s="1"/>
      <c r="CDZ57" s="1"/>
      <c r="CEA57" s="1"/>
      <c r="CEB57" s="1"/>
      <c r="CEC57" s="1"/>
      <c r="CED57" s="1"/>
      <c r="CEE57" s="1"/>
      <c r="CEF57" s="1"/>
      <c r="CEG57" s="1"/>
      <c r="CEH57" s="1"/>
      <c r="CEI57" s="1"/>
      <c r="CEJ57" s="1"/>
      <c r="CEK57" s="1"/>
      <c r="CEL57" s="1"/>
      <c r="CEM57" s="1"/>
      <c r="CEN57" s="1"/>
      <c r="CEO57" s="1"/>
      <c r="CEP57" s="1"/>
      <c r="CEQ57" s="1"/>
      <c r="CER57" s="1"/>
      <c r="CES57" s="1"/>
      <c r="CET57" s="1"/>
      <c r="CEU57" s="1"/>
      <c r="CEV57" s="1"/>
      <c r="CEW57" s="1"/>
      <c r="CEX57" s="1"/>
      <c r="CEY57" s="1"/>
      <c r="CEZ57" s="1"/>
      <c r="CFA57" s="1"/>
      <c r="CFB57" s="1"/>
      <c r="CFC57" s="1"/>
      <c r="CFD57" s="1"/>
      <c r="CFE57" s="1"/>
      <c r="CFF57" s="1"/>
      <c r="CFG57" s="1"/>
      <c r="CFH57" s="1"/>
      <c r="CFI57" s="1"/>
      <c r="CFJ57" s="1"/>
      <c r="CFK57" s="1"/>
      <c r="CFL57" s="1"/>
      <c r="CFM57" s="1"/>
      <c r="CFN57" s="1"/>
      <c r="CFO57" s="1"/>
      <c r="CFP57" s="1"/>
      <c r="CFQ57" s="1"/>
      <c r="CFR57" s="1"/>
      <c r="CFS57" s="1"/>
      <c r="CFT57" s="1"/>
      <c r="CFU57" s="1"/>
      <c r="CFV57" s="1"/>
      <c r="CFW57" s="1"/>
      <c r="CFX57" s="1"/>
      <c r="CFY57" s="1"/>
      <c r="CFZ57" s="1"/>
      <c r="CGA57" s="1"/>
      <c r="CGB57" s="1"/>
      <c r="CGC57" s="1"/>
      <c r="CGD57" s="1"/>
      <c r="CGE57" s="1"/>
      <c r="CGF57" s="1"/>
      <c r="CGG57" s="1"/>
      <c r="CGH57" s="1"/>
      <c r="CGI57" s="1"/>
      <c r="CGJ57" s="1"/>
      <c r="CGK57" s="1"/>
      <c r="CGL57" s="1"/>
      <c r="CGM57" s="1"/>
      <c r="CGN57" s="1"/>
      <c r="CGO57" s="1"/>
      <c r="CGP57" s="1"/>
      <c r="CGQ57" s="1"/>
      <c r="CGR57" s="1"/>
      <c r="CGS57" s="1"/>
      <c r="CGT57" s="1"/>
      <c r="CGU57" s="1"/>
      <c r="CGV57" s="1"/>
      <c r="CGW57" s="1"/>
      <c r="CGX57" s="1"/>
      <c r="CGY57" s="1"/>
      <c r="CGZ57" s="1"/>
      <c r="CHA57" s="1"/>
      <c r="CHB57" s="1"/>
      <c r="CHC57" s="1"/>
      <c r="CHD57" s="1"/>
      <c r="CHE57" s="1"/>
      <c r="CHF57" s="1"/>
      <c r="CHG57" s="1"/>
      <c r="CHH57" s="1"/>
      <c r="CHI57" s="1"/>
      <c r="CHJ57" s="1"/>
      <c r="CHK57" s="1"/>
      <c r="CHL57" s="1"/>
      <c r="CHM57" s="1"/>
      <c r="CHN57" s="1"/>
      <c r="CHO57" s="1"/>
      <c r="CHP57" s="1"/>
      <c r="CHQ57" s="1"/>
      <c r="CHR57" s="1"/>
      <c r="CHS57" s="1"/>
      <c r="CHT57" s="1"/>
      <c r="CHU57" s="1"/>
      <c r="CHV57" s="1"/>
      <c r="CHW57" s="1"/>
      <c r="CHX57" s="1"/>
      <c r="CHY57" s="1"/>
      <c r="CHZ57" s="1"/>
      <c r="CIA57" s="1"/>
      <c r="CIB57" s="1"/>
      <c r="CIC57" s="1"/>
      <c r="CID57" s="1"/>
      <c r="CIE57" s="1"/>
      <c r="CIF57" s="1"/>
      <c r="CIG57" s="1"/>
      <c r="CIH57" s="1"/>
      <c r="CII57" s="1"/>
      <c r="CIJ57" s="1"/>
      <c r="CIK57" s="1"/>
      <c r="CIL57" s="1"/>
      <c r="CIM57" s="1"/>
      <c r="CIN57" s="1"/>
      <c r="CIO57" s="1"/>
      <c r="CIP57" s="1"/>
      <c r="CIQ57" s="1"/>
      <c r="CIR57" s="1"/>
      <c r="CIS57" s="1"/>
      <c r="CIT57" s="1"/>
      <c r="CIU57" s="1"/>
      <c r="CIV57" s="1"/>
      <c r="CIW57" s="1"/>
      <c r="CIX57" s="1"/>
      <c r="CIY57" s="1"/>
      <c r="CIZ57" s="1"/>
      <c r="CJA57" s="1"/>
      <c r="CJB57" s="1"/>
      <c r="CJC57" s="1"/>
      <c r="CJD57" s="1"/>
      <c r="CJE57" s="1"/>
      <c r="CJF57" s="1"/>
      <c r="CJG57" s="1"/>
      <c r="CJH57" s="1"/>
      <c r="CJI57" s="1"/>
      <c r="CJJ57" s="1"/>
      <c r="CJK57" s="1"/>
      <c r="CJL57" s="1"/>
      <c r="CJM57" s="1"/>
      <c r="CJN57" s="1"/>
      <c r="CJO57" s="1"/>
      <c r="CJP57" s="1"/>
      <c r="CJQ57" s="1"/>
      <c r="CJR57" s="1"/>
      <c r="CJS57" s="1"/>
      <c r="CJT57" s="1"/>
      <c r="CJU57" s="1"/>
      <c r="CJV57" s="1"/>
      <c r="CJW57" s="1"/>
      <c r="CJX57" s="1"/>
      <c r="CJY57" s="1"/>
      <c r="CJZ57" s="1"/>
      <c r="CKA57" s="1"/>
      <c r="CKB57" s="1"/>
      <c r="CKC57" s="1"/>
      <c r="CKD57" s="1"/>
      <c r="CKE57" s="1"/>
      <c r="CKF57" s="1"/>
      <c r="CKG57" s="1"/>
      <c r="CKH57" s="1"/>
      <c r="CKI57" s="1"/>
      <c r="CKJ57" s="1"/>
      <c r="CKK57" s="1"/>
      <c r="CKL57" s="1"/>
      <c r="CKM57" s="1"/>
      <c r="CKN57" s="1"/>
      <c r="CKO57" s="1"/>
      <c r="CKP57" s="1"/>
      <c r="CKQ57" s="1"/>
      <c r="CKR57" s="1"/>
      <c r="CKS57" s="1"/>
      <c r="CKT57" s="1"/>
      <c r="CKU57" s="1"/>
      <c r="CKV57" s="1"/>
      <c r="CKW57" s="1"/>
      <c r="CKX57" s="1"/>
      <c r="CKY57" s="1"/>
      <c r="CKZ57" s="1"/>
      <c r="CLA57" s="1"/>
      <c r="CLB57" s="1"/>
      <c r="CLC57" s="1"/>
      <c r="CLD57" s="1"/>
      <c r="CLE57" s="1"/>
      <c r="CLF57" s="1"/>
      <c r="CLG57" s="1"/>
      <c r="CLH57" s="1"/>
      <c r="CLI57" s="1"/>
      <c r="CLJ57" s="1"/>
      <c r="CLK57" s="1"/>
      <c r="CLL57" s="1"/>
      <c r="CLM57" s="1"/>
      <c r="CLN57" s="1"/>
      <c r="CLO57" s="1"/>
      <c r="CLP57" s="1"/>
      <c r="CLQ57" s="1"/>
      <c r="CLR57" s="1"/>
      <c r="CLS57" s="1"/>
      <c r="CLT57" s="1"/>
      <c r="CLU57" s="1"/>
      <c r="CLV57" s="1"/>
      <c r="CLW57" s="1"/>
      <c r="CLX57" s="1"/>
      <c r="CLY57" s="1"/>
      <c r="CLZ57" s="1"/>
      <c r="CMA57" s="1"/>
      <c r="CMB57" s="1"/>
      <c r="CMC57" s="1"/>
      <c r="CMD57" s="1"/>
      <c r="CME57" s="1"/>
      <c r="CMF57" s="1"/>
      <c r="CMG57" s="1"/>
      <c r="CMH57" s="1"/>
      <c r="CMI57" s="1"/>
      <c r="CMJ57" s="1"/>
      <c r="CMK57" s="1"/>
      <c r="CML57" s="1"/>
      <c r="CMM57" s="1"/>
      <c r="CMN57" s="1"/>
      <c r="CMO57" s="1"/>
      <c r="CMP57" s="1"/>
      <c r="CMQ57" s="1"/>
      <c r="CMR57" s="1"/>
      <c r="CMS57" s="1"/>
      <c r="CMT57" s="1"/>
      <c r="CMU57" s="1"/>
      <c r="CMV57" s="1"/>
      <c r="CMW57" s="1"/>
      <c r="CMX57" s="1"/>
      <c r="CMY57" s="1"/>
      <c r="CMZ57" s="1"/>
      <c r="CNA57" s="1"/>
      <c r="CNB57" s="1"/>
      <c r="CNC57" s="1"/>
      <c r="CND57" s="1"/>
      <c r="CNE57" s="1"/>
      <c r="CNF57" s="1"/>
      <c r="CNG57" s="1"/>
      <c r="CNH57" s="1"/>
      <c r="CNI57" s="1"/>
      <c r="CNJ57" s="1"/>
      <c r="CNK57" s="1"/>
      <c r="CNL57" s="1"/>
      <c r="CNM57" s="1"/>
      <c r="CNN57" s="1"/>
      <c r="CNO57" s="1"/>
      <c r="CNP57" s="1"/>
      <c r="CNQ57" s="1"/>
      <c r="CNR57" s="1"/>
      <c r="CNS57" s="1"/>
      <c r="CNT57" s="1"/>
      <c r="CNU57" s="1"/>
      <c r="CNV57" s="1"/>
      <c r="CNW57" s="1"/>
      <c r="CNX57" s="1"/>
      <c r="CNY57" s="1"/>
      <c r="CNZ57" s="1"/>
      <c r="COA57" s="1"/>
      <c r="COB57" s="1"/>
      <c r="COC57" s="1"/>
      <c r="COD57" s="1"/>
      <c r="COE57" s="1"/>
      <c r="COF57" s="1"/>
      <c r="COG57" s="1"/>
      <c r="COH57" s="1"/>
      <c r="COI57" s="1"/>
      <c r="COJ57" s="1"/>
      <c r="COK57" s="1"/>
      <c r="COL57" s="1"/>
      <c r="COM57" s="1"/>
      <c r="CON57" s="1"/>
      <c r="COO57" s="1"/>
      <c r="COP57" s="1"/>
      <c r="COQ57" s="1"/>
      <c r="COR57" s="1"/>
      <c r="COS57" s="1"/>
      <c r="COT57" s="1"/>
      <c r="COU57" s="1"/>
      <c r="COV57" s="1"/>
      <c r="COW57" s="1"/>
      <c r="COX57" s="1"/>
      <c r="COY57" s="1"/>
      <c r="COZ57" s="1"/>
      <c r="CPA57" s="1"/>
      <c r="CPB57" s="1"/>
      <c r="CPC57" s="1"/>
      <c r="CPD57" s="1"/>
      <c r="CPE57" s="1"/>
      <c r="CPF57" s="1"/>
      <c r="CPG57" s="1"/>
      <c r="CPH57" s="1"/>
      <c r="CPI57" s="1"/>
      <c r="CPJ57" s="1"/>
      <c r="CPK57" s="1"/>
      <c r="CPL57" s="1"/>
      <c r="CPM57" s="1"/>
      <c r="CPN57" s="1"/>
      <c r="CPO57" s="1"/>
      <c r="CPP57" s="1"/>
      <c r="CPQ57" s="1"/>
      <c r="CPR57" s="1"/>
      <c r="CPS57" s="1"/>
      <c r="CPT57" s="1"/>
      <c r="CPU57" s="1"/>
      <c r="CPV57" s="1"/>
      <c r="CPW57" s="1"/>
      <c r="CPX57" s="1"/>
      <c r="CPY57" s="1"/>
      <c r="CPZ57" s="1"/>
      <c r="CQA57" s="1"/>
      <c r="CQB57" s="1"/>
      <c r="CQC57" s="1"/>
      <c r="CQD57" s="1"/>
      <c r="CQE57" s="1"/>
      <c r="CQF57" s="1"/>
      <c r="CQG57" s="1"/>
      <c r="CQH57" s="1"/>
      <c r="CQI57" s="1"/>
      <c r="CQJ57" s="1"/>
      <c r="CQK57" s="1"/>
      <c r="CQL57" s="1"/>
      <c r="CQM57" s="1"/>
      <c r="CQN57" s="1"/>
      <c r="CQO57" s="1"/>
      <c r="CQP57" s="1"/>
      <c r="CQQ57" s="1"/>
      <c r="CQR57" s="1"/>
      <c r="CQS57" s="1"/>
      <c r="CQT57" s="1"/>
      <c r="CQU57" s="1"/>
      <c r="CQV57" s="1"/>
      <c r="CQW57" s="1"/>
      <c r="CQX57" s="1"/>
      <c r="CQY57" s="1"/>
      <c r="CQZ57" s="1"/>
      <c r="CRA57" s="1"/>
      <c r="CRB57" s="1"/>
      <c r="CRC57" s="1"/>
      <c r="CRD57" s="1"/>
      <c r="CRE57" s="1"/>
      <c r="CRF57" s="1"/>
      <c r="CRG57" s="1"/>
      <c r="CRH57" s="1"/>
      <c r="CRI57" s="1"/>
      <c r="CRJ57" s="1"/>
      <c r="CRK57" s="1"/>
      <c r="CRL57" s="1"/>
      <c r="CRM57" s="1"/>
      <c r="CRN57" s="1"/>
      <c r="CRO57" s="1"/>
      <c r="CRP57" s="1"/>
      <c r="CRQ57" s="1"/>
      <c r="CRR57" s="1"/>
      <c r="CRS57" s="1"/>
      <c r="CRT57" s="1"/>
      <c r="CRU57" s="1"/>
      <c r="CRV57" s="1"/>
      <c r="CRW57" s="1"/>
      <c r="CRX57" s="1"/>
      <c r="CRY57" s="1"/>
      <c r="CRZ57" s="1"/>
      <c r="CSA57" s="1"/>
      <c r="CSB57" s="1"/>
      <c r="CSC57" s="1"/>
      <c r="CSD57" s="1"/>
      <c r="CSE57" s="1"/>
      <c r="CSF57" s="1"/>
      <c r="CSG57" s="1"/>
      <c r="CSH57" s="1"/>
      <c r="CSI57" s="1"/>
      <c r="CSJ57" s="1"/>
      <c r="CSK57" s="1"/>
      <c r="CSL57" s="1"/>
      <c r="CSM57" s="1"/>
      <c r="CSN57" s="1"/>
      <c r="CSO57" s="1"/>
      <c r="CSP57" s="1"/>
      <c r="CSQ57" s="1"/>
      <c r="CSR57" s="1"/>
      <c r="CSS57" s="1"/>
      <c r="CST57" s="1"/>
      <c r="CSU57" s="1"/>
      <c r="CSV57" s="1"/>
      <c r="CSW57" s="1"/>
      <c r="CSX57" s="1"/>
      <c r="CSY57" s="1"/>
      <c r="CSZ57" s="1"/>
      <c r="CTA57" s="1"/>
      <c r="CTB57" s="1"/>
      <c r="CTC57" s="1"/>
      <c r="CTD57" s="1"/>
      <c r="CTE57" s="1"/>
      <c r="CTF57" s="1"/>
      <c r="CTG57" s="1"/>
      <c r="CTH57" s="1"/>
      <c r="CTI57" s="1"/>
      <c r="CTJ57" s="1"/>
      <c r="CTK57" s="1"/>
      <c r="CTL57" s="1"/>
      <c r="CTM57" s="1"/>
      <c r="CTN57" s="1"/>
      <c r="CTO57" s="1"/>
      <c r="CTP57" s="1"/>
      <c r="CTQ57" s="1"/>
      <c r="CTR57" s="1"/>
      <c r="CTS57" s="1"/>
      <c r="CTT57" s="1"/>
      <c r="CTU57" s="1"/>
      <c r="CTV57" s="1"/>
      <c r="CTW57" s="1"/>
      <c r="CTX57" s="1"/>
      <c r="CTY57" s="1"/>
      <c r="CTZ57" s="1"/>
      <c r="CUA57" s="1"/>
      <c r="CUB57" s="1"/>
      <c r="CUC57" s="1"/>
      <c r="CUD57" s="1"/>
      <c r="CUE57" s="1"/>
      <c r="CUF57" s="1"/>
      <c r="CUG57" s="1"/>
      <c r="CUH57" s="1"/>
      <c r="CUI57" s="1"/>
      <c r="CUJ57" s="1"/>
      <c r="CUK57" s="1"/>
      <c r="CUL57" s="1"/>
      <c r="CUM57" s="1"/>
      <c r="CUN57" s="1"/>
      <c r="CUO57" s="1"/>
      <c r="CUP57" s="1"/>
      <c r="CUQ57" s="1"/>
      <c r="CUR57" s="1"/>
      <c r="CUS57" s="1"/>
      <c r="CUT57" s="1"/>
      <c r="CUU57" s="1"/>
      <c r="CUV57" s="1"/>
      <c r="CUW57" s="1"/>
      <c r="CUX57" s="1"/>
      <c r="CUY57" s="1"/>
      <c r="CUZ57" s="1"/>
      <c r="CVA57" s="1"/>
      <c r="CVB57" s="1"/>
      <c r="CVC57" s="1"/>
      <c r="CVD57" s="1"/>
      <c r="CVE57" s="1"/>
      <c r="CVF57" s="1"/>
      <c r="CVG57" s="1"/>
      <c r="CVH57" s="1"/>
      <c r="CVI57" s="1"/>
      <c r="CVJ57" s="1"/>
      <c r="CVK57" s="1"/>
      <c r="CVL57" s="1"/>
      <c r="CVM57" s="1"/>
      <c r="CVN57" s="1"/>
      <c r="CVO57" s="1"/>
      <c r="CVP57" s="1"/>
      <c r="CVQ57" s="1"/>
      <c r="CVR57" s="1"/>
      <c r="CVS57" s="1"/>
      <c r="CVT57" s="1"/>
      <c r="CVU57" s="1"/>
      <c r="CVV57" s="1"/>
      <c r="CVW57" s="1"/>
      <c r="CVX57" s="1"/>
      <c r="CVY57" s="1"/>
      <c r="CVZ57" s="1"/>
      <c r="CWA57" s="1"/>
      <c r="CWB57" s="1"/>
      <c r="CWC57" s="1"/>
      <c r="CWD57" s="1"/>
      <c r="CWE57" s="1"/>
      <c r="CWF57" s="1"/>
      <c r="CWG57" s="1"/>
      <c r="CWH57" s="1"/>
      <c r="CWI57" s="1"/>
      <c r="CWJ57" s="1"/>
      <c r="CWK57" s="1"/>
      <c r="CWL57" s="1"/>
      <c r="CWM57" s="1"/>
      <c r="CWN57" s="1"/>
      <c r="CWO57" s="1"/>
      <c r="CWP57" s="1"/>
      <c r="CWQ57" s="1"/>
      <c r="CWR57" s="1"/>
      <c r="CWS57" s="1"/>
      <c r="CWT57" s="1"/>
      <c r="CWU57" s="1"/>
      <c r="CWV57" s="1"/>
      <c r="CWW57" s="1"/>
      <c r="CWX57" s="1"/>
      <c r="CWY57" s="1"/>
      <c r="CWZ57" s="1"/>
      <c r="CXA57" s="1"/>
      <c r="CXB57" s="1"/>
      <c r="CXC57" s="1"/>
      <c r="CXD57" s="1"/>
      <c r="CXE57" s="1"/>
      <c r="CXF57" s="1"/>
      <c r="CXG57" s="1"/>
      <c r="CXH57" s="1"/>
      <c r="CXI57" s="1"/>
      <c r="CXJ57" s="1"/>
      <c r="CXK57" s="1"/>
      <c r="CXL57" s="1"/>
      <c r="CXM57" s="1"/>
      <c r="CXN57" s="1"/>
      <c r="CXO57" s="1"/>
      <c r="CXP57" s="1"/>
      <c r="CXQ57" s="1"/>
      <c r="CXR57" s="1"/>
      <c r="CXS57" s="1"/>
      <c r="CXT57" s="1"/>
      <c r="CXU57" s="1"/>
      <c r="CXV57" s="1"/>
      <c r="CXW57" s="1"/>
      <c r="CXX57" s="1"/>
      <c r="CXY57" s="1"/>
      <c r="CXZ57" s="1"/>
      <c r="CYA57" s="1"/>
      <c r="CYB57" s="1"/>
      <c r="CYC57" s="1"/>
      <c r="CYD57" s="1"/>
      <c r="CYE57" s="1"/>
      <c r="CYF57" s="1"/>
      <c r="CYG57" s="1"/>
      <c r="CYH57" s="1"/>
      <c r="CYI57" s="1"/>
      <c r="CYJ57" s="1"/>
      <c r="CYK57" s="1"/>
      <c r="CYL57" s="1"/>
      <c r="CYM57" s="1"/>
      <c r="CYN57" s="1"/>
      <c r="CYO57" s="1"/>
      <c r="CYP57" s="1"/>
      <c r="CYQ57" s="1"/>
      <c r="CYR57" s="1"/>
      <c r="CYS57" s="1"/>
      <c r="CYT57" s="1"/>
      <c r="CYU57" s="1"/>
      <c r="CYV57" s="1"/>
      <c r="CYW57" s="1"/>
      <c r="CYX57" s="1"/>
      <c r="CYY57" s="1"/>
      <c r="CYZ57" s="1"/>
      <c r="CZA57" s="1"/>
      <c r="CZB57" s="1"/>
      <c r="CZC57" s="1"/>
      <c r="CZD57" s="1"/>
      <c r="CZE57" s="1"/>
      <c r="CZF57" s="1"/>
      <c r="CZG57" s="1"/>
      <c r="CZH57" s="1"/>
      <c r="CZI57" s="1"/>
      <c r="CZJ57" s="1"/>
      <c r="CZK57" s="1"/>
      <c r="CZL57" s="1"/>
      <c r="CZM57" s="1"/>
      <c r="CZN57" s="1"/>
      <c r="CZO57" s="1"/>
      <c r="CZP57" s="1"/>
      <c r="CZQ57" s="1"/>
      <c r="CZR57" s="1"/>
      <c r="CZS57" s="1"/>
      <c r="CZT57" s="1"/>
      <c r="CZU57" s="1"/>
      <c r="CZV57" s="1"/>
      <c r="CZW57" s="1"/>
      <c r="CZX57" s="1"/>
      <c r="CZY57" s="1"/>
      <c r="CZZ57" s="1"/>
      <c r="DAA57" s="1"/>
      <c r="DAB57" s="1"/>
      <c r="DAC57" s="1"/>
      <c r="DAD57" s="1"/>
      <c r="DAE57" s="1"/>
      <c r="DAF57" s="1"/>
      <c r="DAG57" s="1"/>
      <c r="DAH57" s="1"/>
      <c r="DAI57" s="1"/>
      <c r="DAJ57" s="1"/>
      <c r="DAK57" s="1"/>
      <c r="DAL57" s="1"/>
      <c r="DAM57" s="1"/>
      <c r="DAN57" s="1"/>
      <c r="DAO57" s="1"/>
      <c r="DAP57" s="1"/>
      <c r="DAQ57" s="1"/>
      <c r="DAR57" s="1"/>
      <c r="DAS57" s="1"/>
      <c r="DAT57" s="1"/>
      <c r="DAU57" s="1"/>
      <c r="DAV57" s="1"/>
      <c r="DAW57" s="1"/>
      <c r="DAX57" s="1"/>
      <c r="DAY57" s="1"/>
      <c r="DAZ57" s="1"/>
      <c r="DBA57" s="1"/>
      <c r="DBB57" s="1"/>
      <c r="DBC57" s="1"/>
      <c r="DBD57" s="1"/>
      <c r="DBE57" s="1"/>
      <c r="DBF57" s="1"/>
      <c r="DBG57" s="1"/>
      <c r="DBH57" s="1"/>
      <c r="DBI57" s="1"/>
      <c r="DBJ57" s="1"/>
      <c r="DBK57" s="1"/>
      <c r="DBL57" s="1"/>
      <c r="DBM57" s="1"/>
      <c r="DBN57" s="1"/>
      <c r="DBO57" s="1"/>
      <c r="DBP57" s="1"/>
      <c r="DBQ57" s="1"/>
      <c r="DBR57" s="1"/>
      <c r="DBS57" s="1"/>
      <c r="DBT57" s="1"/>
      <c r="DBU57" s="1"/>
      <c r="DBV57" s="1"/>
      <c r="DBW57" s="1"/>
      <c r="DBX57" s="1"/>
      <c r="DBY57" s="1"/>
      <c r="DBZ57" s="1"/>
      <c r="DCA57" s="1"/>
      <c r="DCB57" s="1"/>
      <c r="DCC57" s="1"/>
      <c r="DCD57" s="1"/>
      <c r="DCE57" s="1"/>
      <c r="DCF57" s="1"/>
      <c r="DCG57" s="1"/>
      <c r="DCH57" s="1"/>
      <c r="DCI57" s="1"/>
      <c r="DCJ57" s="1"/>
      <c r="DCK57" s="1"/>
      <c r="DCL57" s="1"/>
      <c r="DCM57" s="1"/>
      <c r="DCN57" s="1"/>
      <c r="DCO57" s="1"/>
      <c r="DCP57" s="1"/>
      <c r="DCQ57" s="1"/>
      <c r="DCR57" s="1"/>
      <c r="DCS57" s="1"/>
      <c r="DCT57" s="1"/>
      <c r="DCU57" s="1"/>
      <c r="DCV57" s="1"/>
      <c r="DCW57" s="1"/>
      <c r="DCX57" s="1"/>
      <c r="DCY57" s="1"/>
      <c r="DCZ57" s="1"/>
      <c r="DDA57" s="1"/>
      <c r="DDB57" s="1"/>
      <c r="DDC57" s="1"/>
      <c r="DDD57" s="1"/>
      <c r="DDE57" s="1"/>
      <c r="DDF57" s="1"/>
      <c r="DDG57" s="1"/>
      <c r="DDH57" s="1"/>
      <c r="DDI57" s="1"/>
      <c r="DDJ57" s="1"/>
      <c r="DDK57" s="1"/>
      <c r="DDL57" s="1"/>
      <c r="DDM57" s="1"/>
      <c r="DDN57" s="1"/>
      <c r="DDO57" s="1"/>
      <c r="DDP57" s="1"/>
      <c r="DDQ57" s="1"/>
      <c r="DDR57" s="1"/>
      <c r="DDS57" s="1"/>
      <c r="DDT57" s="1"/>
      <c r="DDU57" s="1"/>
      <c r="DDV57" s="1"/>
      <c r="DDW57" s="1"/>
      <c r="DDX57" s="1"/>
      <c r="DDY57" s="1"/>
      <c r="DDZ57" s="1"/>
      <c r="DEA57" s="1"/>
      <c r="DEB57" s="1"/>
      <c r="DEC57" s="1"/>
      <c r="DED57" s="1"/>
      <c r="DEE57" s="1"/>
      <c r="DEF57" s="1"/>
      <c r="DEG57" s="1"/>
      <c r="DEH57" s="1"/>
      <c r="DEI57" s="1"/>
      <c r="DEJ57" s="1"/>
      <c r="DEK57" s="1"/>
      <c r="DEL57" s="1"/>
      <c r="DEM57" s="1"/>
      <c r="DEN57" s="1"/>
      <c r="DEO57" s="1"/>
      <c r="DEP57" s="1"/>
      <c r="DEQ57" s="1"/>
      <c r="DER57" s="1"/>
      <c r="DES57" s="1"/>
      <c r="DET57" s="1"/>
      <c r="DEU57" s="1"/>
      <c r="DEV57" s="1"/>
      <c r="DEW57" s="1"/>
      <c r="DEX57" s="1"/>
      <c r="DEY57" s="1"/>
      <c r="DEZ57" s="1"/>
      <c r="DFA57" s="1"/>
      <c r="DFB57" s="1"/>
      <c r="DFC57" s="1"/>
      <c r="DFD57" s="1"/>
      <c r="DFE57" s="1"/>
      <c r="DFF57" s="1"/>
      <c r="DFG57" s="1"/>
      <c r="DFH57" s="1"/>
      <c r="DFI57" s="1"/>
      <c r="DFJ57" s="1"/>
      <c r="DFK57" s="1"/>
      <c r="DFL57" s="1"/>
      <c r="DFM57" s="1"/>
      <c r="DFN57" s="1"/>
      <c r="DFO57" s="1"/>
      <c r="DFP57" s="1"/>
      <c r="DFQ57" s="1"/>
      <c r="DFR57" s="1"/>
      <c r="DFS57" s="1"/>
      <c r="DFT57" s="1"/>
      <c r="DFU57" s="1"/>
      <c r="DFV57" s="1"/>
      <c r="DFW57" s="1"/>
      <c r="DFX57" s="1"/>
      <c r="DFY57" s="1"/>
      <c r="DFZ57" s="1"/>
      <c r="DGA57" s="1"/>
      <c r="DGB57" s="1"/>
      <c r="DGC57" s="1"/>
      <c r="DGD57" s="1"/>
      <c r="DGE57" s="1"/>
      <c r="DGF57" s="1"/>
      <c r="DGG57" s="1"/>
      <c r="DGH57" s="1"/>
      <c r="DGI57" s="1"/>
      <c r="DGJ57" s="1"/>
      <c r="DGK57" s="1"/>
      <c r="DGL57" s="1"/>
      <c r="DGM57" s="1"/>
      <c r="DGN57" s="1"/>
      <c r="DGO57" s="1"/>
      <c r="DGP57" s="1"/>
      <c r="DGQ57" s="1"/>
      <c r="DGR57" s="1"/>
      <c r="DGS57" s="1"/>
      <c r="DGT57" s="1"/>
      <c r="DGU57" s="1"/>
      <c r="DGV57" s="1"/>
      <c r="DGW57" s="1"/>
      <c r="DGX57" s="1"/>
      <c r="DGY57" s="1"/>
      <c r="DGZ57" s="1"/>
      <c r="DHA57" s="1"/>
      <c r="DHB57" s="1"/>
      <c r="DHC57" s="1"/>
      <c r="DHD57" s="1"/>
      <c r="DHE57" s="1"/>
      <c r="DHF57" s="1"/>
      <c r="DHG57" s="1"/>
      <c r="DHH57" s="1"/>
      <c r="DHI57" s="1"/>
      <c r="DHJ57" s="1"/>
      <c r="DHK57" s="1"/>
      <c r="DHL57" s="1"/>
      <c r="DHM57" s="1"/>
      <c r="DHN57" s="1"/>
      <c r="DHO57" s="1"/>
      <c r="DHP57" s="1"/>
      <c r="DHQ57" s="1"/>
      <c r="DHR57" s="1"/>
      <c r="DHS57" s="1"/>
      <c r="DHT57" s="1"/>
      <c r="DHU57" s="1"/>
      <c r="DHV57" s="1"/>
      <c r="DHW57" s="1"/>
      <c r="DHX57" s="1"/>
      <c r="DHY57" s="1"/>
      <c r="DHZ57" s="1"/>
      <c r="DIA57" s="1"/>
      <c r="DIB57" s="1"/>
      <c r="DIC57" s="1"/>
      <c r="DID57" s="1"/>
      <c r="DIE57" s="1"/>
      <c r="DIF57" s="1"/>
      <c r="DIG57" s="1"/>
      <c r="DIH57" s="1"/>
      <c r="DII57" s="1"/>
      <c r="DIJ57" s="1"/>
      <c r="DIK57" s="1"/>
      <c r="DIL57" s="1"/>
      <c r="DIM57" s="1"/>
      <c r="DIN57" s="1"/>
      <c r="DIO57" s="1"/>
      <c r="DIP57" s="1"/>
      <c r="DIQ57" s="1"/>
      <c r="DIR57" s="1"/>
      <c r="DIS57" s="1"/>
      <c r="DIT57" s="1"/>
      <c r="DIU57" s="1"/>
      <c r="DIV57" s="1"/>
      <c r="DIW57" s="1"/>
      <c r="DIX57" s="1"/>
      <c r="DIY57" s="1"/>
      <c r="DIZ57" s="1"/>
      <c r="DJA57" s="1"/>
      <c r="DJB57" s="1"/>
      <c r="DJC57" s="1"/>
      <c r="DJD57" s="1"/>
      <c r="DJE57" s="1"/>
      <c r="DJF57" s="1"/>
      <c r="DJG57" s="1"/>
      <c r="DJH57" s="1"/>
      <c r="DJI57" s="1"/>
      <c r="DJJ57" s="1"/>
      <c r="DJK57" s="1"/>
      <c r="DJL57" s="1"/>
      <c r="DJM57" s="1"/>
      <c r="DJN57" s="1"/>
      <c r="DJO57" s="1"/>
      <c r="DJP57" s="1"/>
      <c r="DJQ57" s="1"/>
      <c r="DJR57" s="1"/>
      <c r="DJS57" s="1"/>
      <c r="DJT57" s="1"/>
      <c r="DJU57" s="1"/>
      <c r="DJV57" s="1"/>
      <c r="DJW57" s="1"/>
      <c r="DJX57" s="1"/>
      <c r="DJY57" s="1"/>
      <c r="DJZ57" s="1"/>
      <c r="DKA57" s="1"/>
      <c r="DKB57" s="1"/>
      <c r="DKC57" s="1"/>
      <c r="DKD57" s="1"/>
      <c r="DKE57" s="1"/>
      <c r="DKF57" s="1"/>
      <c r="DKG57" s="1"/>
      <c r="DKH57" s="1"/>
      <c r="DKI57" s="1"/>
      <c r="DKJ57" s="1"/>
      <c r="DKK57" s="1"/>
      <c r="DKL57" s="1"/>
      <c r="DKM57" s="1"/>
      <c r="DKN57" s="1"/>
      <c r="DKO57" s="1"/>
      <c r="DKP57" s="1"/>
      <c r="DKQ57" s="1"/>
      <c r="DKR57" s="1"/>
      <c r="DKS57" s="1"/>
      <c r="DKT57" s="1"/>
      <c r="DKU57" s="1"/>
      <c r="DKV57" s="1"/>
      <c r="DKW57" s="1"/>
      <c r="DKX57" s="1"/>
      <c r="DKY57" s="1"/>
      <c r="DKZ57" s="1"/>
      <c r="DLA57" s="1"/>
      <c r="DLB57" s="1"/>
      <c r="DLC57" s="1"/>
      <c r="DLD57" s="1"/>
      <c r="DLE57" s="1"/>
      <c r="DLF57" s="1"/>
      <c r="DLG57" s="1"/>
      <c r="DLH57" s="1"/>
      <c r="DLI57" s="1"/>
      <c r="DLJ57" s="1"/>
      <c r="DLK57" s="1"/>
      <c r="DLL57" s="1"/>
      <c r="DLM57" s="1"/>
      <c r="DLN57" s="1"/>
      <c r="DLO57" s="1"/>
      <c r="DLP57" s="1"/>
      <c r="DLQ57" s="1"/>
      <c r="DLR57" s="1"/>
      <c r="DLS57" s="1"/>
      <c r="DLT57" s="1"/>
      <c r="DLU57" s="1"/>
      <c r="DLV57" s="1"/>
      <c r="DLW57" s="1"/>
      <c r="DLX57" s="1"/>
      <c r="DLY57" s="1"/>
      <c r="DLZ57" s="1"/>
      <c r="DMA57" s="1"/>
      <c r="DMB57" s="1"/>
      <c r="DMC57" s="1"/>
      <c r="DMD57" s="1"/>
      <c r="DME57" s="1"/>
      <c r="DMF57" s="1"/>
      <c r="DMG57" s="1"/>
      <c r="DMH57" s="1"/>
      <c r="DMI57" s="1"/>
      <c r="DMJ57" s="1"/>
      <c r="DMK57" s="1"/>
      <c r="DML57" s="1"/>
      <c r="DMM57" s="1"/>
      <c r="DMN57" s="1"/>
      <c r="DMO57" s="1"/>
      <c r="DMP57" s="1"/>
      <c r="DMQ57" s="1"/>
      <c r="DMR57" s="1"/>
      <c r="DMS57" s="1"/>
      <c r="DMT57" s="1"/>
      <c r="DMU57" s="1"/>
      <c r="DMV57" s="1"/>
      <c r="DMW57" s="1"/>
      <c r="DMX57" s="1"/>
      <c r="DMY57" s="1"/>
      <c r="DMZ57" s="1"/>
      <c r="DNA57" s="1"/>
      <c r="DNB57" s="1"/>
      <c r="DNC57" s="1"/>
      <c r="DND57" s="1"/>
      <c r="DNE57" s="1"/>
      <c r="DNF57" s="1"/>
      <c r="DNG57" s="1"/>
      <c r="DNH57" s="1"/>
      <c r="DNI57" s="1"/>
      <c r="DNJ57" s="1"/>
      <c r="DNK57" s="1"/>
      <c r="DNL57" s="1"/>
      <c r="DNM57" s="1"/>
      <c r="DNN57" s="1"/>
      <c r="DNO57" s="1"/>
      <c r="DNP57" s="1"/>
      <c r="DNQ57" s="1"/>
      <c r="DNR57" s="1"/>
      <c r="DNS57" s="1"/>
      <c r="DNT57" s="1"/>
      <c r="DNU57" s="1"/>
      <c r="DNV57" s="1"/>
      <c r="DNW57" s="1"/>
      <c r="DNX57" s="1"/>
      <c r="DNY57" s="1"/>
      <c r="DNZ57" s="1"/>
      <c r="DOA57" s="1"/>
      <c r="DOB57" s="1"/>
      <c r="DOC57" s="1"/>
      <c r="DOD57" s="1"/>
      <c r="DOE57" s="1"/>
      <c r="DOF57" s="1"/>
      <c r="DOG57" s="1"/>
      <c r="DOH57" s="1"/>
      <c r="DOI57" s="1"/>
      <c r="DOJ57" s="1"/>
      <c r="DOK57" s="1"/>
      <c r="DOL57" s="1"/>
      <c r="DOM57" s="1"/>
      <c r="DON57" s="1"/>
      <c r="DOO57" s="1"/>
      <c r="DOP57" s="1"/>
      <c r="DOQ57" s="1"/>
      <c r="DOR57" s="1"/>
      <c r="DOS57" s="1"/>
      <c r="DOT57" s="1"/>
      <c r="DOU57" s="1"/>
      <c r="DOV57" s="1"/>
      <c r="DOW57" s="1"/>
      <c r="DOX57" s="1"/>
      <c r="DOY57" s="1"/>
      <c r="DOZ57" s="1"/>
      <c r="DPA57" s="1"/>
      <c r="DPB57" s="1"/>
      <c r="DPC57" s="1"/>
      <c r="DPD57" s="1"/>
      <c r="DPE57" s="1"/>
      <c r="DPF57" s="1"/>
      <c r="DPG57" s="1"/>
      <c r="DPH57" s="1"/>
      <c r="DPI57" s="1"/>
      <c r="DPJ57" s="1"/>
      <c r="DPK57" s="1"/>
      <c r="DPL57" s="1"/>
      <c r="DPM57" s="1"/>
      <c r="DPN57" s="1"/>
      <c r="DPO57" s="1"/>
      <c r="DPP57" s="1"/>
      <c r="DPQ57" s="1"/>
      <c r="DPR57" s="1"/>
      <c r="DPS57" s="1"/>
      <c r="DPT57" s="1"/>
      <c r="DPU57" s="1"/>
      <c r="DPV57" s="1"/>
      <c r="DPW57" s="1"/>
      <c r="DPX57" s="1"/>
      <c r="DPY57" s="1"/>
      <c r="DPZ57" s="1"/>
      <c r="DQA57" s="1"/>
      <c r="DQB57" s="1"/>
      <c r="DQC57" s="1"/>
      <c r="DQD57" s="1"/>
      <c r="DQE57" s="1"/>
      <c r="DQF57" s="1"/>
      <c r="DQG57" s="1"/>
      <c r="DQH57" s="1"/>
      <c r="DQI57" s="1"/>
      <c r="DQJ57" s="1"/>
      <c r="DQK57" s="1"/>
      <c r="DQL57" s="1"/>
      <c r="DQM57" s="1"/>
      <c r="DQN57" s="1"/>
      <c r="DQO57" s="1"/>
      <c r="DQP57" s="1"/>
      <c r="DQQ57" s="1"/>
      <c r="DQR57" s="1"/>
      <c r="DQS57" s="1"/>
      <c r="DQT57" s="1"/>
      <c r="DQU57" s="1"/>
      <c r="DQV57" s="1"/>
      <c r="DQW57" s="1"/>
      <c r="DQX57" s="1"/>
      <c r="DQY57" s="1"/>
      <c r="DQZ57" s="1"/>
      <c r="DRA57" s="1"/>
      <c r="DRB57" s="1"/>
      <c r="DRC57" s="1"/>
      <c r="DRD57" s="1"/>
      <c r="DRE57" s="1"/>
      <c r="DRF57" s="1"/>
      <c r="DRG57" s="1"/>
      <c r="DRH57" s="1"/>
      <c r="DRI57" s="1"/>
      <c r="DRJ57" s="1"/>
      <c r="DRK57" s="1"/>
      <c r="DRL57" s="1"/>
      <c r="DRM57" s="1"/>
      <c r="DRN57" s="1"/>
      <c r="DRO57" s="1"/>
      <c r="DRP57" s="1"/>
      <c r="DRQ57" s="1"/>
      <c r="DRR57" s="1"/>
      <c r="DRS57" s="1"/>
      <c r="DRT57" s="1"/>
      <c r="DRU57" s="1"/>
      <c r="DRV57" s="1"/>
      <c r="DRW57" s="1"/>
      <c r="DRX57" s="1"/>
      <c r="DRY57" s="1"/>
      <c r="DRZ57" s="1"/>
      <c r="DSA57" s="1"/>
      <c r="DSB57" s="1"/>
      <c r="DSC57" s="1"/>
      <c r="DSD57" s="1"/>
      <c r="DSE57" s="1"/>
      <c r="DSF57" s="1"/>
      <c r="DSG57" s="1"/>
      <c r="DSH57" s="1"/>
      <c r="DSI57" s="1"/>
      <c r="DSJ57" s="1"/>
      <c r="DSK57" s="1"/>
      <c r="DSL57" s="1"/>
      <c r="DSM57" s="1"/>
      <c r="DSN57" s="1"/>
      <c r="DSO57" s="1"/>
      <c r="DSP57" s="1"/>
      <c r="DSQ57" s="1"/>
      <c r="DSR57" s="1"/>
      <c r="DSS57" s="1"/>
      <c r="DST57" s="1"/>
      <c r="DSU57" s="1"/>
      <c r="DSV57" s="1"/>
      <c r="DSW57" s="1"/>
      <c r="DSX57" s="1"/>
      <c r="DSY57" s="1"/>
      <c r="DSZ57" s="1"/>
      <c r="DTA57" s="1"/>
      <c r="DTB57" s="1"/>
      <c r="DTC57" s="1"/>
      <c r="DTD57" s="1"/>
      <c r="DTE57" s="1"/>
      <c r="DTF57" s="1"/>
      <c r="DTG57" s="1"/>
      <c r="DTH57" s="1"/>
      <c r="DTI57" s="1"/>
      <c r="DTJ57" s="1"/>
      <c r="DTK57" s="1"/>
      <c r="DTL57" s="1"/>
      <c r="DTM57" s="1"/>
      <c r="DTN57" s="1"/>
      <c r="DTO57" s="1"/>
      <c r="DTP57" s="1"/>
      <c r="DTQ57" s="1"/>
      <c r="DTR57" s="1"/>
      <c r="DTS57" s="1"/>
      <c r="DTT57" s="1"/>
      <c r="DTU57" s="1"/>
      <c r="DTV57" s="1"/>
      <c r="DTW57" s="1"/>
      <c r="DTX57" s="1"/>
      <c r="DTY57" s="1"/>
      <c r="DTZ57" s="1"/>
      <c r="DUA57" s="1"/>
      <c r="DUB57" s="1"/>
      <c r="DUC57" s="1"/>
      <c r="DUD57" s="1"/>
      <c r="DUE57" s="1"/>
      <c r="DUF57" s="1"/>
      <c r="DUG57" s="1"/>
      <c r="DUH57" s="1"/>
      <c r="DUI57" s="1"/>
      <c r="DUJ57" s="1"/>
      <c r="DUK57" s="1"/>
      <c r="DUL57" s="1"/>
      <c r="DUM57" s="1"/>
      <c r="DUN57" s="1"/>
      <c r="DUO57" s="1"/>
      <c r="DUP57" s="1"/>
      <c r="DUQ57" s="1"/>
      <c r="DUR57" s="1"/>
      <c r="DUS57" s="1"/>
      <c r="DUT57" s="1"/>
      <c r="DUU57" s="1"/>
      <c r="DUV57" s="1"/>
      <c r="DUW57" s="1"/>
      <c r="DUX57" s="1"/>
      <c r="DUY57" s="1"/>
      <c r="DUZ57" s="1"/>
      <c r="DVA57" s="1"/>
      <c r="DVB57" s="1"/>
      <c r="DVC57" s="1"/>
      <c r="DVD57" s="1"/>
      <c r="DVE57" s="1"/>
      <c r="DVF57" s="1"/>
      <c r="DVG57" s="1"/>
      <c r="DVH57" s="1"/>
      <c r="DVI57" s="1"/>
      <c r="DVJ57" s="1"/>
      <c r="DVK57" s="1"/>
      <c r="DVL57" s="1"/>
      <c r="DVM57" s="1"/>
      <c r="DVN57" s="1"/>
      <c r="DVO57" s="1"/>
      <c r="DVP57" s="1"/>
      <c r="DVQ57" s="1"/>
      <c r="DVR57" s="1"/>
      <c r="DVS57" s="1"/>
      <c r="DVT57" s="1"/>
      <c r="DVU57" s="1"/>
      <c r="DVV57" s="1"/>
      <c r="DVW57" s="1"/>
      <c r="DVX57" s="1"/>
      <c r="DVY57" s="1"/>
      <c r="DVZ57" s="1"/>
      <c r="DWA57" s="1"/>
      <c r="DWB57" s="1"/>
      <c r="DWC57" s="1"/>
      <c r="DWD57" s="1"/>
      <c r="DWE57" s="1"/>
      <c r="DWF57" s="1"/>
      <c r="DWG57" s="1"/>
      <c r="DWH57" s="1"/>
      <c r="DWI57" s="1"/>
      <c r="DWJ57" s="1"/>
      <c r="DWK57" s="1"/>
      <c r="DWL57" s="1"/>
      <c r="DWM57" s="1"/>
      <c r="DWN57" s="1"/>
      <c r="DWO57" s="1"/>
      <c r="DWP57" s="1"/>
      <c r="DWQ57" s="1"/>
      <c r="DWR57" s="1"/>
      <c r="DWS57" s="1"/>
      <c r="DWT57" s="1"/>
      <c r="DWU57" s="1"/>
      <c r="DWV57" s="1"/>
      <c r="DWW57" s="1"/>
      <c r="DWX57" s="1"/>
      <c r="DWY57" s="1"/>
      <c r="DWZ57" s="1"/>
      <c r="DXA57" s="1"/>
      <c r="DXB57" s="1"/>
      <c r="DXC57" s="1"/>
      <c r="DXD57" s="1"/>
      <c r="DXE57" s="1"/>
      <c r="DXF57" s="1"/>
      <c r="DXG57" s="1"/>
      <c r="DXH57" s="1"/>
      <c r="DXI57" s="1"/>
      <c r="DXJ57" s="1"/>
      <c r="DXK57" s="1"/>
      <c r="DXL57" s="1"/>
      <c r="DXM57" s="1"/>
      <c r="DXN57" s="1"/>
      <c r="DXO57" s="1"/>
      <c r="DXP57" s="1"/>
      <c r="DXQ57" s="1"/>
      <c r="DXR57" s="1"/>
      <c r="DXS57" s="1"/>
      <c r="DXT57" s="1"/>
      <c r="DXU57" s="1"/>
      <c r="DXV57" s="1"/>
      <c r="DXW57" s="1"/>
      <c r="DXX57" s="1"/>
      <c r="DXY57" s="1"/>
      <c r="DXZ57" s="1"/>
      <c r="DYA57" s="1"/>
      <c r="DYB57" s="1"/>
      <c r="DYC57" s="1"/>
      <c r="DYD57" s="1"/>
      <c r="DYE57" s="1"/>
      <c r="DYF57" s="1"/>
      <c r="DYG57" s="1"/>
      <c r="DYH57" s="1"/>
      <c r="DYI57" s="1"/>
      <c r="DYJ57" s="1"/>
      <c r="DYK57" s="1"/>
      <c r="DYL57" s="1"/>
      <c r="DYM57" s="1"/>
      <c r="DYN57" s="1"/>
      <c r="DYO57" s="1"/>
      <c r="DYP57" s="1"/>
      <c r="DYQ57" s="1"/>
      <c r="DYR57" s="1"/>
      <c r="DYS57" s="1"/>
      <c r="DYT57" s="1"/>
      <c r="DYU57" s="1"/>
      <c r="DYV57" s="1"/>
      <c r="DYW57" s="1"/>
      <c r="DYX57" s="1"/>
      <c r="DYY57" s="1"/>
      <c r="DYZ57" s="1"/>
      <c r="DZA57" s="1"/>
      <c r="DZB57" s="1"/>
      <c r="DZC57" s="1"/>
      <c r="DZD57" s="1"/>
      <c r="DZE57" s="1"/>
      <c r="DZF57" s="1"/>
      <c r="DZG57" s="1"/>
      <c r="DZH57" s="1"/>
      <c r="DZI57" s="1"/>
      <c r="DZJ57" s="1"/>
      <c r="DZK57" s="1"/>
      <c r="DZL57" s="1"/>
      <c r="DZM57" s="1"/>
      <c r="DZN57" s="1"/>
      <c r="DZO57" s="1"/>
      <c r="DZP57" s="1"/>
      <c r="DZQ57" s="1"/>
      <c r="DZR57" s="1"/>
      <c r="DZS57" s="1"/>
      <c r="DZT57" s="1"/>
      <c r="DZU57" s="1"/>
      <c r="DZV57" s="1"/>
      <c r="DZW57" s="1"/>
      <c r="DZX57" s="1"/>
      <c r="DZY57" s="1"/>
      <c r="DZZ57" s="1"/>
      <c r="EAA57" s="1"/>
      <c r="EAB57" s="1"/>
      <c r="EAC57" s="1"/>
      <c r="EAD57" s="1"/>
      <c r="EAE57" s="1"/>
      <c r="EAF57" s="1"/>
      <c r="EAG57" s="1"/>
      <c r="EAH57" s="1"/>
      <c r="EAI57" s="1"/>
      <c r="EAJ57" s="1"/>
      <c r="EAK57" s="1"/>
      <c r="EAL57" s="1"/>
      <c r="EAM57" s="1"/>
      <c r="EAN57" s="1"/>
      <c r="EAO57" s="1"/>
      <c r="EAP57" s="1"/>
      <c r="EAQ57" s="1"/>
      <c r="EAR57" s="1"/>
      <c r="EAS57" s="1"/>
      <c r="EAT57" s="1"/>
      <c r="EAU57" s="1"/>
      <c r="EAV57" s="1"/>
      <c r="EAW57" s="1"/>
      <c r="EAX57" s="1"/>
      <c r="EAY57" s="1"/>
      <c r="EAZ57" s="1"/>
      <c r="EBA57" s="1"/>
      <c r="EBB57" s="1"/>
      <c r="EBC57" s="1"/>
      <c r="EBD57" s="1"/>
      <c r="EBE57" s="1"/>
      <c r="EBF57" s="1"/>
      <c r="EBG57" s="1"/>
      <c r="EBH57" s="1"/>
      <c r="EBI57" s="1"/>
      <c r="EBJ57" s="1"/>
      <c r="EBK57" s="1"/>
      <c r="EBL57" s="1"/>
      <c r="EBM57" s="1"/>
      <c r="EBN57" s="1"/>
      <c r="EBO57" s="1"/>
      <c r="EBP57" s="1"/>
      <c r="EBQ57" s="1"/>
      <c r="EBR57" s="1"/>
      <c r="EBS57" s="1"/>
      <c r="EBT57" s="1"/>
      <c r="EBU57" s="1"/>
      <c r="EBV57" s="1"/>
      <c r="EBW57" s="1"/>
      <c r="EBX57" s="1"/>
      <c r="EBY57" s="1"/>
      <c r="EBZ57" s="1"/>
      <c r="ECA57" s="1"/>
      <c r="ECB57" s="1"/>
      <c r="ECC57" s="1"/>
      <c r="ECD57" s="1"/>
      <c r="ECE57" s="1"/>
      <c r="ECF57" s="1"/>
      <c r="ECG57" s="1"/>
      <c r="ECH57" s="1"/>
      <c r="ECI57" s="1"/>
      <c r="ECJ57" s="1"/>
      <c r="ECK57" s="1"/>
      <c r="ECL57" s="1"/>
      <c r="ECM57" s="1"/>
      <c r="ECN57" s="1"/>
      <c r="ECO57" s="1"/>
      <c r="ECP57" s="1"/>
      <c r="ECQ57" s="1"/>
      <c r="ECR57" s="1"/>
      <c r="ECS57" s="1"/>
      <c r="ECT57" s="1"/>
      <c r="ECU57" s="1"/>
      <c r="ECV57" s="1"/>
      <c r="ECW57" s="1"/>
      <c r="ECX57" s="1"/>
      <c r="ECY57" s="1"/>
      <c r="ECZ57" s="1"/>
      <c r="EDA57" s="1"/>
      <c r="EDB57" s="1"/>
      <c r="EDC57" s="1"/>
      <c r="EDD57" s="1"/>
      <c r="EDE57" s="1"/>
      <c r="EDF57" s="1"/>
      <c r="EDG57" s="1"/>
      <c r="EDH57" s="1"/>
      <c r="EDI57" s="1"/>
      <c r="EDJ57" s="1"/>
      <c r="EDK57" s="1"/>
      <c r="EDL57" s="1"/>
      <c r="EDM57" s="1"/>
      <c r="EDN57" s="1"/>
      <c r="EDO57" s="1"/>
      <c r="EDP57" s="1"/>
      <c r="EDQ57" s="1"/>
      <c r="EDR57" s="1"/>
      <c r="EDS57" s="1"/>
      <c r="EDT57" s="1"/>
      <c r="EDU57" s="1"/>
      <c r="EDV57" s="1"/>
      <c r="EDW57" s="1"/>
      <c r="EDX57" s="1"/>
      <c r="EDY57" s="1"/>
      <c r="EDZ57" s="1"/>
      <c r="EEA57" s="1"/>
      <c r="EEB57" s="1"/>
      <c r="EEC57" s="1"/>
      <c r="EED57" s="1"/>
      <c r="EEE57" s="1"/>
      <c r="EEF57" s="1"/>
      <c r="EEG57" s="1"/>
      <c r="EEH57" s="1"/>
      <c r="EEI57" s="1"/>
      <c r="EEJ57" s="1"/>
      <c r="EEK57" s="1"/>
      <c r="EEL57" s="1"/>
      <c r="EEM57" s="1"/>
      <c r="EEN57" s="1"/>
      <c r="EEO57" s="1"/>
      <c r="EEP57" s="1"/>
      <c r="EEQ57" s="1"/>
      <c r="EER57" s="1"/>
      <c r="EES57" s="1"/>
      <c r="EET57" s="1"/>
      <c r="EEU57" s="1"/>
      <c r="EEV57" s="1"/>
      <c r="EEW57" s="1"/>
      <c r="EEX57" s="1"/>
      <c r="EEY57" s="1"/>
      <c r="EEZ57" s="1"/>
      <c r="EFA57" s="1"/>
      <c r="EFB57" s="1"/>
      <c r="EFC57" s="1"/>
      <c r="EFD57" s="1"/>
      <c r="EFE57" s="1"/>
      <c r="EFF57" s="1"/>
      <c r="EFG57" s="1"/>
      <c r="EFH57" s="1"/>
      <c r="EFI57" s="1"/>
      <c r="EFJ57" s="1"/>
      <c r="EFK57" s="1"/>
      <c r="EFL57" s="1"/>
      <c r="EFM57" s="1"/>
      <c r="EFN57" s="1"/>
      <c r="EFO57" s="1"/>
      <c r="EFP57" s="1"/>
      <c r="EFQ57" s="1"/>
      <c r="EFR57" s="1"/>
      <c r="EFS57" s="1"/>
      <c r="EFT57" s="1"/>
      <c r="EFU57" s="1"/>
      <c r="EFV57" s="1"/>
      <c r="EFW57" s="1"/>
      <c r="EFX57" s="1"/>
      <c r="EFY57" s="1"/>
      <c r="EFZ57" s="1"/>
      <c r="EGA57" s="1"/>
      <c r="EGB57" s="1"/>
      <c r="EGC57" s="1"/>
      <c r="EGD57" s="1"/>
      <c r="EGE57" s="1"/>
      <c r="EGF57" s="1"/>
      <c r="EGG57" s="1"/>
      <c r="EGH57" s="1"/>
      <c r="EGI57" s="1"/>
      <c r="EGJ57" s="1"/>
      <c r="EGK57" s="1"/>
      <c r="EGL57" s="1"/>
      <c r="EGM57" s="1"/>
      <c r="EGN57" s="1"/>
      <c r="EGO57" s="1"/>
      <c r="EGP57" s="1"/>
      <c r="EGQ57" s="1"/>
      <c r="EGR57" s="1"/>
      <c r="EGS57" s="1"/>
      <c r="EGT57" s="1"/>
      <c r="EGU57" s="1"/>
      <c r="EGV57" s="1"/>
      <c r="EGW57" s="1"/>
      <c r="EGX57" s="1"/>
      <c r="EGY57" s="1"/>
      <c r="EGZ57" s="1"/>
      <c r="EHA57" s="1"/>
      <c r="EHB57" s="1"/>
      <c r="EHC57" s="1"/>
      <c r="EHD57" s="1"/>
      <c r="EHE57" s="1"/>
      <c r="EHF57" s="1"/>
      <c r="EHG57" s="1"/>
      <c r="EHH57" s="1"/>
      <c r="EHI57" s="1"/>
      <c r="EHJ57" s="1"/>
      <c r="EHK57" s="1"/>
      <c r="EHL57" s="1"/>
      <c r="EHM57" s="1"/>
      <c r="EHN57" s="1"/>
      <c r="EHO57" s="1"/>
      <c r="EHP57" s="1"/>
      <c r="EHQ57" s="1"/>
      <c r="EHR57" s="1"/>
      <c r="EHS57" s="1"/>
      <c r="EHT57" s="1"/>
      <c r="EHU57" s="1"/>
      <c r="EHV57" s="1"/>
      <c r="EHW57" s="1"/>
      <c r="EHX57" s="1"/>
      <c r="EHY57" s="1"/>
      <c r="EHZ57" s="1"/>
      <c r="EIA57" s="1"/>
      <c r="EIB57" s="1"/>
      <c r="EIC57" s="1"/>
      <c r="EID57" s="1"/>
      <c r="EIE57" s="1"/>
      <c r="EIF57" s="1"/>
      <c r="EIG57" s="1"/>
      <c r="EIH57" s="1"/>
      <c r="EII57" s="1"/>
      <c r="EIJ57" s="1"/>
      <c r="EIK57" s="1"/>
      <c r="EIL57" s="1"/>
      <c r="EIM57" s="1"/>
      <c r="EIN57" s="1"/>
      <c r="EIO57" s="1"/>
      <c r="EIP57" s="1"/>
      <c r="EIQ57" s="1"/>
      <c r="EIR57" s="1"/>
      <c r="EIS57" s="1"/>
      <c r="EIT57" s="1"/>
      <c r="EIU57" s="1"/>
      <c r="EIV57" s="1"/>
      <c r="EIW57" s="1"/>
      <c r="EIX57" s="1"/>
      <c r="EIY57" s="1"/>
      <c r="EIZ57" s="1"/>
      <c r="EJA57" s="1"/>
      <c r="EJB57" s="1"/>
      <c r="EJC57" s="1"/>
      <c r="EJD57" s="1"/>
      <c r="EJE57" s="1"/>
      <c r="EJF57" s="1"/>
      <c r="EJG57" s="1"/>
      <c r="EJH57" s="1"/>
      <c r="EJI57" s="1"/>
      <c r="EJJ57" s="1"/>
      <c r="EJK57" s="1"/>
      <c r="EJL57" s="1"/>
      <c r="EJM57" s="1"/>
      <c r="EJN57" s="1"/>
      <c r="EJO57" s="1"/>
      <c r="EJP57" s="1"/>
      <c r="EJQ57" s="1"/>
      <c r="EJR57" s="1"/>
      <c r="EJS57" s="1"/>
      <c r="EJT57" s="1"/>
      <c r="EJU57" s="1"/>
      <c r="EJV57" s="1"/>
      <c r="EJW57" s="1"/>
      <c r="EJX57" s="1"/>
      <c r="EJY57" s="1"/>
      <c r="EJZ57" s="1"/>
      <c r="EKA57" s="1"/>
      <c r="EKB57" s="1"/>
      <c r="EKC57" s="1"/>
      <c r="EKD57" s="1"/>
      <c r="EKE57" s="1"/>
      <c r="EKF57" s="1"/>
      <c r="EKG57" s="1"/>
      <c r="EKH57" s="1"/>
      <c r="EKI57" s="1"/>
      <c r="EKJ57" s="1"/>
      <c r="EKK57" s="1"/>
      <c r="EKL57" s="1"/>
      <c r="EKM57" s="1"/>
      <c r="EKN57" s="1"/>
      <c r="EKO57" s="1"/>
      <c r="EKP57" s="1"/>
      <c r="EKQ57" s="1"/>
      <c r="EKR57" s="1"/>
      <c r="EKS57" s="1"/>
      <c r="EKT57" s="1"/>
      <c r="EKU57" s="1"/>
      <c r="EKV57" s="1"/>
      <c r="EKW57" s="1"/>
      <c r="EKX57" s="1"/>
      <c r="EKY57" s="1"/>
      <c r="EKZ57" s="1"/>
      <c r="ELA57" s="1"/>
      <c r="ELB57" s="1"/>
      <c r="ELC57" s="1"/>
      <c r="ELD57" s="1"/>
      <c r="ELE57" s="1"/>
      <c r="ELF57" s="1"/>
      <c r="ELG57" s="1"/>
      <c r="ELH57" s="1"/>
      <c r="ELI57" s="1"/>
      <c r="ELJ57" s="1"/>
      <c r="ELK57" s="1"/>
      <c r="ELL57" s="1"/>
      <c r="ELM57" s="1"/>
      <c r="ELN57" s="1"/>
      <c r="ELO57" s="1"/>
      <c r="ELP57" s="1"/>
      <c r="ELQ57" s="1"/>
      <c r="ELR57" s="1"/>
      <c r="ELS57" s="1"/>
      <c r="ELT57" s="1"/>
      <c r="ELU57" s="1"/>
      <c r="ELV57" s="1"/>
      <c r="ELW57" s="1"/>
      <c r="ELX57" s="1"/>
      <c r="ELY57" s="1"/>
      <c r="ELZ57" s="1"/>
      <c r="EMA57" s="1"/>
      <c r="EMB57" s="1"/>
      <c r="EMC57" s="1"/>
      <c r="EMD57" s="1"/>
      <c r="EME57" s="1"/>
      <c r="EMF57" s="1"/>
      <c r="EMG57" s="1"/>
      <c r="EMH57" s="1"/>
      <c r="EMI57" s="1"/>
      <c r="EMJ57" s="1"/>
      <c r="EMK57" s="1"/>
      <c r="EML57" s="1"/>
      <c r="EMM57" s="1"/>
      <c r="EMN57" s="1"/>
      <c r="EMO57" s="1"/>
      <c r="EMP57" s="1"/>
      <c r="EMQ57" s="1"/>
      <c r="EMR57" s="1"/>
      <c r="EMS57" s="1"/>
      <c r="EMT57" s="1"/>
      <c r="EMU57" s="1"/>
      <c r="EMV57" s="1"/>
      <c r="EMW57" s="1"/>
      <c r="EMX57" s="1"/>
      <c r="EMY57" s="1"/>
      <c r="EMZ57" s="1"/>
      <c r="ENA57" s="1"/>
      <c r="ENB57" s="1"/>
      <c r="ENC57" s="1"/>
      <c r="END57" s="1"/>
      <c r="ENE57" s="1"/>
      <c r="ENF57" s="1"/>
      <c r="ENG57" s="1"/>
      <c r="ENH57" s="1"/>
      <c r="ENI57" s="1"/>
      <c r="ENJ57" s="1"/>
      <c r="ENK57" s="1"/>
      <c r="ENL57" s="1"/>
      <c r="ENM57" s="1"/>
      <c r="ENN57" s="1"/>
      <c r="ENO57" s="1"/>
      <c r="ENP57" s="1"/>
      <c r="ENQ57" s="1"/>
      <c r="ENR57" s="1"/>
      <c r="ENS57" s="1"/>
      <c r="ENT57" s="1"/>
      <c r="ENU57" s="1"/>
      <c r="ENV57" s="1"/>
      <c r="ENW57" s="1"/>
      <c r="ENX57" s="1"/>
      <c r="ENY57" s="1"/>
      <c r="ENZ57" s="1"/>
      <c r="EOA57" s="1"/>
      <c r="EOB57" s="1"/>
      <c r="EOC57" s="1"/>
      <c r="EOD57" s="1"/>
      <c r="EOE57" s="1"/>
      <c r="EOF57" s="1"/>
      <c r="EOG57" s="1"/>
      <c r="EOH57" s="1"/>
      <c r="EOI57" s="1"/>
      <c r="EOJ57" s="1"/>
      <c r="EOK57" s="1"/>
      <c r="EOL57" s="1"/>
      <c r="EOM57" s="1"/>
      <c r="EON57" s="1"/>
      <c r="EOO57" s="1"/>
      <c r="EOP57" s="1"/>
      <c r="EOQ57" s="1"/>
      <c r="EOR57" s="1"/>
      <c r="EOS57" s="1"/>
      <c r="EOT57" s="1"/>
      <c r="EOU57" s="1"/>
      <c r="EOV57" s="1"/>
      <c r="EOW57" s="1"/>
      <c r="EOX57" s="1"/>
      <c r="EOY57" s="1"/>
      <c r="EOZ57" s="1"/>
      <c r="EPA57" s="1"/>
      <c r="EPB57" s="1"/>
      <c r="EPC57" s="1"/>
      <c r="EPD57" s="1"/>
      <c r="EPE57" s="1"/>
      <c r="EPF57" s="1"/>
      <c r="EPG57" s="1"/>
      <c r="EPH57" s="1"/>
      <c r="EPI57" s="1"/>
      <c r="EPJ57" s="1"/>
      <c r="EPK57" s="1"/>
      <c r="EPL57" s="1"/>
      <c r="EPM57" s="1"/>
      <c r="EPN57" s="1"/>
      <c r="EPO57" s="1"/>
      <c r="EPP57" s="1"/>
      <c r="EPQ57" s="1"/>
      <c r="EPR57" s="1"/>
      <c r="EPS57" s="1"/>
      <c r="EPT57" s="1"/>
      <c r="EPU57" s="1"/>
      <c r="EPV57" s="1"/>
      <c r="EPW57" s="1"/>
      <c r="EPX57" s="1"/>
      <c r="EPY57" s="1"/>
      <c r="EPZ57" s="1"/>
      <c r="EQA57" s="1"/>
      <c r="EQB57" s="1"/>
      <c r="EQC57" s="1"/>
      <c r="EQD57" s="1"/>
      <c r="EQE57" s="1"/>
      <c r="EQF57" s="1"/>
      <c r="EQG57" s="1"/>
      <c r="EQH57" s="1"/>
      <c r="EQI57" s="1"/>
      <c r="EQJ57" s="1"/>
      <c r="EQK57" s="1"/>
      <c r="EQL57" s="1"/>
      <c r="EQM57" s="1"/>
      <c r="EQN57" s="1"/>
      <c r="EQO57" s="1"/>
      <c r="EQP57" s="1"/>
      <c r="EQQ57" s="1"/>
      <c r="EQR57" s="1"/>
      <c r="EQS57" s="1"/>
      <c r="EQT57" s="1"/>
      <c r="EQU57" s="1"/>
      <c r="EQV57" s="1"/>
      <c r="EQW57" s="1"/>
      <c r="EQX57" s="1"/>
      <c r="EQY57" s="1"/>
      <c r="EQZ57" s="1"/>
      <c r="ERA57" s="1"/>
      <c r="ERB57" s="1"/>
      <c r="ERC57" s="1"/>
      <c r="ERD57" s="1"/>
      <c r="ERE57" s="1"/>
      <c r="ERF57" s="1"/>
      <c r="ERG57" s="1"/>
      <c r="ERH57" s="1"/>
      <c r="ERI57" s="1"/>
      <c r="ERJ57" s="1"/>
      <c r="ERK57" s="1"/>
      <c r="ERL57" s="1"/>
      <c r="ERM57" s="1"/>
      <c r="ERN57" s="1"/>
      <c r="ERO57" s="1"/>
      <c r="ERP57" s="1"/>
      <c r="ERQ57" s="1"/>
      <c r="ERR57" s="1"/>
      <c r="ERS57" s="1"/>
      <c r="ERT57" s="1"/>
      <c r="ERU57" s="1"/>
      <c r="ERV57" s="1"/>
      <c r="ERW57" s="1"/>
      <c r="ERX57" s="1"/>
      <c r="ERY57" s="1"/>
      <c r="ERZ57" s="1"/>
      <c r="ESA57" s="1"/>
      <c r="ESB57" s="1"/>
      <c r="ESC57" s="1"/>
      <c r="ESD57" s="1"/>
      <c r="ESE57" s="1"/>
      <c r="ESF57" s="1"/>
      <c r="ESG57" s="1"/>
      <c r="ESH57" s="1"/>
      <c r="ESI57" s="1"/>
      <c r="ESJ57" s="1"/>
      <c r="ESK57" s="1"/>
      <c r="ESL57" s="1"/>
      <c r="ESM57" s="1"/>
      <c r="ESN57" s="1"/>
      <c r="ESO57" s="1"/>
      <c r="ESP57" s="1"/>
      <c r="ESQ57" s="1"/>
      <c r="ESR57" s="1"/>
      <c r="ESS57" s="1"/>
      <c r="EST57" s="1"/>
      <c r="ESU57" s="1"/>
      <c r="ESV57" s="1"/>
      <c r="ESW57" s="1"/>
      <c r="ESX57" s="1"/>
      <c r="ESY57" s="1"/>
      <c r="ESZ57" s="1"/>
      <c r="ETA57" s="1"/>
      <c r="ETB57" s="1"/>
      <c r="ETC57" s="1"/>
      <c r="ETD57" s="1"/>
      <c r="ETE57" s="1"/>
      <c r="ETF57" s="1"/>
      <c r="ETG57" s="1"/>
      <c r="ETH57" s="1"/>
      <c r="ETI57" s="1"/>
      <c r="ETJ57" s="1"/>
      <c r="ETK57" s="1"/>
      <c r="ETL57" s="1"/>
      <c r="ETM57" s="1"/>
      <c r="ETN57" s="1"/>
      <c r="ETO57" s="1"/>
      <c r="ETP57" s="1"/>
      <c r="ETQ57" s="1"/>
      <c r="ETR57" s="1"/>
      <c r="ETS57" s="1"/>
      <c r="ETT57" s="1"/>
      <c r="ETU57" s="1"/>
      <c r="ETV57" s="1"/>
      <c r="ETW57" s="1"/>
      <c r="ETX57" s="1"/>
      <c r="ETY57" s="1"/>
      <c r="ETZ57" s="1"/>
      <c r="EUA57" s="1"/>
      <c r="EUB57" s="1"/>
      <c r="EUC57" s="1"/>
      <c r="EUD57" s="1"/>
      <c r="EUE57" s="1"/>
      <c r="EUF57" s="1"/>
      <c r="EUG57" s="1"/>
      <c r="EUH57" s="1"/>
      <c r="EUI57" s="1"/>
      <c r="EUJ57" s="1"/>
      <c r="EUK57" s="1"/>
      <c r="EUL57" s="1"/>
      <c r="EUM57" s="1"/>
      <c r="EUN57" s="1"/>
      <c r="EUO57" s="1"/>
      <c r="EUP57" s="1"/>
      <c r="EUQ57" s="1"/>
      <c r="EUR57" s="1"/>
      <c r="EUS57" s="1"/>
      <c r="EUT57" s="1"/>
      <c r="EUU57" s="1"/>
      <c r="EUV57" s="1"/>
      <c r="EUW57" s="1"/>
      <c r="EUX57" s="1"/>
      <c r="EUY57" s="1"/>
      <c r="EUZ57" s="1"/>
      <c r="EVA57" s="1"/>
      <c r="EVB57" s="1"/>
      <c r="EVC57" s="1"/>
      <c r="EVD57" s="1"/>
      <c r="EVE57" s="1"/>
      <c r="EVF57" s="1"/>
      <c r="EVG57" s="1"/>
      <c r="EVH57" s="1"/>
      <c r="EVI57" s="1"/>
      <c r="EVJ57" s="1"/>
      <c r="EVK57" s="1"/>
      <c r="EVL57" s="1"/>
      <c r="EVM57" s="1"/>
      <c r="EVN57" s="1"/>
      <c r="EVO57" s="1"/>
      <c r="EVP57" s="1"/>
      <c r="EVQ57" s="1"/>
      <c r="EVR57" s="1"/>
      <c r="EVS57" s="1"/>
      <c r="EVT57" s="1"/>
      <c r="EVU57" s="1"/>
      <c r="EVV57" s="1"/>
      <c r="EVW57" s="1"/>
      <c r="EVX57" s="1"/>
      <c r="EVY57" s="1"/>
      <c r="EVZ57" s="1"/>
      <c r="EWA57" s="1"/>
      <c r="EWB57" s="1"/>
      <c r="EWC57" s="1"/>
      <c r="EWD57" s="1"/>
      <c r="EWE57" s="1"/>
      <c r="EWF57" s="1"/>
      <c r="EWG57" s="1"/>
      <c r="EWH57" s="1"/>
      <c r="EWI57" s="1"/>
      <c r="EWJ57" s="1"/>
      <c r="EWK57" s="1"/>
      <c r="EWL57" s="1"/>
      <c r="EWM57" s="1"/>
      <c r="EWN57" s="1"/>
      <c r="EWO57" s="1"/>
      <c r="EWP57" s="1"/>
      <c r="EWQ57" s="1"/>
      <c r="EWR57" s="1"/>
      <c r="EWS57" s="1"/>
      <c r="EWT57" s="1"/>
      <c r="EWU57" s="1"/>
      <c r="EWV57" s="1"/>
      <c r="EWW57" s="1"/>
      <c r="EWX57" s="1"/>
      <c r="EWY57" s="1"/>
      <c r="EWZ57" s="1"/>
      <c r="EXA57" s="1"/>
      <c r="EXB57" s="1"/>
      <c r="EXC57" s="1"/>
      <c r="EXD57" s="1"/>
      <c r="EXE57" s="1"/>
      <c r="EXF57" s="1"/>
      <c r="EXG57" s="1"/>
      <c r="EXH57" s="1"/>
      <c r="EXI57" s="1"/>
      <c r="EXJ57" s="1"/>
      <c r="EXK57" s="1"/>
      <c r="EXL57" s="1"/>
      <c r="EXM57" s="1"/>
      <c r="EXN57" s="1"/>
      <c r="EXO57" s="1"/>
      <c r="EXP57" s="1"/>
      <c r="EXQ57" s="1"/>
      <c r="EXR57" s="1"/>
      <c r="EXS57" s="1"/>
      <c r="EXT57" s="1"/>
      <c r="EXU57" s="1"/>
      <c r="EXV57" s="1"/>
      <c r="EXW57" s="1"/>
      <c r="EXX57" s="1"/>
      <c r="EXY57" s="1"/>
      <c r="EXZ57" s="1"/>
      <c r="EYA57" s="1"/>
      <c r="EYB57" s="1"/>
      <c r="EYC57" s="1"/>
      <c r="EYD57" s="1"/>
      <c r="EYE57" s="1"/>
      <c r="EYF57" s="1"/>
      <c r="EYG57" s="1"/>
      <c r="EYH57" s="1"/>
      <c r="EYI57" s="1"/>
      <c r="EYJ57" s="1"/>
      <c r="EYK57" s="1"/>
      <c r="EYL57" s="1"/>
      <c r="EYM57" s="1"/>
      <c r="EYN57" s="1"/>
      <c r="EYO57" s="1"/>
      <c r="EYP57" s="1"/>
      <c r="EYQ57" s="1"/>
      <c r="EYR57" s="1"/>
      <c r="EYS57" s="1"/>
      <c r="EYT57" s="1"/>
      <c r="EYU57" s="1"/>
      <c r="EYV57" s="1"/>
      <c r="EYW57" s="1"/>
      <c r="EYX57" s="1"/>
      <c r="EYY57" s="1"/>
      <c r="EYZ57" s="1"/>
      <c r="EZA57" s="1"/>
      <c r="EZB57" s="1"/>
      <c r="EZC57" s="1"/>
      <c r="EZD57" s="1"/>
      <c r="EZE57" s="1"/>
      <c r="EZF57" s="1"/>
      <c r="EZG57" s="1"/>
      <c r="EZH57" s="1"/>
      <c r="EZI57" s="1"/>
      <c r="EZJ57" s="1"/>
      <c r="EZK57" s="1"/>
      <c r="EZL57" s="1"/>
      <c r="EZM57" s="1"/>
      <c r="EZN57" s="1"/>
      <c r="EZO57" s="1"/>
      <c r="EZP57" s="1"/>
      <c r="EZQ57" s="1"/>
      <c r="EZR57" s="1"/>
      <c r="EZS57" s="1"/>
      <c r="EZT57" s="1"/>
      <c r="EZU57" s="1"/>
      <c r="EZV57" s="1"/>
      <c r="EZW57" s="1"/>
      <c r="EZX57" s="1"/>
      <c r="EZY57" s="1"/>
      <c r="EZZ57" s="1"/>
      <c r="FAA57" s="1"/>
      <c r="FAB57" s="1"/>
      <c r="FAC57" s="1"/>
      <c r="FAD57" s="1"/>
      <c r="FAE57" s="1"/>
      <c r="FAF57" s="1"/>
      <c r="FAG57" s="1"/>
      <c r="FAH57" s="1"/>
      <c r="FAI57" s="1"/>
      <c r="FAJ57" s="1"/>
      <c r="FAK57" s="1"/>
      <c r="FAL57" s="1"/>
      <c r="FAM57" s="1"/>
      <c r="FAN57" s="1"/>
      <c r="FAO57" s="1"/>
      <c r="FAP57" s="1"/>
      <c r="FAQ57" s="1"/>
      <c r="FAR57" s="1"/>
      <c r="FAS57" s="1"/>
      <c r="FAT57" s="1"/>
      <c r="FAU57" s="1"/>
      <c r="FAV57" s="1"/>
      <c r="FAW57" s="1"/>
      <c r="FAX57" s="1"/>
      <c r="FAY57" s="1"/>
      <c r="FAZ57" s="1"/>
      <c r="FBA57" s="1"/>
      <c r="FBB57" s="1"/>
      <c r="FBC57" s="1"/>
      <c r="FBD57" s="1"/>
      <c r="FBE57" s="1"/>
      <c r="FBF57" s="1"/>
      <c r="FBG57" s="1"/>
      <c r="FBH57" s="1"/>
      <c r="FBI57" s="1"/>
      <c r="FBJ57" s="1"/>
      <c r="FBK57" s="1"/>
      <c r="FBL57" s="1"/>
      <c r="FBM57" s="1"/>
      <c r="FBN57" s="1"/>
      <c r="FBO57" s="1"/>
      <c r="FBP57" s="1"/>
      <c r="FBQ57" s="1"/>
      <c r="FBR57" s="1"/>
      <c r="FBS57" s="1"/>
      <c r="FBT57" s="1"/>
      <c r="FBU57" s="1"/>
      <c r="FBV57" s="1"/>
      <c r="FBW57" s="1"/>
      <c r="FBX57" s="1"/>
      <c r="FBY57" s="1"/>
      <c r="FBZ57" s="1"/>
      <c r="FCA57" s="1"/>
      <c r="FCB57" s="1"/>
      <c r="FCC57" s="1"/>
      <c r="FCD57" s="1"/>
      <c r="FCE57" s="1"/>
      <c r="FCF57" s="1"/>
      <c r="FCG57" s="1"/>
      <c r="FCH57" s="1"/>
      <c r="FCI57" s="1"/>
      <c r="FCJ57" s="1"/>
      <c r="FCK57" s="1"/>
      <c r="FCL57" s="1"/>
      <c r="FCM57" s="1"/>
      <c r="FCN57" s="1"/>
      <c r="FCO57" s="1"/>
      <c r="FCP57" s="1"/>
      <c r="FCQ57" s="1"/>
      <c r="FCR57" s="1"/>
      <c r="FCS57" s="1"/>
      <c r="FCT57" s="1"/>
      <c r="FCU57" s="1"/>
      <c r="FCV57" s="1"/>
      <c r="FCW57" s="1"/>
      <c r="FCX57" s="1"/>
      <c r="FCY57" s="1"/>
      <c r="FCZ57" s="1"/>
      <c r="FDA57" s="1"/>
      <c r="FDB57" s="1"/>
      <c r="FDC57" s="1"/>
      <c r="FDD57" s="1"/>
      <c r="FDE57" s="1"/>
      <c r="FDF57" s="1"/>
      <c r="FDG57" s="1"/>
      <c r="FDH57" s="1"/>
      <c r="FDI57" s="1"/>
      <c r="FDJ57" s="1"/>
      <c r="FDK57" s="1"/>
      <c r="FDL57" s="1"/>
      <c r="FDM57" s="1"/>
      <c r="FDN57" s="1"/>
      <c r="FDO57" s="1"/>
      <c r="FDP57" s="1"/>
      <c r="FDQ57" s="1"/>
      <c r="FDR57" s="1"/>
      <c r="FDS57" s="1"/>
      <c r="FDT57" s="1"/>
      <c r="FDU57" s="1"/>
      <c r="FDV57" s="1"/>
      <c r="FDW57" s="1"/>
      <c r="FDX57" s="1"/>
      <c r="FDY57" s="1"/>
      <c r="FDZ57" s="1"/>
      <c r="FEA57" s="1"/>
      <c r="FEB57" s="1"/>
      <c r="FEC57" s="1"/>
      <c r="FED57" s="1"/>
      <c r="FEE57" s="1"/>
      <c r="FEF57" s="1"/>
      <c r="FEG57" s="1"/>
      <c r="FEH57" s="1"/>
      <c r="FEI57" s="1"/>
      <c r="FEJ57" s="1"/>
      <c r="FEK57" s="1"/>
      <c r="FEL57" s="1"/>
      <c r="FEM57" s="1"/>
      <c r="FEN57" s="1"/>
      <c r="FEO57" s="1"/>
      <c r="FEP57" s="1"/>
      <c r="FEQ57" s="1"/>
      <c r="FER57" s="1"/>
      <c r="FES57" s="1"/>
      <c r="FET57" s="1"/>
      <c r="FEU57" s="1"/>
      <c r="FEV57" s="1"/>
      <c r="FEW57" s="1"/>
      <c r="FEX57" s="1"/>
      <c r="FEY57" s="1"/>
      <c r="FEZ57" s="1"/>
      <c r="FFA57" s="1"/>
      <c r="FFB57" s="1"/>
      <c r="FFC57" s="1"/>
      <c r="FFD57" s="1"/>
      <c r="FFE57" s="1"/>
      <c r="FFF57" s="1"/>
      <c r="FFG57" s="1"/>
      <c r="FFH57" s="1"/>
      <c r="FFI57" s="1"/>
      <c r="FFJ57" s="1"/>
      <c r="FFK57" s="1"/>
      <c r="FFL57" s="1"/>
      <c r="FFM57" s="1"/>
      <c r="FFN57" s="1"/>
      <c r="FFO57" s="1"/>
      <c r="FFP57" s="1"/>
      <c r="FFQ57" s="1"/>
      <c r="FFR57" s="1"/>
      <c r="FFS57" s="1"/>
      <c r="FFT57" s="1"/>
      <c r="FFU57" s="1"/>
      <c r="FFV57" s="1"/>
      <c r="FFW57" s="1"/>
      <c r="FFX57" s="1"/>
      <c r="FFY57" s="1"/>
      <c r="FFZ57" s="1"/>
      <c r="FGA57" s="1"/>
      <c r="FGB57" s="1"/>
      <c r="FGC57" s="1"/>
      <c r="FGD57" s="1"/>
      <c r="FGE57" s="1"/>
      <c r="FGF57" s="1"/>
      <c r="FGG57" s="1"/>
      <c r="FGH57" s="1"/>
      <c r="FGI57" s="1"/>
      <c r="FGJ57" s="1"/>
      <c r="FGK57" s="1"/>
      <c r="FGL57" s="1"/>
      <c r="FGM57" s="1"/>
      <c r="FGN57" s="1"/>
      <c r="FGO57" s="1"/>
      <c r="FGP57" s="1"/>
      <c r="FGQ57" s="1"/>
      <c r="FGR57" s="1"/>
      <c r="FGS57" s="1"/>
      <c r="FGT57" s="1"/>
      <c r="FGU57" s="1"/>
      <c r="FGV57" s="1"/>
      <c r="FGW57" s="1"/>
      <c r="FGX57" s="1"/>
      <c r="FGY57" s="1"/>
      <c r="FGZ57" s="1"/>
      <c r="FHA57" s="1"/>
      <c r="FHB57" s="1"/>
      <c r="FHC57" s="1"/>
      <c r="FHD57" s="1"/>
      <c r="FHE57" s="1"/>
      <c r="FHF57" s="1"/>
      <c r="FHG57" s="1"/>
      <c r="FHH57" s="1"/>
      <c r="FHI57" s="1"/>
      <c r="FHJ57" s="1"/>
      <c r="FHK57" s="1"/>
      <c r="FHL57" s="1"/>
      <c r="FHM57" s="1"/>
      <c r="FHN57" s="1"/>
      <c r="FHO57" s="1"/>
      <c r="FHP57" s="1"/>
      <c r="FHQ57" s="1"/>
      <c r="FHR57" s="1"/>
      <c r="FHS57" s="1"/>
      <c r="FHT57" s="1"/>
      <c r="FHU57" s="1"/>
      <c r="FHV57" s="1"/>
      <c r="FHW57" s="1"/>
      <c r="FHX57" s="1"/>
      <c r="FHY57" s="1"/>
      <c r="FHZ57" s="1"/>
      <c r="FIA57" s="1"/>
      <c r="FIB57" s="1"/>
      <c r="FIC57" s="1"/>
      <c r="FID57" s="1"/>
      <c r="FIE57" s="1"/>
      <c r="FIF57" s="1"/>
      <c r="FIG57" s="1"/>
      <c r="FIH57" s="1"/>
      <c r="FII57" s="1"/>
      <c r="FIJ57" s="1"/>
      <c r="FIK57" s="1"/>
      <c r="FIL57" s="1"/>
      <c r="FIM57" s="1"/>
      <c r="FIN57" s="1"/>
      <c r="FIO57" s="1"/>
      <c r="FIP57" s="1"/>
      <c r="FIQ57" s="1"/>
      <c r="FIR57" s="1"/>
      <c r="FIS57" s="1"/>
      <c r="FIT57" s="1"/>
      <c r="FIU57" s="1"/>
      <c r="FIV57" s="1"/>
      <c r="FIW57" s="1"/>
      <c r="FIX57" s="1"/>
      <c r="FIY57" s="1"/>
      <c r="FIZ57" s="1"/>
      <c r="FJA57" s="1"/>
      <c r="FJB57" s="1"/>
      <c r="FJC57" s="1"/>
      <c r="FJD57" s="1"/>
      <c r="FJE57" s="1"/>
      <c r="FJF57" s="1"/>
      <c r="FJG57" s="1"/>
      <c r="FJH57" s="1"/>
      <c r="FJI57" s="1"/>
      <c r="FJJ57" s="1"/>
      <c r="FJK57" s="1"/>
      <c r="FJL57" s="1"/>
      <c r="FJM57" s="1"/>
      <c r="FJN57" s="1"/>
      <c r="FJO57" s="1"/>
      <c r="FJP57" s="1"/>
      <c r="FJQ57" s="1"/>
      <c r="FJR57" s="1"/>
      <c r="FJS57" s="1"/>
      <c r="FJT57" s="1"/>
      <c r="FJU57" s="1"/>
      <c r="FJV57" s="1"/>
      <c r="FJW57" s="1"/>
      <c r="FJX57" s="1"/>
      <c r="FJY57" s="1"/>
      <c r="FJZ57" s="1"/>
      <c r="FKA57" s="1"/>
      <c r="FKB57" s="1"/>
      <c r="FKC57" s="1"/>
      <c r="FKD57" s="1"/>
      <c r="FKE57" s="1"/>
      <c r="FKF57" s="1"/>
      <c r="FKG57" s="1"/>
      <c r="FKH57" s="1"/>
      <c r="FKI57" s="1"/>
      <c r="FKJ57" s="1"/>
      <c r="FKK57" s="1"/>
      <c r="FKL57" s="1"/>
      <c r="FKM57" s="1"/>
      <c r="FKN57" s="1"/>
      <c r="FKO57" s="1"/>
      <c r="FKP57" s="1"/>
      <c r="FKQ57" s="1"/>
      <c r="FKR57" s="1"/>
      <c r="FKS57" s="1"/>
      <c r="FKT57" s="1"/>
      <c r="FKU57" s="1"/>
      <c r="FKV57" s="1"/>
      <c r="FKW57" s="1"/>
      <c r="FKX57" s="1"/>
      <c r="FKY57" s="1"/>
      <c r="FKZ57" s="1"/>
      <c r="FLA57" s="1"/>
      <c r="FLB57" s="1"/>
      <c r="FLC57" s="1"/>
      <c r="FLD57" s="1"/>
      <c r="FLE57" s="1"/>
      <c r="FLF57" s="1"/>
      <c r="FLG57" s="1"/>
      <c r="FLH57" s="1"/>
      <c r="FLI57" s="1"/>
      <c r="FLJ57" s="1"/>
      <c r="FLK57" s="1"/>
      <c r="FLL57" s="1"/>
      <c r="FLM57" s="1"/>
      <c r="FLN57" s="1"/>
      <c r="FLO57" s="1"/>
      <c r="FLP57" s="1"/>
      <c r="FLQ57" s="1"/>
      <c r="FLR57" s="1"/>
      <c r="FLS57" s="1"/>
      <c r="FLT57" s="1"/>
      <c r="FLU57" s="1"/>
      <c r="FLV57" s="1"/>
      <c r="FLW57" s="1"/>
      <c r="FLX57" s="1"/>
      <c r="FLY57" s="1"/>
      <c r="FLZ57" s="1"/>
      <c r="FMA57" s="1"/>
      <c r="FMB57" s="1"/>
      <c r="FMC57" s="1"/>
      <c r="FMD57" s="1"/>
      <c r="FME57" s="1"/>
      <c r="FMF57" s="1"/>
      <c r="FMG57" s="1"/>
      <c r="FMH57" s="1"/>
      <c r="FMI57" s="1"/>
      <c r="FMJ57" s="1"/>
      <c r="FMK57" s="1"/>
      <c r="FML57" s="1"/>
      <c r="FMM57" s="1"/>
      <c r="FMN57" s="1"/>
      <c r="FMO57" s="1"/>
      <c r="FMP57" s="1"/>
      <c r="FMQ57" s="1"/>
      <c r="FMR57" s="1"/>
      <c r="FMS57" s="1"/>
      <c r="FMT57" s="1"/>
      <c r="FMU57" s="1"/>
      <c r="FMV57" s="1"/>
      <c r="FMW57" s="1"/>
      <c r="FMX57" s="1"/>
      <c r="FMY57" s="1"/>
      <c r="FMZ57" s="1"/>
      <c r="FNA57" s="1"/>
      <c r="FNB57" s="1"/>
      <c r="FNC57" s="1"/>
      <c r="FND57" s="1"/>
      <c r="FNE57" s="1"/>
      <c r="FNF57" s="1"/>
      <c r="FNG57" s="1"/>
      <c r="FNH57" s="1"/>
      <c r="FNI57" s="1"/>
      <c r="FNJ57" s="1"/>
      <c r="FNK57" s="1"/>
      <c r="FNL57" s="1"/>
      <c r="FNM57" s="1"/>
      <c r="FNN57" s="1"/>
      <c r="FNO57" s="1"/>
      <c r="FNP57" s="1"/>
      <c r="FNQ57" s="1"/>
      <c r="FNR57" s="1"/>
      <c r="FNS57" s="1"/>
      <c r="FNT57" s="1"/>
      <c r="FNU57" s="1"/>
      <c r="FNV57" s="1"/>
      <c r="FNW57" s="1"/>
      <c r="FNX57" s="1"/>
      <c r="FNY57" s="1"/>
      <c r="FNZ57" s="1"/>
      <c r="FOA57" s="1"/>
      <c r="FOB57" s="1"/>
      <c r="FOC57" s="1"/>
      <c r="FOD57" s="1"/>
      <c r="FOE57" s="1"/>
      <c r="FOF57" s="1"/>
      <c r="FOG57" s="1"/>
      <c r="FOH57" s="1"/>
      <c r="FOI57" s="1"/>
      <c r="FOJ57" s="1"/>
      <c r="FOK57" s="1"/>
      <c r="FOL57" s="1"/>
      <c r="FOM57" s="1"/>
      <c r="FON57" s="1"/>
      <c r="FOO57" s="1"/>
      <c r="FOP57" s="1"/>
      <c r="FOQ57" s="1"/>
      <c r="FOR57" s="1"/>
      <c r="FOS57" s="1"/>
      <c r="FOT57" s="1"/>
      <c r="FOU57" s="1"/>
      <c r="FOV57" s="1"/>
      <c r="FOW57" s="1"/>
      <c r="FOX57" s="1"/>
      <c r="FOY57" s="1"/>
      <c r="FOZ57" s="1"/>
      <c r="FPA57" s="1"/>
      <c r="FPB57" s="1"/>
      <c r="FPC57" s="1"/>
      <c r="FPD57" s="1"/>
      <c r="FPE57" s="1"/>
      <c r="FPF57" s="1"/>
      <c r="FPG57" s="1"/>
      <c r="FPH57" s="1"/>
      <c r="FPI57" s="1"/>
      <c r="FPJ57" s="1"/>
      <c r="FPK57" s="1"/>
      <c r="FPL57" s="1"/>
      <c r="FPM57" s="1"/>
      <c r="FPN57" s="1"/>
      <c r="FPO57" s="1"/>
      <c r="FPP57" s="1"/>
      <c r="FPQ57" s="1"/>
      <c r="FPR57" s="1"/>
      <c r="FPS57" s="1"/>
      <c r="FPT57" s="1"/>
      <c r="FPU57" s="1"/>
      <c r="FPV57" s="1"/>
      <c r="FPW57" s="1"/>
      <c r="FPX57" s="1"/>
      <c r="FPY57" s="1"/>
      <c r="FPZ57" s="1"/>
      <c r="FQA57" s="1"/>
      <c r="FQB57" s="1"/>
      <c r="FQC57" s="1"/>
      <c r="FQD57" s="1"/>
      <c r="FQE57" s="1"/>
      <c r="FQF57" s="1"/>
      <c r="FQG57" s="1"/>
      <c r="FQH57" s="1"/>
      <c r="FQI57" s="1"/>
      <c r="FQJ57" s="1"/>
      <c r="FQK57" s="1"/>
      <c r="FQL57" s="1"/>
      <c r="FQM57" s="1"/>
      <c r="FQN57" s="1"/>
      <c r="FQO57" s="1"/>
      <c r="FQP57" s="1"/>
      <c r="FQQ57" s="1"/>
      <c r="FQR57" s="1"/>
      <c r="FQS57" s="1"/>
      <c r="FQT57" s="1"/>
      <c r="FQU57" s="1"/>
      <c r="FQV57" s="1"/>
      <c r="FQW57" s="1"/>
      <c r="FQX57" s="1"/>
      <c r="FQY57" s="1"/>
      <c r="FQZ57" s="1"/>
      <c r="FRA57" s="1"/>
      <c r="FRB57" s="1"/>
      <c r="FRC57" s="1"/>
      <c r="FRD57" s="1"/>
      <c r="FRE57" s="1"/>
      <c r="FRF57" s="1"/>
      <c r="FRG57" s="1"/>
      <c r="FRH57" s="1"/>
      <c r="FRI57" s="1"/>
      <c r="FRJ57" s="1"/>
      <c r="FRK57" s="1"/>
      <c r="FRL57" s="1"/>
      <c r="FRM57" s="1"/>
      <c r="FRN57" s="1"/>
      <c r="FRO57" s="1"/>
      <c r="FRP57" s="1"/>
      <c r="FRQ57" s="1"/>
      <c r="FRR57" s="1"/>
      <c r="FRS57" s="1"/>
      <c r="FRT57" s="1"/>
      <c r="FRU57" s="1"/>
      <c r="FRV57" s="1"/>
      <c r="FRW57" s="1"/>
      <c r="FRX57" s="1"/>
      <c r="FRY57" s="1"/>
      <c r="FRZ57" s="1"/>
      <c r="FSA57" s="1"/>
      <c r="FSB57" s="1"/>
      <c r="FSC57" s="1"/>
      <c r="FSD57" s="1"/>
      <c r="FSE57" s="1"/>
      <c r="FSF57" s="1"/>
      <c r="FSG57" s="1"/>
      <c r="FSH57" s="1"/>
      <c r="FSI57" s="1"/>
      <c r="FSJ57" s="1"/>
      <c r="FSK57" s="1"/>
      <c r="FSL57" s="1"/>
      <c r="FSM57" s="1"/>
      <c r="FSN57" s="1"/>
      <c r="FSO57" s="1"/>
      <c r="FSP57" s="1"/>
      <c r="FSQ57" s="1"/>
      <c r="FSR57" s="1"/>
      <c r="FSS57" s="1"/>
      <c r="FST57" s="1"/>
      <c r="FSU57" s="1"/>
      <c r="FSV57" s="1"/>
      <c r="FSW57" s="1"/>
      <c r="FSX57" s="1"/>
      <c r="FSY57" s="1"/>
      <c r="FSZ57" s="1"/>
      <c r="FTA57" s="1"/>
      <c r="FTB57" s="1"/>
      <c r="FTC57" s="1"/>
      <c r="FTD57" s="1"/>
      <c r="FTE57" s="1"/>
      <c r="FTF57" s="1"/>
      <c r="FTG57" s="1"/>
      <c r="FTH57" s="1"/>
      <c r="FTI57" s="1"/>
      <c r="FTJ57" s="1"/>
      <c r="FTK57" s="1"/>
      <c r="FTL57" s="1"/>
      <c r="FTM57" s="1"/>
      <c r="FTN57" s="1"/>
      <c r="FTO57" s="1"/>
      <c r="FTP57" s="1"/>
      <c r="FTQ57" s="1"/>
      <c r="FTR57" s="1"/>
      <c r="FTS57" s="1"/>
      <c r="FTT57" s="1"/>
      <c r="FTU57" s="1"/>
      <c r="FTV57" s="1"/>
      <c r="FTW57" s="1"/>
      <c r="FTX57" s="1"/>
      <c r="FTY57" s="1"/>
      <c r="FTZ57" s="1"/>
      <c r="FUA57" s="1"/>
      <c r="FUB57" s="1"/>
      <c r="FUC57" s="1"/>
      <c r="FUD57" s="1"/>
      <c r="FUE57" s="1"/>
      <c r="FUF57" s="1"/>
      <c r="FUG57" s="1"/>
      <c r="FUH57" s="1"/>
      <c r="FUI57" s="1"/>
      <c r="FUJ57" s="1"/>
      <c r="FUK57" s="1"/>
      <c r="FUL57" s="1"/>
      <c r="FUM57" s="1"/>
      <c r="FUN57" s="1"/>
      <c r="FUO57" s="1"/>
      <c r="FUP57" s="1"/>
      <c r="FUQ57" s="1"/>
      <c r="FUR57" s="1"/>
      <c r="FUS57" s="1"/>
      <c r="FUT57" s="1"/>
      <c r="FUU57" s="1"/>
      <c r="FUV57" s="1"/>
      <c r="FUW57" s="1"/>
      <c r="FUX57" s="1"/>
      <c r="FUY57" s="1"/>
      <c r="FUZ57" s="1"/>
      <c r="FVA57" s="1"/>
      <c r="FVB57" s="1"/>
      <c r="FVC57" s="1"/>
      <c r="FVD57" s="1"/>
      <c r="FVE57" s="1"/>
      <c r="FVF57" s="1"/>
      <c r="FVG57" s="1"/>
      <c r="FVH57" s="1"/>
      <c r="FVI57" s="1"/>
      <c r="FVJ57" s="1"/>
      <c r="FVK57" s="1"/>
      <c r="FVL57" s="1"/>
      <c r="FVM57" s="1"/>
      <c r="FVN57" s="1"/>
      <c r="FVO57" s="1"/>
      <c r="FVP57" s="1"/>
      <c r="FVQ57" s="1"/>
      <c r="FVR57" s="1"/>
      <c r="FVS57" s="1"/>
      <c r="FVT57" s="1"/>
      <c r="FVU57" s="1"/>
      <c r="FVV57" s="1"/>
      <c r="FVW57" s="1"/>
      <c r="FVX57" s="1"/>
      <c r="FVY57" s="1"/>
      <c r="FVZ57" s="1"/>
      <c r="FWA57" s="1"/>
      <c r="FWB57" s="1"/>
      <c r="FWC57" s="1"/>
      <c r="FWD57" s="1"/>
      <c r="FWE57" s="1"/>
      <c r="FWF57" s="1"/>
      <c r="FWG57" s="1"/>
      <c r="FWH57" s="1"/>
      <c r="FWI57" s="1"/>
      <c r="FWJ57" s="1"/>
      <c r="FWK57" s="1"/>
      <c r="FWL57" s="1"/>
      <c r="FWM57" s="1"/>
      <c r="FWN57" s="1"/>
      <c r="FWO57" s="1"/>
      <c r="FWP57" s="1"/>
      <c r="FWQ57" s="1"/>
      <c r="FWR57" s="1"/>
      <c r="FWS57" s="1"/>
      <c r="FWT57" s="1"/>
      <c r="FWU57" s="1"/>
      <c r="FWV57" s="1"/>
      <c r="FWW57" s="1"/>
      <c r="FWX57" s="1"/>
      <c r="FWY57" s="1"/>
      <c r="FWZ57" s="1"/>
      <c r="FXA57" s="1"/>
      <c r="FXB57" s="1"/>
      <c r="FXC57" s="1"/>
      <c r="FXD57" s="1"/>
      <c r="FXE57" s="1"/>
      <c r="FXF57" s="1"/>
      <c r="FXG57" s="1"/>
      <c r="FXH57" s="1"/>
      <c r="FXI57" s="1"/>
      <c r="FXJ57" s="1"/>
      <c r="FXK57" s="1"/>
      <c r="FXL57" s="1"/>
      <c r="FXM57" s="1"/>
      <c r="FXN57" s="1"/>
      <c r="FXO57" s="1"/>
      <c r="FXP57" s="1"/>
      <c r="FXQ57" s="1"/>
      <c r="FXR57" s="1"/>
      <c r="FXS57" s="1"/>
      <c r="FXT57" s="1"/>
      <c r="FXU57" s="1"/>
      <c r="FXV57" s="1"/>
      <c r="FXW57" s="1"/>
      <c r="FXX57" s="1"/>
      <c r="FXY57" s="1"/>
      <c r="FXZ57" s="1"/>
      <c r="FYA57" s="1"/>
      <c r="FYB57" s="1"/>
      <c r="FYC57" s="1"/>
      <c r="FYD57" s="1"/>
      <c r="FYE57" s="1"/>
      <c r="FYF57" s="1"/>
      <c r="FYG57" s="1"/>
      <c r="FYH57" s="1"/>
      <c r="FYI57" s="1"/>
      <c r="FYJ57" s="1"/>
      <c r="FYK57" s="1"/>
      <c r="FYL57" s="1"/>
      <c r="FYM57" s="1"/>
      <c r="FYN57" s="1"/>
      <c r="FYO57" s="1"/>
      <c r="FYP57" s="1"/>
      <c r="FYQ57" s="1"/>
      <c r="FYR57" s="1"/>
      <c r="FYS57" s="1"/>
      <c r="FYT57" s="1"/>
      <c r="FYU57" s="1"/>
      <c r="FYV57" s="1"/>
      <c r="FYW57" s="1"/>
      <c r="FYX57" s="1"/>
      <c r="FYY57" s="1"/>
      <c r="FYZ57" s="1"/>
      <c r="FZA57" s="1"/>
      <c r="FZB57" s="1"/>
      <c r="FZC57" s="1"/>
      <c r="FZD57" s="1"/>
      <c r="FZE57" s="1"/>
      <c r="FZF57" s="1"/>
      <c r="FZG57" s="1"/>
      <c r="FZH57" s="1"/>
      <c r="FZI57" s="1"/>
      <c r="FZJ57" s="1"/>
      <c r="FZK57" s="1"/>
      <c r="FZL57" s="1"/>
      <c r="FZM57" s="1"/>
      <c r="FZN57" s="1"/>
      <c r="FZO57" s="1"/>
      <c r="FZP57" s="1"/>
      <c r="FZQ57" s="1"/>
      <c r="FZR57" s="1"/>
      <c r="FZS57" s="1"/>
      <c r="FZT57" s="1"/>
      <c r="FZU57" s="1"/>
      <c r="FZV57" s="1"/>
      <c r="FZW57" s="1"/>
      <c r="FZX57" s="1"/>
      <c r="FZY57" s="1"/>
      <c r="FZZ57" s="1"/>
      <c r="GAA57" s="1"/>
      <c r="GAB57" s="1"/>
      <c r="GAC57" s="1"/>
      <c r="GAD57" s="1"/>
      <c r="GAE57" s="1"/>
      <c r="GAF57" s="1"/>
      <c r="GAG57" s="1"/>
      <c r="GAH57" s="1"/>
      <c r="GAI57" s="1"/>
      <c r="GAJ57" s="1"/>
      <c r="GAK57" s="1"/>
      <c r="GAL57" s="1"/>
      <c r="GAM57" s="1"/>
      <c r="GAN57" s="1"/>
      <c r="GAO57" s="1"/>
      <c r="GAP57" s="1"/>
      <c r="GAQ57" s="1"/>
      <c r="GAR57" s="1"/>
      <c r="GAS57" s="1"/>
      <c r="GAT57" s="1"/>
      <c r="GAU57" s="1"/>
      <c r="GAV57" s="1"/>
      <c r="GAW57" s="1"/>
      <c r="GAX57" s="1"/>
      <c r="GAY57" s="1"/>
      <c r="GAZ57" s="1"/>
      <c r="GBA57" s="1"/>
      <c r="GBB57" s="1"/>
      <c r="GBC57" s="1"/>
      <c r="GBD57" s="1"/>
      <c r="GBE57" s="1"/>
      <c r="GBF57" s="1"/>
      <c r="GBG57" s="1"/>
      <c r="GBH57" s="1"/>
      <c r="GBI57" s="1"/>
      <c r="GBJ57" s="1"/>
      <c r="GBK57" s="1"/>
      <c r="GBL57" s="1"/>
      <c r="GBM57" s="1"/>
      <c r="GBN57" s="1"/>
      <c r="GBO57" s="1"/>
      <c r="GBP57" s="1"/>
      <c r="GBQ57" s="1"/>
      <c r="GBR57" s="1"/>
      <c r="GBS57" s="1"/>
      <c r="GBT57" s="1"/>
      <c r="GBU57" s="1"/>
      <c r="GBV57" s="1"/>
      <c r="GBW57" s="1"/>
      <c r="GBX57" s="1"/>
      <c r="GBY57" s="1"/>
      <c r="GBZ57" s="1"/>
      <c r="GCA57" s="1"/>
      <c r="GCB57" s="1"/>
      <c r="GCC57" s="1"/>
      <c r="GCD57" s="1"/>
      <c r="GCE57" s="1"/>
      <c r="GCF57" s="1"/>
      <c r="GCG57" s="1"/>
      <c r="GCH57" s="1"/>
      <c r="GCI57" s="1"/>
      <c r="GCJ57" s="1"/>
      <c r="GCK57" s="1"/>
      <c r="GCL57" s="1"/>
      <c r="GCM57" s="1"/>
      <c r="GCN57" s="1"/>
      <c r="GCO57" s="1"/>
      <c r="GCP57" s="1"/>
      <c r="GCQ57" s="1"/>
      <c r="GCR57" s="1"/>
      <c r="GCS57" s="1"/>
      <c r="GCT57" s="1"/>
      <c r="GCU57" s="1"/>
      <c r="GCV57" s="1"/>
      <c r="GCW57" s="1"/>
      <c r="GCX57" s="1"/>
      <c r="GCY57" s="1"/>
      <c r="GCZ57" s="1"/>
      <c r="GDA57" s="1"/>
      <c r="GDB57" s="1"/>
      <c r="GDC57" s="1"/>
      <c r="GDD57" s="1"/>
      <c r="GDE57" s="1"/>
      <c r="GDF57" s="1"/>
      <c r="GDG57" s="1"/>
      <c r="GDH57" s="1"/>
      <c r="GDI57" s="1"/>
      <c r="GDJ57" s="1"/>
      <c r="GDK57" s="1"/>
      <c r="GDL57" s="1"/>
      <c r="GDM57" s="1"/>
      <c r="GDN57" s="1"/>
      <c r="GDO57" s="1"/>
      <c r="GDP57" s="1"/>
      <c r="GDQ57" s="1"/>
      <c r="GDR57" s="1"/>
      <c r="GDS57" s="1"/>
      <c r="GDT57" s="1"/>
      <c r="GDU57" s="1"/>
      <c r="GDV57" s="1"/>
      <c r="GDW57" s="1"/>
      <c r="GDX57" s="1"/>
      <c r="GDY57" s="1"/>
      <c r="GDZ57" s="1"/>
      <c r="GEA57" s="1"/>
      <c r="GEB57" s="1"/>
      <c r="GEC57" s="1"/>
      <c r="GED57" s="1"/>
      <c r="GEE57" s="1"/>
      <c r="GEF57" s="1"/>
      <c r="GEG57" s="1"/>
      <c r="GEH57" s="1"/>
      <c r="GEI57" s="1"/>
      <c r="GEJ57" s="1"/>
      <c r="GEK57" s="1"/>
      <c r="GEL57" s="1"/>
      <c r="GEM57" s="1"/>
      <c r="GEN57" s="1"/>
      <c r="GEO57" s="1"/>
      <c r="GEP57" s="1"/>
      <c r="GEQ57" s="1"/>
      <c r="GER57" s="1"/>
      <c r="GES57" s="1"/>
      <c r="GET57" s="1"/>
      <c r="GEU57" s="1"/>
      <c r="GEV57" s="1"/>
      <c r="GEW57" s="1"/>
      <c r="GEX57" s="1"/>
      <c r="GEY57" s="1"/>
      <c r="GEZ57" s="1"/>
      <c r="GFA57" s="1"/>
      <c r="GFB57" s="1"/>
      <c r="GFC57" s="1"/>
      <c r="GFD57" s="1"/>
      <c r="GFE57" s="1"/>
      <c r="GFF57" s="1"/>
      <c r="GFG57" s="1"/>
      <c r="GFH57" s="1"/>
      <c r="GFI57" s="1"/>
      <c r="GFJ57" s="1"/>
      <c r="GFK57" s="1"/>
      <c r="GFL57" s="1"/>
      <c r="GFM57" s="1"/>
      <c r="GFN57" s="1"/>
      <c r="GFO57" s="1"/>
      <c r="GFP57" s="1"/>
      <c r="GFQ57" s="1"/>
      <c r="GFR57" s="1"/>
      <c r="GFS57" s="1"/>
      <c r="GFT57" s="1"/>
      <c r="GFU57" s="1"/>
      <c r="GFV57" s="1"/>
      <c r="GFW57" s="1"/>
      <c r="GFX57" s="1"/>
      <c r="GFY57" s="1"/>
      <c r="GFZ57" s="1"/>
      <c r="GGA57" s="1"/>
      <c r="GGB57" s="1"/>
      <c r="GGC57" s="1"/>
      <c r="GGD57" s="1"/>
      <c r="GGE57" s="1"/>
      <c r="GGF57" s="1"/>
      <c r="GGG57" s="1"/>
      <c r="GGH57" s="1"/>
      <c r="GGI57" s="1"/>
      <c r="GGJ57" s="1"/>
      <c r="GGK57" s="1"/>
      <c r="GGL57" s="1"/>
      <c r="GGM57" s="1"/>
      <c r="GGN57" s="1"/>
      <c r="GGO57" s="1"/>
      <c r="GGP57" s="1"/>
      <c r="GGQ57" s="1"/>
      <c r="GGR57" s="1"/>
      <c r="GGS57" s="1"/>
      <c r="GGT57" s="1"/>
      <c r="GGU57" s="1"/>
      <c r="GGV57" s="1"/>
      <c r="GGW57" s="1"/>
      <c r="GGX57" s="1"/>
      <c r="GGY57" s="1"/>
      <c r="GGZ57" s="1"/>
      <c r="GHA57" s="1"/>
      <c r="GHB57" s="1"/>
      <c r="GHC57" s="1"/>
      <c r="GHD57" s="1"/>
      <c r="GHE57" s="1"/>
      <c r="GHF57" s="1"/>
      <c r="GHG57" s="1"/>
      <c r="GHH57" s="1"/>
      <c r="GHI57" s="1"/>
      <c r="GHJ57" s="1"/>
      <c r="GHK57" s="1"/>
      <c r="GHL57" s="1"/>
      <c r="GHM57" s="1"/>
      <c r="GHN57" s="1"/>
      <c r="GHO57" s="1"/>
      <c r="GHP57" s="1"/>
      <c r="GHQ57" s="1"/>
      <c r="GHR57" s="1"/>
      <c r="GHS57" s="1"/>
      <c r="GHT57" s="1"/>
      <c r="GHU57" s="1"/>
      <c r="GHV57" s="1"/>
      <c r="GHW57" s="1"/>
      <c r="GHX57" s="1"/>
      <c r="GHY57" s="1"/>
      <c r="GHZ57" s="1"/>
      <c r="GIA57" s="1"/>
      <c r="GIB57" s="1"/>
      <c r="GIC57" s="1"/>
      <c r="GID57" s="1"/>
      <c r="GIE57" s="1"/>
      <c r="GIF57" s="1"/>
      <c r="GIG57" s="1"/>
      <c r="GIH57" s="1"/>
      <c r="GII57" s="1"/>
      <c r="GIJ57" s="1"/>
      <c r="GIK57" s="1"/>
      <c r="GIL57" s="1"/>
      <c r="GIM57" s="1"/>
      <c r="GIN57" s="1"/>
      <c r="GIO57" s="1"/>
      <c r="GIP57" s="1"/>
      <c r="GIQ57" s="1"/>
      <c r="GIR57" s="1"/>
      <c r="GIS57" s="1"/>
      <c r="GIT57" s="1"/>
      <c r="GIU57" s="1"/>
      <c r="GIV57" s="1"/>
      <c r="GIW57" s="1"/>
      <c r="GIX57" s="1"/>
      <c r="GIY57" s="1"/>
      <c r="GIZ57" s="1"/>
      <c r="GJA57" s="1"/>
      <c r="GJB57" s="1"/>
      <c r="GJC57" s="1"/>
      <c r="GJD57" s="1"/>
      <c r="GJE57" s="1"/>
      <c r="GJF57" s="1"/>
      <c r="GJG57" s="1"/>
      <c r="GJH57" s="1"/>
      <c r="GJI57" s="1"/>
      <c r="GJJ57" s="1"/>
      <c r="GJK57" s="1"/>
      <c r="GJL57" s="1"/>
      <c r="GJM57" s="1"/>
      <c r="GJN57" s="1"/>
      <c r="GJO57" s="1"/>
      <c r="GJP57" s="1"/>
      <c r="GJQ57" s="1"/>
      <c r="GJR57" s="1"/>
      <c r="GJS57" s="1"/>
      <c r="GJT57" s="1"/>
      <c r="GJU57" s="1"/>
      <c r="GJV57" s="1"/>
      <c r="GJW57" s="1"/>
      <c r="GJX57" s="1"/>
      <c r="GJY57" s="1"/>
      <c r="GJZ57" s="1"/>
      <c r="GKA57" s="1"/>
      <c r="GKB57" s="1"/>
      <c r="GKC57" s="1"/>
      <c r="GKD57" s="1"/>
      <c r="GKE57" s="1"/>
      <c r="GKF57" s="1"/>
      <c r="GKG57" s="1"/>
      <c r="GKH57" s="1"/>
      <c r="GKI57" s="1"/>
      <c r="GKJ57" s="1"/>
      <c r="GKK57" s="1"/>
      <c r="GKL57" s="1"/>
      <c r="GKM57" s="1"/>
      <c r="GKN57" s="1"/>
      <c r="GKO57" s="1"/>
      <c r="GKP57" s="1"/>
      <c r="GKQ57" s="1"/>
      <c r="GKR57" s="1"/>
      <c r="GKS57" s="1"/>
      <c r="GKT57" s="1"/>
      <c r="GKU57" s="1"/>
      <c r="GKV57" s="1"/>
      <c r="GKW57" s="1"/>
      <c r="GKX57" s="1"/>
      <c r="GKY57" s="1"/>
      <c r="GKZ57" s="1"/>
      <c r="GLA57" s="1"/>
      <c r="GLB57" s="1"/>
      <c r="GLC57" s="1"/>
      <c r="GLD57" s="1"/>
      <c r="GLE57" s="1"/>
      <c r="GLF57" s="1"/>
      <c r="GLG57" s="1"/>
      <c r="GLH57" s="1"/>
      <c r="GLI57" s="1"/>
      <c r="GLJ57" s="1"/>
      <c r="GLK57" s="1"/>
      <c r="GLL57" s="1"/>
      <c r="GLM57" s="1"/>
      <c r="GLN57" s="1"/>
      <c r="GLO57" s="1"/>
      <c r="GLP57" s="1"/>
      <c r="GLQ57" s="1"/>
      <c r="GLR57" s="1"/>
      <c r="GLS57" s="1"/>
      <c r="GLT57" s="1"/>
      <c r="GLU57" s="1"/>
      <c r="GLV57" s="1"/>
      <c r="GLW57" s="1"/>
      <c r="GLX57" s="1"/>
      <c r="GLY57" s="1"/>
      <c r="GLZ57" s="1"/>
      <c r="GMA57" s="1"/>
      <c r="GMB57" s="1"/>
      <c r="GMC57" s="1"/>
      <c r="GMD57" s="1"/>
      <c r="GME57" s="1"/>
      <c r="GMF57" s="1"/>
      <c r="GMG57" s="1"/>
      <c r="GMH57" s="1"/>
      <c r="GMI57" s="1"/>
      <c r="GMJ57" s="1"/>
      <c r="GMK57" s="1"/>
      <c r="GML57" s="1"/>
      <c r="GMM57" s="1"/>
      <c r="GMN57" s="1"/>
      <c r="GMO57" s="1"/>
      <c r="GMP57" s="1"/>
      <c r="GMQ57" s="1"/>
      <c r="GMR57" s="1"/>
      <c r="GMS57" s="1"/>
      <c r="GMT57" s="1"/>
      <c r="GMU57" s="1"/>
      <c r="GMV57" s="1"/>
      <c r="GMW57" s="1"/>
      <c r="GMX57" s="1"/>
      <c r="GMY57" s="1"/>
      <c r="GMZ57" s="1"/>
      <c r="GNA57" s="1"/>
      <c r="GNB57" s="1"/>
      <c r="GNC57" s="1"/>
      <c r="GND57" s="1"/>
      <c r="GNE57" s="1"/>
      <c r="GNF57" s="1"/>
      <c r="GNG57" s="1"/>
      <c r="GNH57" s="1"/>
      <c r="GNI57" s="1"/>
      <c r="GNJ57" s="1"/>
      <c r="GNK57" s="1"/>
      <c r="GNL57" s="1"/>
      <c r="GNM57" s="1"/>
      <c r="GNN57" s="1"/>
      <c r="GNO57" s="1"/>
      <c r="GNP57" s="1"/>
      <c r="GNQ57" s="1"/>
      <c r="GNR57" s="1"/>
      <c r="GNS57" s="1"/>
      <c r="GNT57" s="1"/>
      <c r="GNU57" s="1"/>
      <c r="GNV57" s="1"/>
      <c r="GNW57" s="1"/>
      <c r="GNX57" s="1"/>
      <c r="GNY57" s="1"/>
      <c r="GNZ57" s="1"/>
      <c r="GOA57" s="1"/>
      <c r="GOB57" s="1"/>
      <c r="GOC57" s="1"/>
      <c r="GOD57" s="1"/>
      <c r="GOE57" s="1"/>
      <c r="GOF57" s="1"/>
      <c r="GOG57" s="1"/>
      <c r="GOH57" s="1"/>
      <c r="GOI57" s="1"/>
      <c r="GOJ57" s="1"/>
      <c r="GOK57" s="1"/>
      <c r="GOL57" s="1"/>
      <c r="GOM57" s="1"/>
      <c r="GON57" s="1"/>
      <c r="GOO57" s="1"/>
      <c r="GOP57" s="1"/>
      <c r="GOQ57" s="1"/>
      <c r="GOR57" s="1"/>
      <c r="GOS57" s="1"/>
      <c r="GOT57" s="1"/>
      <c r="GOU57" s="1"/>
      <c r="GOV57" s="1"/>
      <c r="GOW57" s="1"/>
      <c r="GOX57" s="1"/>
      <c r="GOY57" s="1"/>
      <c r="GOZ57" s="1"/>
      <c r="GPA57" s="1"/>
      <c r="GPB57" s="1"/>
      <c r="GPC57" s="1"/>
      <c r="GPD57" s="1"/>
      <c r="GPE57" s="1"/>
      <c r="GPF57" s="1"/>
      <c r="GPG57" s="1"/>
      <c r="GPH57" s="1"/>
      <c r="GPI57" s="1"/>
      <c r="GPJ57" s="1"/>
      <c r="GPK57" s="1"/>
      <c r="GPL57" s="1"/>
      <c r="GPM57" s="1"/>
      <c r="GPN57" s="1"/>
      <c r="GPO57" s="1"/>
      <c r="GPP57" s="1"/>
      <c r="GPQ57" s="1"/>
      <c r="GPR57" s="1"/>
      <c r="GPS57" s="1"/>
      <c r="GPT57" s="1"/>
      <c r="GPU57" s="1"/>
      <c r="GPV57" s="1"/>
      <c r="GPW57" s="1"/>
      <c r="GPX57" s="1"/>
      <c r="GPY57" s="1"/>
      <c r="GPZ57" s="1"/>
      <c r="GQA57" s="1"/>
      <c r="GQB57" s="1"/>
      <c r="GQC57" s="1"/>
      <c r="GQD57" s="1"/>
      <c r="GQE57" s="1"/>
      <c r="GQF57" s="1"/>
      <c r="GQG57" s="1"/>
      <c r="GQH57" s="1"/>
      <c r="GQI57" s="1"/>
      <c r="GQJ57" s="1"/>
      <c r="GQK57" s="1"/>
      <c r="GQL57" s="1"/>
      <c r="GQM57" s="1"/>
      <c r="GQN57" s="1"/>
      <c r="GQO57" s="1"/>
      <c r="GQP57" s="1"/>
      <c r="GQQ57" s="1"/>
      <c r="GQR57" s="1"/>
      <c r="GQS57" s="1"/>
      <c r="GQT57" s="1"/>
      <c r="GQU57" s="1"/>
      <c r="GQV57" s="1"/>
      <c r="GQW57" s="1"/>
      <c r="GQX57" s="1"/>
      <c r="GQY57" s="1"/>
      <c r="GQZ57" s="1"/>
      <c r="GRA57" s="1"/>
      <c r="GRB57" s="1"/>
      <c r="GRC57" s="1"/>
      <c r="GRD57" s="1"/>
      <c r="GRE57" s="1"/>
      <c r="GRF57" s="1"/>
      <c r="GRG57" s="1"/>
      <c r="GRH57" s="1"/>
      <c r="GRI57" s="1"/>
      <c r="GRJ57" s="1"/>
      <c r="GRK57" s="1"/>
      <c r="GRL57" s="1"/>
      <c r="GRM57" s="1"/>
      <c r="GRN57" s="1"/>
      <c r="GRO57" s="1"/>
      <c r="GRP57" s="1"/>
      <c r="GRQ57" s="1"/>
      <c r="GRR57" s="1"/>
      <c r="GRS57" s="1"/>
      <c r="GRT57" s="1"/>
      <c r="GRU57" s="1"/>
      <c r="GRV57" s="1"/>
      <c r="GRW57" s="1"/>
      <c r="GRX57" s="1"/>
      <c r="GRY57" s="1"/>
      <c r="GRZ57" s="1"/>
      <c r="GSA57" s="1"/>
      <c r="GSB57" s="1"/>
      <c r="GSC57" s="1"/>
      <c r="GSD57" s="1"/>
      <c r="GSE57" s="1"/>
      <c r="GSF57" s="1"/>
      <c r="GSG57" s="1"/>
      <c r="GSH57" s="1"/>
      <c r="GSI57" s="1"/>
      <c r="GSJ57" s="1"/>
      <c r="GSK57" s="1"/>
      <c r="GSL57" s="1"/>
      <c r="GSM57" s="1"/>
      <c r="GSN57" s="1"/>
      <c r="GSO57" s="1"/>
      <c r="GSP57" s="1"/>
      <c r="GSQ57" s="1"/>
      <c r="GSR57" s="1"/>
      <c r="GSS57" s="1"/>
      <c r="GST57" s="1"/>
      <c r="GSU57" s="1"/>
      <c r="GSV57" s="1"/>
      <c r="GSW57" s="1"/>
      <c r="GSX57" s="1"/>
      <c r="GSY57" s="1"/>
      <c r="GSZ57" s="1"/>
      <c r="GTA57" s="1"/>
      <c r="GTB57" s="1"/>
      <c r="GTC57" s="1"/>
      <c r="GTD57" s="1"/>
      <c r="GTE57" s="1"/>
      <c r="GTF57" s="1"/>
      <c r="GTG57" s="1"/>
      <c r="GTH57" s="1"/>
      <c r="GTI57" s="1"/>
      <c r="GTJ57" s="1"/>
      <c r="GTK57" s="1"/>
      <c r="GTL57" s="1"/>
      <c r="GTM57" s="1"/>
      <c r="GTN57" s="1"/>
      <c r="GTO57" s="1"/>
      <c r="GTP57" s="1"/>
      <c r="GTQ57" s="1"/>
      <c r="GTR57" s="1"/>
      <c r="GTS57" s="1"/>
      <c r="GTT57" s="1"/>
      <c r="GTU57" s="1"/>
      <c r="GTV57" s="1"/>
      <c r="GTW57" s="1"/>
      <c r="GTX57" s="1"/>
      <c r="GTY57" s="1"/>
      <c r="GTZ57" s="1"/>
      <c r="GUA57" s="1"/>
      <c r="GUB57" s="1"/>
      <c r="GUC57" s="1"/>
      <c r="GUD57" s="1"/>
      <c r="GUE57" s="1"/>
      <c r="GUF57" s="1"/>
      <c r="GUG57" s="1"/>
      <c r="GUH57" s="1"/>
      <c r="GUI57" s="1"/>
      <c r="GUJ57" s="1"/>
      <c r="GUK57" s="1"/>
      <c r="GUL57" s="1"/>
      <c r="GUM57" s="1"/>
      <c r="GUN57" s="1"/>
      <c r="GUO57" s="1"/>
      <c r="GUP57" s="1"/>
      <c r="GUQ57" s="1"/>
      <c r="GUR57" s="1"/>
      <c r="GUS57" s="1"/>
      <c r="GUT57" s="1"/>
      <c r="GUU57" s="1"/>
      <c r="GUV57" s="1"/>
      <c r="GUW57" s="1"/>
      <c r="GUX57" s="1"/>
      <c r="GUY57" s="1"/>
      <c r="GUZ57" s="1"/>
      <c r="GVA57" s="1"/>
      <c r="GVB57" s="1"/>
      <c r="GVC57" s="1"/>
      <c r="GVD57" s="1"/>
      <c r="GVE57" s="1"/>
      <c r="GVF57" s="1"/>
      <c r="GVG57" s="1"/>
      <c r="GVH57" s="1"/>
      <c r="GVI57" s="1"/>
      <c r="GVJ57" s="1"/>
      <c r="GVK57" s="1"/>
      <c r="GVL57" s="1"/>
      <c r="GVM57" s="1"/>
      <c r="GVN57" s="1"/>
      <c r="GVO57" s="1"/>
      <c r="GVP57" s="1"/>
      <c r="GVQ57" s="1"/>
      <c r="GVR57" s="1"/>
      <c r="GVS57" s="1"/>
      <c r="GVT57" s="1"/>
      <c r="GVU57" s="1"/>
      <c r="GVV57" s="1"/>
      <c r="GVW57" s="1"/>
      <c r="GVX57" s="1"/>
      <c r="GVY57" s="1"/>
      <c r="GVZ57" s="1"/>
      <c r="GWA57" s="1"/>
      <c r="GWB57" s="1"/>
      <c r="GWC57" s="1"/>
      <c r="GWD57" s="1"/>
      <c r="GWE57" s="1"/>
      <c r="GWF57" s="1"/>
      <c r="GWG57" s="1"/>
      <c r="GWH57" s="1"/>
      <c r="GWI57" s="1"/>
      <c r="GWJ57" s="1"/>
      <c r="GWK57" s="1"/>
      <c r="GWL57" s="1"/>
      <c r="GWM57" s="1"/>
      <c r="GWN57" s="1"/>
      <c r="GWO57" s="1"/>
      <c r="GWP57" s="1"/>
      <c r="GWQ57" s="1"/>
      <c r="GWR57" s="1"/>
      <c r="GWS57" s="1"/>
      <c r="GWT57" s="1"/>
      <c r="GWU57" s="1"/>
      <c r="GWV57" s="1"/>
      <c r="GWW57" s="1"/>
      <c r="GWX57" s="1"/>
      <c r="GWY57" s="1"/>
      <c r="GWZ57" s="1"/>
      <c r="GXA57" s="1"/>
      <c r="GXB57" s="1"/>
      <c r="GXC57" s="1"/>
      <c r="GXD57" s="1"/>
      <c r="GXE57" s="1"/>
      <c r="GXF57" s="1"/>
      <c r="GXG57" s="1"/>
      <c r="GXH57" s="1"/>
      <c r="GXI57" s="1"/>
      <c r="GXJ57" s="1"/>
      <c r="GXK57" s="1"/>
      <c r="GXL57" s="1"/>
      <c r="GXM57" s="1"/>
      <c r="GXN57" s="1"/>
      <c r="GXO57" s="1"/>
      <c r="GXP57" s="1"/>
      <c r="GXQ57" s="1"/>
      <c r="GXR57" s="1"/>
      <c r="GXS57" s="1"/>
      <c r="GXT57" s="1"/>
      <c r="GXU57" s="1"/>
      <c r="GXV57" s="1"/>
      <c r="GXW57" s="1"/>
      <c r="GXX57" s="1"/>
      <c r="GXY57" s="1"/>
      <c r="GXZ57" s="1"/>
      <c r="GYA57" s="1"/>
      <c r="GYB57" s="1"/>
      <c r="GYC57" s="1"/>
      <c r="GYD57" s="1"/>
      <c r="GYE57" s="1"/>
      <c r="GYF57" s="1"/>
      <c r="GYG57" s="1"/>
      <c r="GYH57" s="1"/>
      <c r="GYI57" s="1"/>
      <c r="GYJ57" s="1"/>
      <c r="GYK57" s="1"/>
      <c r="GYL57" s="1"/>
      <c r="GYM57" s="1"/>
      <c r="GYN57" s="1"/>
      <c r="GYO57" s="1"/>
      <c r="GYP57" s="1"/>
      <c r="GYQ57" s="1"/>
      <c r="GYR57" s="1"/>
      <c r="GYS57" s="1"/>
      <c r="GYT57" s="1"/>
      <c r="GYU57" s="1"/>
      <c r="GYV57" s="1"/>
      <c r="GYW57" s="1"/>
      <c r="GYX57" s="1"/>
      <c r="GYY57" s="1"/>
      <c r="GYZ57" s="1"/>
      <c r="GZA57" s="1"/>
      <c r="GZB57" s="1"/>
      <c r="GZC57" s="1"/>
      <c r="GZD57" s="1"/>
      <c r="GZE57" s="1"/>
      <c r="GZF57" s="1"/>
      <c r="GZG57" s="1"/>
      <c r="GZH57" s="1"/>
      <c r="GZI57" s="1"/>
      <c r="GZJ57" s="1"/>
      <c r="GZK57" s="1"/>
      <c r="GZL57" s="1"/>
      <c r="GZM57" s="1"/>
      <c r="GZN57" s="1"/>
      <c r="GZO57" s="1"/>
      <c r="GZP57" s="1"/>
      <c r="GZQ57" s="1"/>
      <c r="GZR57" s="1"/>
      <c r="GZS57" s="1"/>
      <c r="GZT57" s="1"/>
      <c r="GZU57" s="1"/>
      <c r="GZV57" s="1"/>
      <c r="GZW57" s="1"/>
      <c r="GZX57" s="1"/>
      <c r="GZY57" s="1"/>
      <c r="GZZ57" s="1"/>
      <c r="HAA57" s="1"/>
      <c r="HAB57" s="1"/>
      <c r="HAC57" s="1"/>
      <c r="HAD57" s="1"/>
      <c r="HAE57" s="1"/>
      <c r="HAF57" s="1"/>
      <c r="HAG57" s="1"/>
      <c r="HAH57" s="1"/>
      <c r="HAI57" s="1"/>
      <c r="HAJ57" s="1"/>
      <c r="HAK57" s="1"/>
      <c r="HAL57" s="1"/>
      <c r="HAM57" s="1"/>
      <c r="HAN57" s="1"/>
      <c r="HAO57" s="1"/>
      <c r="HAP57" s="1"/>
      <c r="HAQ57" s="1"/>
      <c r="HAR57" s="1"/>
      <c r="HAS57" s="1"/>
      <c r="HAT57" s="1"/>
      <c r="HAU57" s="1"/>
      <c r="HAV57" s="1"/>
      <c r="HAW57" s="1"/>
      <c r="HAX57" s="1"/>
      <c r="HAY57" s="1"/>
      <c r="HAZ57" s="1"/>
      <c r="HBA57" s="1"/>
      <c r="HBB57" s="1"/>
      <c r="HBC57" s="1"/>
      <c r="HBD57" s="1"/>
      <c r="HBE57" s="1"/>
      <c r="HBF57" s="1"/>
      <c r="HBG57" s="1"/>
      <c r="HBH57" s="1"/>
      <c r="HBI57" s="1"/>
      <c r="HBJ57" s="1"/>
      <c r="HBK57" s="1"/>
      <c r="HBL57" s="1"/>
      <c r="HBM57" s="1"/>
      <c r="HBN57" s="1"/>
      <c r="HBO57" s="1"/>
      <c r="HBP57" s="1"/>
      <c r="HBQ57" s="1"/>
      <c r="HBR57" s="1"/>
      <c r="HBS57" s="1"/>
      <c r="HBT57" s="1"/>
      <c r="HBU57" s="1"/>
      <c r="HBV57" s="1"/>
      <c r="HBW57" s="1"/>
      <c r="HBX57" s="1"/>
      <c r="HBY57" s="1"/>
      <c r="HBZ57" s="1"/>
      <c r="HCA57" s="1"/>
      <c r="HCB57" s="1"/>
      <c r="HCC57" s="1"/>
      <c r="HCD57" s="1"/>
      <c r="HCE57" s="1"/>
      <c r="HCF57" s="1"/>
      <c r="HCG57" s="1"/>
      <c r="HCH57" s="1"/>
      <c r="HCI57" s="1"/>
      <c r="HCJ57" s="1"/>
      <c r="HCK57" s="1"/>
      <c r="HCL57" s="1"/>
      <c r="HCM57" s="1"/>
      <c r="HCN57" s="1"/>
      <c r="HCO57" s="1"/>
      <c r="HCP57" s="1"/>
      <c r="HCQ57" s="1"/>
      <c r="HCR57" s="1"/>
      <c r="HCS57" s="1"/>
      <c r="HCT57" s="1"/>
      <c r="HCU57" s="1"/>
      <c r="HCV57" s="1"/>
      <c r="HCW57" s="1"/>
      <c r="HCX57" s="1"/>
      <c r="HCY57" s="1"/>
      <c r="HCZ57" s="1"/>
      <c r="HDA57" s="1"/>
      <c r="HDB57" s="1"/>
      <c r="HDC57" s="1"/>
      <c r="HDD57" s="1"/>
      <c r="HDE57" s="1"/>
      <c r="HDF57" s="1"/>
      <c r="HDG57" s="1"/>
      <c r="HDH57" s="1"/>
      <c r="HDI57" s="1"/>
      <c r="HDJ57" s="1"/>
      <c r="HDK57" s="1"/>
      <c r="HDL57" s="1"/>
      <c r="HDM57" s="1"/>
      <c r="HDN57" s="1"/>
      <c r="HDO57" s="1"/>
      <c r="HDP57" s="1"/>
      <c r="HDQ57" s="1"/>
      <c r="HDR57" s="1"/>
      <c r="HDS57" s="1"/>
      <c r="HDT57" s="1"/>
      <c r="HDU57" s="1"/>
      <c r="HDV57" s="1"/>
      <c r="HDW57" s="1"/>
      <c r="HDX57" s="1"/>
      <c r="HDY57" s="1"/>
      <c r="HDZ57" s="1"/>
      <c r="HEA57" s="1"/>
      <c r="HEB57" s="1"/>
      <c r="HEC57" s="1"/>
      <c r="HED57" s="1"/>
      <c r="HEE57" s="1"/>
      <c r="HEF57" s="1"/>
      <c r="HEG57" s="1"/>
      <c r="HEH57" s="1"/>
      <c r="HEI57" s="1"/>
      <c r="HEJ57" s="1"/>
      <c r="HEK57" s="1"/>
      <c r="HEL57" s="1"/>
      <c r="HEM57" s="1"/>
      <c r="HEN57" s="1"/>
      <c r="HEO57" s="1"/>
      <c r="HEP57" s="1"/>
      <c r="HEQ57" s="1"/>
      <c r="HER57" s="1"/>
      <c r="HES57" s="1"/>
      <c r="HET57" s="1"/>
      <c r="HEU57" s="1"/>
      <c r="HEV57" s="1"/>
      <c r="HEW57" s="1"/>
      <c r="HEX57" s="1"/>
      <c r="HEY57" s="1"/>
      <c r="HEZ57" s="1"/>
      <c r="HFA57" s="1"/>
      <c r="HFB57" s="1"/>
      <c r="HFC57" s="1"/>
      <c r="HFD57" s="1"/>
      <c r="HFE57" s="1"/>
      <c r="HFF57" s="1"/>
      <c r="HFG57" s="1"/>
      <c r="HFH57" s="1"/>
      <c r="HFI57" s="1"/>
      <c r="HFJ57" s="1"/>
      <c r="HFK57" s="1"/>
      <c r="HFL57" s="1"/>
      <c r="HFM57" s="1"/>
      <c r="HFN57" s="1"/>
      <c r="HFO57" s="1"/>
      <c r="HFP57" s="1"/>
      <c r="HFQ57" s="1"/>
      <c r="HFR57" s="1"/>
      <c r="HFS57" s="1"/>
      <c r="HFT57" s="1"/>
      <c r="HFU57" s="1"/>
      <c r="HFV57" s="1"/>
      <c r="HFW57" s="1"/>
      <c r="HFX57" s="1"/>
      <c r="HFY57" s="1"/>
      <c r="HFZ57" s="1"/>
      <c r="HGA57" s="1"/>
      <c r="HGB57" s="1"/>
      <c r="HGC57" s="1"/>
      <c r="HGD57" s="1"/>
      <c r="HGE57" s="1"/>
      <c r="HGF57" s="1"/>
      <c r="HGG57" s="1"/>
      <c r="HGH57" s="1"/>
      <c r="HGI57" s="1"/>
      <c r="HGJ57" s="1"/>
      <c r="HGK57" s="1"/>
      <c r="HGL57" s="1"/>
      <c r="HGM57" s="1"/>
      <c r="HGN57" s="1"/>
      <c r="HGO57" s="1"/>
      <c r="HGP57" s="1"/>
      <c r="HGQ57" s="1"/>
      <c r="HGR57" s="1"/>
      <c r="HGS57" s="1"/>
      <c r="HGT57" s="1"/>
      <c r="HGU57" s="1"/>
      <c r="HGV57" s="1"/>
      <c r="HGW57" s="1"/>
      <c r="HGX57" s="1"/>
      <c r="HGY57" s="1"/>
      <c r="HGZ57" s="1"/>
      <c r="HHA57" s="1"/>
      <c r="HHB57" s="1"/>
      <c r="HHC57" s="1"/>
      <c r="HHD57" s="1"/>
      <c r="HHE57" s="1"/>
      <c r="HHF57" s="1"/>
      <c r="HHG57" s="1"/>
      <c r="HHH57" s="1"/>
      <c r="HHI57" s="1"/>
      <c r="HHJ57" s="1"/>
      <c r="HHK57" s="1"/>
      <c r="HHL57" s="1"/>
      <c r="HHM57" s="1"/>
      <c r="HHN57" s="1"/>
      <c r="HHO57" s="1"/>
      <c r="HHP57" s="1"/>
      <c r="HHQ57" s="1"/>
      <c r="HHR57" s="1"/>
      <c r="HHS57" s="1"/>
      <c r="HHT57" s="1"/>
      <c r="HHU57" s="1"/>
      <c r="HHV57" s="1"/>
      <c r="HHW57" s="1"/>
      <c r="HHX57" s="1"/>
      <c r="HHY57" s="1"/>
      <c r="HHZ57" s="1"/>
      <c r="HIA57" s="1"/>
      <c r="HIB57" s="1"/>
      <c r="HIC57" s="1"/>
      <c r="HID57" s="1"/>
      <c r="HIE57" s="1"/>
      <c r="HIF57" s="1"/>
      <c r="HIG57" s="1"/>
      <c r="HIH57" s="1"/>
      <c r="HII57" s="1"/>
      <c r="HIJ57" s="1"/>
      <c r="HIK57" s="1"/>
      <c r="HIL57" s="1"/>
      <c r="HIM57" s="1"/>
      <c r="HIN57" s="1"/>
      <c r="HIO57" s="1"/>
      <c r="HIP57" s="1"/>
      <c r="HIQ57" s="1"/>
      <c r="HIR57" s="1"/>
      <c r="HIS57" s="1"/>
      <c r="HIT57" s="1"/>
      <c r="HIU57" s="1"/>
      <c r="HIV57" s="1"/>
      <c r="HIW57" s="1"/>
      <c r="HIX57" s="1"/>
      <c r="HIY57" s="1"/>
      <c r="HIZ57" s="1"/>
      <c r="HJA57" s="1"/>
      <c r="HJB57" s="1"/>
      <c r="HJC57" s="1"/>
      <c r="HJD57" s="1"/>
      <c r="HJE57" s="1"/>
      <c r="HJF57" s="1"/>
      <c r="HJG57" s="1"/>
      <c r="HJH57" s="1"/>
      <c r="HJI57" s="1"/>
      <c r="HJJ57" s="1"/>
      <c r="HJK57" s="1"/>
      <c r="HJL57" s="1"/>
      <c r="HJM57" s="1"/>
      <c r="HJN57" s="1"/>
      <c r="HJO57" s="1"/>
      <c r="HJP57" s="1"/>
      <c r="HJQ57" s="1"/>
      <c r="HJR57" s="1"/>
      <c r="HJS57" s="1"/>
      <c r="HJT57" s="1"/>
      <c r="HJU57" s="1"/>
      <c r="HJV57" s="1"/>
      <c r="HJW57" s="1"/>
      <c r="HJX57" s="1"/>
      <c r="HJY57" s="1"/>
      <c r="HJZ57" s="1"/>
      <c r="HKA57" s="1"/>
      <c r="HKB57" s="1"/>
      <c r="HKC57" s="1"/>
      <c r="HKD57" s="1"/>
      <c r="HKE57" s="1"/>
      <c r="HKF57" s="1"/>
      <c r="HKG57" s="1"/>
      <c r="HKH57" s="1"/>
      <c r="HKI57" s="1"/>
      <c r="HKJ57" s="1"/>
      <c r="HKK57" s="1"/>
      <c r="HKL57" s="1"/>
      <c r="HKM57" s="1"/>
      <c r="HKN57" s="1"/>
      <c r="HKO57" s="1"/>
      <c r="HKP57" s="1"/>
      <c r="HKQ57" s="1"/>
      <c r="HKR57" s="1"/>
      <c r="HKS57" s="1"/>
      <c r="HKT57" s="1"/>
      <c r="HKU57" s="1"/>
      <c r="HKV57" s="1"/>
      <c r="HKW57" s="1"/>
      <c r="HKX57" s="1"/>
      <c r="HKY57" s="1"/>
      <c r="HKZ57" s="1"/>
      <c r="HLA57" s="1"/>
      <c r="HLB57" s="1"/>
      <c r="HLC57" s="1"/>
      <c r="HLD57" s="1"/>
      <c r="HLE57" s="1"/>
      <c r="HLF57" s="1"/>
      <c r="HLG57" s="1"/>
      <c r="HLH57" s="1"/>
      <c r="HLI57" s="1"/>
      <c r="HLJ57" s="1"/>
      <c r="HLK57" s="1"/>
      <c r="HLL57" s="1"/>
      <c r="HLM57" s="1"/>
      <c r="HLN57" s="1"/>
      <c r="HLO57" s="1"/>
      <c r="HLP57" s="1"/>
      <c r="HLQ57" s="1"/>
      <c r="HLR57" s="1"/>
      <c r="HLS57" s="1"/>
      <c r="HLT57" s="1"/>
      <c r="HLU57" s="1"/>
      <c r="HLV57" s="1"/>
      <c r="HLW57" s="1"/>
      <c r="HLX57" s="1"/>
      <c r="HLY57" s="1"/>
      <c r="HLZ57" s="1"/>
      <c r="HMA57" s="1"/>
      <c r="HMB57" s="1"/>
      <c r="HMC57" s="1"/>
      <c r="HMD57" s="1"/>
      <c r="HME57" s="1"/>
      <c r="HMF57" s="1"/>
      <c r="HMG57" s="1"/>
      <c r="HMH57" s="1"/>
      <c r="HMI57" s="1"/>
      <c r="HMJ57" s="1"/>
      <c r="HMK57" s="1"/>
      <c r="HML57" s="1"/>
      <c r="HMM57" s="1"/>
      <c r="HMN57" s="1"/>
      <c r="HMO57" s="1"/>
      <c r="HMP57" s="1"/>
      <c r="HMQ57" s="1"/>
      <c r="HMR57" s="1"/>
      <c r="HMS57" s="1"/>
      <c r="HMT57" s="1"/>
      <c r="HMU57" s="1"/>
      <c r="HMV57" s="1"/>
      <c r="HMW57" s="1"/>
      <c r="HMX57" s="1"/>
      <c r="HMY57" s="1"/>
      <c r="HMZ57" s="1"/>
      <c r="HNA57" s="1"/>
      <c r="HNB57" s="1"/>
      <c r="HNC57" s="1"/>
      <c r="HND57" s="1"/>
      <c r="HNE57" s="1"/>
      <c r="HNF57" s="1"/>
      <c r="HNG57" s="1"/>
      <c r="HNH57" s="1"/>
      <c r="HNI57" s="1"/>
      <c r="HNJ57" s="1"/>
      <c r="HNK57" s="1"/>
      <c r="HNL57" s="1"/>
      <c r="HNM57" s="1"/>
      <c r="HNN57" s="1"/>
      <c r="HNO57" s="1"/>
      <c r="HNP57" s="1"/>
      <c r="HNQ57" s="1"/>
      <c r="HNR57" s="1"/>
      <c r="HNS57" s="1"/>
      <c r="HNT57" s="1"/>
      <c r="HNU57" s="1"/>
      <c r="HNV57" s="1"/>
      <c r="HNW57" s="1"/>
      <c r="HNX57" s="1"/>
      <c r="HNY57" s="1"/>
      <c r="HNZ57" s="1"/>
      <c r="HOA57" s="1"/>
      <c r="HOB57" s="1"/>
      <c r="HOC57" s="1"/>
      <c r="HOD57" s="1"/>
      <c r="HOE57" s="1"/>
      <c r="HOF57" s="1"/>
      <c r="HOG57" s="1"/>
      <c r="HOH57" s="1"/>
      <c r="HOI57" s="1"/>
      <c r="HOJ57" s="1"/>
      <c r="HOK57" s="1"/>
      <c r="HOL57" s="1"/>
      <c r="HOM57" s="1"/>
      <c r="HON57" s="1"/>
      <c r="HOO57" s="1"/>
      <c r="HOP57" s="1"/>
      <c r="HOQ57" s="1"/>
      <c r="HOR57" s="1"/>
      <c r="HOS57" s="1"/>
      <c r="HOT57" s="1"/>
      <c r="HOU57" s="1"/>
      <c r="HOV57" s="1"/>
      <c r="HOW57" s="1"/>
      <c r="HOX57" s="1"/>
      <c r="HOY57" s="1"/>
      <c r="HOZ57" s="1"/>
      <c r="HPA57" s="1"/>
      <c r="HPB57" s="1"/>
      <c r="HPC57" s="1"/>
      <c r="HPD57" s="1"/>
      <c r="HPE57" s="1"/>
      <c r="HPF57" s="1"/>
      <c r="HPG57" s="1"/>
      <c r="HPH57" s="1"/>
      <c r="HPI57" s="1"/>
      <c r="HPJ57" s="1"/>
      <c r="HPK57" s="1"/>
      <c r="HPL57" s="1"/>
      <c r="HPM57" s="1"/>
      <c r="HPN57" s="1"/>
      <c r="HPO57" s="1"/>
      <c r="HPP57" s="1"/>
      <c r="HPQ57" s="1"/>
      <c r="HPR57" s="1"/>
      <c r="HPS57" s="1"/>
      <c r="HPT57" s="1"/>
      <c r="HPU57" s="1"/>
      <c r="HPV57" s="1"/>
      <c r="HPW57" s="1"/>
      <c r="HPX57" s="1"/>
      <c r="HPY57" s="1"/>
      <c r="HPZ57" s="1"/>
      <c r="HQA57" s="1"/>
      <c r="HQB57" s="1"/>
      <c r="HQC57" s="1"/>
      <c r="HQD57" s="1"/>
      <c r="HQE57" s="1"/>
      <c r="HQF57" s="1"/>
      <c r="HQG57" s="1"/>
      <c r="HQH57" s="1"/>
      <c r="HQI57" s="1"/>
      <c r="HQJ57" s="1"/>
      <c r="HQK57" s="1"/>
      <c r="HQL57" s="1"/>
      <c r="HQM57" s="1"/>
      <c r="HQN57" s="1"/>
      <c r="HQO57" s="1"/>
      <c r="HQP57" s="1"/>
      <c r="HQQ57" s="1"/>
      <c r="HQR57" s="1"/>
      <c r="HQS57" s="1"/>
      <c r="HQT57" s="1"/>
      <c r="HQU57" s="1"/>
      <c r="HQV57" s="1"/>
      <c r="HQW57" s="1"/>
      <c r="HQX57" s="1"/>
      <c r="HQY57" s="1"/>
      <c r="HQZ57" s="1"/>
      <c r="HRA57" s="1"/>
      <c r="HRB57" s="1"/>
      <c r="HRC57" s="1"/>
      <c r="HRD57" s="1"/>
      <c r="HRE57" s="1"/>
      <c r="HRF57" s="1"/>
      <c r="HRG57" s="1"/>
      <c r="HRH57" s="1"/>
      <c r="HRI57" s="1"/>
      <c r="HRJ57" s="1"/>
      <c r="HRK57" s="1"/>
      <c r="HRL57" s="1"/>
      <c r="HRM57" s="1"/>
      <c r="HRN57" s="1"/>
      <c r="HRO57" s="1"/>
      <c r="HRP57" s="1"/>
      <c r="HRQ57" s="1"/>
      <c r="HRR57" s="1"/>
      <c r="HRS57" s="1"/>
      <c r="HRT57" s="1"/>
      <c r="HRU57" s="1"/>
      <c r="HRV57" s="1"/>
      <c r="HRW57" s="1"/>
      <c r="HRX57" s="1"/>
      <c r="HRY57" s="1"/>
      <c r="HRZ57" s="1"/>
      <c r="HSA57" s="1"/>
      <c r="HSB57" s="1"/>
      <c r="HSC57" s="1"/>
      <c r="HSD57" s="1"/>
      <c r="HSE57" s="1"/>
      <c r="HSF57" s="1"/>
      <c r="HSG57" s="1"/>
      <c r="HSH57" s="1"/>
      <c r="HSI57" s="1"/>
      <c r="HSJ57" s="1"/>
      <c r="HSK57" s="1"/>
      <c r="HSL57" s="1"/>
      <c r="HSM57" s="1"/>
      <c r="HSN57" s="1"/>
      <c r="HSO57" s="1"/>
      <c r="HSP57" s="1"/>
      <c r="HSQ57" s="1"/>
      <c r="HSR57" s="1"/>
      <c r="HSS57" s="1"/>
      <c r="HST57" s="1"/>
      <c r="HSU57" s="1"/>
      <c r="HSV57" s="1"/>
      <c r="HSW57" s="1"/>
      <c r="HSX57" s="1"/>
      <c r="HSY57" s="1"/>
      <c r="HSZ57" s="1"/>
      <c r="HTA57" s="1"/>
      <c r="HTB57" s="1"/>
      <c r="HTC57" s="1"/>
      <c r="HTD57" s="1"/>
      <c r="HTE57" s="1"/>
      <c r="HTF57" s="1"/>
      <c r="HTG57" s="1"/>
      <c r="HTH57" s="1"/>
      <c r="HTI57" s="1"/>
      <c r="HTJ57" s="1"/>
      <c r="HTK57" s="1"/>
      <c r="HTL57" s="1"/>
      <c r="HTM57" s="1"/>
      <c r="HTN57" s="1"/>
      <c r="HTO57" s="1"/>
      <c r="HTP57" s="1"/>
      <c r="HTQ57" s="1"/>
      <c r="HTR57" s="1"/>
      <c r="HTS57" s="1"/>
      <c r="HTT57" s="1"/>
      <c r="HTU57" s="1"/>
      <c r="HTV57" s="1"/>
      <c r="HTW57" s="1"/>
      <c r="HTX57" s="1"/>
      <c r="HTY57" s="1"/>
      <c r="HTZ57" s="1"/>
      <c r="HUA57" s="1"/>
      <c r="HUB57" s="1"/>
      <c r="HUC57" s="1"/>
      <c r="HUD57" s="1"/>
      <c r="HUE57" s="1"/>
      <c r="HUF57" s="1"/>
      <c r="HUG57" s="1"/>
      <c r="HUH57" s="1"/>
      <c r="HUI57" s="1"/>
      <c r="HUJ57" s="1"/>
      <c r="HUK57" s="1"/>
      <c r="HUL57" s="1"/>
      <c r="HUM57" s="1"/>
      <c r="HUN57" s="1"/>
      <c r="HUO57" s="1"/>
      <c r="HUP57" s="1"/>
      <c r="HUQ57" s="1"/>
      <c r="HUR57" s="1"/>
      <c r="HUS57" s="1"/>
      <c r="HUT57" s="1"/>
      <c r="HUU57" s="1"/>
      <c r="HUV57" s="1"/>
      <c r="HUW57" s="1"/>
      <c r="HUX57" s="1"/>
      <c r="HUY57" s="1"/>
      <c r="HUZ57" s="1"/>
      <c r="HVA57" s="1"/>
      <c r="HVB57" s="1"/>
      <c r="HVC57" s="1"/>
      <c r="HVD57" s="1"/>
      <c r="HVE57" s="1"/>
      <c r="HVF57" s="1"/>
      <c r="HVG57" s="1"/>
      <c r="HVH57" s="1"/>
      <c r="HVI57" s="1"/>
      <c r="HVJ57" s="1"/>
      <c r="HVK57" s="1"/>
      <c r="HVL57" s="1"/>
      <c r="HVM57" s="1"/>
      <c r="HVN57" s="1"/>
      <c r="HVO57" s="1"/>
      <c r="HVP57" s="1"/>
      <c r="HVQ57" s="1"/>
      <c r="HVR57" s="1"/>
      <c r="HVS57" s="1"/>
      <c r="HVT57" s="1"/>
      <c r="HVU57" s="1"/>
      <c r="HVV57" s="1"/>
      <c r="HVW57" s="1"/>
      <c r="HVX57" s="1"/>
      <c r="HVY57" s="1"/>
      <c r="HVZ57" s="1"/>
      <c r="HWA57" s="1"/>
      <c r="HWB57" s="1"/>
      <c r="HWC57" s="1"/>
      <c r="HWD57" s="1"/>
      <c r="HWE57" s="1"/>
      <c r="HWF57" s="1"/>
      <c r="HWG57" s="1"/>
      <c r="HWH57" s="1"/>
      <c r="HWI57" s="1"/>
      <c r="HWJ57" s="1"/>
      <c r="HWK57" s="1"/>
      <c r="HWL57" s="1"/>
      <c r="HWM57" s="1"/>
      <c r="HWN57" s="1"/>
      <c r="HWO57" s="1"/>
      <c r="HWP57" s="1"/>
      <c r="HWQ57" s="1"/>
      <c r="HWR57" s="1"/>
      <c r="HWS57" s="1"/>
      <c r="HWT57" s="1"/>
      <c r="HWU57" s="1"/>
      <c r="HWV57" s="1"/>
      <c r="HWW57" s="1"/>
      <c r="HWX57" s="1"/>
      <c r="HWY57" s="1"/>
      <c r="HWZ57" s="1"/>
      <c r="HXA57" s="1"/>
      <c r="HXB57" s="1"/>
      <c r="HXC57" s="1"/>
      <c r="HXD57" s="1"/>
      <c r="HXE57" s="1"/>
      <c r="HXF57" s="1"/>
      <c r="HXG57" s="1"/>
      <c r="HXH57" s="1"/>
      <c r="HXI57" s="1"/>
      <c r="HXJ57" s="1"/>
      <c r="HXK57" s="1"/>
      <c r="HXL57" s="1"/>
      <c r="HXM57" s="1"/>
      <c r="HXN57" s="1"/>
      <c r="HXO57" s="1"/>
      <c r="HXP57" s="1"/>
      <c r="HXQ57" s="1"/>
      <c r="HXR57" s="1"/>
      <c r="HXS57" s="1"/>
      <c r="HXT57" s="1"/>
      <c r="HXU57" s="1"/>
      <c r="HXV57" s="1"/>
      <c r="HXW57" s="1"/>
      <c r="HXX57" s="1"/>
      <c r="HXY57" s="1"/>
      <c r="HXZ57" s="1"/>
      <c r="HYA57" s="1"/>
      <c r="HYB57" s="1"/>
      <c r="HYC57" s="1"/>
      <c r="HYD57" s="1"/>
      <c r="HYE57" s="1"/>
      <c r="HYF57" s="1"/>
      <c r="HYG57" s="1"/>
      <c r="HYH57" s="1"/>
      <c r="HYI57" s="1"/>
      <c r="HYJ57" s="1"/>
      <c r="HYK57" s="1"/>
      <c r="HYL57" s="1"/>
      <c r="HYM57" s="1"/>
      <c r="HYN57" s="1"/>
      <c r="HYO57" s="1"/>
      <c r="HYP57" s="1"/>
      <c r="HYQ57" s="1"/>
      <c r="HYR57" s="1"/>
      <c r="HYS57" s="1"/>
      <c r="HYT57" s="1"/>
      <c r="HYU57" s="1"/>
      <c r="HYV57" s="1"/>
      <c r="HYW57" s="1"/>
      <c r="HYX57" s="1"/>
      <c r="HYY57" s="1"/>
      <c r="HYZ57" s="1"/>
      <c r="HZA57" s="1"/>
      <c r="HZB57" s="1"/>
      <c r="HZC57" s="1"/>
      <c r="HZD57" s="1"/>
      <c r="HZE57" s="1"/>
      <c r="HZF57" s="1"/>
      <c r="HZG57" s="1"/>
      <c r="HZH57" s="1"/>
      <c r="HZI57" s="1"/>
      <c r="HZJ57" s="1"/>
      <c r="HZK57" s="1"/>
      <c r="HZL57" s="1"/>
      <c r="HZM57" s="1"/>
      <c r="HZN57" s="1"/>
      <c r="HZO57" s="1"/>
      <c r="HZP57" s="1"/>
      <c r="HZQ57" s="1"/>
      <c r="HZR57" s="1"/>
      <c r="HZS57" s="1"/>
      <c r="HZT57" s="1"/>
      <c r="HZU57" s="1"/>
      <c r="HZV57" s="1"/>
      <c r="HZW57" s="1"/>
      <c r="HZX57" s="1"/>
      <c r="HZY57" s="1"/>
      <c r="HZZ57" s="1"/>
      <c r="IAA57" s="1"/>
      <c r="IAB57" s="1"/>
      <c r="IAC57" s="1"/>
      <c r="IAD57" s="1"/>
      <c r="IAE57" s="1"/>
      <c r="IAF57" s="1"/>
      <c r="IAG57" s="1"/>
      <c r="IAH57" s="1"/>
      <c r="IAI57" s="1"/>
      <c r="IAJ57" s="1"/>
      <c r="IAK57" s="1"/>
      <c r="IAL57" s="1"/>
      <c r="IAM57" s="1"/>
      <c r="IAN57" s="1"/>
      <c r="IAO57" s="1"/>
      <c r="IAP57" s="1"/>
      <c r="IAQ57" s="1"/>
      <c r="IAR57" s="1"/>
      <c r="IAS57" s="1"/>
      <c r="IAT57" s="1"/>
      <c r="IAU57" s="1"/>
      <c r="IAV57" s="1"/>
      <c r="IAW57" s="1"/>
      <c r="IAX57" s="1"/>
      <c r="IAY57" s="1"/>
      <c r="IAZ57" s="1"/>
      <c r="IBA57" s="1"/>
      <c r="IBB57" s="1"/>
      <c r="IBC57" s="1"/>
      <c r="IBD57" s="1"/>
      <c r="IBE57" s="1"/>
      <c r="IBF57" s="1"/>
      <c r="IBG57" s="1"/>
      <c r="IBH57" s="1"/>
      <c r="IBI57" s="1"/>
      <c r="IBJ57" s="1"/>
      <c r="IBK57" s="1"/>
      <c r="IBL57" s="1"/>
      <c r="IBM57" s="1"/>
      <c r="IBN57" s="1"/>
      <c r="IBO57" s="1"/>
      <c r="IBP57" s="1"/>
      <c r="IBQ57" s="1"/>
      <c r="IBR57" s="1"/>
      <c r="IBS57" s="1"/>
      <c r="IBT57" s="1"/>
      <c r="IBU57" s="1"/>
      <c r="IBV57" s="1"/>
      <c r="IBW57" s="1"/>
      <c r="IBX57" s="1"/>
      <c r="IBY57" s="1"/>
      <c r="IBZ57" s="1"/>
      <c r="ICA57" s="1"/>
      <c r="ICB57" s="1"/>
      <c r="ICC57" s="1"/>
      <c r="ICD57" s="1"/>
      <c r="ICE57" s="1"/>
      <c r="ICF57" s="1"/>
      <c r="ICG57" s="1"/>
      <c r="ICH57" s="1"/>
      <c r="ICI57" s="1"/>
      <c r="ICJ57" s="1"/>
      <c r="ICK57" s="1"/>
      <c r="ICL57" s="1"/>
      <c r="ICM57" s="1"/>
      <c r="ICN57" s="1"/>
      <c r="ICO57" s="1"/>
      <c r="ICP57" s="1"/>
      <c r="ICQ57" s="1"/>
      <c r="ICR57" s="1"/>
      <c r="ICS57" s="1"/>
      <c r="ICT57" s="1"/>
      <c r="ICU57" s="1"/>
      <c r="ICV57" s="1"/>
      <c r="ICW57" s="1"/>
      <c r="ICX57" s="1"/>
      <c r="ICY57" s="1"/>
      <c r="ICZ57" s="1"/>
      <c r="IDA57" s="1"/>
      <c r="IDB57" s="1"/>
      <c r="IDC57" s="1"/>
      <c r="IDD57" s="1"/>
      <c r="IDE57" s="1"/>
      <c r="IDF57" s="1"/>
      <c r="IDG57" s="1"/>
      <c r="IDH57" s="1"/>
      <c r="IDI57" s="1"/>
      <c r="IDJ57" s="1"/>
      <c r="IDK57" s="1"/>
      <c r="IDL57" s="1"/>
      <c r="IDM57" s="1"/>
      <c r="IDN57" s="1"/>
      <c r="IDO57" s="1"/>
      <c r="IDP57" s="1"/>
      <c r="IDQ57" s="1"/>
      <c r="IDR57" s="1"/>
      <c r="IDS57" s="1"/>
      <c r="IDT57" s="1"/>
      <c r="IDU57" s="1"/>
      <c r="IDV57" s="1"/>
      <c r="IDW57" s="1"/>
      <c r="IDX57" s="1"/>
      <c r="IDY57" s="1"/>
      <c r="IDZ57" s="1"/>
      <c r="IEA57" s="1"/>
      <c r="IEB57" s="1"/>
      <c r="IEC57" s="1"/>
      <c r="IED57" s="1"/>
      <c r="IEE57" s="1"/>
      <c r="IEF57" s="1"/>
      <c r="IEG57" s="1"/>
      <c r="IEH57" s="1"/>
      <c r="IEI57" s="1"/>
      <c r="IEJ57" s="1"/>
      <c r="IEK57" s="1"/>
      <c r="IEL57" s="1"/>
      <c r="IEM57" s="1"/>
      <c r="IEN57" s="1"/>
      <c r="IEO57" s="1"/>
      <c r="IEP57" s="1"/>
      <c r="IEQ57" s="1"/>
      <c r="IER57" s="1"/>
      <c r="IES57" s="1"/>
      <c r="IET57" s="1"/>
      <c r="IEU57" s="1"/>
      <c r="IEV57" s="1"/>
      <c r="IEW57" s="1"/>
      <c r="IEX57" s="1"/>
      <c r="IEY57" s="1"/>
      <c r="IEZ57" s="1"/>
      <c r="IFA57" s="1"/>
      <c r="IFB57" s="1"/>
      <c r="IFC57" s="1"/>
      <c r="IFD57" s="1"/>
      <c r="IFE57" s="1"/>
      <c r="IFF57" s="1"/>
      <c r="IFG57" s="1"/>
      <c r="IFH57" s="1"/>
      <c r="IFI57" s="1"/>
      <c r="IFJ57" s="1"/>
      <c r="IFK57" s="1"/>
      <c r="IFL57" s="1"/>
      <c r="IFM57" s="1"/>
      <c r="IFN57" s="1"/>
      <c r="IFO57" s="1"/>
      <c r="IFP57" s="1"/>
      <c r="IFQ57" s="1"/>
      <c r="IFR57" s="1"/>
      <c r="IFS57" s="1"/>
      <c r="IFT57" s="1"/>
      <c r="IFU57" s="1"/>
      <c r="IFV57" s="1"/>
      <c r="IFW57" s="1"/>
      <c r="IFX57" s="1"/>
      <c r="IFY57" s="1"/>
      <c r="IFZ57" s="1"/>
      <c r="IGA57" s="1"/>
      <c r="IGB57" s="1"/>
      <c r="IGC57" s="1"/>
      <c r="IGD57" s="1"/>
      <c r="IGE57" s="1"/>
      <c r="IGF57" s="1"/>
      <c r="IGG57" s="1"/>
      <c r="IGH57" s="1"/>
      <c r="IGI57" s="1"/>
      <c r="IGJ57" s="1"/>
      <c r="IGK57" s="1"/>
      <c r="IGL57" s="1"/>
      <c r="IGM57" s="1"/>
      <c r="IGN57" s="1"/>
      <c r="IGO57" s="1"/>
      <c r="IGP57" s="1"/>
      <c r="IGQ57" s="1"/>
      <c r="IGR57" s="1"/>
      <c r="IGS57" s="1"/>
      <c r="IGT57" s="1"/>
      <c r="IGU57" s="1"/>
      <c r="IGV57" s="1"/>
      <c r="IGW57" s="1"/>
      <c r="IGX57" s="1"/>
      <c r="IGY57" s="1"/>
      <c r="IGZ57" s="1"/>
      <c r="IHA57" s="1"/>
      <c r="IHB57" s="1"/>
      <c r="IHC57" s="1"/>
      <c r="IHD57" s="1"/>
      <c r="IHE57" s="1"/>
      <c r="IHF57" s="1"/>
      <c r="IHG57" s="1"/>
      <c r="IHH57" s="1"/>
      <c r="IHI57" s="1"/>
      <c r="IHJ57" s="1"/>
      <c r="IHK57" s="1"/>
      <c r="IHL57" s="1"/>
      <c r="IHM57" s="1"/>
      <c r="IHN57" s="1"/>
      <c r="IHO57" s="1"/>
      <c r="IHP57" s="1"/>
      <c r="IHQ57" s="1"/>
      <c r="IHR57" s="1"/>
      <c r="IHS57" s="1"/>
      <c r="IHT57" s="1"/>
      <c r="IHU57" s="1"/>
      <c r="IHV57" s="1"/>
      <c r="IHW57" s="1"/>
      <c r="IHX57" s="1"/>
      <c r="IHY57" s="1"/>
      <c r="IHZ57" s="1"/>
      <c r="IIA57" s="1"/>
      <c r="IIB57" s="1"/>
      <c r="IIC57" s="1"/>
      <c r="IID57" s="1"/>
      <c r="IIE57" s="1"/>
      <c r="IIF57" s="1"/>
      <c r="IIG57" s="1"/>
      <c r="IIH57" s="1"/>
      <c r="III57" s="1"/>
      <c r="IIJ57" s="1"/>
      <c r="IIK57" s="1"/>
      <c r="IIL57" s="1"/>
      <c r="IIM57" s="1"/>
      <c r="IIN57" s="1"/>
      <c r="IIO57" s="1"/>
      <c r="IIP57" s="1"/>
      <c r="IIQ57" s="1"/>
      <c r="IIR57" s="1"/>
      <c r="IIS57" s="1"/>
      <c r="IIT57" s="1"/>
      <c r="IIU57" s="1"/>
      <c r="IIV57" s="1"/>
      <c r="IIW57" s="1"/>
      <c r="IIX57" s="1"/>
      <c r="IIY57" s="1"/>
      <c r="IIZ57" s="1"/>
      <c r="IJA57" s="1"/>
      <c r="IJB57" s="1"/>
      <c r="IJC57" s="1"/>
      <c r="IJD57" s="1"/>
      <c r="IJE57" s="1"/>
      <c r="IJF57" s="1"/>
      <c r="IJG57" s="1"/>
      <c r="IJH57" s="1"/>
      <c r="IJI57" s="1"/>
      <c r="IJJ57" s="1"/>
      <c r="IJK57" s="1"/>
      <c r="IJL57" s="1"/>
      <c r="IJM57" s="1"/>
      <c r="IJN57" s="1"/>
      <c r="IJO57" s="1"/>
      <c r="IJP57" s="1"/>
      <c r="IJQ57" s="1"/>
      <c r="IJR57" s="1"/>
      <c r="IJS57" s="1"/>
      <c r="IJT57" s="1"/>
      <c r="IJU57" s="1"/>
      <c r="IJV57" s="1"/>
      <c r="IJW57" s="1"/>
      <c r="IJX57" s="1"/>
      <c r="IJY57" s="1"/>
      <c r="IJZ57" s="1"/>
      <c r="IKA57" s="1"/>
      <c r="IKB57" s="1"/>
      <c r="IKC57" s="1"/>
      <c r="IKD57" s="1"/>
      <c r="IKE57" s="1"/>
      <c r="IKF57" s="1"/>
      <c r="IKG57" s="1"/>
      <c r="IKH57" s="1"/>
      <c r="IKI57" s="1"/>
      <c r="IKJ57" s="1"/>
      <c r="IKK57" s="1"/>
      <c r="IKL57" s="1"/>
      <c r="IKM57" s="1"/>
      <c r="IKN57" s="1"/>
      <c r="IKO57" s="1"/>
      <c r="IKP57" s="1"/>
      <c r="IKQ57" s="1"/>
      <c r="IKR57" s="1"/>
      <c r="IKS57" s="1"/>
      <c r="IKT57" s="1"/>
      <c r="IKU57" s="1"/>
      <c r="IKV57" s="1"/>
      <c r="IKW57" s="1"/>
      <c r="IKX57" s="1"/>
      <c r="IKY57" s="1"/>
      <c r="IKZ57" s="1"/>
      <c r="ILA57" s="1"/>
      <c r="ILB57" s="1"/>
      <c r="ILC57" s="1"/>
      <c r="ILD57" s="1"/>
      <c r="ILE57" s="1"/>
      <c r="ILF57" s="1"/>
      <c r="ILG57" s="1"/>
      <c r="ILH57" s="1"/>
      <c r="ILI57" s="1"/>
      <c r="ILJ57" s="1"/>
      <c r="ILK57" s="1"/>
      <c r="ILL57" s="1"/>
      <c r="ILM57" s="1"/>
      <c r="ILN57" s="1"/>
      <c r="ILO57" s="1"/>
      <c r="ILP57" s="1"/>
      <c r="ILQ57" s="1"/>
      <c r="ILR57" s="1"/>
      <c r="ILS57" s="1"/>
      <c r="ILT57" s="1"/>
      <c r="ILU57" s="1"/>
      <c r="ILV57" s="1"/>
      <c r="ILW57" s="1"/>
      <c r="ILX57" s="1"/>
      <c r="ILY57" s="1"/>
      <c r="ILZ57" s="1"/>
      <c r="IMA57" s="1"/>
      <c r="IMB57" s="1"/>
      <c r="IMC57" s="1"/>
      <c r="IMD57" s="1"/>
      <c r="IME57" s="1"/>
      <c r="IMF57" s="1"/>
      <c r="IMG57" s="1"/>
      <c r="IMH57" s="1"/>
      <c r="IMI57" s="1"/>
      <c r="IMJ57" s="1"/>
      <c r="IMK57" s="1"/>
      <c r="IML57" s="1"/>
      <c r="IMM57" s="1"/>
      <c r="IMN57" s="1"/>
      <c r="IMO57" s="1"/>
      <c r="IMP57" s="1"/>
      <c r="IMQ57" s="1"/>
      <c r="IMR57" s="1"/>
      <c r="IMS57" s="1"/>
      <c r="IMT57" s="1"/>
      <c r="IMU57" s="1"/>
      <c r="IMV57" s="1"/>
      <c r="IMW57" s="1"/>
      <c r="IMX57" s="1"/>
      <c r="IMY57" s="1"/>
      <c r="IMZ57" s="1"/>
      <c r="INA57" s="1"/>
      <c r="INB57" s="1"/>
      <c r="INC57" s="1"/>
      <c r="IND57" s="1"/>
      <c r="INE57" s="1"/>
      <c r="INF57" s="1"/>
      <c r="ING57" s="1"/>
      <c r="INH57" s="1"/>
      <c r="INI57" s="1"/>
      <c r="INJ57" s="1"/>
      <c r="INK57" s="1"/>
      <c r="INL57" s="1"/>
      <c r="INM57" s="1"/>
      <c r="INN57" s="1"/>
      <c r="INO57" s="1"/>
      <c r="INP57" s="1"/>
      <c r="INQ57" s="1"/>
      <c r="INR57" s="1"/>
      <c r="INS57" s="1"/>
      <c r="INT57" s="1"/>
      <c r="INU57" s="1"/>
      <c r="INV57" s="1"/>
      <c r="INW57" s="1"/>
      <c r="INX57" s="1"/>
      <c r="INY57" s="1"/>
      <c r="INZ57" s="1"/>
      <c r="IOA57" s="1"/>
      <c r="IOB57" s="1"/>
      <c r="IOC57" s="1"/>
      <c r="IOD57" s="1"/>
      <c r="IOE57" s="1"/>
      <c r="IOF57" s="1"/>
      <c r="IOG57" s="1"/>
      <c r="IOH57" s="1"/>
      <c r="IOI57" s="1"/>
      <c r="IOJ57" s="1"/>
      <c r="IOK57" s="1"/>
      <c r="IOL57" s="1"/>
      <c r="IOM57" s="1"/>
      <c r="ION57" s="1"/>
      <c r="IOO57" s="1"/>
      <c r="IOP57" s="1"/>
      <c r="IOQ57" s="1"/>
      <c r="IOR57" s="1"/>
      <c r="IOS57" s="1"/>
      <c r="IOT57" s="1"/>
      <c r="IOU57" s="1"/>
      <c r="IOV57" s="1"/>
      <c r="IOW57" s="1"/>
      <c r="IOX57" s="1"/>
      <c r="IOY57" s="1"/>
      <c r="IOZ57" s="1"/>
      <c r="IPA57" s="1"/>
      <c r="IPB57" s="1"/>
      <c r="IPC57" s="1"/>
      <c r="IPD57" s="1"/>
      <c r="IPE57" s="1"/>
      <c r="IPF57" s="1"/>
      <c r="IPG57" s="1"/>
      <c r="IPH57" s="1"/>
      <c r="IPI57" s="1"/>
      <c r="IPJ57" s="1"/>
      <c r="IPK57" s="1"/>
      <c r="IPL57" s="1"/>
      <c r="IPM57" s="1"/>
      <c r="IPN57" s="1"/>
      <c r="IPO57" s="1"/>
      <c r="IPP57" s="1"/>
      <c r="IPQ57" s="1"/>
      <c r="IPR57" s="1"/>
      <c r="IPS57" s="1"/>
      <c r="IPT57" s="1"/>
      <c r="IPU57" s="1"/>
      <c r="IPV57" s="1"/>
      <c r="IPW57" s="1"/>
      <c r="IPX57" s="1"/>
      <c r="IPY57" s="1"/>
      <c r="IPZ57" s="1"/>
      <c r="IQA57" s="1"/>
      <c r="IQB57" s="1"/>
      <c r="IQC57" s="1"/>
      <c r="IQD57" s="1"/>
      <c r="IQE57" s="1"/>
      <c r="IQF57" s="1"/>
      <c r="IQG57" s="1"/>
      <c r="IQH57" s="1"/>
      <c r="IQI57" s="1"/>
      <c r="IQJ57" s="1"/>
      <c r="IQK57" s="1"/>
      <c r="IQL57" s="1"/>
      <c r="IQM57" s="1"/>
      <c r="IQN57" s="1"/>
      <c r="IQO57" s="1"/>
      <c r="IQP57" s="1"/>
      <c r="IQQ57" s="1"/>
      <c r="IQR57" s="1"/>
      <c r="IQS57" s="1"/>
      <c r="IQT57" s="1"/>
      <c r="IQU57" s="1"/>
      <c r="IQV57" s="1"/>
      <c r="IQW57" s="1"/>
      <c r="IQX57" s="1"/>
      <c r="IQY57" s="1"/>
      <c r="IQZ57" s="1"/>
      <c r="IRA57" s="1"/>
      <c r="IRB57" s="1"/>
      <c r="IRC57" s="1"/>
      <c r="IRD57" s="1"/>
      <c r="IRE57" s="1"/>
      <c r="IRF57" s="1"/>
      <c r="IRG57" s="1"/>
      <c r="IRH57" s="1"/>
      <c r="IRI57" s="1"/>
      <c r="IRJ57" s="1"/>
      <c r="IRK57" s="1"/>
      <c r="IRL57" s="1"/>
      <c r="IRM57" s="1"/>
      <c r="IRN57" s="1"/>
      <c r="IRO57" s="1"/>
      <c r="IRP57" s="1"/>
      <c r="IRQ57" s="1"/>
      <c r="IRR57" s="1"/>
      <c r="IRS57" s="1"/>
      <c r="IRT57" s="1"/>
      <c r="IRU57" s="1"/>
      <c r="IRV57" s="1"/>
      <c r="IRW57" s="1"/>
      <c r="IRX57" s="1"/>
      <c r="IRY57" s="1"/>
      <c r="IRZ57" s="1"/>
      <c r="ISA57" s="1"/>
      <c r="ISB57" s="1"/>
      <c r="ISC57" s="1"/>
      <c r="ISD57" s="1"/>
      <c r="ISE57" s="1"/>
      <c r="ISF57" s="1"/>
      <c r="ISG57" s="1"/>
      <c r="ISH57" s="1"/>
      <c r="ISI57" s="1"/>
      <c r="ISJ57" s="1"/>
      <c r="ISK57" s="1"/>
      <c r="ISL57" s="1"/>
      <c r="ISM57" s="1"/>
      <c r="ISN57" s="1"/>
      <c r="ISO57" s="1"/>
      <c r="ISP57" s="1"/>
      <c r="ISQ57" s="1"/>
      <c r="ISR57" s="1"/>
      <c r="ISS57" s="1"/>
      <c r="IST57" s="1"/>
      <c r="ISU57" s="1"/>
      <c r="ISV57" s="1"/>
      <c r="ISW57" s="1"/>
      <c r="ISX57" s="1"/>
      <c r="ISY57" s="1"/>
      <c r="ISZ57" s="1"/>
      <c r="ITA57" s="1"/>
      <c r="ITB57" s="1"/>
      <c r="ITC57" s="1"/>
      <c r="ITD57" s="1"/>
      <c r="ITE57" s="1"/>
      <c r="ITF57" s="1"/>
      <c r="ITG57" s="1"/>
      <c r="ITH57" s="1"/>
      <c r="ITI57" s="1"/>
      <c r="ITJ57" s="1"/>
      <c r="ITK57" s="1"/>
      <c r="ITL57" s="1"/>
      <c r="ITM57" s="1"/>
      <c r="ITN57" s="1"/>
      <c r="ITO57" s="1"/>
      <c r="ITP57" s="1"/>
      <c r="ITQ57" s="1"/>
      <c r="ITR57" s="1"/>
      <c r="ITS57" s="1"/>
      <c r="ITT57" s="1"/>
      <c r="ITU57" s="1"/>
      <c r="ITV57" s="1"/>
      <c r="ITW57" s="1"/>
      <c r="ITX57" s="1"/>
      <c r="ITY57" s="1"/>
      <c r="ITZ57" s="1"/>
      <c r="IUA57" s="1"/>
      <c r="IUB57" s="1"/>
      <c r="IUC57" s="1"/>
      <c r="IUD57" s="1"/>
      <c r="IUE57" s="1"/>
      <c r="IUF57" s="1"/>
      <c r="IUG57" s="1"/>
      <c r="IUH57" s="1"/>
      <c r="IUI57" s="1"/>
      <c r="IUJ57" s="1"/>
      <c r="IUK57" s="1"/>
      <c r="IUL57" s="1"/>
      <c r="IUM57" s="1"/>
      <c r="IUN57" s="1"/>
      <c r="IUO57" s="1"/>
      <c r="IUP57" s="1"/>
      <c r="IUQ57" s="1"/>
      <c r="IUR57" s="1"/>
      <c r="IUS57" s="1"/>
      <c r="IUT57" s="1"/>
      <c r="IUU57" s="1"/>
      <c r="IUV57" s="1"/>
      <c r="IUW57" s="1"/>
      <c r="IUX57" s="1"/>
      <c r="IUY57" s="1"/>
      <c r="IUZ57" s="1"/>
      <c r="IVA57" s="1"/>
      <c r="IVB57" s="1"/>
      <c r="IVC57" s="1"/>
      <c r="IVD57" s="1"/>
      <c r="IVE57" s="1"/>
      <c r="IVF57" s="1"/>
      <c r="IVG57" s="1"/>
      <c r="IVH57" s="1"/>
      <c r="IVI57" s="1"/>
      <c r="IVJ57" s="1"/>
      <c r="IVK57" s="1"/>
      <c r="IVL57" s="1"/>
      <c r="IVM57" s="1"/>
      <c r="IVN57" s="1"/>
      <c r="IVO57" s="1"/>
      <c r="IVP57" s="1"/>
      <c r="IVQ57" s="1"/>
      <c r="IVR57" s="1"/>
      <c r="IVS57" s="1"/>
      <c r="IVT57" s="1"/>
      <c r="IVU57" s="1"/>
      <c r="IVV57" s="1"/>
      <c r="IVW57" s="1"/>
      <c r="IVX57" s="1"/>
      <c r="IVY57" s="1"/>
      <c r="IVZ57" s="1"/>
      <c r="IWA57" s="1"/>
      <c r="IWB57" s="1"/>
      <c r="IWC57" s="1"/>
      <c r="IWD57" s="1"/>
      <c r="IWE57" s="1"/>
      <c r="IWF57" s="1"/>
      <c r="IWG57" s="1"/>
      <c r="IWH57" s="1"/>
      <c r="IWI57" s="1"/>
      <c r="IWJ57" s="1"/>
      <c r="IWK57" s="1"/>
      <c r="IWL57" s="1"/>
      <c r="IWM57" s="1"/>
      <c r="IWN57" s="1"/>
      <c r="IWO57" s="1"/>
      <c r="IWP57" s="1"/>
      <c r="IWQ57" s="1"/>
      <c r="IWR57" s="1"/>
      <c r="IWS57" s="1"/>
      <c r="IWT57" s="1"/>
      <c r="IWU57" s="1"/>
      <c r="IWV57" s="1"/>
      <c r="IWW57" s="1"/>
      <c r="IWX57" s="1"/>
      <c r="IWY57" s="1"/>
      <c r="IWZ57" s="1"/>
      <c r="IXA57" s="1"/>
      <c r="IXB57" s="1"/>
      <c r="IXC57" s="1"/>
      <c r="IXD57" s="1"/>
      <c r="IXE57" s="1"/>
      <c r="IXF57" s="1"/>
      <c r="IXG57" s="1"/>
      <c r="IXH57" s="1"/>
      <c r="IXI57" s="1"/>
      <c r="IXJ57" s="1"/>
      <c r="IXK57" s="1"/>
      <c r="IXL57" s="1"/>
      <c r="IXM57" s="1"/>
      <c r="IXN57" s="1"/>
      <c r="IXO57" s="1"/>
      <c r="IXP57" s="1"/>
      <c r="IXQ57" s="1"/>
      <c r="IXR57" s="1"/>
      <c r="IXS57" s="1"/>
      <c r="IXT57" s="1"/>
      <c r="IXU57" s="1"/>
      <c r="IXV57" s="1"/>
      <c r="IXW57" s="1"/>
      <c r="IXX57" s="1"/>
      <c r="IXY57" s="1"/>
      <c r="IXZ57" s="1"/>
      <c r="IYA57" s="1"/>
      <c r="IYB57" s="1"/>
      <c r="IYC57" s="1"/>
      <c r="IYD57" s="1"/>
      <c r="IYE57" s="1"/>
      <c r="IYF57" s="1"/>
      <c r="IYG57" s="1"/>
      <c r="IYH57" s="1"/>
      <c r="IYI57" s="1"/>
      <c r="IYJ57" s="1"/>
      <c r="IYK57" s="1"/>
      <c r="IYL57" s="1"/>
      <c r="IYM57" s="1"/>
      <c r="IYN57" s="1"/>
      <c r="IYO57" s="1"/>
      <c r="IYP57" s="1"/>
      <c r="IYQ57" s="1"/>
      <c r="IYR57" s="1"/>
      <c r="IYS57" s="1"/>
      <c r="IYT57" s="1"/>
      <c r="IYU57" s="1"/>
      <c r="IYV57" s="1"/>
      <c r="IYW57" s="1"/>
      <c r="IYX57" s="1"/>
      <c r="IYY57" s="1"/>
      <c r="IYZ57" s="1"/>
      <c r="IZA57" s="1"/>
      <c r="IZB57" s="1"/>
      <c r="IZC57" s="1"/>
      <c r="IZD57" s="1"/>
      <c r="IZE57" s="1"/>
      <c r="IZF57" s="1"/>
      <c r="IZG57" s="1"/>
      <c r="IZH57" s="1"/>
      <c r="IZI57" s="1"/>
      <c r="IZJ57" s="1"/>
      <c r="IZK57" s="1"/>
      <c r="IZL57" s="1"/>
      <c r="IZM57" s="1"/>
      <c r="IZN57" s="1"/>
      <c r="IZO57" s="1"/>
      <c r="IZP57" s="1"/>
      <c r="IZQ57" s="1"/>
      <c r="IZR57" s="1"/>
      <c r="IZS57" s="1"/>
      <c r="IZT57" s="1"/>
      <c r="IZU57" s="1"/>
      <c r="IZV57" s="1"/>
      <c r="IZW57" s="1"/>
      <c r="IZX57" s="1"/>
      <c r="IZY57" s="1"/>
      <c r="IZZ57" s="1"/>
      <c r="JAA57" s="1"/>
      <c r="JAB57" s="1"/>
      <c r="JAC57" s="1"/>
      <c r="JAD57" s="1"/>
      <c r="JAE57" s="1"/>
      <c r="JAF57" s="1"/>
      <c r="JAG57" s="1"/>
      <c r="JAH57" s="1"/>
      <c r="JAI57" s="1"/>
      <c r="JAJ57" s="1"/>
      <c r="JAK57" s="1"/>
      <c r="JAL57" s="1"/>
      <c r="JAM57" s="1"/>
      <c r="JAN57" s="1"/>
      <c r="JAO57" s="1"/>
      <c r="JAP57" s="1"/>
      <c r="JAQ57" s="1"/>
      <c r="JAR57" s="1"/>
      <c r="JAS57" s="1"/>
      <c r="JAT57" s="1"/>
      <c r="JAU57" s="1"/>
      <c r="JAV57" s="1"/>
      <c r="JAW57" s="1"/>
      <c r="JAX57" s="1"/>
      <c r="JAY57" s="1"/>
      <c r="JAZ57" s="1"/>
      <c r="JBA57" s="1"/>
      <c r="JBB57" s="1"/>
      <c r="JBC57" s="1"/>
      <c r="JBD57" s="1"/>
      <c r="JBE57" s="1"/>
      <c r="JBF57" s="1"/>
      <c r="JBG57" s="1"/>
      <c r="JBH57" s="1"/>
      <c r="JBI57" s="1"/>
      <c r="JBJ57" s="1"/>
      <c r="JBK57" s="1"/>
      <c r="JBL57" s="1"/>
      <c r="JBM57" s="1"/>
      <c r="JBN57" s="1"/>
      <c r="JBO57" s="1"/>
      <c r="JBP57" s="1"/>
      <c r="JBQ57" s="1"/>
      <c r="JBR57" s="1"/>
      <c r="JBS57" s="1"/>
      <c r="JBT57" s="1"/>
      <c r="JBU57" s="1"/>
      <c r="JBV57" s="1"/>
      <c r="JBW57" s="1"/>
      <c r="JBX57" s="1"/>
      <c r="JBY57" s="1"/>
      <c r="JBZ57" s="1"/>
      <c r="JCA57" s="1"/>
      <c r="JCB57" s="1"/>
      <c r="JCC57" s="1"/>
      <c r="JCD57" s="1"/>
      <c r="JCE57" s="1"/>
      <c r="JCF57" s="1"/>
      <c r="JCG57" s="1"/>
      <c r="JCH57" s="1"/>
      <c r="JCI57" s="1"/>
      <c r="JCJ57" s="1"/>
      <c r="JCK57" s="1"/>
      <c r="JCL57" s="1"/>
      <c r="JCM57" s="1"/>
      <c r="JCN57" s="1"/>
      <c r="JCO57" s="1"/>
      <c r="JCP57" s="1"/>
      <c r="JCQ57" s="1"/>
      <c r="JCR57" s="1"/>
      <c r="JCS57" s="1"/>
      <c r="JCT57" s="1"/>
      <c r="JCU57" s="1"/>
      <c r="JCV57" s="1"/>
      <c r="JCW57" s="1"/>
      <c r="JCX57" s="1"/>
      <c r="JCY57" s="1"/>
      <c r="JCZ57" s="1"/>
      <c r="JDA57" s="1"/>
      <c r="JDB57" s="1"/>
      <c r="JDC57" s="1"/>
      <c r="JDD57" s="1"/>
      <c r="JDE57" s="1"/>
      <c r="JDF57" s="1"/>
      <c r="JDG57" s="1"/>
      <c r="JDH57" s="1"/>
      <c r="JDI57" s="1"/>
      <c r="JDJ57" s="1"/>
      <c r="JDK57" s="1"/>
      <c r="JDL57" s="1"/>
      <c r="JDM57" s="1"/>
      <c r="JDN57" s="1"/>
      <c r="JDO57" s="1"/>
      <c r="JDP57" s="1"/>
      <c r="JDQ57" s="1"/>
      <c r="JDR57" s="1"/>
      <c r="JDS57" s="1"/>
      <c r="JDT57" s="1"/>
      <c r="JDU57" s="1"/>
      <c r="JDV57" s="1"/>
      <c r="JDW57" s="1"/>
      <c r="JDX57" s="1"/>
      <c r="JDY57" s="1"/>
      <c r="JDZ57" s="1"/>
      <c r="JEA57" s="1"/>
      <c r="JEB57" s="1"/>
      <c r="JEC57" s="1"/>
      <c r="JED57" s="1"/>
      <c r="JEE57" s="1"/>
      <c r="JEF57" s="1"/>
      <c r="JEG57" s="1"/>
      <c r="JEH57" s="1"/>
      <c r="JEI57" s="1"/>
      <c r="JEJ57" s="1"/>
      <c r="JEK57" s="1"/>
      <c r="JEL57" s="1"/>
      <c r="JEM57" s="1"/>
      <c r="JEN57" s="1"/>
      <c r="JEO57" s="1"/>
      <c r="JEP57" s="1"/>
      <c r="JEQ57" s="1"/>
      <c r="JER57" s="1"/>
      <c r="JES57" s="1"/>
      <c r="JET57" s="1"/>
      <c r="JEU57" s="1"/>
      <c r="JEV57" s="1"/>
      <c r="JEW57" s="1"/>
      <c r="JEX57" s="1"/>
      <c r="JEY57" s="1"/>
      <c r="JEZ57" s="1"/>
      <c r="JFA57" s="1"/>
      <c r="JFB57" s="1"/>
      <c r="JFC57" s="1"/>
      <c r="JFD57" s="1"/>
      <c r="JFE57" s="1"/>
      <c r="JFF57" s="1"/>
      <c r="JFG57" s="1"/>
      <c r="JFH57" s="1"/>
      <c r="JFI57" s="1"/>
      <c r="JFJ57" s="1"/>
      <c r="JFK57" s="1"/>
      <c r="JFL57" s="1"/>
      <c r="JFM57" s="1"/>
      <c r="JFN57" s="1"/>
      <c r="JFO57" s="1"/>
      <c r="JFP57" s="1"/>
      <c r="JFQ57" s="1"/>
      <c r="JFR57" s="1"/>
      <c r="JFS57" s="1"/>
      <c r="JFT57" s="1"/>
      <c r="JFU57" s="1"/>
      <c r="JFV57" s="1"/>
      <c r="JFW57" s="1"/>
      <c r="JFX57" s="1"/>
      <c r="JFY57" s="1"/>
      <c r="JFZ57" s="1"/>
      <c r="JGA57" s="1"/>
      <c r="JGB57" s="1"/>
      <c r="JGC57" s="1"/>
      <c r="JGD57" s="1"/>
      <c r="JGE57" s="1"/>
      <c r="JGF57" s="1"/>
      <c r="JGG57" s="1"/>
      <c r="JGH57" s="1"/>
      <c r="JGI57" s="1"/>
      <c r="JGJ57" s="1"/>
      <c r="JGK57" s="1"/>
      <c r="JGL57" s="1"/>
      <c r="JGM57" s="1"/>
      <c r="JGN57" s="1"/>
      <c r="JGO57" s="1"/>
      <c r="JGP57" s="1"/>
      <c r="JGQ57" s="1"/>
      <c r="JGR57" s="1"/>
      <c r="JGS57" s="1"/>
      <c r="JGT57" s="1"/>
      <c r="JGU57" s="1"/>
      <c r="JGV57" s="1"/>
      <c r="JGW57" s="1"/>
      <c r="JGX57" s="1"/>
      <c r="JGY57" s="1"/>
      <c r="JGZ57" s="1"/>
      <c r="JHA57" s="1"/>
      <c r="JHB57" s="1"/>
      <c r="JHC57" s="1"/>
      <c r="JHD57" s="1"/>
      <c r="JHE57" s="1"/>
      <c r="JHF57" s="1"/>
      <c r="JHG57" s="1"/>
      <c r="JHH57" s="1"/>
      <c r="JHI57" s="1"/>
      <c r="JHJ57" s="1"/>
      <c r="JHK57" s="1"/>
      <c r="JHL57" s="1"/>
      <c r="JHM57" s="1"/>
      <c r="JHN57" s="1"/>
      <c r="JHO57" s="1"/>
      <c r="JHP57" s="1"/>
      <c r="JHQ57" s="1"/>
      <c r="JHR57" s="1"/>
      <c r="JHS57" s="1"/>
      <c r="JHT57" s="1"/>
      <c r="JHU57" s="1"/>
      <c r="JHV57" s="1"/>
      <c r="JHW57" s="1"/>
      <c r="JHX57" s="1"/>
      <c r="JHY57" s="1"/>
      <c r="JHZ57" s="1"/>
      <c r="JIA57" s="1"/>
      <c r="JIB57" s="1"/>
      <c r="JIC57" s="1"/>
      <c r="JID57" s="1"/>
      <c r="JIE57" s="1"/>
      <c r="JIF57" s="1"/>
      <c r="JIG57" s="1"/>
      <c r="JIH57" s="1"/>
      <c r="JII57" s="1"/>
      <c r="JIJ57" s="1"/>
      <c r="JIK57" s="1"/>
      <c r="JIL57" s="1"/>
      <c r="JIM57" s="1"/>
      <c r="JIN57" s="1"/>
      <c r="JIO57" s="1"/>
      <c r="JIP57" s="1"/>
      <c r="JIQ57" s="1"/>
      <c r="JIR57" s="1"/>
      <c r="JIS57" s="1"/>
      <c r="JIT57" s="1"/>
      <c r="JIU57" s="1"/>
      <c r="JIV57" s="1"/>
      <c r="JIW57" s="1"/>
      <c r="JIX57" s="1"/>
      <c r="JIY57" s="1"/>
      <c r="JIZ57" s="1"/>
      <c r="JJA57" s="1"/>
      <c r="JJB57" s="1"/>
      <c r="JJC57" s="1"/>
      <c r="JJD57" s="1"/>
      <c r="JJE57" s="1"/>
      <c r="JJF57" s="1"/>
      <c r="JJG57" s="1"/>
      <c r="JJH57" s="1"/>
      <c r="JJI57" s="1"/>
      <c r="JJJ57" s="1"/>
      <c r="JJK57" s="1"/>
      <c r="JJL57" s="1"/>
      <c r="JJM57" s="1"/>
      <c r="JJN57" s="1"/>
      <c r="JJO57" s="1"/>
      <c r="JJP57" s="1"/>
      <c r="JJQ57" s="1"/>
      <c r="JJR57" s="1"/>
      <c r="JJS57" s="1"/>
      <c r="JJT57" s="1"/>
      <c r="JJU57" s="1"/>
      <c r="JJV57" s="1"/>
      <c r="JJW57" s="1"/>
      <c r="JJX57" s="1"/>
      <c r="JJY57" s="1"/>
      <c r="JJZ57" s="1"/>
      <c r="JKA57" s="1"/>
      <c r="JKB57" s="1"/>
      <c r="JKC57" s="1"/>
      <c r="JKD57" s="1"/>
      <c r="JKE57" s="1"/>
      <c r="JKF57" s="1"/>
      <c r="JKG57" s="1"/>
      <c r="JKH57" s="1"/>
      <c r="JKI57" s="1"/>
      <c r="JKJ57" s="1"/>
      <c r="JKK57" s="1"/>
      <c r="JKL57" s="1"/>
      <c r="JKM57" s="1"/>
      <c r="JKN57" s="1"/>
      <c r="JKO57" s="1"/>
      <c r="JKP57" s="1"/>
      <c r="JKQ57" s="1"/>
      <c r="JKR57" s="1"/>
      <c r="JKS57" s="1"/>
      <c r="JKT57" s="1"/>
      <c r="JKU57" s="1"/>
      <c r="JKV57" s="1"/>
      <c r="JKW57" s="1"/>
      <c r="JKX57" s="1"/>
      <c r="JKY57" s="1"/>
      <c r="JKZ57" s="1"/>
      <c r="JLA57" s="1"/>
      <c r="JLB57" s="1"/>
      <c r="JLC57" s="1"/>
      <c r="JLD57" s="1"/>
      <c r="JLE57" s="1"/>
      <c r="JLF57" s="1"/>
      <c r="JLG57" s="1"/>
      <c r="JLH57" s="1"/>
      <c r="JLI57" s="1"/>
      <c r="JLJ57" s="1"/>
      <c r="JLK57" s="1"/>
      <c r="JLL57" s="1"/>
      <c r="JLM57" s="1"/>
      <c r="JLN57" s="1"/>
      <c r="JLO57" s="1"/>
      <c r="JLP57" s="1"/>
      <c r="JLQ57" s="1"/>
      <c r="JLR57" s="1"/>
      <c r="JLS57" s="1"/>
      <c r="JLT57" s="1"/>
      <c r="JLU57" s="1"/>
      <c r="JLV57" s="1"/>
      <c r="JLW57" s="1"/>
      <c r="JLX57" s="1"/>
      <c r="JLY57" s="1"/>
      <c r="JLZ57" s="1"/>
      <c r="JMA57" s="1"/>
      <c r="JMB57" s="1"/>
      <c r="JMC57" s="1"/>
      <c r="JMD57" s="1"/>
      <c r="JME57" s="1"/>
      <c r="JMF57" s="1"/>
      <c r="JMG57" s="1"/>
      <c r="JMH57" s="1"/>
      <c r="JMI57" s="1"/>
      <c r="JMJ57" s="1"/>
      <c r="JMK57" s="1"/>
      <c r="JML57" s="1"/>
      <c r="JMM57" s="1"/>
      <c r="JMN57" s="1"/>
      <c r="JMO57" s="1"/>
      <c r="JMP57" s="1"/>
      <c r="JMQ57" s="1"/>
      <c r="JMR57" s="1"/>
      <c r="JMS57" s="1"/>
      <c r="JMT57" s="1"/>
      <c r="JMU57" s="1"/>
      <c r="JMV57" s="1"/>
      <c r="JMW57" s="1"/>
      <c r="JMX57" s="1"/>
      <c r="JMY57" s="1"/>
      <c r="JMZ57" s="1"/>
      <c r="JNA57" s="1"/>
      <c r="JNB57" s="1"/>
      <c r="JNC57" s="1"/>
      <c r="JND57" s="1"/>
      <c r="JNE57" s="1"/>
      <c r="JNF57" s="1"/>
      <c r="JNG57" s="1"/>
      <c r="JNH57" s="1"/>
      <c r="JNI57" s="1"/>
      <c r="JNJ57" s="1"/>
      <c r="JNK57" s="1"/>
      <c r="JNL57" s="1"/>
      <c r="JNM57" s="1"/>
      <c r="JNN57" s="1"/>
      <c r="JNO57" s="1"/>
      <c r="JNP57" s="1"/>
      <c r="JNQ57" s="1"/>
      <c r="JNR57" s="1"/>
      <c r="JNS57" s="1"/>
      <c r="JNT57" s="1"/>
      <c r="JNU57" s="1"/>
      <c r="JNV57" s="1"/>
      <c r="JNW57" s="1"/>
      <c r="JNX57" s="1"/>
      <c r="JNY57" s="1"/>
      <c r="JNZ57" s="1"/>
      <c r="JOA57" s="1"/>
      <c r="JOB57" s="1"/>
      <c r="JOC57" s="1"/>
      <c r="JOD57" s="1"/>
      <c r="JOE57" s="1"/>
      <c r="JOF57" s="1"/>
      <c r="JOG57" s="1"/>
      <c r="JOH57" s="1"/>
      <c r="JOI57" s="1"/>
      <c r="JOJ57" s="1"/>
      <c r="JOK57" s="1"/>
      <c r="JOL57" s="1"/>
      <c r="JOM57" s="1"/>
      <c r="JON57" s="1"/>
      <c r="JOO57" s="1"/>
      <c r="JOP57" s="1"/>
      <c r="JOQ57" s="1"/>
      <c r="JOR57" s="1"/>
      <c r="JOS57" s="1"/>
      <c r="JOT57" s="1"/>
      <c r="JOU57" s="1"/>
      <c r="JOV57" s="1"/>
      <c r="JOW57" s="1"/>
      <c r="JOX57" s="1"/>
      <c r="JOY57" s="1"/>
      <c r="JOZ57" s="1"/>
      <c r="JPA57" s="1"/>
      <c r="JPB57" s="1"/>
      <c r="JPC57" s="1"/>
      <c r="JPD57" s="1"/>
      <c r="JPE57" s="1"/>
      <c r="JPF57" s="1"/>
      <c r="JPG57" s="1"/>
      <c r="JPH57" s="1"/>
      <c r="JPI57" s="1"/>
      <c r="JPJ57" s="1"/>
      <c r="JPK57" s="1"/>
      <c r="JPL57" s="1"/>
      <c r="JPM57" s="1"/>
      <c r="JPN57" s="1"/>
      <c r="JPO57" s="1"/>
      <c r="JPP57" s="1"/>
      <c r="JPQ57" s="1"/>
      <c r="JPR57" s="1"/>
      <c r="JPS57" s="1"/>
      <c r="JPT57" s="1"/>
      <c r="JPU57" s="1"/>
      <c r="JPV57" s="1"/>
      <c r="JPW57" s="1"/>
      <c r="JPX57" s="1"/>
      <c r="JPY57" s="1"/>
      <c r="JPZ57" s="1"/>
      <c r="JQA57" s="1"/>
      <c r="JQB57" s="1"/>
      <c r="JQC57" s="1"/>
      <c r="JQD57" s="1"/>
      <c r="JQE57" s="1"/>
      <c r="JQF57" s="1"/>
      <c r="JQG57" s="1"/>
      <c r="JQH57" s="1"/>
      <c r="JQI57" s="1"/>
      <c r="JQJ57" s="1"/>
      <c r="JQK57" s="1"/>
      <c r="JQL57" s="1"/>
      <c r="JQM57" s="1"/>
      <c r="JQN57" s="1"/>
      <c r="JQO57" s="1"/>
      <c r="JQP57" s="1"/>
      <c r="JQQ57" s="1"/>
      <c r="JQR57" s="1"/>
      <c r="JQS57" s="1"/>
      <c r="JQT57" s="1"/>
      <c r="JQU57" s="1"/>
      <c r="JQV57" s="1"/>
      <c r="JQW57" s="1"/>
      <c r="JQX57" s="1"/>
      <c r="JQY57" s="1"/>
      <c r="JQZ57" s="1"/>
      <c r="JRA57" s="1"/>
      <c r="JRB57" s="1"/>
      <c r="JRC57" s="1"/>
      <c r="JRD57" s="1"/>
      <c r="JRE57" s="1"/>
      <c r="JRF57" s="1"/>
      <c r="JRG57" s="1"/>
      <c r="JRH57" s="1"/>
      <c r="JRI57" s="1"/>
      <c r="JRJ57" s="1"/>
      <c r="JRK57" s="1"/>
      <c r="JRL57" s="1"/>
      <c r="JRM57" s="1"/>
      <c r="JRN57" s="1"/>
      <c r="JRO57" s="1"/>
      <c r="JRP57" s="1"/>
      <c r="JRQ57" s="1"/>
      <c r="JRR57" s="1"/>
      <c r="JRS57" s="1"/>
      <c r="JRT57" s="1"/>
      <c r="JRU57" s="1"/>
      <c r="JRV57" s="1"/>
      <c r="JRW57" s="1"/>
      <c r="JRX57" s="1"/>
      <c r="JRY57" s="1"/>
      <c r="JRZ57" s="1"/>
      <c r="JSA57" s="1"/>
      <c r="JSB57" s="1"/>
      <c r="JSC57" s="1"/>
      <c r="JSD57" s="1"/>
      <c r="JSE57" s="1"/>
      <c r="JSF57" s="1"/>
      <c r="JSG57" s="1"/>
      <c r="JSH57" s="1"/>
      <c r="JSI57" s="1"/>
      <c r="JSJ57" s="1"/>
      <c r="JSK57" s="1"/>
      <c r="JSL57" s="1"/>
      <c r="JSM57" s="1"/>
      <c r="JSN57" s="1"/>
      <c r="JSO57" s="1"/>
      <c r="JSP57" s="1"/>
      <c r="JSQ57" s="1"/>
      <c r="JSR57" s="1"/>
      <c r="JSS57" s="1"/>
      <c r="JST57" s="1"/>
      <c r="JSU57" s="1"/>
      <c r="JSV57" s="1"/>
      <c r="JSW57" s="1"/>
      <c r="JSX57" s="1"/>
      <c r="JSY57" s="1"/>
      <c r="JSZ57" s="1"/>
      <c r="JTA57" s="1"/>
      <c r="JTB57" s="1"/>
      <c r="JTC57" s="1"/>
      <c r="JTD57" s="1"/>
      <c r="JTE57" s="1"/>
      <c r="JTF57" s="1"/>
      <c r="JTG57" s="1"/>
      <c r="JTH57" s="1"/>
      <c r="JTI57" s="1"/>
      <c r="JTJ57" s="1"/>
      <c r="JTK57" s="1"/>
      <c r="JTL57" s="1"/>
      <c r="JTM57" s="1"/>
      <c r="JTN57" s="1"/>
      <c r="JTO57" s="1"/>
      <c r="JTP57" s="1"/>
      <c r="JTQ57" s="1"/>
      <c r="JTR57" s="1"/>
      <c r="JTS57" s="1"/>
      <c r="JTT57" s="1"/>
      <c r="JTU57" s="1"/>
      <c r="JTV57" s="1"/>
      <c r="JTW57" s="1"/>
      <c r="JTX57" s="1"/>
      <c r="JTY57" s="1"/>
      <c r="JTZ57" s="1"/>
      <c r="JUA57" s="1"/>
      <c r="JUB57" s="1"/>
      <c r="JUC57" s="1"/>
      <c r="JUD57" s="1"/>
      <c r="JUE57" s="1"/>
      <c r="JUF57" s="1"/>
      <c r="JUG57" s="1"/>
      <c r="JUH57" s="1"/>
      <c r="JUI57" s="1"/>
      <c r="JUJ57" s="1"/>
      <c r="JUK57" s="1"/>
      <c r="JUL57" s="1"/>
      <c r="JUM57" s="1"/>
      <c r="JUN57" s="1"/>
      <c r="JUO57" s="1"/>
      <c r="JUP57" s="1"/>
      <c r="JUQ57" s="1"/>
      <c r="JUR57" s="1"/>
      <c r="JUS57" s="1"/>
      <c r="JUT57" s="1"/>
      <c r="JUU57" s="1"/>
      <c r="JUV57" s="1"/>
      <c r="JUW57" s="1"/>
      <c r="JUX57" s="1"/>
      <c r="JUY57" s="1"/>
      <c r="JUZ57" s="1"/>
      <c r="JVA57" s="1"/>
      <c r="JVB57" s="1"/>
      <c r="JVC57" s="1"/>
      <c r="JVD57" s="1"/>
      <c r="JVE57" s="1"/>
      <c r="JVF57" s="1"/>
      <c r="JVG57" s="1"/>
      <c r="JVH57" s="1"/>
      <c r="JVI57" s="1"/>
      <c r="JVJ57" s="1"/>
      <c r="JVK57" s="1"/>
      <c r="JVL57" s="1"/>
      <c r="JVM57" s="1"/>
      <c r="JVN57" s="1"/>
      <c r="JVO57" s="1"/>
      <c r="JVP57" s="1"/>
      <c r="JVQ57" s="1"/>
      <c r="JVR57" s="1"/>
      <c r="JVS57" s="1"/>
      <c r="JVT57" s="1"/>
      <c r="JVU57" s="1"/>
      <c r="JVV57" s="1"/>
      <c r="JVW57" s="1"/>
      <c r="JVX57" s="1"/>
      <c r="JVY57" s="1"/>
      <c r="JVZ57" s="1"/>
      <c r="JWA57" s="1"/>
      <c r="JWB57" s="1"/>
      <c r="JWC57" s="1"/>
      <c r="JWD57" s="1"/>
      <c r="JWE57" s="1"/>
      <c r="JWF57" s="1"/>
      <c r="JWG57" s="1"/>
      <c r="JWH57" s="1"/>
      <c r="JWI57" s="1"/>
      <c r="JWJ57" s="1"/>
      <c r="JWK57" s="1"/>
      <c r="JWL57" s="1"/>
      <c r="JWM57" s="1"/>
      <c r="JWN57" s="1"/>
      <c r="JWO57" s="1"/>
      <c r="JWP57" s="1"/>
      <c r="JWQ57" s="1"/>
      <c r="JWR57" s="1"/>
      <c r="JWS57" s="1"/>
      <c r="JWT57" s="1"/>
      <c r="JWU57" s="1"/>
      <c r="JWV57" s="1"/>
      <c r="JWW57" s="1"/>
      <c r="JWX57" s="1"/>
      <c r="JWY57" s="1"/>
      <c r="JWZ57" s="1"/>
      <c r="JXA57" s="1"/>
      <c r="JXB57" s="1"/>
      <c r="JXC57" s="1"/>
      <c r="JXD57" s="1"/>
      <c r="JXE57" s="1"/>
      <c r="JXF57" s="1"/>
      <c r="JXG57" s="1"/>
      <c r="JXH57" s="1"/>
      <c r="JXI57" s="1"/>
      <c r="JXJ57" s="1"/>
      <c r="JXK57" s="1"/>
      <c r="JXL57" s="1"/>
      <c r="JXM57" s="1"/>
      <c r="JXN57" s="1"/>
      <c r="JXO57" s="1"/>
      <c r="JXP57" s="1"/>
      <c r="JXQ57" s="1"/>
      <c r="JXR57" s="1"/>
      <c r="JXS57" s="1"/>
      <c r="JXT57" s="1"/>
      <c r="JXU57" s="1"/>
      <c r="JXV57" s="1"/>
      <c r="JXW57" s="1"/>
      <c r="JXX57" s="1"/>
      <c r="JXY57" s="1"/>
      <c r="JXZ57" s="1"/>
      <c r="JYA57" s="1"/>
      <c r="JYB57" s="1"/>
      <c r="JYC57" s="1"/>
      <c r="JYD57" s="1"/>
      <c r="JYE57" s="1"/>
      <c r="JYF57" s="1"/>
      <c r="JYG57" s="1"/>
      <c r="JYH57" s="1"/>
      <c r="JYI57" s="1"/>
      <c r="JYJ57" s="1"/>
      <c r="JYK57" s="1"/>
      <c r="JYL57" s="1"/>
      <c r="JYM57" s="1"/>
      <c r="JYN57" s="1"/>
      <c r="JYO57" s="1"/>
      <c r="JYP57" s="1"/>
      <c r="JYQ57" s="1"/>
      <c r="JYR57" s="1"/>
      <c r="JYS57" s="1"/>
      <c r="JYT57" s="1"/>
      <c r="JYU57" s="1"/>
      <c r="JYV57" s="1"/>
      <c r="JYW57" s="1"/>
      <c r="JYX57" s="1"/>
      <c r="JYY57" s="1"/>
      <c r="JYZ57" s="1"/>
      <c r="JZA57" s="1"/>
      <c r="JZB57" s="1"/>
      <c r="JZC57" s="1"/>
      <c r="JZD57" s="1"/>
      <c r="JZE57" s="1"/>
      <c r="JZF57" s="1"/>
      <c r="JZG57" s="1"/>
      <c r="JZH57" s="1"/>
      <c r="JZI57" s="1"/>
      <c r="JZJ57" s="1"/>
      <c r="JZK57" s="1"/>
      <c r="JZL57" s="1"/>
      <c r="JZM57" s="1"/>
      <c r="JZN57" s="1"/>
      <c r="JZO57" s="1"/>
      <c r="JZP57" s="1"/>
      <c r="JZQ57" s="1"/>
      <c r="JZR57" s="1"/>
      <c r="JZS57" s="1"/>
      <c r="JZT57" s="1"/>
      <c r="JZU57" s="1"/>
      <c r="JZV57" s="1"/>
      <c r="JZW57" s="1"/>
      <c r="JZX57" s="1"/>
      <c r="JZY57" s="1"/>
      <c r="JZZ57" s="1"/>
      <c r="KAA57" s="1"/>
      <c r="KAB57" s="1"/>
      <c r="KAC57" s="1"/>
      <c r="KAD57" s="1"/>
      <c r="KAE57" s="1"/>
      <c r="KAF57" s="1"/>
      <c r="KAG57" s="1"/>
      <c r="KAH57" s="1"/>
      <c r="KAI57" s="1"/>
      <c r="KAJ57" s="1"/>
      <c r="KAK57" s="1"/>
      <c r="KAL57" s="1"/>
      <c r="KAM57" s="1"/>
      <c r="KAN57" s="1"/>
      <c r="KAO57" s="1"/>
      <c r="KAP57" s="1"/>
      <c r="KAQ57" s="1"/>
      <c r="KAR57" s="1"/>
      <c r="KAS57" s="1"/>
      <c r="KAT57" s="1"/>
      <c r="KAU57" s="1"/>
      <c r="KAV57" s="1"/>
      <c r="KAW57" s="1"/>
      <c r="KAX57" s="1"/>
      <c r="KAY57" s="1"/>
      <c r="KAZ57" s="1"/>
      <c r="KBA57" s="1"/>
      <c r="KBB57" s="1"/>
      <c r="KBC57" s="1"/>
      <c r="KBD57" s="1"/>
      <c r="KBE57" s="1"/>
      <c r="KBF57" s="1"/>
      <c r="KBG57" s="1"/>
      <c r="KBH57" s="1"/>
      <c r="KBI57" s="1"/>
      <c r="KBJ57" s="1"/>
      <c r="KBK57" s="1"/>
      <c r="KBL57" s="1"/>
      <c r="KBM57" s="1"/>
      <c r="KBN57" s="1"/>
      <c r="KBO57" s="1"/>
      <c r="KBP57" s="1"/>
      <c r="KBQ57" s="1"/>
      <c r="KBR57" s="1"/>
      <c r="KBS57" s="1"/>
      <c r="KBT57" s="1"/>
      <c r="KBU57" s="1"/>
      <c r="KBV57" s="1"/>
      <c r="KBW57" s="1"/>
      <c r="KBX57" s="1"/>
      <c r="KBY57" s="1"/>
      <c r="KBZ57" s="1"/>
      <c r="KCA57" s="1"/>
      <c r="KCB57" s="1"/>
      <c r="KCC57" s="1"/>
      <c r="KCD57" s="1"/>
      <c r="KCE57" s="1"/>
      <c r="KCF57" s="1"/>
      <c r="KCG57" s="1"/>
      <c r="KCH57" s="1"/>
      <c r="KCI57" s="1"/>
      <c r="KCJ57" s="1"/>
      <c r="KCK57" s="1"/>
      <c r="KCL57" s="1"/>
      <c r="KCM57" s="1"/>
      <c r="KCN57" s="1"/>
      <c r="KCO57" s="1"/>
      <c r="KCP57" s="1"/>
      <c r="KCQ57" s="1"/>
      <c r="KCR57" s="1"/>
      <c r="KCS57" s="1"/>
      <c r="KCT57" s="1"/>
      <c r="KCU57" s="1"/>
      <c r="KCV57" s="1"/>
      <c r="KCW57" s="1"/>
      <c r="KCX57" s="1"/>
      <c r="KCY57" s="1"/>
      <c r="KCZ57" s="1"/>
      <c r="KDA57" s="1"/>
      <c r="KDB57" s="1"/>
      <c r="KDC57" s="1"/>
      <c r="KDD57" s="1"/>
      <c r="KDE57" s="1"/>
      <c r="KDF57" s="1"/>
      <c r="KDG57" s="1"/>
      <c r="KDH57" s="1"/>
      <c r="KDI57" s="1"/>
      <c r="KDJ57" s="1"/>
      <c r="KDK57" s="1"/>
      <c r="KDL57" s="1"/>
      <c r="KDM57" s="1"/>
      <c r="KDN57" s="1"/>
      <c r="KDO57" s="1"/>
      <c r="KDP57" s="1"/>
      <c r="KDQ57" s="1"/>
      <c r="KDR57" s="1"/>
      <c r="KDS57" s="1"/>
      <c r="KDT57" s="1"/>
      <c r="KDU57" s="1"/>
      <c r="KDV57" s="1"/>
      <c r="KDW57" s="1"/>
      <c r="KDX57" s="1"/>
      <c r="KDY57" s="1"/>
      <c r="KDZ57" s="1"/>
      <c r="KEA57" s="1"/>
      <c r="KEB57" s="1"/>
      <c r="KEC57" s="1"/>
      <c r="KED57" s="1"/>
      <c r="KEE57" s="1"/>
      <c r="KEF57" s="1"/>
      <c r="KEG57" s="1"/>
      <c r="KEH57" s="1"/>
      <c r="KEI57" s="1"/>
      <c r="KEJ57" s="1"/>
      <c r="KEK57" s="1"/>
      <c r="KEL57" s="1"/>
      <c r="KEM57" s="1"/>
      <c r="KEN57" s="1"/>
      <c r="KEO57" s="1"/>
      <c r="KEP57" s="1"/>
      <c r="KEQ57" s="1"/>
      <c r="KER57" s="1"/>
      <c r="KES57" s="1"/>
      <c r="KET57" s="1"/>
      <c r="KEU57" s="1"/>
      <c r="KEV57" s="1"/>
      <c r="KEW57" s="1"/>
      <c r="KEX57" s="1"/>
      <c r="KEY57" s="1"/>
      <c r="KEZ57" s="1"/>
      <c r="KFA57" s="1"/>
      <c r="KFB57" s="1"/>
      <c r="KFC57" s="1"/>
      <c r="KFD57" s="1"/>
      <c r="KFE57" s="1"/>
      <c r="KFF57" s="1"/>
      <c r="KFG57" s="1"/>
      <c r="KFH57" s="1"/>
      <c r="KFI57" s="1"/>
      <c r="KFJ57" s="1"/>
      <c r="KFK57" s="1"/>
      <c r="KFL57" s="1"/>
      <c r="KFM57" s="1"/>
      <c r="KFN57" s="1"/>
      <c r="KFO57" s="1"/>
      <c r="KFP57" s="1"/>
      <c r="KFQ57" s="1"/>
      <c r="KFR57" s="1"/>
      <c r="KFS57" s="1"/>
      <c r="KFT57" s="1"/>
      <c r="KFU57" s="1"/>
      <c r="KFV57" s="1"/>
      <c r="KFW57" s="1"/>
      <c r="KFX57" s="1"/>
      <c r="KFY57" s="1"/>
      <c r="KFZ57" s="1"/>
      <c r="KGA57" s="1"/>
      <c r="KGB57" s="1"/>
      <c r="KGC57" s="1"/>
      <c r="KGD57" s="1"/>
      <c r="KGE57" s="1"/>
      <c r="KGF57" s="1"/>
      <c r="KGG57" s="1"/>
      <c r="KGH57" s="1"/>
      <c r="KGI57" s="1"/>
      <c r="KGJ57" s="1"/>
      <c r="KGK57" s="1"/>
      <c r="KGL57" s="1"/>
      <c r="KGM57" s="1"/>
      <c r="KGN57" s="1"/>
      <c r="KGO57" s="1"/>
      <c r="KGP57" s="1"/>
      <c r="KGQ57" s="1"/>
      <c r="KGR57" s="1"/>
      <c r="KGS57" s="1"/>
      <c r="KGT57" s="1"/>
      <c r="KGU57" s="1"/>
      <c r="KGV57" s="1"/>
      <c r="KGW57" s="1"/>
      <c r="KGX57" s="1"/>
      <c r="KGY57" s="1"/>
      <c r="KGZ57" s="1"/>
      <c r="KHA57" s="1"/>
      <c r="KHB57" s="1"/>
      <c r="KHC57" s="1"/>
      <c r="KHD57" s="1"/>
      <c r="KHE57" s="1"/>
      <c r="KHF57" s="1"/>
      <c r="KHG57" s="1"/>
      <c r="KHH57" s="1"/>
      <c r="KHI57" s="1"/>
      <c r="KHJ57" s="1"/>
      <c r="KHK57" s="1"/>
      <c r="KHL57" s="1"/>
      <c r="KHM57" s="1"/>
      <c r="KHN57" s="1"/>
      <c r="KHO57" s="1"/>
      <c r="KHP57" s="1"/>
      <c r="KHQ57" s="1"/>
      <c r="KHR57" s="1"/>
      <c r="KHS57" s="1"/>
      <c r="KHT57" s="1"/>
      <c r="KHU57" s="1"/>
      <c r="KHV57" s="1"/>
      <c r="KHW57" s="1"/>
      <c r="KHX57" s="1"/>
      <c r="KHY57" s="1"/>
      <c r="KHZ57" s="1"/>
      <c r="KIA57" s="1"/>
      <c r="KIB57" s="1"/>
      <c r="KIC57" s="1"/>
      <c r="KID57" s="1"/>
      <c r="KIE57" s="1"/>
      <c r="KIF57" s="1"/>
      <c r="KIG57" s="1"/>
      <c r="KIH57" s="1"/>
      <c r="KII57" s="1"/>
      <c r="KIJ57" s="1"/>
      <c r="KIK57" s="1"/>
      <c r="KIL57" s="1"/>
      <c r="KIM57" s="1"/>
      <c r="KIN57" s="1"/>
      <c r="KIO57" s="1"/>
      <c r="KIP57" s="1"/>
      <c r="KIQ57" s="1"/>
      <c r="KIR57" s="1"/>
      <c r="KIS57" s="1"/>
      <c r="KIT57" s="1"/>
      <c r="KIU57" s="1"/>
      <c r="KIV57" s="1"/>
      <c r="KIW57" s="1"/>
      <c r="KIX57" s="1"/>
      <c r="KIY57" s="1"/>
      <c r="KIZ57" s="1"/>
      <c r="KJA57" s="1"/>
      <c r="KJB57" s="1"/>
      <c r="KJC57" s="1"/>
      <c r="KJD57" s="1"/>
      <c r="KJE57" s="1"/>
      <c r="KJF57" s="1"/>
      <c r="KJG57" s="1"/>
      <c r="KJH57" s="1"/>
      <c r="KJI57" s="1"/>
      <c r="KJJ57" s="1"/>
      <c r="KJK57" s="1"/>
      <c r="KJL57" s="1"/>
      <c r="KJM57" s="1"/>
      <c r="KJN57" s="1"/>
      <c r="KJO57" s="1"/>
      <c r="KJP57" s="1"/>
      <c r="KJQ57" s="1"/>
      <c r="KJR57" s="1"/>
      <c r="KJS57" s="1"/>
      <c r="KJT57" s="1"/>
      <c r="KJU57" s="1"/>
      <c r="KJV57" s="1"/>
      <c r="KJW57" s="1"/>
      <c r="KJX57" s="1"/>
      <c r="KJY57" s="1"/>
      <c r="KJZ57" s="1"/>
      <c r="KKA57" s="1"/>
      <c r="KKB57" s="1"/>
      <c r="KKC57" s="1"/>
      <c r="KKD57" s="1"/>
      <c r="KKE57" s="1"/>
      <c r="KKF57" s="1"/>
      <c r="KKG57" s="1"/>
      <c r="KKH57" s="1"/>
      <c r="KKI57" s="1"/>
      <c r="KKJ57" s="1"/>
      <c r="KKK57" s="1"/>
      <c r="KKL57" s="1"/>
      <c r="KKM57" s="1"/>
      <c r="KKN57" s="1"/>
      <c r="KKO57" s="1"/>
      <c r="KKP57" s="1"/>
      <c r="KKQ57" s="1"/>
      <c r="KKR57" s="1"/>
      <c r="KKS57" s="1"/>
      <c r="KKT57" s="1"/>
      <c r="KKU57" s="1"/>
      <c r="KKV57" s="1"/>
      <c r="KKW57" s="1"/>
      <c r="KKX57" s="1"/>
      <c r="KKY57" s="1"/>
      <c r="KKZ57" s="1"/>
      <c r="KLA57" s="1"/>
      <c r="KLB57" s="1"/>
      <c r="KLC57" s="1"/>
      <c r="KLD57" s="1"/>
      <c r="KLE57" s="1"/>
      <c r="KLF57" s="1"/>
      <c r="KLG57" s="1"/>
      <c r="KLH57" s="1"/>
      <c r="KLI57" s="1"/>
      <c r="KLJ57" s="1"/>
      <c r="KLK57" s="1"/>
      <c r="KLL57" s="1"/>
      <c r="KLM57" s="1"/>
      <c r="KLN57" s="1"/>
      <c r="KLO57" s="1"/>
      <c r="KLP57" s="1"/>
      <c r="KLQ57" s="1"/>
      <c r="KLR57" s="1"/>
      <c r="KLS57" s="1"/>
      <c r="KLT57" s="1"/>
      <c r="KLU57" s="1"/>
      <c r="KLV57" s="1"/>
      <c r="KLW57" s="1"/>
      <c r="KLX57" s="1"/>
      <c r="KLY57" s="1"/>
      <c r="KLZ57" s="1"/>
      <c r="KMA57" s="1"/>
      <c r="KMB57" s="1"/>
      <c r="KMC57" s="1"/>
      <c r="KMD57" s="1"/>
      <c r="KME57" s="1"/>
      <c r="KMF57" s="1"/>
      <c r="KMG57" s="1"/>
      <c r="KMH57" s="1"/>
      <c r="KMI57" s="1"/>
      <c r="KMJ57" s="1"/>
      <c r="KMK57" s="1"/>
      <c r="KML57" s="1"/>
      <c r="KMM57" s="1"/>
      <c r="KMN57" s="1"/>
      <c r="KMO57" s="1"/>
      <c r="KMP57" s="1"/>
      <c r="KMQ57" s="1"/>
      <c r="KMR57" s="1"/>
      <c r="KMS57" s="1"/>
      <c r="KMT57" s="1"/>
      <c r="KMU57" s="1"/>
      <c r="KMV57" s="1"/>
      <c r="KMW57" s="1"/>
      <c r="KMX57" s="1"/>
      <c r="KMY57" s="1"/>
      <c r="KMZ57" s="1"/>
      <c r="KNA57" s="1"/>
      <c r="KNB57" s="1"/>
      <c r="KNC57" s="1"/>
      <c r="KND57" s="1"/>
      <c r="KNE57" s="1"/>
      <c r="KNF57" s="1"/>
      <c r="KNG57" s="1"/>
      <c r="KNH57" s="1"/>
      <c r="KNI57" s="1"/>
      <c r="KNJ57" s="1"/>
      <c r="KNK57" s="1"/>
      <c r="KNL57" s="1"/>
      <c r="KNM57" s="1"/>
      <c r="KNN57" s="1"/>
      <c r="KNO57" s="1"/>
      <c r="KNP57" s="1"/>
      <c r="KNQ57" s="1"/>
      <c r="KNR57" s="1"/>
      <c r="KNS57" s="1"/>
      <c r="KNT57" s="1"/>
      <c r="KNU57" s="1"/>
      <c r="KNV57" s="1"/>
      <c r="KNW57" s="1"/>
      <c r="KNX57" s="1"/>
      <c r="KNY57" s="1"/>
      <c r="KNZ57" s="1"/>
      <c r="KOA57" s="1"/>
      <c r="KOB57" s="1"/>
      <c r="KOC57" s="1"/>
      <c r="KOD57" s="1"/>
      <c r="KOE57" s="1"/>
      <c r="KOF57" s="1"/>
      <c r="KOG57" s="1"/>
      <c r="KOH57" s="1"/>
      <c r="KOI57" s="1"/>
      <c r="KOJ57" s="1"/>
      <c r="KOK57" s="1"/>
      <c r="KOL57" s="1"/>
      <c r="KOM57" s="1"/>
      <c r="KON57" s="1"/>
      <c r="KOO57" s="1"/>
      <c r="KOP57" s="1"/>
      <c r="KOQ57" s="1"/>
      <c r="KOR57" s="1"/>
      <c r="KOS57" s="1"/>
      <c r="KOT57" s="1"/>
      <c r="KOU57" s="1"/>
      <c r="KOV57" s="1"/>
      <c r="KOW57" s="1"/>
      <c r="KOX57" s="1"/>
      <c r="KOY57" s="1"/>
      <c r="KOZ57" s="1"/>
      <c r="KPA57" s="1"/>
      <c r="KPB57" s="1"/>
      <c r="KPC57" s="1"/>
      <c r="KPD57" s="1"/>
      <c r="KPE57" s="1"/>
      <c r="KPF57" s="1"/>
      <c r="KPG57" s="1"/>
      <c r="KPH57" s="1"/>
      <c r="KPI57" s="1"/>
      <c r="KPJ57" s="1"/>
      <c r="KPK57" s="1"/>
      <c r="KPL57" s="1"/>
      <c r="KPM57" s="1"/>
      <c r="KPN57" s="1"/>
      <c r="KPO57" s="1"/>
      <c r="KPP57" s="1"/>
      <c r="KPQ57" s="1"/>
      <c r="KPR57" s="1"/>
      <c r="KPS57" s="1"/>
      <c r="KPT57" s="1"/>
      <c r="KPU57" s="1"/>
      <c r="KPV57" s="1"/>
      <c r="KPW57" s="1"/>
      <c r="KPX57" s="1"/>
      <c r="KPY57" s="1"/>
      <c r="KPZ57" s="1"/>
      <c r="KQA57" s="1"/>
      <c r="KQB57" s="1"/>
      <c r="KQC57" s="1"/>
      <c r="KQD57" s="1"/>
      <c r="KQE57" s="1"/>
      <c r="KQF57" s="1"/>
      <c r="KQG57" s="1"/>
      <c r="KQH57" s="1"/>
      <c r="KQI57" s="1"/>
      <c r="KQJ57" s="1"/>
      <c r="KQK57" s="1"/>
      <c r="KQL57" s="1"/>
      <c r="KQM57" s="1"/>
      <c r="KQN57" s="1"/>
      <c r="KQO57" s="1"/>
      <c r="KQP57" s="1"/>
      <c r="KQQ57" s="1"/>
      <c r="KQR57" s="1"/>
      <c r="KQS57" s="1"/>
      <c r="KQT57" s="1"/>
      <c r="KQU57" s="1"/>
      <c r="KQV57" s="1"/>
      <c r="KQW57" s="1"/>
      <c r="KQX57" s="1"/>
      <c r="KQY57" s="1"/>
      <c r="KQZ57" s="1"/>
      <c r="KRA57" s="1"/>
      <c r="KRB57" s="1"/>
      <c r="KRC57" s="1"/>
      <c r="KRD57" s="1"/>
      <c r="KRE57" s="1"/>
      <c r="KRF57" s="1"/>
      <c r="KRG57" s="1"/>
      <c r="KRH57" s="1"/>
      <c r="KRI57" s="1"/>
      <c r="KRJ57" s="1"/>
      <c r="KRK57" s="1"/>
      <c r="KRL57" s="1"/>
      <c r="KRM57" s="1"/>
      <c r="KRN57" s="1"/>
      <c r="KRO57" s="1"/>
      <c r="KRP57" s="1"/>
      <c r="KRQ57" s="1"/>
      <c r="KRR57" s="1"/>
      <c r="KRS57" s="1"/>
      <c r="KRT57" s="1"/>
      <c r="KRU57" s="1"/>
      <c r="KRV57" s="1"/>
      <c r="KRW57" s="1"/>
      <c r="KRX57" s="1"/>
      <c r="KRY57" s="1"/>
      <c r="KRZ57" s="1"/>
      <c r="KSA57" s="1"/>
      <c r="KSB57" s="1"/>
      <c r="KSC57" s="1"/>
      <c r="KSD57" s="1"/>
      <c r="KSE57" s="1"/>
      <c r="KSF57" s="1"/>
      <c r="KSG57" s="1"/>
      <c r="KSH57" s="1"/>
      <c r="KSI57" s="1"/>
      <c r="KSJ57" s="1"/>
      <c r="KSK57" s="1"/>
      <c r="KSL57" s="1"/>
      <c r="KSM57" s="1"/>
      <c r="KSN57" s="1"/>
      <c r="KSO57" s="1"/>
      <c r="KSP57" s="1"/>
      <c r="KSQ57" s="1"/>
      <c r="KSR57" s="1"/>
      <c r="KSS57" s="1"/>
      <c r="KST57" s="1"/>
      <c r="KSU57" s="1"/>
      <c r="KSV57" s="1"/>
      <c r="KSW57" s="1"/>
      <c r="KSX57" s="1"/>
      <c r="KSY57" s="1"/>
      <c r="KSZ57" s="1"/>
      <c r="KTA57" s="1"/>
      <c r="KTB57" s="1"/>
      <c r="KTC57" s="1"/>
      <c r="KTD57" s="1"/>
      <c r="KTE57" s="1"/>
      <c r="KTF57" s="1"/>
      <c r="KTG57" s="1"/>
      <c r="KTH57" s="1"/>
      <c r="KTI57" s="1"/>
      <c r="KTJ57" s="1"/>
      <c r="KTK57" s="1"/>
      <c r="KTL57" s="1"/>
      <c r="KTM57" s="1"/>
      <c r="KTN57" s="1"/>
      <c r="KTO57" s="1"/>
      <c r="KTP57" s="1"/>
      <c r="KTQ57" s="1"/>
      <c r="KTR57" s="1"/>
      <c r="KTS57" s="1"/>
      <c r="KTT57" s="1"/>
      <c r="KTU57" s="1"/>
      <c r="KTV57" s="1"/>
      <c r="KTW57" s="1"/>
      <c r="KTX57" s="1"/>
      <c r="KTY57" s="1"/>
      <c r="KTZ57" s="1"/>
      <c r="KUA57" s="1"/>
      <c r="KUB57" s="1"/>
      <c r="KUC57" s="1"/>
      <c r="KUD57" s="1"/>
      <c r="KUE57" s="1"/>
      <c r="KUF57" s="1"/>
      <c r="KUG57" s="1"/>
      <c r="KUH57" s="1"/>
      <c r="KUI57" s="1"/>
      <c r="KUJ57" s="1"/>
      <c r="KUK57" s="1"/>
      <c r="KUL57" s="1"/>
      <c r="KUM57" s="1"/>
      <c r="KUN57" s="1"/>
      <c r="KUO57" s="1"/>
      <c r="KUP57" s="1"/>
      <c r="KUQ57" s="1"/>
      <c r="KUR57" s="1"/>
      <c r="KUS57" s="1"/>
      <c r="KUT57" s="1"/>
      <c r="KUU57" s="1"/>
      <c r="KUV57" s="1"/>
      <c r="KUW57" s="1"/>
      <c r="KUX57" s="1"/>
      <c r="KUY57" s="1"/>
      <c r="KUZ57" s="1"/>
      <c r="KVA57" s="1"/>
      <c r="KVB57" s="1"/>
      <c r="KVC57" s="1"/>
      <c r="KVD57" s="1"/>
      <c r="KVE57" s="1"/>
      <c r="KVF57" s="1"/>
      <c r="KVG57" s="1"/>
      <c r="KVH57" s="1"/>
      <c r="KVI57" s="1"/>
      <c r="KVJ57" s="1"/>
      <c r="KVK57" s="1"/>
      <c r="KVL57" s="1"/>
      <c r="KVM57" s="1"/>
      <c r="KVN57" s="1"/>
      <c r="KVO57" s="1"/>
      <c r="KVP57" s="1"/>
      <c r="KVQ57" s="1"/>
      <c r="KVR57" s="1"/>
      <c r="KVS57" s="1"/>
      <c r="KVT57" s="1"/>
      <c r="KVU57" s="1"/>
      <c r="KVV57" s="1"/>
      <c r="KVW57" s="1"/>
      <c r="KVX57" s="1"/>
      <c r="KVY57" s="1"/>
      <c r="KVZ57" s="1"/>
      <c r="KWA57" s="1"/>
      <c r="KWB57" s="1"/>
      <c r="KWC57" s="1"/>
      <c r="KWD57" s="1"/>
      <c r="KWE57" s="1"/>
      <c r="KWF57" s="1"/>
      <c r="KWG57" s="1"/>
      <c r="KWH57" s="1"/>
      <c r="KWI57" s="1"/>
      <c r="KWJ57" s="1"/>
      <c r="KWK57" s="1"/>
      <c r="KWL57" s="1"/>
      <c r="KWM57" s="1"/>
      <c r="KWN57" s="1"/>
      <c r="KWO57" s="1"/>
      <c r="KWP57" s="1"/>
      <c r="KWQ57" s="1"/>
      <c r="KWR57" s="1"/>
      <c r="KWS57" s="1"/>
      <c r="KWT57" s="1"/>
      <c r="KWU57" s="1"/>
      <c r="KWV57" s="1"/>
      <c r="KWW57" s="1"/>
      <c r="KWX57" s="1"/>
      <c r="KWY57" s="1"/>
      <c r="KWZ57" s="1"/>
      <c r="KXA57" s="1"/>
      <c r="KXB57" s="1"/>
      <c r="KXC57" s="1"/>
      <c r="KXD57" s="1"/>
      <c r="KXE57" s="1"/>
      <c r="KXF57" s="1"/>
      <c r="KXG57" s="1"/>
      <c r="KXH57" s="1"/>
      <c r="KXI57" s="1"/>
      <c r="KXJ57" s="1"/>
      <c r="KXK57" s="1"/>
      <c r="KXL57" s="1"/>
      <c r="KXM57" s="1"/>
      <c r="KXN57" s="1"/>
      <c r="KXO57" s="1"/>
      <c r="KXP57" s="1"/>
      <c r="KXQ57" s="1"/>
      <c r="KXR57" s="1"/>
      <c r="KXS57" s="1"/>
      <c r="KXT57" s="1"/>
      <c r="KXU57" s="1"/>
      <c r="KXV57" s="1"/>
      <c r="KXW57" s="1"/>
      <c r="KXX57" s="1"/>
      <c r="KXY57" s="1"/>
      <c r="KXZ57" s="1"/>
      <c r="KYA57" s="1"/>
      <c r="KYB57" s="1"/>
      <c r="KYC57" s="1"/>
      <c r="KYD57" s="1"/>
      <c r="KYE57" s="1"/>
      <c r="KYF57" s="1"/>
      <c r="KYG57" s="1"/>
      <c r="KYH57" s="1"/>
      <c r="KYI57" s="1"/>
      <c r="KYJ57" s="1"/>
      <c r="KYK57" s="1"/>
      <c r="KYL57" s="1"/>
      <c r="KYM57" s="1"/>
      <c r="KYN57" s="1"/>
      <c r="KYO57" s="1"/>
      <c r="KYP57" s="1"/>
      <c r="KYQ57" s="1"/>
      <c r="KYR57" s="1"/>
      <c r="KYS57" s="1"/>
      <c r="KYT57" s="1"/>
      <c r="KYU57" s="1"/>
      <c r="KYV57" s="1"/>
      <c r="KYW57" s="1"/>
      <c r="KYX57" s="1"/>
      <c r="KYY57" s="1"/>
      <c r="KYZ57" s="1"/>
      <c r="KZA57" s="1"/>
      <c r="KZB57" s="1"/>
      <c r="KZC57" s="1"/>
      <c r="KZD57" s="1"/>
      <c r="KZE57" s="1"/>
      <c r="KZF57" s="1"/>
      <c r="KZG57" s="1"/>
      <c r="KZH57" s="1"/>
      <c r="KZI57" s="1"/>
      <c r="KZJ57" s="1"/>
      <c r="KZK57" s="1"/>
      <c r="KZL57" s="1"/>
      <c r="KZM57" s="1"/>
      <c r="KZN57" s="1"/>
      <c r="KZO57" s="1"/>
      <c r="KZP57" s="1"/>
      <c r="KZQ57" s="1"/>
      <c r="KZR57" s="1"/>
      <c r="KZS57" s="1"/>
      <c r="KZT57" s="1"/>
      <c r="KZU57" s="1"/>
      <c r="KZV57" s="1"/>
      <c r="KZW57" s="1"/>
      <c r="KZX57" s="1"/>
      <c r="KZY57" s="1"/>
      <c r="KZZ57" s="1"/>
      <c r="LAA57" s="1"/>
      <c r="LAB57" s="1"/>
      <c r="LAC57" s="1"/>
      <c r="LAD57" s="1"/>
      <c r="LAE57" s="1"/>
      <c r="LAF57" s="1"/>
      <c r="LAG57" s="1"/>
      <c r="LAH57" s="1"/>
      <c r="LAI57" s="1"/>
      <c r="LAJ57" s="1"/>
      <c r="LAK57" s="1"/>
      <c r="LAL57" s="1"/>
      <c r="LAM57" s="1"/>
      <c r="LAN57" s="1"/>
      <c r="LAO57" s="1"/>
      <c r="LAP57" s="1"/>
      <c r="LAQ57" s="1"/>
      <c r="LAR57" s="1"/>
      <c r="LAS57" s="1"/>
      <c r="LAT57" s="1"/>
      <c r="LAU57" s="1"/>
      <c r="LAV57" s="1"/>
      <c r="LAW57" s="1"/>
      <c r="LAX57" s="1"/>
      <c r="LAY57" s="1"/>
      <c r="LAZ57" s="1"/>
      <c r="LBA57" s="1"/>
      <c r="LBB57" s="1"/>
      <c r="LBC57" s="1"/>
      <c r="LBD57" s="1"/>
      <c r="LBE57" s="1"/>
      <c r="LBF57" s="1"/>
      <c r="LBG57" s="1"/>
      <c r="LBH57" s="1"/>
      <c r="LBI57" s="1"/>
      <c r="LBJ57" s="1"/>
      <c r="LBK57" s="1"/>
      <c r="LBL57" s="1"/>
      <c r="LBM57" s="1"/>
      <c r="LBN57" s="1"/>
      <c r="LBO57" s="1"/>
      <c r="LBP57" s="1"/>
      <c r="LBQ57" s="1"/>
      <c r="LBR57" s="1"/>
      <c r="LBS57" s="1"/>
      <c r="LBT57" s="1"/>
      <c r="LBU57" s="1"/>
      <c r="LBV57" s="1"/>
      <c r="LBW57" s="1"/>
      <c r="LBX57" s="1"/>
      <c r="LBY57" s="1"/>
      <c r="LBZ57" s="1"/>
      <c r="LCA57" s="1"/>
      <c r="LCB57" s="1"/>
      <c r="LCC57" s="1"/>
      <c r="LCD57" s="1"/>
      <c r="LCE57" s="1"/>
      <c r="LCF57" s="1"/>
      <c r="LCG57" s="1"/>
      <c r="LCH57" s="1"/>
      <c r="LCI57" s="1"/>
      <c r="LCJ57" s="1"/>
      <c r="LCK57" s="1"/>
      <c r="LCL57" s="1"/>
      <c r="LCM57" s="1"/>
      <c r="LCN57" s="1"/>
      <c r="LCO57" s="1"/>
      <c r="LCP57" s="1"/>
      <c r="LCQ57" s="1"/>
      <c r="LCR57" s="1"/>
      <c r="LCS57" s="1"/>
      <c r="LCT57" s="1"/>
      <c r="LCU57" s="1"/>
      <c r="LCV57" s="1"/>
      <c r="LCW57" s="1"/>
      <c r="LCX57" s="1"/>
      <c r="LCY57" s="1"/>
      <c r="LCZ57" s="1"/>
      <c r="LDA57" s="1"/>
      <c r="LDB57" s="1"/>
      <c r="LDC57" s="1"/>
      <c r="LDD57" s="1"/>
      <c r="LDE57" s="1"/>
      <c r="LDF57" s="1"/>
      <c r="LDG57" s="1"/>
      <c r="LDH57" s="1"/>
      <c r="LDI57" s="1"/>
      <c r="LDJ57" s="1"/>
      <c r="LDK57" s="1"/>
      <c r="LDL57" s="1"/>
      <c r="LDM57" s="1"/>
      <c r="LDN57" s="1"/>
      <c r="LDO57" s="1"/>
      <c r="LDP57" s="1"/>
      <c r="LDQ57" s="1"/>
      <c r="LDR57" s="1"/>
      <c r="LDS57" s="1"/>
      <c r="LDT57" s="1"/>
      <c r="LDU57" s="1"/>
      <c r="LDV57" s="1"/>
      <c r="LDW57" s="1"/>
      <c r="LDX57" s="1"/>
      <c r="LDY57" s="1"/>
      <c r="LDZ57" s="1"/>
      <c r="LEA57" s="1"/>
      <c r="LEB57" s="1"/>
      <c r="LEC57" s="1"/>
      <c r="LED57" s="1"/>
      <c r="LEE57" s="1"/>
      <c r="LEF57" s="1"/>
      <c r="LEG57" s="1"/>
      <c r="LEH57" s="1"/>
      <c r="LEI57" s="1"/>
      <c r="LEJ57" s="1"/>
      <c r="LEK57" s="1"/>
      <c r="LEL57" s="1"/>
      <c r="LEM57" s="1"/>
      <c r="LEN57" s="1"/>
      <c r="LEO57" s="1"/>
      <c r="LEP57" s="1"/>
      <c r="LEQ57" s="1"/>
      <c r="LER57" s="1"/>
      <c r="LES57" s="1"/>
      <c r="LET57" s="1"/>
      <c r="LEU57" s="1"/>
      <c r="LEV57" s="1"/>
      <c r="LEW57" s="1"/>
      <c r="LEX57" s="1"/>
      <c r="LEY57" s="1"/>
      <c r="LEZ57" s="1"/>
      <c r="LFA57" s="1"/>
      <c r="LFB57" s="1"/>
      <c r="LFC57" s="1"/>
      <c r="LFD57" s="1"/>
      <c r="LFE57" s="1"/>
      <c r="LFF57" s="1"/>
      <c r="LFG57" s="1"/>
      <c r="LFH57" s="1"/>
      <c r="LFI57" s="1"/>
      <c r="LFJ57" s="1"/>
      <c r="LFK57" s="1"/>
      <c r="LFL57" s="1"/>
      <c r="LFM57" s="1"/>
      <c r="LFN57" s="1"/>
      <c r="LFO57" s="1"/>
      <c r="LFP57" s="1"/>
      <c r="LFQ57" s="1"/>
      <c r="LFR57" s="1"/>
      <c r="LFS57" s="1"/>
      <c r="LFT57" s="1"/>
      <c r="LFU57" s="1"/>
      <c r="LFV57" s="1"/>
      <c r="LFW57" s="1"/>
      <c r="LFX57" s="1"/>
      <c r="LFY57" s="1"/>
      <c r="LFZ57" s="1"/>
      <c r="LGA57" s="1"/>
      <c r="LGB57" s="1"/>
      <c r="LGC57" s="1"/>
      <c r="LGD57" s="1"/>
      <c r="LGE57" s="1"/>
      <c r="LGF57" s="1"/>
      <c r="LGG57" s="1"/>
      <c r="LGH57" s="1"/>
      <c r="LGI57" s="1"/>
      <c r="LGJ57" s="1"/>
      <c r="LGK57" s="1"/>
      <c r="LGL57" s="1"/>
      <c r="LGM57" s="1"/>
      <c r="LGN57" s="1"/>
      <c r="LGO57" s="1"/>
      <c r="LGP57" s="1"/>
      <c r="LGQ57" s="1"/>
      <c r="LGR57" s="1"/>
      <c r="LGS57" s="1"/>
      <c r="LGT57" s="1"/>
      <c r="LGU57" s="1"/>
      <c r="LGV57" s="1"/>
      <c r="LGW57" s="1"/>
      <c r="LGX57" s="1"/>
      <c r="LGY57" s="1"/>
      <c r="LGZ57" s="1"/>
      <c r="LHA57" s="1"/>
      <c r="LHB57" s="1"/>
      <c r="LHC57" s="1"/>
      <c r="LHD57" s="1"/>
      <c r="LHE57" s="1"/>
      <c r="LHF57" s="1"/>
      <c r="LHG57" s="1"/>
      <c r="LHH57" s="1"/>
      <c r="LHI57" s="1"/>
      <c r="LHJ57" s="1"/>
      <c r="LHK57" s="1"/>
      <c r="LHL57" s="1"/>
      <c r="LHM57" s="1"/>
      <c r="LHN57" s="1"/>
      <c r="LHO57" s="1"/>
      <c r="LHP57" s="1"/>
      <c r="LHQ57" s="1"/>
      <c r="LHR57" s="1"/>
      <c r="LHS57" s="1"/>
      <c r="LHT57" s="1"/>
      <c r="LHU57" s="1"/>
      <c r="LHV57" s="1"/>
      <c r="LHW57" s="1"/>
      <c r="LHX57" s="1"/>
      <c r="LHY57" s="1"/>
      <c r="LHZ57" s="1"/>
      <c r="LIA57" s="1"/>
      <c r="LIB57" s="1"/>
      <c r="LIC57" s="1"/>
      <c r="LID57" s="1"/>
      <c r="LIE57" s="1"/>
      <c r="LIF57" s="1"/>
      <c r="LIG57" s="1"/>
      <c r="LIH57" s="1"/>
      <c r="LII57" s="1"/>
      <c r="LIJ57" s="1"/>
      <c r="LIK57" s="1"/>
      <c r="LIL57" s="1"/>
      <c r="LIM57" s="1"/>
      <c r="LIN57" s="1"/>
      <c r="LIO57" s="1"/>
      <c r="LIP57" s="1"/>
      <c r="LIQ57" s="1"/>
      <c r="LIR57" s="1"/>
      <c r="LIS57" s="1"/>
      <c r="LIT57" s="1"/>
      <c r="LIU57" s="1"/>
      <c r="LIV57" s="1"/>
      <c r="LIW57" s="1"/>
      <c r="LIX57" s="1"/>
      <c r="LIY57" s="1"/>
      <c r="LIZ57" s="1"/>
      <c r="LJA57" s="1"/>
      <c r="LJB57" s="1"/>
      <c r="LJC57" s="1"/>
      <c r="LJD57" s="1"/>
      <c r="LJE57" s="1"/>
      <c r="LJF57" s="1"/>
      <c r="LJG57" s="1"/>
      <c r="LJH57" s="1"/>
      <c r="LJI57" s="1"/>
      <c r="LJJ57" s="1"/>
      <c r="LJK57" s="1"/>
      <c r="LJL57" s="1"/>
      <c r="LJM57" s="1"/>
      <c r="LJN57" s="1"/>
      <c r="LJO57" s="1"/>
      <c r="LJP57" s="1"/>
      <c r="LJQ57" s="1"/>
      <c r="LJR57" s="1"/>
      <c r="LJS57" s="1"/>
      <c r="LJT57" s="1"/>
      <c r="LJU57" s="1"/>
      <c r="LJV57" s="1"/>
      <c r="LJW57" s="1"/>
      <c r="LJX57" s="1"/>
      <c r="LJY57" s="1"/>
      <c r="LJZ57" s="1"/>
      <c r="LKA57" s="1"/>
      <c r="LKB57" s="1"/>
      <c r="LKC57" s="1"/>
      <c r="LKD57" s="1"/>
      <c r="LKE57" s="1"/>
      <c r="LKF57" s="1"/>
      <c r="LKG57" s="1"/>
      <c r="LKH57" s="1"/>
      <c r="LKI57" s="1"/>
      <c r="LKJ57" s="1"/>
      <c r="LKK57" s="1"/>
      <c r="LKL57" s="1"/>
      <c r="LKM57" s="1"/>
      <c r="LKN57" s="1"/>
      <c r="LKO57" s="1"/>
      <c r="LKP57" s="1"/>
      <c r="LKQ57" s="1"/>
      <c r="LKR57" s="1"/>
      <c r="LKS57" s="1"/>
      <c r="LKT57" s="1"/>
      <c r="LKU57" s="1"/>
      <c r="LKV57" s="1"/>
      <c r="LKW57" s="1"/>
      <c r="LKX57" s="1"/>
      <c r="LKY57" s="1"/>
      <c r="LKZ57" s="1"/>
      <c r="LLA57" s="1"/>
      <c r="LLB57" s="1"/>
      <c r="LLC57" s="1"/>
      <c r="LLD57" s="1"/>
      <c r="LLE57" s="1"/>
      <c r="LLF57" s="1"/>
      <c r="LLG57" s="1"/>
      <c r="LLH57" s="1"/>
      <c r="LLI57" s="1"/>
      <c r="LLJ57" s="1"/>
      <c r="LLK57" s="1"/>
      <c r="LLL57" s="1"/>
      <c r="LLM57" s="1"/>
      <c r="LLN57" s="1"/>
      <c r="LLO57" s="1"/>
      <c r="LLP57" s="1"/>
      <c r="LLQ57" s="1"/>
      <c r="LLR57" s="1"/>
      <c r="LLS57" s="1"/>
      <c r="LLT57" s="1"/>
      <c r="LLU57" s="1"/>
      <c r="LLV57" s="1"/>
      <c r="LLW57" s="1"/>
      <c r="LLX57" s="1"/>
      <c r="LLY57" s="1"/>
      <c r="LLZ57" s="1"/>
      <c r="LMA57" s="1"/>
      <c r="LMB57" s="1"/>
      <c r="LMC57" s="1"/>
      <c r="LMD57" s="1"/>
      <c r="LME57" s="1"/>
      <c r="LMF57" s="1"/>
      <c r="LMG57" s="1"/>
      <c r="LMH57" s="1"/>
      <c r="LMI57" s="1"/>
      <c r="LMJ57" s="1"/>
      <c r="LMK57" s="1"/>
      <c r="LML57" s="1"/>
      <c r="LMM57" s="1"/>
      <c r="LMN57" s="1"/>
      <c r="LMO57" s="1"/>
      <c r="LMP57" s="1"/>
      <c r="LMQ57" s="1"/>
      <c r="LMR57" s="1"/>
      <c r="LMS57" s="1"/>
      <c r="LMT57" s="1"/>
      <c r="LMU57" s="1"/>
      <c r="LMV57" s="1"/>
      <c r="LMW57" s="1"/>
      <c r="LMX57" s="1"/>
      <c r="LMY57" s="1"/>
      <c r="LMZ57" s="1"/>
      <c r="LNA57" s="1"/>
      <c r="LNB57" s="1"/>
      <c r="LNC57" s="1"/>
      <c r="LND57" s="1"/>
      <c r="LNE57" s="1"/>
      <c r="LNF57" s="1"/>
      <c r="LNG57" s="1"/>
      <c r="LNH57" s="1"/>
      <c r="LNI57" s="1"/>
      <c r="LNJ57" s="1"/>
      <c r="LNK57" s="1"/>
      <c r="LNL57" s="1"/>
      <c r="LNM57" s="1"/>
      <c r="LNN57" s="1"/>
      <c r="LNO57" s="1"/>
      <c r="LNP57" s="1"/>
      <c r="LNQ57" s="1"/>
      <c r="LNR57" s="1"/>
      <c r="LNS57" s="1"/>
      <c r="LNT57" s="1"/>
      <c r="LNU57" s="1"/>
      <c r="LNV57" s="1"/>
      <c r="LNW57" s="1"/>
      <c r="LNX57" s="1"/>
      <c r="LNY57" s="1"/>
      <c r="LNZ57" s="1"/>
      <c r="LOA57" s="1"/>
      <c r="LOB57" s="1"/>
      <c r="LOC57" s="1"/>
      <c r="LOD57" s="1"/>
      <c r="LOE57" s="1"/>
      <c r="LOF57" s="1"/>
      <c r="LOG57" s="1"/>
      <c r="LOH57" s="1"/>
      <c r="LOI57" s="1"/>
      <c r="LOJ57" s="1"/>
      <c r="LOK57" s="1"/>
      <c r="LOL57" s="1"/>
      <c r="LOM57" s="1"/>
      <c r="LON57" s="1"/>
      <c r="LOO57" s="1"/>
      <c r="LOP57" s="1"/>
      <c r="LOQ57" s="1"/>
      <c r="LOR57" s="1"/>
      <c r="LOS57" s="1"/>
      <c r="LOT57" s="1"/>
      <c r="LOU57" s="1"/>
      <c r="LOV57" s="1"/>
      <c r="LOW57" s="1"/>
      <c r="LOX57" s="1"/>
      <c r="LOY57" s="1"/>
      <c r="LOZ57" s="1"/>
      <c r="LPA57" s="1"/>
      <c r="LPB57" s="1"/>
      <c r="LPC57" s="1"/>
      <c r="LPD57" s="1"/>
      <c r="LPE57" s="1"/>
      <c r="LPF57" s="1"/>
      <c r="LPG57" s="1"/>
      <c r="LPH57" s="1"/>
      <c r="LPI57" s="1"/>
      <c r="LPJ57" s="1"/>
      <c r="LPK57" s="1"/>
      <c r="LPL57" s="1"/>
      <c r="LPM57" s="1"/>
      <c r="LPN57" s="1"/>
      <c r="LPO57" s="1"/>
      <c r="LPP57" s="1"/>
      <c r="LPQ57" s="1"/>
      <c r="LPR57" s="1"/>
      <c r="LPS57" s="1"/>
      <c r="LPT57" s="1"/>
      <c r="LPU57" s="1"/>
      <c r="LPV57" s="1"/>
      <c r="LPW57" s="1"/>
      <c r="LPX57" s="1"/>
      <c r="LPY57" s="1"/>
      <c r="LPZ57" s="1"/>
      <c r="LQA57" s="1"/>
      <c r="LQB57" s="1"/>
      <c r="LQC57" s="1"/>
      <c r="LQD57" s="1"/>
      <c r="LQE57" s="1"/>
      <c r="LQF57" s="1"/>
      <c r="LQG57" s="1"/>
      <c r="LQH57" s="1"/>
      <c r="LQI57" s="1"/>
      <c r="LQJ57" s="1"/>
      <c r="LQK57" s="1"/>
      <c r="LQL57" s="1"/>
      <c r="LQM57" s="1"/>
      <c r="LQN57" s="1"/>
      <c r="LQO57" s="1"/>
      <c r="LQP57" s="1"/>
      <c r="LQQ57" s="1"/>
      <c r="LQR57" s="1"/>
      <c r="LQS57" s="1"/>
      <c r="LQT57" s="1"/>
      <c r="LQU57" s="1"/>
      <c r="LQV57" s="1"/>
      <c r="LQW57" s="1"/>
      <c r="LQX57" s="1"/>
      <c r="LQY57" s="1"/>
      <c r="LQZ57" s="1"/>
      <c r="LRA57" s="1"/>
      <c r="LRB57" s="1"/>
      <c r="LRC57" s="1"/>
      <c r="LRD57" s="1"/>
      <c r="LRE57" s="1"/>
      <c r="LRF57" s="1"/>
      <c r="LRG57" s="1"/>
      <c r="LRH57" s="1"/>
      <c r="LRI57" s="1"/>
      <c r="LRJ57" s="1"/>
      <c r="LRK57" s="1"/>
      <c r="LRL57" s="1"/>
      <c r="LRM57" s="1"/>
      <c r="LRN57" s="1"/>
      <c r="LRO57" s="1"/>
      <c r="LRP57" s="1"/>
      <c r="LRQ57" s="1"/>
      <c r="LRR57" s="1"/>
      <c r="LRS57" s="1"/>
      <c r="LRT57" s="1"/>
      <c r="LRU57" s="1"/>
      <c r="LRV57" s="1"/>
      <c r="LRW57" s="1"/>
      <c r="LRX57" s="1"/>
      <c r="LRY57" s="1"/>
      <c r="LRZ57" s="1"/>
      <c r="LSA57" s="1"/>
      <c r="LSB57" s="1"/>
      <c r="LSC57" s="1"/>
      <c r="LSD57" s="1"/>
      <c r="LSE57" s="1"/>
      <c r="LSF57" s="1"/>
      <c r="LSG57" s="1"/>
      <c r="LSH57" s="1"/>
      <c r="LSI57" s="1"/>
      <c r="LSJ57" s="1"/>
      <c r="LSK57" s="1"/>
      <c r="LSL57" s="1"/>
      <c r="LSM57" s="1"/>
      <c r="LSN57" s="1"/>
      <c r="LSO57" s="1"/>
      <c r="LSP57" s="1"/>
      <c r="LSQ57" s="1"/>
      <c r="LSR57" s="1"/>
      <c r="LSS57" s="1"/>
      <c r="LST57" s="1"/>
      <c r="LSU57" s="1"/>
      <c r="LSV57" s="1"/>
      <c r="LSW57" s="1"/>
      <c r="LSX57" s="1"/>
      <c r="LSY57" s="1"/>
      <c r="LSZ57" s="1"/>
      <c r="LTA57" s="1"/>
      <c r="LTB57" s="1"/>
      <c r="LTC57" s="1"/>
      <c r="LTD57" s="1"/>
      <c r="LTE57" s="1"/>
      <c r="LTF57" s="1"/>
      <c r="LTG57" s="1"/>
      <c r="LTH57" s="1"/>
      <c r="LTI57" s="1"/>
      <c r="LTJ57" s="1"/>
      <c r="LTK57" s="1"/>
      <c r="LTL57" s="1"/>
      <c r="LTM57" s="1"/>
      <c r="LTN57" s="1"/>
      <c r="LTO57" s="1"/>
      <c r="LTP57" s="1"/>
      <c r="LTQ57" s="1"/>
      <c r="LTR57" s="1"/>
      <c r="LTS57" s="1"/>
      <c r="LTT57" s="1"/>
      <c r="LTU57" s="1"/>
      <c r="LTV57" s="1"/>
      <c r="LTW57" s="1"/>
      <c r="LTX57" s="1"/>
      <c r="LTY57" s="1"/>
      <c r="LTZ57" s="1"/>
      <c r="LUA57" s="1"/>
      <c r="LUB57" s="1"/>
      <c r="LUC57" s="1"/>
      <c r="LUD57" s="1"/>
      <c r="LUE57" s="1"/>
      <c r="LUF57" s="1"/>
      <c r="LUG57" s="1"/>
      <c r="LUH57" s="1"/>
      <c r="LUI57" s="1"/>
      <c r="LUJ57" s="1"/>
      <c r="LUK57" s="1"/>
      <c r="LUL57" s="1"/>
      <c r="LUM57" s="1"/>
      <c r="LUN57" s="1"/>
      <c r="LUO57" s="1"/>
      <c r="LUP57" s="1"/>
      <c r="LUQ57" s="1"/>
      <c r="LUR57" s="1"/>
      <c r="LUS57" s="1"/>
      <c r="LUT57" s="1"/>
      <c r="LUU57" s="1"/>
      <c r="LUV57" s="1"/>
      <c r="LUW57" s="1"/>
      <c r="LUX57" s="1"/>
      <c r="LUY57" s="1"/>
      <c r="LUZ57" s="1"/>
      <c r="LVA57" s="1"/>
      <c r="LVB57" s="1"/>
      <c r="LVC57" s="1"/>
      <c r="LVD57" s="1"/>
      <c r="LVE57" s="1"/>
      <c r="LVF57" s="1"/>
      <c r="LVG57" s="1"/>
      <c r="LVH57" s="1"/>
      <c r="LVI57" s="1"/>
      <c r="LVJ57" s="1"/>
      <c r="LVK57" s="1"/>
      <c r="LVL57" s="1"/>
      <c r="LVM57" s="1"/>
      <c r="LVN57" s="1"/>
      <c r="LVO57" s="1"/>
      <c r="LVP57" s="1"/>
      <c r="LVQ57" s="1"/>
      <c r="LVR57" s="1"/>
      <c r="LVS57" s="1"/>
      <c r="LVT57" s="1"/>
      <c r="LVU57" s="1"/>
      <c r="LVV57" s="1"/>
      <c r="LVW57" s="1"/>
      <c r="LVX57" s="1"/>
      <c r="LVY57" s="1"/>
      <c r="LVZ57" s="1"/>
      <c r="LWA57" s="1"/>
      <c r="LWB57" s="1"/>
      <c r="LWC57" s="1"/>
      <c r="LWD57" s="1"/>
      <c r="LWE57" s="1"/>
      <c r="LWF57" s="1"/>
      <c r="LWG57" s="1"/>
      <c r="LWH57" s="1"/>
      <c r="LWI57" s="1"/>
      <c r="LWJ57" s="1"/>
      <c r="LWK57" s="1"/>
      <c r="LWL57" s="1"/>
      <c r="LWM57" s="1"/>
      <c r="LWN57" s="1"/>
      <c r="LWO57" s="1"/>
      <c r="LWP57" s="1"/>
      <c r="LWQ57" s="1"/>
      <c r="LWR57" s="1"/>
      <c r="LWS57" s="1"/>
      <c r="LWT57" s="1"/>
      <c r="LWU57" s="1"/>
      <c r="LWV57" s="1"/>
      <c r="LWW57" s="1"/>
      <c r="LWX57" s="1"/>
      <c r="LWY57" s="1"/>
      <c r="LWZ57" s="1"/>
      <c r="LXA57" s="1"/>
      <c r="LXB57" s="1"/>
      <c r="LXC57" s="1"/>
      <c r="LXD57" s="1"/>
      <c r="LXE57" s="1"/>
      <c r="LXF57" s="1"/>
      <c r="LXG57" s="1"/>
      <c r="LXH57" s="1"/>
      <c r="LXI57" s="1"/>
      <c r="LXJ57" s="1"/>
      <c r="LXK57" s="1"/>
      <c r="LXL57" s="1"/>
      <c r="LXM57" s="1"/>
      <c r="LXN57" s="1"/>
      <c r="LXO57" s="1"/>
      <c r="LXP57" s="1"/>
      <c r="LXQ57" s="1"/>
      <c r="LXR57" s="1"/>
      <c r="LXS57" s="1"/>
      <c r="LXT57" s="1"/>
      <c r="LXU57" s="1"/>
      <c r="LXV57" s="1"/>
      <c r="LXW57" s="1"/>
      <c r="LXX57" s="1"/>
      <c r="LXY57" s="1"/>
      <c r="LXZ57" s="1"/>
      <c r="LYA57" s="1"/>
      <c r="LYB57" s="1"/>
      <c r="LYC57" s="1"/>
      <c r="LYD57" s="1"/>
      <c r="LYE57" s="1"/>
      <c r="LYF57" s="1"/>
      <c r="LYG57" s="1"/>
      <c r="LYH57" s="1"/>
      <c r="LYI57" s="1"/>
      <c r="LYJ57" s="1"/>
      <c r="LYK57" s="1"/>
      <c r="LYL57" s="1"/>
      <c r="LYM57" s="1"/>
      <c r="LYN57" s="1"/>
      <c r="LYO57" s="1"/>
      <c r="LYP57" s="1"/>
      <c r="LYQ57" s="1"/>
      <c r="LYR57" s="1"/>
      <c r="LYS57" s="1"/>
      <c r="LYT57" s="1"/>
      <c r="LYU57" s="1"/>
      <c r="LYV57" s="1"/>
      <c r="LYW57" s="1"/>
      <c r="LYX57" s="1"/>
      <c r="LYY57" s="1"/>
      <c r="LYZ57" s="1"/>
      <c r="LZA57" s="1"/>
      <c r="LZB57" s="1"/>
      <c r="LZC57" s="1"/>
      <c r="LZD57" s="1"/>
      <c r="LZE57" s="1"/>
      <c r="LZF57" s="1"/>
      <c r="LZG57" s="1"/>
      <c r="LZH57" s="1"/>
      <c r="LZI57" s="1"/>
      <c r="LZJ57" s="1"/>
      <c r="LZK57" s="1"/>
      <c r="LZL57" s="1"/>
      <c r="LZM57" s="1"/>
      <c r="LZN57" s="1"/>
      <c r="LZO57" s="1"/>
      <c r="LZP57" s="1"/>
      <c r="LZQ57" s="1"/>
      <c r="LZR57" s="1"/>
      <c r="LZS57" s="1"/>
      <c r="LZT57" s="1"/>
      <c r="LZU57" s="1"/>
      <c r="LZV57" s="1"/>
      <c r="LZW57" s="1"/>
      <c r="LZX57" s="1"/>
      <c r="LZY57" s="1"/>
      <c r="LZZ57" s="1"/>
      <c r="MAA57" s="1"/>
      <c r="MAB57" s="1"/>
      <c r="MAC57" s="1"/>
      <c r="MAD57" s="1"/>
      <c r="MAE57" s="1"/>
      <c r="MAF57" s="1"/>
      <c r="MAG57" s="1"/>
      <c r="MAH57" s="1"/>
      <c r="MAI57" s="1"/>
      <c r="MAJ57" s="1"/>
      <c r="MAK57" s="1"/>
      <c r="MAL57" s="1"/>
      <c r="MAM57" s="1"/>
      <c r="MAN57" s="1"/>
      <c r="MAO57" s="1"/>
      <c r="MAP57" s="1"/>
      <c r="MAQ57" s="1"/>
      <c r="MAR57" s="1"/>
      <c r="MAS57" s="1"/>
      <c r="MAT57" s="1"/>
      <c r="MAU57" s="1"/>
      <c r="MAV57" s="1"/>
      <c r="MAW57" s="1"/>
      <c r="MAX57" s="1"/>
      <c r="MAY57" s="1"/>
      <c r="MAZ57" s="1"/>
      <c r="MBA57" s="1"/>
      <c r="MBB57" s="1"/>
      <c r="MBC57" s="1"/>
      <c r="MBD57" s="1"/>
      <c r="MBE57" s="1"/>
      <c r="MBF57" s="1"/>
      <c r="MBG57" s="1"/>
      <c r="MBH57" s="1"/>
      <c r="MBI57" s="1"/>
      <c r="MBJ57" s="1"/>
      <c r="MBK57" s="1"/>
      <c r="MBL57" s="1"/>
      <c r="MBM57" s="1"/>
      <c r="MBN57" s="1"/>
      <c r="MBO57" s="1"/>
      <c r="MBP57" s="1"/>
      <c r="MBQ57" s="1"/>
      <c r="MBR57" s="1"/>
      <c r="MBS57" s="1"/>
      <c r="MBT57" s="1"/>
      <c r="MBU57" s="1"/>
      <c r="MBV57" s="1"/>
      <c r="MBW57" s="1"/>
      <c r="MBX57" s="1"/>
      <c r="MBY57" s="1"/>
      <c r="MBZ57" s="1"/>
      <c r="MCA57" s="1"/>
      <c r="MCB57" s="1"/>
      <c r="MCC57" s="1"/>
      <c r="MCD57" s="1"/>
      <c r="MCE57" s="1"/>
      <c r="MCF57" s="1"/>
      <c r="MCG57" s="1"/>
      <c r="MCH57" s="1"/>
      <c r="MCI57" s="1"/>
      <c r="MCJ57" s="1"/>
      <c r="MCK57" s="1"/>
      <c r="MCL57" s="1"/>
      <c r="MCM57" s="1"/>
      <c r="MCN57" s="1"/>
      <c r="MCO57" s="1"/>
      <c r="MCP57" s="1"/>
      <c r="MCQ57" s="1"/>
      <c r="MCR57" s="1"/>
      <c r="MCS57" s="1"/>
      <c r="MCT57" s="1"/>
      <c r="MCU57" s="1"/>
      <c r="MCV57" s="1"/>
      <c r="MCW57" s="1"/>
      <c r="MCX57" s="1"/>
      <c r="MCY57" s="1"/>
      <c r="MCZ57" s="1"/>
      <c r="MDA57" s="1"/>
      <c r="MDB57" s="1"/>
      <c r="MDC57" s="1"/>
      <c r="MDD57" s="1"/>
      <c r="MDE57" s="1"/>
      <c r="MDF57" s="1"/>
      <c r="MDG57" s="1"/>
      <c r="MDH57" s="1"/>
      <c r="MDI57" s="1"/>
      <c r="MDJ57" s="1"/>
      <c r="MDK57" s="1"/>
      <c r="MDL57" s="1"/>
      <c r="MDM57" s="1"/>
      <c r="MDN57" s="1"/>
      <c r="MDO57" s="1"/>
      <c r="MDP57" s="1"/>
      <c r="MDQ57" s="1"/>
      <c r="MDR57" s="1"/>
      <c r="MDS57" s="1"/>
      <c r="MDT57" s="1"/>
      <c r="MDU57" s="1"/>
      <c r="MDV57" s="1"/>
      <c r="MDW57" s="1"/>
      <c r="MDX57" s="1"/>
      <c r="MDY57" s="1"/>
      <c r="MDZ57" s="1"/>
      <c r="MEA57" s="1"/>
      <c r="MEB57" s="1"/>
      <c r="MEC57" s="1"/>
      <c r="MED57" s="1"/>
      <c r="MEE57" s="1"/>
      <c r="MEF57" s="1"/>
      <c r="MEG57" s="1"/>
      <c r="MEH57" s="1"/>
      <c r="MEI57" s="1"/>
      <c r="MEJ57" s="1"/>
      <c r="MEK57" s="1"/>
      <c r="MEL57" s="1"/>
      <c r="MEM57" s="1"/>
      <c r="MEN57" s="1"/>
      <c r="MEO57" s="1"/>
      <c r="MEP57" s="1"/>
      <c r="MEQ57" s="1"/>
      <c r="MER57" s="1"/>
      <c r="MES57" s="1"/>
      <c r="MET57" s="1"/>
      <c r="MEU57" s="1"/>
      <c r="MEV57" s="1"/>
      <c r="MEW57" s="1"/>
      <c r="MEX57" s="1"/>
      <c r="MEY57" s="1"/>
      <c r="MEZ57" s="1"/>
      <c r="MFA57" s="1"/>
      <c r="MFB57" s="1"/>
      <c r="MFC57" s="1"/>
      <c r="MFD57" s="1"/>
      <c r="MFE57" s="1"/>
      <c r="MFF57" s="1"/>
      <c r="MFG57" s="1"/>
      <c r="MFH57" s="1"/>
      <c r="MFI57" s="1"/>
      <c r="MFJ57" s="1"/>
      <c r="MFK57" s="1"/>
      <c r="MFL57" s="1"/>
      <c r="MFM57" s="1"/>
      <c r="MFN57" s="1"/>
      <c r="MFO57" s="1"/>
      <c r="MFP57" s="1"/>
      <c r="MFQ57" s="1"/>
      <c r="MFR57" s="1"/>
      <c r="MFS57" s="1"/>
      <c r="MFT57" s="1"/>
      <c r="MFU57" s="1"/>
      <c r="MFV57" s="1"/>
      <c r="MFW57" s="1"/>
      <c r="MFX57" s="1"/>
      <c r="MFY57" s="1"/>
      <c r="MFZ57" s="1"/>
      <c r="MGA57" s="1"/>
      <c r="MGB57" s="1"/>
      <c r="MGC57" s="1"/>
      <c r="MGD57" s="1"/>
      <c r="MGE57" s="1"/>
      <c r="MGF57" s="1"/>
      <c r="MGG57" s="1"/>
      <c r="MGH57" s="1"/>
      <c r="MGI57" s="1"/>
      <c r="MGJ57" s="1"/>
      <c r="MGK57" s="1"/>
      <c r="MGL57" s="1"/>
      <c r="MGM57" s="1"/>
      <c r="MGN57" s="1"/>
      <c r="MGO57" s="1"/>
      <c r="MGP57" s="1"/>
      <c r="MGQ57" s="1"/>
      <c r="MGR57" s="1"/>
      <c r="MGS57" s="1"/>
      <c r="MGT57" s="1"/>
      <c r="MGU57" s="1"/>
      <c r="MGV57" s="1"/>
      <c r="MGW57" s="1"/>
      <c r="MGX57" s="1"/>
      <c r="MGY57" s="1"/>
      <c r="MGZ57" s="1"/>
      <c r="MHA57" s="1"/>
      <c r="MHB57" s="1"/>
      <c r="MHC57" s="1"/>
      <c r="MHD57" s="1"/>
      <c r="MHE57" s="1"/>
      <c r="MHF57" s="1"/>
      <c r="MHG57" s="1"/>
      <c r="MHH57" s="1"/>
      <c r="MHI57" s="1"/>
      <c r="MHJ57" s="1"/>
      <c r="MHK57" s="1"/>
      <c r="MHL57" s="1"/>
      <c r="MHM57" s="1"/>
      <c r="MHN57" s="1"/>
      <c r="MHO57" s="1"/>
      <c r="MHP57" s="1"/>
      <c r="MHQ57" s="1"/>
      <c r="MHR57" s="1"/>
      <c r="MHS57" s="1"/>
      <c r="MHT57" s="1"/>
      <c r="MHU57" s="1"/>
      <c r="MHV57" s="1"/>
      <c r="MHW57" s="1"/>
      <c r="MHX57" s="1"/>
      <c r="MHY57" s="1"/>
      <c r="MHZ57" s="1"/>
      <c r="MIA57" s="1"/>
      <c r="MIB57" s="1"/>
      <c r="MIC57" s="1"/>
      <c r="MID57" s="1"/>
      <c r="MIE57" s="1"/>
      <c r="MIF57" s="1"/>
      <c r="MIG57" s="1"/>
      <c r="MIH57" s="1"/>
      <c r="MII57" s="1"/>
      <c r="MIJ57" s="1"/>
      <c r="MIK57" s="1"/>
      <c r="MIL57" s="1"/>
      <c r="MIM57" s="1"/>
      <c r="MIN57" s="1"/>
      <c r="MIO57" s="1"/>
      <c r="MIP57" s="1"/>
      <c r="MIQ57" s="1"/>
      <c r="MIR57" s="1"/>
      <c r="MIS57" s="1"/>
      <c r="MIT57" s="1"/>
      <c r="MIU57" s="1"/>
      <c r="MIV57" s="1"/>
      <c r="MIW57" s="1"/>
      <c r="MIX57" s="1"/>
      <c r="MIY57" s="1"/>
      <c r="MIZ57" s="1"/>
      <c r="MJA57" s="1"/>
      <c r="MJB57" s="1"/>
      <c r="MJC57" s="1"/>
      <c r="MJD57" s="1"/>
      <c r="MJE57" s="1"/>
      <c r="MJF57" s="1"/>
      <c r="MJG57" s="1"/>
      <c r="MJH57" s="1"/>
      <c r="MJI57" s="1"/>
      <c r="MJJ57" s="1"/>
      <c r="MJK57" s="1"/>
      <c r="MJL57" s="1"/>
      <c r="MJM57" s="1"/>
      <c r="MJN57" s="1"/>
      <c r="MJO57" s="1"/>
      <c r="MJP57" s="1"/>
      <c r="MJQ57" s="1"/>
      <c r="MJR57" s="1"/>
      <c r="MJS57" s="1"/>
      <c r="MJT57" s="1"/>
      <c r="MJU57" s="1"/>
      <c r="MJV57" s="1"/>
      <c r="MJW57" s="1"/>
      <c r="MJX57" s="1"/>
      <c r="MJY57" s="1"/>
      <c r="MJZ57" s="1"/>
      <c r="MKA57" s="1"/>
      <c r="MKB57" s="1"/>
      <c r="MKC57" s="1"/>
      <c r="MKD57" s="1"/>
      <c r="MKE57" s="1"/>
      <c r="MKF57" s="1"/>
      <c r="MKG57" s="1"/>
      <c r="MKH57" s="1"/>
      <c r="MKI57" s="1"/>
      <c r="MKJ57" s="1"/>
      <c r="MKK57" s="1"/>
      <c r="MKL57" s="1"/>
      <c r="MKM57" s="1"/>
      <c r="MKN57" s="1"/>
      <c r="MKO57" s="1"/>
      <c r="MKP57" s="1"/>
      <c r="MKQ57" s="1"/>
      <c r="MKR57" s="1"/>
      <c r="MKS57" s="1"/>
      <c r="MKT57" s="1"/>
      <c r="MKU57" s="1"/>
      <c r="MKV57" s="1"/>
      <c r="MKW57" s="1"/>
      <c r="MKX57" s="1"/>
      <c r="MKY57" s="1"/>
      <c r="MKZ57" s="1"/>
      <c r="MLA57" s="1"/>
      <c r="MLB57" s="1"/>
      <c r="MLC57" s="1"/>
      <c r="MLD57" s="1"/>
      <c r="MLE57" s="1"/>
      <c r="MLF57" s="1"/>
      <c r="MLG57" s="1"/>
      <c r="MLH57" s="1"/>
      <c r="MLI57" s="1"/>
      <c r="MLJ57" s="1"/>
      <c r="MLK57" s="1"/>
      <c r="MLL57" s="1"/>
      <c r="MLM57" s="1"/>
      <c r="MLN57" s="1"/>
      <c r="MLO57" s="1"/>
      <c r="MLP57" s="1"/>
      <c r="MLQ57" s="1"/>
      <c r="MLR57" s="1"/>
      <c r="MLS57" s="1"/>
      <c r="MLT57" s="1"/>
      <c r="MLU57" s="1"/>
      <c r="MLV57" s="1"/>
      <c r="MLW57" s="1"/>
      <c r="MLX57" s="1"/>
      <c r="MLY57" s="1"/>
      <c r="MLZ57" s="1"/>
      <c r="MMA57" s="1"/>
      <c r="MMB57" s="1"/>
      <c r="MMC57" s="1"/>
      <c r="MMD57" s="1"/>
      <c r="MME57" s="1"/>
      <c r="MMF57" s="1"/>
      <c r="MMG57" s="1"/>
      <c r="MMH57" s="1"/>
      <c r="MMI57" s="1"/>
      <c r="MMJ57" s="1"/>
      <c r="MMK57" s="1"/>
      <c r="MML57" s="1"/>
      <c r="MMM57" s="1"/>
      <c r="MMN57" s="1"/>
      <c r="MMO57" s="1"/>
      <c r="MMP57" s="1"/>
      <c r="MMQ57" s="1"/>
      <c r="MMR57" s="1"/>
      <c r="MMS57" s="1"/>
      <c r="MMT57" s="1"/>
      <c r="MMU57" s="1"/>
      <c r="MMV57" s="1"/>
      <c r="MMW57" s="1"/>
      <c r="MMX57" s="1"/>
      <c r="MMY57" s="1"/>
      <c r="MMZ57" s="1"/>
      <c r="MNA57" s="1"/>
      <c r="MNB57" s="1"/>
      <c r="MNC57" s="1"/>
      <c r="MND57" s="1"/>
      <c r="MNE57" s="1"/>
      <c r="MNF57" s="1"/>
      <c r="MNG57" s="1"/>
      <c r="MNH57" s="1"/>
      <c r="MNI57" s="1"/>
      <c r="MNJ57" s="1"/>
      <c r="MNK57" s="1"/>
      <c r="MNL57" s="1"/>
      <c r="MNM57" s="1"/>
      <c r="MNN57" s="1"/>
      <c r="MNO57" s="1"/>
      <c r="MNP57" s="1"/>
      <c r="MNQ57" s="1"/>
      <c r="MNR57" s="1"/>
      <c r="MNS57" s="1"/>
      <c r="MNT57" s="1"/>
      <c r="MNU57" s="1"/>
      <c r="MNV57" s="1"/>
      <c r="MNW57" s="1"/>
      <c r="MNX57" s="1"/>
      <c r="MNY57" s="1"/>
      <c r="MNZ57" s="1"/>
      <c r="MOA57" s="1"/>
      <c r="MOB57" s="1"/>
      <c r="MOC57" s="1"/>
      <c r="MOD57" s="1"/>
      <c r="MOE57" s="1"/>
      <c r="MOF57" s="1"/>
      <c r="MOG57" s="1"/>
      <c r="MOH57" s="1"/>
      <c r="MOI57" s="1"/>
      <c r="MOJ57" s="1"/>
      <c r="MOK57" s="1"/>
      <c r="MOL57" s="1"/>
      <c r="MOM57" s="1"/>
      <c r="MON57" s="1"/>
      <c r="MOO57" s="1"/>
      <c r="MOP57" s="1"/>
      <c r="MOQ57" s="1"/>
      <c r="MOR57" s="1"/>
      <c r="MOS57" s="1"/>
      <c r="MOT57" s="1"/>
      <c r="MOU57" s="1"/>
      <c r="MOV57" s="1"/>
      <c r="MOW57" s="1"/>
      <c r="MOX57" s="1"/>
      <c r="MOY57" s="1"/>
      <c r="MOZ57" s="1"/>
      <c r="MPA57" s="1"/>
      <c r="MPB57" s="1"/>
      <c r="MPC57" s="1"/>
      <c r="MPD57" s="1"/>
      <c r="MPE57" s="1"/>
      <c r="MPF57" s="1"/>
      <c r="MPG57" s="1"/>
      <c r="MPH57" s="1"/>
      <c r="MPI57" s="1"/>
      <c r="MPJ57" s="1"/>
      <c r="MPK57" s="1"/>
      <c r="MPL57" s="1"/>
      <c r="MPM57" s="1"/>
      <c r="MPN57" s="1"/>
      <c r="MPO57" s="1"/>
      <c r="MPP57" s="1"/>
      <c r="MPQ57" s="1"/>
      <c r="MPR57" s="1"/>
      <c r="MPS57" s="1"/>
      <c r="MPT57" s="1"/>
      <c r="MPU57" s="1"/>
      <c r="MPV57" s="1"/>
      <c r="MPW57" s="1"/>
      <c r="MPX57" s="1"/>
      <c r="MPY57" s="1"/>
      <c r="MPZ57" s="1"/>
      <c r="MQA57" s="1"/>
      <c r="MQB57" s="1"/>
      <c r="MQC57" s="1"/>
      <c r="MQD57" s="1"/>
      <c r="MQE57" s="1"/>
      <c r="MQF57" s="1"/>
      <c r="MQG57" s="1"/>
      <c r="MQH57" s="1"/>
      <c r="MQI57" s="1"/>
      <c r="MQJ57" s="1"/>
      <c r="MQK57" s="1"/>
      <c r="MQL57" s="1"/>
      <c r="MQM57" s="1"/>
      <c r="MQN57" s="1"/>
      <c r="MQO57" s="1"/>
      <c r="MQP57" s="1"/>
      <c r="MQQ57" s="1"/>
      <c r="MQR57" s="1"/>
      <c r="MQS57" s="1"/>
      <c r="MQT57" s="1"/>
      <c r="MQU57" s="1"/>
      <c r="MQV57" s="1"/>
      <c r="MQW57" s="1"/>
      <c r="MQX57" s="1"/>
      <c r="MQY57" s="1"/>
      <c r="MQZ57" s="1"/>
      <c r="MRA57" s="1"/>
      <c r="MRB57" s="1"/>
      <c r="MRC57" s="1"/>
      <c r="MRD57" s="1"/>
      <c r="MRE57" s="1"/>
      <c r="MRF57" s="1"/>
      <c r="MRG57" s="1"/>
      <c r="MRH57" s="1"/>
      <c r="MRI57" s="1"/>
      <c r="MRJ57" s="1"/>
      <c r="MRK57" s="1"/>
      <c r="MRL57" s="1"/>
      <c r="MRM57" s="1"/>
      <c r="MRN57" s="1"/>
      <c r="MRO57" s="1"/>
      <c r="MRP57" s="1"/>
      <c r="MRQ57" s="1"/>
      <c r="MRR57" s="1"/>
      <c r="MRS57" s="1"/>
      <c r="MRT57" s="1"/>
      <c r="MRU57" s="1"/>
      <c r="MRV57" s="1"/>
      <c r="MRW57" s="1"/>
      <c r="MRX57" s="1"/>
      <c r="MRY57" s="1"/>
      <c r="MRZ57" s="1"/>
      <c r="MSA57" s="1"/>
      <c r="MSB57" s="1"/>
      <c r="MSC57" s="1"/>
      <c r="MSD57" s="1"/>
      <c r="MSE57" s="1"/>
      <c r="MSF57" s="1"/>
      <c r="MSG57" s="1"/>
      <c r="MSH57" s="1"/>
      <c r="MSI57" s="1"/>
      <c r="MSJ57" s="1"/>
      <c r="MSK57" s="1"/>
      <c r="MSL57" s="1"/>
      <c r="MSM57" s="1"/>
      <c r="MSN57" s="1"/>
      <c r="MSO57" s="1"/>
      <c r="MSP57" s="1"/>
      <c r="MSQ57" s="1"/>
      <c r="MSR57" s="1"/>
      <c r="MSS57" s="1"/>
      <c r="MST57" s="1"/>
      <c r="MSU57" s="1"/>
      <c r="MSV57" s="1"/>
      <c r="MSW57" s="1"/>
      <c r="MSX57" s="1"/>
      <c r="MSY57" s="1"/>
      <c r="MSZ57" s="1"/>
      <c r="MTA57" s="1"/>
      <c r="MTB57" s="1"/>
      <c r="MTC57" s="1"/>
      <c r="MTD57" s="1"/>
      <c r="MTE57" s="1"/>
      <c r="MTF57" s="1"/>
      <c r="MTG57" s="1"/>
      <c r="MTH57" s="1"/>
      <c r="MTI57" s="1"/>
      <c r="MTJ57" s="1"/>
      <c r="MTK57" s="1"/>
      <c r="MTL57" s="1"/>
      <c r="MTM57" s="1"/>
      <c r="MTN57" s="1"/>
      <c r="MTO57" s="1"/>
      <c r="MTP57" s="1"/>
      <c r="MTQ57" s="1"/>
      <c r="MTR57" s="1"/>
      <c r="MTS57" s="1"/>
      <c r="MTT57" s="1"/>
      <c r="MTU57" s="1"/>
      <c r="MTV57" s="1"/>
      <c r="MTW57" s="1"/>
      <c r="MTX57" s="1"/>
      <c r="MTY57" s="1"/>
      <c r="MTZ57" s="1"/>
      <c r="MUA57" s="1"/>
      <c r="MUB57" s="1"/>
      <c r="MUC57" s="1"/>
      <c r="MUD57" s="1"/>
      <c r="MUE57" s="1"/>
      <c r="MUF57" s="1"/>
      <c r="MUG57" s="1"/>
      <c r="MUH57" s="1"/>
      <c r="MUI57" s="1"/>
      <c r="MUJ57" s="1"/>
      <c r="MUK57" s="1"/>
      <c r="MUL57" s="1"/>
      <c r="MUM57" s="1"/>
      <c r="MUN57" s="1"/>
      <c r="MUO57" s="1"/>
      <c r="MUP57" s="1"/>
      <c r="MUQ57" s="1"/>
      <c r="MUR57" s="1"/>
      <c r="MUS57" s="1"/>
      <c r="MUT57" s="1"/>
      <c r="MUU57" s="1"/>
      <c r="MUV57" s="1"/>
      <c r="MUW57" s="1"/>
      <c r="MUX57" s="1"/>
      <c r="MUY57" s="1"/>
      <c r="MUZ57" s="1"/>
      <c r="MVA57" s="1"/>
      <c r="MVB57" s="1"/>
      <c r="MVC57" s="1"/>
      <c r="MVD57" s="1"/>
      <c r="MVE57" s="1"/>
      <c r="MVF57" s="1"/>
      <c r="MVG57" s="1"/>
      <c r="MVH57" s="1"/>
      <c r="MVI57" s="1"/>
      <c r="MVJ57" s="1"/>
      <c r="MVK57" s="1"/>
      <c r="MVL57" s="1"/>
      <c r="MVM57" s="1"/>
      <c r="MVN57" s="1"/>
      <c r="MVO57" s="1"/>
      <c r="MVP57" s="1"/>
      <c r="MVQ57" s="1"/>
      <c r="MVR57" s="1"/>
      <c r="MVS57" s="1"/>
      <c r="MVT57" s="1"/>
      <c r="MVU57" s="1"/>
      <c r="MVV57" s="1"/>
      <c r="MVW57" s="1"/>
      <c r="MVX57" s="1"/>
      <c r="MVY57" s="1"/>
      <c r="MVZ57" s="1"/>
      <c r="MWA57" s="1"/>
      <c r="MWB57" s="1"/>
      <c r="MWC57" s="1"/>
      <c r="MWD57" s="1"/>
      <c r="MWE57" s="1"/>
      <c r="MWF57" s="1"/>
      <c r="MWG57" s="1"/>
      <c r="MWH57" s="1"/>
      <c r="MWI57" s="1"/>
      <c r="MWJ57" s="1"/>
      <c r="MWK57" s="1"/>
      <c r="MWL57" s="1"/>
      <c r="MWM57" s="1"/>
      <c r="MWN57" s="1"/>
      <c r="MWO57" s="1"/>
      <c r="MWP57" s="1"/>
      <c r="MWQ57" s="1"/>
      <c r="MWR57" s="1"/>
      <c r="MWS57" s="1"/>
      <c r="MWT57" s="1"/>
      <c r="MWU57" s="1"/>
      <c r="MWV57" s="1"/>
      <c r="MWW57" s="1"/>
      <c r="MWX57" s="1"/>
      <c r="MWY57" s="1"/>
      <c r="MWZ57" s="1"/>
      <c r="MXA57" s="1"/>
      <c r="MXB57" s="1"/>
      <c r="MXC57" s="1"/>
      <c r="MXD57" s="1"/>
      <c r="MXE57" s="1"/>
      <c r="MXF57" s="1"/>
      <c r="MXG57" s="1"/>
      <c r="MXH57" s="1"/>
      <c r="MXI57" s="1"/>
      <c r="MXJ57" s="1"/>
      <c r="MXK57" s="1"/>
      <c r="MXL57" s="1"/>
      <c r="MXM57" s="1"/>
      <c r="MXN57" s="1"/>
      <c r="MXO57" s="1"/>
      <c r="MXP57" s="1"/>
      <c r="MXQ57" s="1"/>
      <c r="MXR57" s="1"/>
      <c r="MXS57" s="1"/>
      <c r="MXT57" s="1"/>
      <c r="MXU57" s="1"/>
      <c r="MXV57" s="1"/>
      <c r="MXW57" s="1"/>
      <c r="MXX57" s="1"/>
      <c r="MXY57" s="1"/>
      <c r="MXZ57" s="1"/>
      <c r="MYA57" s="1"/>
      <c r="MYB57" s="1"/>
      <c r="MYC57" s="1"/>
      <c r="MYD57" s="1"/>
      <c r="MYE57" s="1"/>
      <c r="MYF57" s="1"/>
      <c r="MYG57" s="1"/>
      <c r="MYH57" s="1"/>
      <c r="MYI57" s="1"/>
      <c r="MYJ57" s="1"/>
      <c r="MYK57" s="1"/>
      <c r="MYL57" s="1"/>
      <c r="MYM57" s="1"/>
      <c r="MYN57" s="1"/>
      <c r="MYO57" s="1"/>
      <c r="MYP57" s="1"/>
      <c r="MYQ57" s="1"/>
      <c r="MYR57" s="1"/>
      <c r="MYS57" s="1"/>
      <c r="MYT57" s="1"/>
      <c r="MYU57" s="1"/>
      <c r="MYV57" s="1"/>
      <c r="MYW57" s="1"/>
      <c r="MYX57" s="1"/>
      <c r="MYY57" s="1"/>
      <c r="MYZ57" s="1"/>
      <c r="MZA57" s="1"/>
      <c r="MZB57" s="1"/>
      <c r="MZC57" s="1"/>
      <c r="MZD57" s="1"/>
      <c r="MZE57" s="1"/>
      <c r="MZF57" s="1"/>
      <c r="MZG57" s="1"/>
      <c r="MZH57" s="1"/>
      <c r="MZI57" s="1"/>
      <c r="MZJ57" s="1"/>
      <c r="MZK57" s="1"/>
      <c r="MZL57" s="1"/>
      <c r="MZM57" s="1"/>
      <c r="MZN57" s="1"/>
      <c r="MZO57" s="1"/>
      <c r="MZP57" s="1"/>
      <c r="MZQ57" s="1"/>
      <c r="MZR57" s="1"/>
      <c r="MZS57" s="1"/>
      <c r="MZT57" s="1"/>
      <c r="MZU57" s="1"/>
      <c r="MZV57" s="1"/>
      <c r="MZW57" s="1"/>
      <c r="MZX57" s="1"/>
      <c r="MZY57" s="1"/>
      <c r="MZZ57" s="1"/>
      <c r="NAA57" s="1"/>
      <c r="NAB57" s="1"/>
      <c r="NAC57" s="1"/>
      <c r="NAD57" s="1"/>
      <c r="NAE57" s="1"/>
      <c r="NAF57" s="1"/>
      <c r="NAG57" s="1"/>
      <c r="NAH57" s="1"/>
      <c r="NAI57" s="1"/>
      <c r="NAJ57" s="1"/>
      <c r="NAK57" s="1"/>
      <c r="NAL57" s="1"/>
      <c r="NAM57" s="1"/>
      <c r="NAN57" s="1"/>
      <c r="NAO57" s="1"/>
      <c r="NAP57" s="1"/>
      <c r="NAQ57" s="1"/>
      <c r="NAR57" s="1"/>
      <c r="NAS57" s="1"/>
      <c r="NAT57" s="1"/>
      <c r="NAU57" s="1"/>
      <c r="NAV57" s="1"/>
      <c r="NAW57" s="1"/>
      <c r="NAX57" s="1"/>
      <c r="NAY57" s="1"/>
      <c r="NAZ57" s="1"/>
      <c r="NBA57" s="1"/>
      <c r="NBB57" s="1"/>
      <c r="NBC57" s="1"/>
      <c r="NBD57" s="1"/>
      <c r="NBE57" s="1"/>
      <c r="NBF57" s="1"/>
      <c r="NBG57" s="1"/>
      <c r="NBH57" s="1"/>
      <c r="NBI57" s="1"/>
      <c r="NBJ57" s="1"/>
      <c r="NBK57" s="1"/>
      <c r="NBL57" s="1"/>
      <c r="NBM57" s="1"/>
      <c r="NBN57" s="1"/>
      <c r="NBO57" s="1"/>
      <c r="NBP57" s="1"/>
      <c r="NBQ57" s="1"/>
      <c r="NBR57" s="1"/>
      <c r="NBS57" s="1"/>
      <c r="NBT57" s="1"/>
      <c r="NBU57" s="1"/>
      <c r="NBV57" s="1"/>
      <c r="NBW57" s="1"/>
      <c r="NBX57" s="1"/>
      <c r="NBY57" s="1"/>
      <c r="NBZ57" s="1"/>
      <c r="NCA57" s="1"/>
      <c r="NCB57" s="1"/>
      <c r="NCC57" s="1"/>
      <c r="NCD57" s="1"/>
      <c r="NCE57" s="1"/>
      <c r="NCF57" s="1"/>
      <c r="NCG57" s="1"/>
      <c r="NCH57" s="1"/>
      <c r="NCI57" s="1"/>
      <c r="NCJ57" s="1"/>
      <c r="NCK57" s="1"/>
      <c r="NCL57" s="1"/>
      <c r="NCM57" s="1"/>
      <c r="NCN57" s="1"/>
      <c r="NCO57" s="1"/>
      <c r="NCP57" s="1"/>
      <c r="NCQ57" s="1"/>
      <c r="NCR57" s="1"/>
      <c r="NCS57" s="1"/>
      <c r="NCT57" s="1"/>
      <c r="NCU57" s="1"/>
      <c r="NCV57" s="1"/>
      <c r="NCW57" s="1"/>
      <c r="NCX57" s="1"/>
      <c r="NCY57" s="1"/>
      <c r="NCZ57" s="1"/>
      <c r="NDA57" s="1"/>
      <c r="NDB57" s="1"/>
      <c r="NDC57" s="1"/>
      <c r="NDD57" s="1"/>
      <c r="NDE57" s="1"/>
      <c r="NDF57" s="1"/>
      <c r="NDG57" s="1"/>
      <c r="NDH57" s="1"/>
      <c r="NDI57" s="1"/>
      <c r="NDJ57" s="1"/>
      <c r="NDK57" s="1"/>
      <c r="NDL57" s="1"/>
      <c r="NDM57" s="1"/>
      <c r="NDN57" s="1"/>
      <c r="NDO57" s="1"/>
      <c r="NDP57" s="1"/>
      <c r="NDQ57" s="1"/>
      <c r="NDR57" s="1"/>
      <c r="NDS57" s="1"/>
      <c r="NDT57" s="1"/>
      <c r="NDU57" s="1"/>
      <c r="NDV57" s="1"/>
      <c r="NDW57" s="1"/>
      <c r="NDX57" s="1"/>
      <c r="NDY57" s="1"/>
      <c r="NDZ57" s="1"/>
      <c r="NEA57" s="1"/>
      <c r="NEB57" s="1"/>
      <c r="NEC57" s="1"/>
      <c r="NED57" s="1"/>
      <c r="NEE57" s="1"/>
      <c r="NEF57" s="1"/>
      <c r="NEG57" s="1"/>
      <c r="NEH57" s="1"/>
      <c r="NEI57" s="1"/>
      <c r="NEJ57" s="1"/>
      <c r="NEK57" s="1"/>
      <c r="NEL57" s="1"/>
      <c r="NEM57" s="1"/>
      <c r="NEN57" s="1"/>
      <c r="NEO57" s="1"/>
      <c r="NEP57" s="1"/>
      <c r="NEQ57" s="1"/>
      <c r="NER57" s="1"/>
      <c r="NES57" s="1"/>
      <c r="NET57" s="1"/>
      <c r="NEU57" s="1"/>
      <c r="NEV57" s="1"/>
      <c r="NEW57" s="1"/>
      <c r="NEX57" s="1"/>
      <c r="NEY57" s="1"/>
      <c r="NEZ57" s="1"/>
      <c r="NFA57" s="1"/>
      <c r="NFB57" s="1"/>
      <c r="NFC57" s="1"/>
      <c r="NFD57" s="1"/>
      <c r="NFE57" s="1"/>
      <c r="NFF57" s="1"/>
      <c r="NFG57" s="1"/>
      <c r="NFH57" s="1"/>
      <c r="NFI57" s="1"/>
      <c r="NFJ57" s="1"/>
      <c r="NFK57" s="1"/>
      <c r="NFL57" s="1"/>
      <c r="NFM57" s="1"/>
      <c r="NFN57" s="1"/>
      <c r="NFO57" s="1"/>
      <c r="NFP57" s="1"/>
      <c r="NFQ57" s="1"/>
      <c r="NFR57" s="1"/>
      <c r="NFS57" s="1"/>
      <c r="NFT57" s="1"/>
      <c r="NFU57" s="1"/>
      <c r="NFV57" s="1"/>
      <c r="NFW57" s="1"/>
      <c r="NFX57" s="1"/>
      <c r="NFY57" s="1"/>
      <c r="NFZ57" s="1"/>
      <c r="NGA57" s="1"/>
      <c r="NGB57" s="1"/>
      <c r="NGC57" s="1"/>
      <c r="NGD57" s="1"/>
      <c r="NGE57" s="1"/>
      <c r="NGF57" s="1"/>
      <c r="NGG57" s="1"/>
      <c r="NGH57" s="1"/>
      <c r="NGI57" s="1"/>
      <c r="NGJ57" s="1"/>
      <c r="NGK57" s="1"/>
      <c r="NGL57" s="1"/>
      <c r="NGM57" s="1"/>
      <c r="NGN57" s="1"/>
      <c r="NGO57" s="1"/>
      <c r="NGP57" s="1"/>
      <c r="NGQ57" s="1"/>
      <c r="NGR57" s="1"/>
      <c r="NGS57" s="1"/>
      <c r="NGT57" s="1"/>
      <c r="NGU57" s="1"/>
      <c r="NGV57" s="1"/>
      <c r="NGW57" s="1"/>
      <c r="NGX57" s="1"/>
      <c r="NGY57" s="1"/>
      <c r="NGZ57" s="1"/>
      <c r="NHA57" s="1"/>
      <c r="NHB57" s="1"/>
      <c r="NHC57" s="1"/>
      <c r="NHD57" s="1"/>
      <c r="NHE57" s="1"/>
      <c r="NHF57" s="1"/>
      <c r="NHG57" s="1"/>
      <c r="NHH57" s="1"/>
      <c r="NHI57" s="1"/>
      <c r="NHJ57" s="1"/>
      <c r="NHK57" s="1"/>
      <c r="NHL57" s="1"/>
      <c r="NHM57" s="1"/>
      <c r="NHN57" s="1"/>
      <c r="NHO57" s="1"/>
      <c r="NHP57" s="1"/>
      <c r="NHQ57" s="1"/>
      <c r="NHR57" s="1"/>
      <c r="NHS57" s="1"/>
      <c r="NHT57" s="1"/>
      <c r="NHU57" s="1"/>
      <c r="NHV57" s="1"/>
      <c r="NHW57" s="1"/>
      <c r="NHX57" s="1"/>
      <c r="NHY57" s="1"/>
      <c r="NHZ57" s="1"/>
      <c r="NIA57" s="1"/>
      <c r="NIB57" s="1"/>
      <c r="NIC57" s="1"/>
      <c r="NID57" s="1"/>
      <c r="NIE57" s="1"/>
      <c r="NIF57" s="1"/>
      <c r="NIG57" s="1"/>
      <c r="NIH57" s="1"/>
      <c r="NII57" s="1"/>
      <c r="NIJ57" s="1"/>
      <c r="NIK57" s="1"/>
      <c r="NIL57" s="1"/>
      <c r="NIM57" s="1"/>
      <c r="NIN57" s="1"/>
      <c r="NIO57" s="1"/>
      <c r="NIP57" s="1"/>
      <c r="NIQ57" s="1"/>
      <c r="NIR57" s="1"/>
      <c r="NIS57" s="1"/>
      <c r="NIT57" s="1"/>
      <c r="NIU57" s="1"/>
      <c r="NIV57" s="1"/>
      <c r="NIW57" s="1"/>
      <c r="NIX57" s="1"/>
      <c r="NIY57" s="1"/>
      <c r="NIZ57" s="1"/>
      <c r="NJA57" s="1"/>
      <c r="NJB57" s="1"/>
      <c r="NJC57" s="1"/>
      <c r="NJD57" s="1"/>
      <c r="NJE57" s="1"/>
      <c r="NJF57" s="1"/>
      <c r="NJG57" s="1"/>
      <c r="NJH57" s="1"/>
      <c r="NJI57" s="1"/>
      <c r="NJJ57" s="1"/>
      <c r="NJK57" s="1"/>
      <c r="NJL57" s="1"/>
      <c r="NJM57" s="1"/>
      <c r="NJN57" s="1"/>
      <c r="NJO57" s="1"/>
      <c r="NJP57" s="1"/>
      <c r="NJQ57" s="1"/>
      <c r="NJR57" s="1"/>
      <c r="NJS57" s="1"/>
      <c r="NJT57" s="1"/>
      <c r="NJU57" s="1"/>
      <c r="NJV57" s="1"/>
      <c r="NJW57" s="1"/>
      <c r="NJX57" s="1"/>
      <c r="NJY57" s="1"/>
      <c r="NJZ57" s="1"/>
      <c r="NKA57" s="1"/>
      <c r="NKB57" s="1"/>
      <c r="NKC57" s="1"/>
      <c r="NKD57" s="1"/>
      <c r="NKE57" s="1"/>
      <c r="NKF57" s="1"/>
      <c r="NKG57" s="1"/>
      <c r="NKH57" s="1"/>
      <c r="NKI57" s="1"/>
      <c r="NKJ57" s="1"/>
      <c r="NKK57" s="1"/>
      <c r="NKL57" s="1"/>
      <c r="NKM57" s="1"/>
      <c r="NKN57" s="1"/>
      <c r="NKO57" s="1"/>
      <c r="NKP57" s="1"/>
      <c r="NKQ57" s="1"/>
      <c r="NKR57" s="1"/>
      <c r="NKS57" s="1"/>
      <c r="NKT57" s="1"/>
      <c r="NKU57" s="1"/>
      <c r="NKV57" s="1"/>
      <c r="NKW57" s="1"/>
      <c r="NKX57" s="1"/>
      <c r="NKY57" s="1"/>
      <c r="NKZ57" s="1"/>
      <c r="NLA57" s="1"/>
      <c r="NLB57" s="1"/>
      <c r="NLC57" s="1"/>
      <c r="NLD57" s="1"/>
      <c r="NLE57" s="1"/>
      <c r="NLF57" s="1"/>
      <c r="NLG57" s="1"/>
      <c r="NLH57" s="1"/>
      <c r="NLI57" s="1"/>
      <c r="NLJ57" s="1"/>
      <c r="NLK57" s="1"/>
      <c r="NLL57" s="1"/>
      <c r="NLM57" s="1"/>
      <c r="NLN57" s="1"/>
      <c r="NLO57" s="1"/>
      <c r="NLP57" s="1"/>
      <c r="NLQ57" s="1"/>
      <c r="NLR57" s="1"/>
      <c r="NLS57" s="1"/>
      <c r="NLT57" s="1"/>
      <c r="NLU57" s="1"/>
      <c r="NLV57" s="1"/>
      <c r="NLW57" s="1"/>
      <c r="NLX57" s="1"/>
      <c r="NLY57" s="1"/>
      <c r="NLZ57" s="1"/>
      <c r="NMA57" s="1"/>
      <c r="NMB57" s="1"/>
      <c r="NMC57" s="1"/>
      <c r="NMD57" s="1"/>
      <c r="NME57" s="1"/>
      <c r="NMF57" s="1"/>
      <c r="NMG57" s="1"/>
      <c r="NMH57" s="1"/>
      <c r="NMI57" s="1"/>
      <c r="NMJ57" s="1"/>
      <c r="NMK57" s="1"/>
      <c r="NML57" s="1"/>
      <c r="NMM57" s="1"/>
      <c r="NMN57" s="1"/>
      <c r="NMO57" s="1"/>
      <c r="NMP57" s="1"/>
      <c r="NMQ57" s="1"/>
      <c r="NMR57" s="1"/>
      <c r="NMS57" s="1"/>
      <c r="NMT57" s="1"/>
      <c r="NMU57" s="1"/>
      <c r="NMV57" s="1"/>
      <c r="NMW57" s="1"/>
      <c r="NMX57" s="1"/>
      <c r="NMY57" s="1"/>
      <c r="NMZ57" s="1"/>
      <c r="NNA57" s="1"/>
      <c r="NNB57" s="1"/>
      <c r="NNC57" s="1"/>
      <c r="NND57" s="1"/>
      <c r="NNE57" s="1"/>
      <c r="NNF57" s="1"/>
      <c r="NNG57" s="1"/>
      <c r="NNH57" s="1"/>
      <c r="NNI57" s="1"/>
      <c r="NNJ57" s="1"/>
      <c r="NNK57" s="1"/>
      <c r="NNL57" s="1"/>
      <c r="NNM57" s="1"/>
      <c r="NNN57" s="1"/>
      <c r="NNO57" s="1"/>
      <c r="NNP57" s="1"/>
      <c r="NNQ57" s="1"/>
      <c r="NNR57" s="1"/>
      <c r="NNS57" s="1"/>
      <c r="NNT57" s="1"/>
      <c r="NNU57" s="1"/>
      <c r="NNV57" s="1"/>
      <c r="NNW57" s="1"/>
      <c r="NNX57" s="1"/>
      <c r="NNY57" s="1"/>
      <c r="NNZ57" s="1"/>
      <c r="NOA57" s="1"/>
      <c r="NOB57" s="1"/>
      <c r="NOC57" s="1"/>
      <c r="NOD57" s="1"/>
      <c r="NOE57" s="1"/>
      <c r="NOF57" s="1"/>
      <c r="NOG57" s="1"/>
      <c r="NOH57" s="1"/>
      <c r="NOI57" s="1"/>
      <c r="NOJ57" s="1"/>
      <c r="NOK57" s="1"/>
      <c r="NOL57" s="1"/>
      <c r="NOM57" s="1"/>
      <c r="NON57" s="1"/>
      <c r="NOO57" s="1"/>
      <c r="NOP57" s="1"/>
      <c r="NOQ57" s="1"/>
      <c r="NOR57" s="1"/>
      <c r="NOS57" s="1"/>
      <c r="NOT57" s="1"/>
      <c r="NOU57" s="1"/>
      <c r="NOV57" s="1"/>
      <c r="NOW57" s="1"/>
      <c r="NOX57" s="1"/>
      <c r="NOY57" s="1"/>
      <c r="NOZ57" s="1"/>
      <c r="NPA57" s="1"/>
      <c r="NPB57" s="1"/>
      <c r="NPC57" s="1"/>
      <c r="NPD57" s="1"/>
      <c r="NPE57" s="1"/>
      <c r="NPF57" s="1"/>
      <c r="NPG57" s="1"/>
      <c r="NPH57" s="1"/>
      <c r="NPI57" s="1"/>
      <c r="NPJ57" s="1"/>
      <c r="NPK57" s="1"/>
      <c r="NPL57" s="1"/>
      <c r="NPM57" s="1"/>
      <c r="NPN57" s="1"/>
      <c r="NPO57" s="1"/>
      <c r="NPP57" s="1"/>
      <c r="NPQ57" s="1"/>
      <c r="NPR57" s="1"/>
      <c r="NPS57" s="1"/>
      <c r="NPT57" s="1"/>
      <c r="NPU57" s="1"/>
      <c r="NPV57" s="1"/>
      <c r="NPW57" s="1"/>
      <c r="NPX57" s="1"/>
      <c r="NPY57" s="1"/>
      <c r="NPZ57" s="1"/>
      <c r="NQA57" s="1"/>
      <c r="NQB57" s="1"/>
      <c r="NQC57" s="1"/>
      <c r="NQD57" s="1"/>
      <c r="NQE57" s="1"/>
      <c r="NQF57" s="1"/>
      <c r="NQG57" s="1"/>
      <c r="NQH57" s="1"/>
      <c r="NQI57" s="1"/>
      <c r="NQJ57" s="1"/>
      <c r="NQK57" s="1"/>
      <c r="NQL57" s="1"/>
      <c r="NQM57" s="1"/>
      <c r="NQN57" s="1"/>
      <c r="NQO57" s="1"/>
      <c r="NQP57" s="1"/>
      <c r="NQQ57" s="1"/>
      <c r="NQR57" s="1"/>
      <c r="NQS57" s="1"/>
      <c r="NQT57" s="1"/>
      <c r="NQU57" s="1"/>
      <c r="NQV57" s="1"/>
      <c r="NQW57" s="1"/>
      <c r="NQX57" s="1"/>
      <c r="NQY57" s="1"/>
      <c r="NQZ57" s="1"/>
      <c r="NRA57" s="1"/>
      <c r="NRB57" s="1"/>
      <c r="NRC57" s="1"/>
      <c r="NRD57" s="1"/>
      <c r="NRE57" s="1"/>
      <c r="NRF57" s="1"/>
      <c r="NRG57" s="1"/>
      <c r="NRH57" s="1"/>
      <c r="NRI57" s="1"/>
      <c r="NRJ57" s="1"/>
      <c r="NRK57" s="1"/>
      <c r="NRL57" s="1"/>
      <c r="NRM57" s="1"/>
      <c r="NRN57" s="1"/>
      <c r="NRO57" s="1"/>
      <c r="NRP57" s="1"/>
      <c r="NRQ57" s="1"/>
      <c r="NRR57" s="1"/>
      <c r="NRS57" s="1"/>
      <c r="NRT57" s="1"/>
      <c r="NRU57" s="1"/>
      <c r="NRV57" s="1"/>
      <c r="NRW57" s="1"/>
      <c r="NRX57" s="1"/>
      <c r="NRY57" s="1"/>
      <c r="NRZ57" s="1"/>
      <c r="NSA57" s="1"/>
      <c r="NSB57" s="1"/>
      <c r="NSC57" s="1"/>
      <c r="NSD57" s="1"/>
      <c r="NSE57" s="1"/>
      <c r="NSF57" s="1"/>
      <c r="NSG57" s="1"/>
      <c r="NSH57" s="1"/>
      <c r="NSI57" s="1"/>
      <c r="NSJ57" s="1"/>
      <c r="NSK57" s="1"/>
      <c r="NSL57" s="1"/>
      <c r="NSM57" s="1"/>
      <c r="NSN57" s="1"/>
      <c r="NSO57" s="1"/>
      <c r="NSP57" s="1"/>
      <c r="NSQ57" s="1"/>
      <c r="NSR57" s="1"/>
      <c r="NSS57" s="1"/>
      <c r="NST57" s="1"/>
      <c r="NSU57" s="1"/>
      <c r="NSV57" s="1"/>
      <c r="NSW57" s="1"/>
      <c r="NSX57" s="1"/>
      <c r="NSY57" s="1"/>
      <c r="NSZ57" s="1"/>
      <c r="NTA57" s="1"/>
      <c r="NTB57" s="1"/>
      <c r="NTC57" s="1"/>
      <c r="NTD57" s="1"/>
      <c r="NTE57" s="1"/>
      <c r="NTF57" s="1"/>
      <c r="NTG57" s="1"/>
      <c r="NTH57" s="1"/>
      <c r="NTI57" s="1"/>
      <c r="NTJ57" s="1"/>
      <c r="NTK57" s="1"/>
      <c r="NTL57" s="1"/>
      <c r="NTM57" s="1"/>
      <c r="NTN57" s="1"/>
      <c r="NTO57" s="1"/>
      <c r="NTP57" s="1"/>
      <c r="NTQ57" s="1"/>
      <c r="NTR57" s="1"/>
      <c r="NTS57" s="1"/>
      <c r="NTT57" s="1"/>
      <c r="NTU57" s="1"/>
      <c r="NTV57" s="1"/>
      <c r="NTW57" s="1"/>
      <c r="NTX57" s="1"/>
      <c r="NTY57" s="1"/>
      <c r="NTZ57" s="1"/>
      <c r="NUA57" s="1"/>
      <c r="NUB57" s="1"/>
      <c r="NUC57" s="1"/>
      <c r="NUD57" s="1"/>
      <c r="NUE57" s="1"/>
      <c r="NUF57" s="1"/>
      <c r="NUG57" s="1"/>
      <c r="NUH57" s="1"/>
      <c r="NUI57" s="1"/>
      <c r="NUJ57" s="1"/>
      <c r="NUK57" s="1"/>
      <c r="NUL57" s="1"/>
      <c r="NUM57" s="1"/>
      <c r="NUN57" s="1"/>
      <c r="NUO57" s="1"/>
      <c r="NUP57" s="1"/>
      <c r="NUQ57" s="1"/>
      <c r="NUR57" s="1"/>
      <c r="NUS57" s="1"/>
      <c r="NUT57" s="1"/>
      <c r="NUU57" s="1"/>
      <c r="NUV57" s="1"/>
      <c r="NUW57" s="1"/>
      <c r="NUX57" s="1"/>
      <c r="NUY57" s="1"/>
      <c r="NUZ57" s="1"/>
      <c r="NVA57" s="1"/>
      <c r="NVB57" s="1"/>
      <c r="NVC57" s="1"/>
      <c r="NVD57" s="1"/>
      <c r="NVE57" s="1"/>
      <c r="NVF57" s="1"/>
      <c r="NVG57" s="1"/>
      <c r="NVH57" s="1"/>
      <c r="NVI57" s="1"/>
      <c r="NVJ57" s="1"/>
      <c r="NVK57" s="1"/>
      <c r="NVL57" s="1"/>
      <c r="NVM57" s="1"/>
      <c r="NVN57" s="1"/>
      <c r="NVO57" s="1"/>
      <c r="NVP57" s="1"/>
      <c r="NVQ57" s="1"/>
      <c r="NVR57" s="1"/>
      <c r="NVS57" s="1"/>
      <c r="NVT57" s="1"/>
      <c r="NVU57" s="1"/>
      <c r="NVV57" s="1"/>
      <c r="NVW57" s="1"/>
      <c r="NVX57" s="1"/>
      <c r="NVY57" s="1"/>
      <c r="NVZ57" s="1"/>
      <c r="NWA57" s="1"/>
      <c r="NWB57" s="1"/>
      <c r="NWC57" s="1"/>
      <c r="NWD57" s="1"/>
      <c r="NWE57" s="1"/>
      <c r="NWF57" s="1"/>
      <c r="NWG57" s="1"/>
      <c r="NWH57" s="1"/>
      <c r="NWI57" s="1"/>
      <c r="NWJ57" s="1"/>
      <c r="NWK57" s="1"/>
      <c r="NWL57" s="1"/>
      <c r="NWM57" s="1"/>
      <c r="NWN57" s="1"/>
      <c r="NWO57" s="1"/>
      <c r="NWP57" s="1"/>
      <c r="NWQ57" s="1"/>
      <c r="NWR57" s="1"/>
      <c r="NWS57" s="1"/>
      <c r="NWT57" s="1"/>
      <c r="NWU57" s="1"/>
      <c r="NWV57" s="1"/>
      <c r="NWW57" s="1"/>
      <c r="NWX57" s="1"/>
      <c r="NWY57" s="1"/>
      <c r="NWZ57" s="1"/>
      <c r="NXA57" s="1"/>
      <c r="NXB57" s="1"/>
      <c r="NXC57" s="1"/>
      <c r="NXD57" s="1"/>
      <c r="NXE57" s="1"/>
      <c r="NXF57" s="1"/>
      <c r="NXG57" s="1"/>
      <c r="NXH57" s="1"/>
      <c r="NXI57" s="1"/>
      <c r="NXJ57" s="1"/>
      <c r="NXK57" s="1"/>
      <c r="NXL57" s="1"/>
      <c r="NXM57" s="1"/>
      <c r="NXN57" s="1"/>
      <c r="NXO57" s="1"/>
      <c r="NXP57" s="1"/>
      <c r="NXQ57" s="1"/>
      <c r="NXR57" s="1"/>
      <c r="NXS57" s="1"/>
      <c r="NXT57" s="1"/>
      <c r="NXU57" s="1"/>
      <c r="NXV57" s="1"/>
      <c r="NXW57" s="1"/>
      <c r="NXX57" s="1"/>
      <c r="NXY57" s="1"/>
      <c r="NXZ57" s="1"/>
      <c r="NYA57" s="1"/>
      <c r="NYB57" s="1"/>
      <c r="NYC57" s="1"/>
      <c r="NYD57" s="1"/>
      <c r="NYE57" s="1"/>
      <c r="NYF57" s="1"/>
      <c r="NYG57" s="1"/>
      <c r="NYH57" s="1"/>
      <c r="NYI57" s="1"/>
      <c r="NYJ57" s="1"/>
      <c r="NYK57" s="1"/>
      <c r="NYL57" s="1"/>
      <c r="NYM57" s="1"/>
      <c r="NYN57" s="1"/>
      <c r="NYO57" s="1"/>
      <c r="NYP57" s="1"/>
      <c r="NYQ57" s="1"/>
      <c r="NYR57" s="1"/>
      <c r="NYS57" s="1"/>
      <c r="NYT57" s="1"/>
      <c r="NYU57" s="1"/>
      <c r="NYV57" s="1"/>
      <c r="NYW57" s="1"/>
      <c r="NYX57" s="1"/>
      <c r="NYY57" s="1"/>
      <c r="NYZ57" s="1"/>
      <c r="NZA57" s="1"/>
      <c r="NZB57" s="1"/>
      <c r="NZC57" s="1"/>
      <c r="NZD57" s="1"/>
      <c r="NZE57" s="1"/>
      <c r="NZF57" s="1"/>
      <c r="NZG57" s="1"/>
      <c r="NZH57" s="1"/>
      <c r="NZI57" s="1"/>
      <c r="NZJ57" s="1"/>
      <c r="NZK57" s="1"/>
      <c r="NZL57" s="1"/>
      <c r="NZM57" s="1"/>
      <c r="NZN57" s="1"/>
      <c r="NZO57" s="1"/>
      <c r="NZP57" s="1"/>
      <c r="NZQ57" s="1"/>
      <c r="NZR57" s="1"/>
      <c r="NZS57" s="1"/>
      <c r="NZT57" s="1"/>
      <c r="NZU57" s="1"/>
      <c r="NZV57" s="1"/>
      <c r="NZW57" s="1"/>
      <c r="NZX57" s="1"/>
      <c r="NZY57" s="1"/>
      <c r="NZZ57" s="1"/>
      <c r="OAA57" s="1"/>
      <c r="OAB57" s="1"/>
      <c r="OAC57" s="1"/>
      <c r="OAD57" s="1"/>
      <c r="OAE57" s="1"/>
      <c r="OAF57" s="1"/>
      <c r="OAG57" s="1"/>
      <c r="OAH57" s="1"/>
      <c r="OAI57" s="1"/>
      <c r="OAJ57" s="1"/>
      <c r="OAK57" s="1"/>
      <c r="OAL57" s="1"/>
      <c r="OAM57" s="1"/>
      <c r="OAN57" s="1"/>
      <c r="OAO57" s="1"/>
      <c r="OAP57" s="1"/>
      <c r="OAQ57" s="1"/>
      <c r="OAR57" s="1"/>
      <c r="OAS57" s="1"/>
      <c r="OAT57" s="1"/>
      <c r="OAU57" s="1"/>
      <c r="OAV57" s="1"/>
      <c r="OAW57" s="1"/>
      <c r="OAX57" s="1"/>
      <c r="OAY57" s="1"/>
      <c r="OAZ57" s="1"/>
      <c r="OBA57" s="1"/>
      <c r="OBB57" s="1"/>
      <c r="OBC57" s="1"/>
      <c r="OBD57" s="1"/>
      <c r="OBE57" s="1"/>
      <c r="OBF57" s="1"/>
      <c r="OBG57" s="1"/>
      <c r="OBH57" s="1"/>
      <c r="OBI57" s="1"/>
      <c r="OBJ57" s="1"/>
      <c r="OBK57" s="1"/>
      <c r="OBL57" s="1"/>
      <c r="OBM57" s="1"/>
      <c r="OBN57" s="1"/>
      <c r="OBO57" s="1"/>
      <c r="OBP57" s="1"/>
      <c r="OBQ57" s="1"/>
      <c r="OBR57" s="1"/>
      <c r="OBS57" s="1"/>
      <c r="OBT57" s="1"/>
      <c r="OBU57" s="1"/>
      <c r="OBV57" s="1"/>
      <c r="OBW57" s="1"/>
      <c r="OBX57" s="1"/>
      <c r="OBY57" s="1"/>
      <c r="OBZ57" s="1"/>
      <c r="OCA57" s="1"/>
      <c r="OCB57" s="1"/>
      <c r="OCC57" s="1"/>
      <c r="OCD57" s="1"/>
      <c r="OCE57" s="1"/>
      <c r="OCF57" s="1"/>
      <c r="OCG57" s="1"/>
      <c r="OCH57" s="1"/>
      <c r="OCI57" s="1"/>
      <c r="OCJ57" s="1"/>
      <c r="OCK57" s="1"/>
      <c r="OCL57" s="1"/>
      <c r="OCM57" s="1"/>
      <c r="OCN57" s="1"/>
      <c r="OCO57" s="1"/>
      <c r="OCP57" s="1"/>
      <c r="OCQ57" s="1"/>
      <c r="OCR57" s="1"/>
      <c r="OCS57" s="1"/>
      <c r="OCT57" s="1"/>
      <c r="OCU57" s="1"/>
      <c r="OCV57" s="1"/>
      <c r="OCW57" s="1"/>
      <c r="OCX57" s="1"/>
      <c r="OCY57" s="1"/>
      <c r="OCZ57" s="1"/>
      <c r="ODA57" s="1"/>
      <c r="ODB57" s="1"/>
      <c r="ODC57" s="1"/>
      <c r="ODD57" s="1"/>
      <c r="ODE57" s="1"/>
      <c r="ODF57" s="1"/>
      <c r="ODG57" s="1"/>
      <c r="ODH57" s="1"/>
      <c r="ODI57" s="1"/>
      <c r="ODJ57" s="1"/>
      <c r="ODK57" s="1"/>
      <c r="ODL57" s="1"/>
      <c r="ODM57" s="1"/>
      <c r="ODN57" s="1"/>
      <c r="ODO57" s="1"/>
      <c r="ODP57" s="1"/>
      <c r="ODQ57" s="1"/>
      <c r="ODR57" s="1"/>
      <c r="ODS57" s="1"/>
      <c r="ODT57" s="1"/>
      <c r="ODU57" s="1"/>
      <c r="ODV57" s="1"/>
      <c r="ODW57" s="1"/>
      <c r="ODX57" s="1"/>
      <c r="ODY57" s="1"/>
      <c r="ODZ57" s="1"/>
      <c r="OEA57" s="1"/>
      <c r="OEB57" s="1"/>
      <c r="OEC57" s="1"/>
      <c r="OED57" s="1"/>
      <c r="OEE57" s="1"/>
      <c r="OEF57" s="1"/>
      <c r="OEG57" s="1"/>
      <c r="OEH57" s="1"/>
      <c r="OEI57" s="1"/>
      <c r="OEJ57" s="1"/>
      <c r="OEK57" s="1"/>
      <c r="OEL57" s="1"/>
      <c r="OEM57" s="1"/>
      <c r="OEN57" s="1"/>
      <c r="OEO57" s="1"/>
      <c r="OEP57" s="1"/>
      <c r="OEQ57" s="1"/>
      <c r="OER57" s="1"/>
      <c r="OES57" s="1"/>
      <c r="OET57" s="1"/>
      <c r="OEU57" s="1"/>
      <c r="OEV57" s="1"/>
      <c r="OEW57" s="1"/>
      <c r="OEX57" s="1"/>
      <c r="OEY57" s="1"/>
      <c r="OEZ57" s="1"/>
      <c r="OFA57" s="1"/>
      <c r="OFB57" s="1"/>
      <c r="OFC57" s="1"/>
      <c r="OFD57" s="1"/>
      <c r="OFE57" s="1"/>
      <c r="OFF57" s="1"/>
      <c r="OFG57" s="1"/>
      <c r="OFH57" s="1"/>
      <c r="OFI57" s="1"/>
      <c r="OFJ57" s="1"/>
      <c r="OFK57" s="1"/>
      <c r="OFL57" s="1"/>
      <c r="OFM57" s="1"/>
      <c r="OFN57" s="1"/>
      <c r="OFO57" s="1"/>
      <c r="OFP57" s="1"/>
      <c r="OFQ57" s="1"/>
      <c r="OFR57" s="1"/>
      <c r="OFS57" s="1"/>
      <c r="OFT57" s="1"/>
      <c r="OFU57" s="1"/>
      <c r="OFV57" s="1"/>
      <c r="OFW57" s="1"/>
      <c r="OFX57" s="1"/>
      <c r="OFY57" s="1"/>
      <c r="OFZ57" s="1"/>
      <c r="OGA57" s="1"/>
      <c r="OGB57" s="1"/>
      <c r="OGC57" s="1"/>
      <c r="OGD57" s="1"/>
      <c r="OGE57" s="1"/>
      <c r="OGF57" s="1"/>
      <c r="OGG57" s="1"/>
      <c r="OGH57" s="1"/>
      <c r="OGI57" s="1"/>
      <c r="OGJ57" s="1"/>
      <c r="OGK57" s="1"/>
      <c r="OGL57" s="1"/>
      <c r="OGM57" s="1"/>
      <c r="OGN57" s="1"/>
      <c r="OGO57" s="1"/>
      <c r="OGP57" s="1"/>
      <c r="OGQ57" s="1"/>
      <c r="OGR57" s="1"/>
      <c r="OGS57" s="1"/>
      <c r="OGT57" s="1"/>
      <c r="OGU57" s="1"/>
      <c r="OGV57" s="1"/>
      <c r="OGW57" s="1"/>
      <c r="OGX57" s="1"/>
      <c r="OGY57" s="1"/>
      <c r="OGZ57" s="1"/>
      <c r="OHA57" s="1"/>
      <c r="OHB57" s="1"/>
      <c r="OHC57" s="1"/>
      <c r="OHD57" s="1"/>
      <c r="OHE57" s="1"/>
      <c r="OHF57" s="1"/>
      <c r="OHG57" s="1"/>
      <c r="OHH57" s="1"/>
      <c r="OHI57" s="1"/>
      <c r="OHJ57" s="1"/>
      <c r="OHK57" s="1"/>
      <c r="OHL57" s="1"/>
      <c r="OHM57" s="1"/>
      <c r="OHN57" s="1"/>
      <c r="OHO57" s="1"/>
      <c r="OHP57" s="1"/>
      <c r="OHQ57" s="1"/>
      <c r="OHR57" s="1"/>
      <c r="OHS57" s="1"/>
      <c r="OHT57" s="1"/>
      <c r="OHU57" s="1"/>
      <c r="OHV57" s="1"/>
      <c r="OHW57" s="1"/>
      <c r="OHX57" s="1"/>
      <c r="OHY57" s="1"/>
      <c r="OHZ57" s="1"/>
      <c r="OIA57" s="1"/>
      <c r="OIB57" s="1"/>
      <c r="OIC57" s="1"/>
      <c r="OID57" s="1"/>
      <c r="OIE57" s="1"/>
      <c r="OIF57" s="1"/>
      <c r="OIG57" s="1"/>
      <c r="OIH57" s="1"/>
      <c r="OII57" s="1"/>
      <c r="OIJ57" s="1"/>
      <c r="OIK57" s="1"/>
      <c r="OIL57" s="1"/>
      <c r="OIM57" s="1"/>
      <c r="OIN57" s="1"/>
      <c r="OIO57" s="1"/>
      <c r="OIP57" s="1"/>
      <c r="OIQ57" s="1"/>
      <c r="OIR57" s="1"/>
      <c r="OIS57" s="1"/>
      <c r="OIT57" s="1"/>
      <c r="OIU57" s="1"/>
      <c r="OIV57" s="1"/>
      <c r="OIW57" s="1"/>
      <c r="OIX57" s="1"/>
      <c r="OIY57" s="1"/>
      <c r="OIZ57" s="1"/>
      <c r="OJA57" s="1"/>
      <c r="OJB57" s="1"/>
      <c r="OJC57" s="1"/>
      <c r="OJD57" s="1"/>
      <c r="OJE57" s="1"/>
      <c r="OJF57" s="1"/>
      <c r="OJG57" s="1"/>
      <c r="OJH57" s="1"/>
      <c r="OJI57" s="1"/>
      <c r="OJJ57" s="1"/>
      <c r="OJK57" s="1"/>
      <c r="OJL57" s="1"/>
      <c r="OJM57" s="1"/>
      <c r="OJN57" s="1"/>
      <c r="OJO57" s="1"/>
      <c r="OJP57" s="1"/>
      <c r="OJQ57" s="1"/>
      <c r="OJR57" s="1"/>
      <c r="OJS57" s="1"/>
      <c r="OJT57" s="1"/>
      <c r="OJU57" s="1"/>
      <c r="OJV57" s="1"/>
      <c r="OJW57" s="1"/>
      <c r="OJX57" s="1"/>
      <c r="OJY57" s="1"/>
      <c r="OJZ57" s="1"/>
      <c r="OKA57" s="1"/>
      <c r="OKB57" s="1"/>
      <c r="OKC57" s="1"/>
      <c r="OKD57" s="1"/>
      <c r="OKE57" s="1"/>
      <c r="OKF57" s="1"/>
      <c r="OKG57" s="1"/>
      <c r="OKH57" s="1"/>
      <c r="OKI57" s="1"/>
      <c r="OKJ57" s="1"/>
      <c r="OKK57" s="1"/>
      <c r="OKL57" s="1"/>
      <c r="OKM57" s="1"/>
      <c r="OKN57" s="1"/>
      <c r="OKO57" s="1"/>
      <c r="OKP57" s="1"/>
      <c r="OKQ57" s="1"/>
      <c r="OKR57" s="1"/>
      <c r="OKS57" s="1"/>
      <c r="OKT57" s="1"/>
      <c r="OKU57" s="1"/>
      <c r="OKV57" s="1"/>
      <c r="OKW57" s="1"/>
      <c r="OKX57" s="1"/>
      <c r="OKY57" s="1"/>
      <c r="OKZ57" s="1"/>
      <c r="OLA57" s="1"/>
      <c r="OLB57" s="1"/>
      <c r="OLC57" s="1"/>
      <c r="OLD57" s="1"/>
      <c r="OLE57" s="1"/>
      <c r="OLF57" s="1"/>
      <c r="OLG57" s="1"/>
      <c r="OLH57" s="1"/>
      <c r="OLI57" s="1"/>
      <c r="OLJ57" s="1"/>
      <c r="OLK57" s="1"/>
      <c r="OLL57" s="1"/>
      <c r="OLM57" s="1"/>
      <c r="OLN57" s="1"/>
      <c r="OLO57" s="1"/>
      <c r="OLP57" s="1"/>
      <c r="OLQ57" s="1"/>
      <c r="OLR57" s="1"/>
      <c r="OLS57" s="1"/>
      <c r="OLT57" s="1"/>
      <c r="OLU57" s="1"/>
      <c r="OLV57" s="1"/>
      <c r="OLW57" s="1"/>
      <c r="OLX57" s="1"/>
      <c r="OLY57" s="1"/>
      <c r="OLZ57" s="1"/>
      <c r="OMA57" s="1"/>
      <c r="OMB57" s="1"/>
      <c r="OMC57" s="1"/>
      <c r="OMD57" s="1"/>
      <c r="OME57" s="1"/>
      <c r="OMF57" s="1"/>
      <c r="OMG57" s="1"/>
      <c r="OMH57" s="1"/>
      <c r="OMI57" s="1"/>
      <c r="OMJ57" s="1"/>
      <c r="OMK57" s="1"/>
      <c r="OML57" s="1"/>
      <c r="OMM57" s="1"/>
      <c r="OMN57" s="1"/>
      <c r="OMO57" s="1"/>
      <c r="OMP57" s="1"/>
      <c r="OMQ57" s="1"/>
      <c r="OMR57" s="1"/>
      <c r="OMS57" s="1"/>
      <c r="OMT57" s="1"/>
      <c r="OMU57" s="1"/>
      <c r="OMV57" s="1"/>
      <c r="OMW57" s="1"/>
      <c r="OMX57" s="1"/>
      <c r="OMY57" s="1"/>
      <c r="OMZ57" s="1"/>
      <c r="ONA57" s="1"/>
      <c r="ONB57" s="1"/>
      <c r="ONC57" s="1"/>
      <c r="OND57" s="1"/>
      <c r="ONE57" s="1"/>
      <c r="ONF57" s="1"/>
      <c r="ONG57" s="1"/>
      <c r="ONH57" s="1"/>
      <c r="ONI57" s="1"/>
      <c r="ONJ57" s="1"/>
      <c r="ONK57" s="1"/>
      <c r="ONL57" s="1"/>
      <c r="ONM57" s="1"/>
      <c r="ONN57" s="1"/>
      <c r="ONO57" s="1"/>
      <c r="ONP57" s="1"/>
      <c r="ONQ57" s="1"/>
      <c r="ONR57" s="1"/>
      <c r="ONS57" s="1"/>
      <c r="ONT57" s="1"/>
      <c r="ONU57" s="1"/>
      <c r="ONV57" s="1"/>
      <c r="ONW57" s="1"/>
      <c r="ONX57" s="1"/>
      <c r="ONY57" s="1"/>
      <c r="ONZ57" s="1"/>
      <c r="OOA57" s="1"/>
      <c r="OOB57" s="1"/>
      <c r="OOC57" s="1"/>
      <c r="OOD57" s="1"/>
      <c r="OOE57" s="1"/>
      <c r="OOF57" s="1"/>
      <c r="OOG57" s="1"/>
      <c r="OOH57" s="1"/>
      <c r="OOI57" s="1"/>
      <c r="OOJ57" s="1"/>
      <c r="OOK57" s="1"/>
      <c r="OOL57" s="1"/>
      <c r="OOM57" s="1"/>
      <c r="OON57" s="1"/>
      <c r="OOO57" s="1"/>
      <c r="OOP57" s="1"/>
      <c r="OOQ57" s="1"/>
      <c r="OOR57" s="1"/>
      <c r="OOS57" s="1"/>
      <c r="OOT57" s="1"/>
      <c r="OOU57" s="1"/>
      <c r="OOV57" s="1"/>
      <c r="OOW57" s="1"/>
      <c r="OOX57" s="1"/>
      <c r="OOY57" s="1"/>
      <c r="OOZ57" s="1"/>
      <c r="OPA57" s="1"/>
      <c r="OPB57" s="1"/>
      <c r="OPC57" s="1"/>
      <c r="OPD57" s="1"/>
      <c r="OPE57" s="1"/>
      <c r="OPF57" s="1"/>
      <c r="OPG57" s="1"/>
      <c r="OPH57" s="1"/>
      <c r="OPI57" s="1"/>
      <c r="OPJ57" s="1"/>
      <c r="OPK57" s="1"/>
      <c r="OPL57" s="1"/>
      <c r="OPM57" s="1"/>
      <c r="OPN57" s="1"/>
      <c r="OPO57" s="1"/>
      <c r="OPP57" s="1"/>
      <c r="OPQ57" s="1"/>
      <c r="OPR57" s="1"/>
      <c r="OPS57" s="1"/>
      <c r="OPT57" s="1"/>
      <c r="OPU57" s="1"/>
      <c r="OPV57" s="1"/>
      <c r="OPW57" s="1"/>
      <c r="OPX57" s="1"/>
      <c r="OPY57" s="1"/>
      <c r="OPZ57" s="1"/>
      <c r="OQA57" s="1"/>
      <c r="OQB57" s="1"/>
      <c r="OQC57" s="1"/>
      <c r="OQD57" s="1"/>
      <c r="OQE57" s="1"/>
      <c r="OQF57" s="1"/>
      <c r="OQG57" s="1"/>
      <c r="OQH57" s="1"/>
      <c r="OQI57" s="1"/>
      <c r="OQJ57" s="1"/>
      <c r="OQK57" s="1"/>
      <c r="OQL57" s="1"/>
      <c r="OQM57" s="1"/>
      <c r="OQN57" s="1"/>
      <c r="OQO57" s="1"/>
      <c r="OQP57" s="1"/>
      <c r="OQQ57" s="1"/>
      <c r="OQR57" s="1"/>
      <c r="OQS57" s="1"/>
      <c r="OQT57" s="1"/>
      <c r="OQU57" s="1"/>
      <c r="OQV57" s="1"/>
      <c r="OQW57" s="1"/>
      <c r="OQX57" s="1"/>
      <c r="OQY57" s="1"/>
      <c r="OQZ57" s="1"/>
      <c r="ORA57" s="1"/>
      <c r="ORB57" s="1"/>
      <c r="ORC57" s="1"/>
      <c r="ORD57" s="1"/>
      <c r="ORE57" s="1"/>
      <c r="ORF57" s="1"/>
      <c r="ORG57" s="1"/>
      <c r="ORH57" s="1"/>
      <c r="ORI57" s="1"/>
      <c r="ORJ57" s="1"/>
      <c r="ORK57" s="1"/>
      <c r="ORL57" s="1"/>
      <c r="ORM57" s="1"/>
      <c r="ORN57" s="1"/>
      <c r="ORO57" s="1"/>
      <c r="ORP57" s="1"/>
      <c r="ORQ57" s="1"/>
      <c r="ORR57" s="1"/>
      <c r="ORS57" s="1"/>
      <c r="ORT57" s="1"/>
      <c r="ORU57" s="1"/>
      <c r="ORV57" s="1"/>
      <c r="ORW57" s="1"/>
      <c r="ORX57" s="1"/>
      <c r="ORY57" s="1"/>
      <c r="ORZ57" s="1"/>
      <c r="OSA57" s="1"/>
      <c r="OSB57" s="1"/>
      <c r="OSC57" s="1"/>
      <c r="OSD57" s="1"/>
      <c r="OSE57" s="1"/>
      <c r="OSF57" s="1"/>
      <c r="OSG57" s="1"/>
      <c r="OSH57" s="1"/>
      <c r="OSI57" s="1"/>
      <c r="OSJ57" s="1"/>
      <c r="OSK57" s="1"/>
      <c r="OSL57" s="1"/>
      <c r="OSM57" s="1"/>
      <c r="OSN57" s="1"/>
      <c r="OSO57" s="1"/>
      <c r="OSP57" s="1"/>
      <c r="OSQ57" s="1"/>
      <c r="OSR57" s="1"/>
      <c r="OSS57" s="1"/>
      <c r="OST57" s="1"/>
      <c r="OSU57" s="1"/>
      <c r="OSV57" s="1"/>
      <c r="OSW57" s="1"/>
      <c r="OSX57" s="1"/>
      <c r="OSY57" s="1"/>
      <c r="OSZ57" s="1"/>
      <c r="OTA57" s="1"/>
      <c r="OTB57" s="1"/>
      <c r="OTC57" s="1"/>
      <c r="OTD57" s="1"/>
      <c r="OTE57" s="1"/>
      <c r="OTF57" s="1"/>
      <c r="OTG57" s="1"/>
      <c r="OTH57" s="1"/>
      <c r="OTI57" s="1"/>
      <c r="OTJ57" s="1"/>
      <c r="OTK57" s="1"/>
      <c r="OTL57" s="1"/>
      <c r="OTM57" s="1"/>
      <c r="OTN57" s="1"/>
      <c r="OTO57" s="1"/>
      <c r="OTP57" s="1"/>
      <c r="OTQ57" s="1"/>
      <c r="OTR57" s="1"/>
      <c r="OTS57" s="1"/>
      <c r="OTT57" s="1"/>
      <c r="OTU57" s="1"/>
      <c r="OTV57" s="1"/>
      <c r="OTW57" s="1"/>
      <c r="OTX57" s="1"/>
      <c r="OTY57" s="1"/>
      <c r="OTZ57" s="1"/>
      <c r="OUA57" s="1"/>
      <c r="OUB57" s="1"/>
      <c r="OUC57" s="1"/>
      <c r="OUD57" s="1"/>
      <c r="OUE57" s="1"/>
      <c r="OUF57" s="1"/>
      <c r="OUG57" s="1"/>
      <c r="OUH57" s="1"/>
      <c r="OUI57" s="1"/>
      <c r="OUJ57" s="1"/>
      <c r="OUK57" s="1"/>
      <c r="OUL57" s="1"/>
      <c r="OUM57" s="1"/>
      <c r="OUN57" s="1"/>
      <c r="OUO57" s="1"/>
      <c r="OUP57" s="1"/>
      <c r="OUQ57" s="1"/>
      <c r="OUR57" s="1"/>
      <c r="OUS57" s="1"/>
      <c r="OUT57" s="1"/>
      <c r="OUU57" s="1"/>
      <c r="OUV57" s="1"/>
      <c r="OUW57" s="1"/>
      <c r="OUX57" s="1"/>
      <c r="OUY57" s="1"/>
      <c r="OUZ57" s="1"/>
      <c r="OVA57" s="1"/>
      <c r="OVB57" s="1"/>
      <c r="OVC57" s="1"/>
      <c r="OVD57" s="1"/>
      <c r="OVE57" s="1"/>
      <c r="OVF57" s="1"/>
      <c r="OVG57" s="1"/>
      <c r="OVH57" s="1"/>
      <c r="OVI57" s="1"/>
      <c r="OVJ57" s="1"/>
      <c r="OVK57" s="1"/>
      <c r="OVL57" s="1"/>
      <c r="OVM57" s="1"/>
      <c r="OVN57" s="1"/>
      <c r="OVO57" s="1"/>
      <c r="OVP57" s="1"/>
      <c r="OVQ57" s="1"/>
      <c r="OVR57" s="1"/>
      <c r="OVS57" s="1"/>
      <c r="OVT57" s="1"/>
      <c r="OVU57" s="1"/>
      <c r="OVV57" s="1"/>
      <c r="OVW57" s="1"/>
      <c r="OVX57" s="1"/>
      <c r="OVY57" s="1"/>
      <c r="OVZ57" s="1"/>
      <c r="OWA57" s="1"/>
      <c r="OWB57" s="1"/>
      <c r="OWC57" s="1"/>
      <c r="OWD57" s="1"/>
      <c r="OWE57" s="1"/>
      <c r="OWF57" s="1"/>
      <c r="OWG57" s="1"/>
      <c r="OWH57" s="1"/>
      <c r="OWI57" s="1"/>
      <c r="OWJ57" s="1"/>
      <c r="OWK57" s="1"/>
      <c r="OWL57" s="1"/>
      <c r="OWM57" s="1"/>
      <c r="OWN57" s="1"/>
      <c r="OWO57" s="1"/>
      <c r="OWP57" s="1"/>
      <c r="OWQ57" s="1"/>
      <c r="OWR57" s="1"/>
      <c r="OWS57" s="1"/>
      <c r="OWT57" s="1"/>
      <c r="OWU57" s="1"/>
      <c r="OWV57" s="1"/>
      <c r="OWW57" s="1"/>
      <c r="OWX57" s="1"/>
      <c r="OWY57" s="1"/>
      <c r="OWZ57" s="1"/>
      <c r="OXA57" s="1"/>
      <c r="OXB57" s="1"/>
      <c r="OXC57" s="1"/>
      <c r="OXD57" s="1"/>
      <c r="OXE57" s="1"/>
      <c r="OXF57" s="1"/>
      <c r="OXG57" s="1"/>
      <c r="OXH57" s="1"/>
      <c r="OXI57" s="1"/>
      <c r="OXJ57" s="1"/>
      <c r="OXK57" s="1"/>
      <c r="OXL57" s="1"/>
      <c r="OXM57" s="1"/>
      <c r="OXN57" s="1"/>
      <c r="OXO57" s="1"/>
      <c r="OXP57" s="1"/>
      <c r="OXQ57" s="1"/>
      <c r="OXR57" s="1"/>
      <c r="OXS57" s="1"/>
      <c r="OXT57" s="1"/>
      <c r="OXU57" s="1"/>
      <c r="OXV57" s="1"/>
      <c r="OXW57" s="1"/>
      <c r="OXX57" s="1"/>
      <c r="OXY57" s="1"/>
      <c r="OXZ57" s="1"/>
      <c r="OYA57" s="1"/>
      <c r="OYB57" s="1"/>
      <c r="OYC57" s="1"/>
      <c r="OYD57" s="1"/>
      <c r="OYE57" s="1"/>
      <c r="OYF57" s="1"/>
      <c r="OYG57" s="1"/>
      <c r="OYH57" s="1"/>
      <c r="OYI57" s="1"/>
      <c r="OYJ57" s="1"/>
      <c r="OYK57" s="1"/>
      <c r="OYL57" s="1"/>
      <c r="OYM57" s="1"/>
      <c r="OYN57" s="1"/>
      <c r="OYO57" s="1"/>
      <c r="OYP57" s="1"/>
      <c r="OYQ57" s="1"/>
      <c r="OYR57" s="1"/>
      <c r="OYS57" s="1"/>
      <c r="OYT57" s="1"/>
      <c r="OYU57" s="1"/>
      <c r="OYV57" s="1"/>
      <c r="OYW57" s="1"/>
      <c r="OYX57" s="1"/>
      <c r="OYY57" s="1"/>
      <c r="OYZ57" s="1"/>
      <c r="OZA57" s="1"/>
      <c r="OZB57" s="1"/>
      <c r="OZC57" s="1"/>
      <c r="OZD57" s="1"/>
      <c r="OZE57" s="1"/>
      <c r="OZF57" s="1"/>
      <c r="OZG57" s="1"/>
      <c r="OZH57" s="1"/>
      <c r="OZI57" s="1"/>
      <c r="OZJ57" s="1"/>
      <c r="OZK57" s="1"/>
      <c r="OZL57" s="1"/>
      <c r="OZM57" s="1"/>
      <c r="OZN57" s="1"/>
      <c r="OZO57" s="1"/>
      <c r="OZP57" s="1"/>
      <c r="OZQ57" s="1"/>
      <c r="OZR57" s="1"/>
      <c r="OZS57" s="1"/>
      <c r="OZT57" s="1"/>
      <c r="OZU57" s="1"/>
      <c r="OZV57" s="1"/>
      <c r="OZW57" s="1"/>
      <c r="OZX57" s="1"/>
      <c r="OZY57" s="1"/>
      <c r="OZZ57" s="1"/>
      <c r="PAA57" s="1"/>
      <c r="PAB57" s="1"/>
      <c r="PAC57" s="1"/>
      <c r="PAD57" s="1"/>
      <c r="PAE57" s="1"/>
      <c r="PAF57" s="1"/>
      <c r="PAG57" s="1"/>
      <c r="PAH57" s="1"/>
      <c r="PAI57" s="1"/>
      <c r="PAJ57" s="1"/>
      <c r="PAK57" s="1"/>
      <c r="PAL57" s="1"/>
      <c r="PAM57" s="1"/>
      <c r="PAN57" s="1"/>
      <c r="PAO57" s="1"/>
      <c r="PAP57" s="1"/>
      <c r="PAQ57" s="1"/>
      <c r="PAR57" s="1"/>
      <c r="PAS57" s="1"/>
      <c r="PAT57" s="1"/>
      <c r="PAU57" s="1"/>
      <c r="PAV57" s="1"/>
      <c r="PAW57" s="1"/>
      <c r="PAX57" s="1"/>
      <c r="PAY57" s="1"/>
      <c r="PAZ57" s="1"/>
      <c r="PBA57" s="1"/>
      <c r="PBB57" s="1"/>
      <c r="PBC57" s="1"/>
      <c r="PBD57" s="1"/>
      <c r="PBE57" s="1"/>
      <c r="PBF57" s="1"/>
      <c r="PBG57" s="1"/>
      <c r="PBH57" s="1"/>
      <c r="PBI57" s="1"/>
      <c r="PBJ57" s="1"/>
      <c r="PBK57" s="1"/>
      <c r="PBL57" s="1"/>
      <c r="PBM57" s="1"/>
      <c r="PBN57" s="1"/>
      <c r="PBO57" s="1"/>
      <c r="PBP57" s="1"/>
      <c r="PBQ57" s="1"/>
      <c r="PBR57" s="1"/>
      <c r="PBS57" s="1"/>
      <c r="PBT57" s="1"/>
      <c r="PBU57" s="1"/>
      <c r="PBV57" s="1"/>
      <c r="PBW57" s="1"/>
      <c r="PBX57" s="1"/>
      <c r="PBY57" s="1"/>
      <c r="PBZ57" s="1"/>
      <c r="PCA57" s="1"/>
      <c r="PCB57" s="1"/>
      <c r="PCC57" s="1"/>
      <c r="PCD57" s="1"/>
      <c r="PCE57" s="1"/>
      <c r="PCF57" s="1"/>
      <c r="PCG57" s="1"/>
      <c r="PCH57" s="1"/>
      <c r="PCI57" s="1"/>
      <c r="PCJ57" s="1"/>
      <c r="PCK57" s="1"/>
      <c r="PCL57" s="1"/>
      <c r="PCM57" s="1"/>
      <c r="PCN57" s="1"/>
      <c r="PCO57" s="1"/>
      <c r="PCP57" s="1"/>
      <c r="PCQ57" s="1"/>
      <c r="PCR57" s="1"/>
      <c r="PCS57" s="1"/>
      <c r="PCT57" s="1"/>
      <c r="PCU57" s="1"/>
      <c r="PCV57" s="1"/>
      <c r="PCW57" s="1"/>
      <c r="PCX57" s="1"/>
      <c r="PCY57" s="1"/>
      <c r="PCZ57" s="1"/>
      <c r="PDA57" s="1"/>
      <c r="PDB57" s="1"/>
      <c r="PDC57" s="1"/>
      <c r="PDD57" s="1"/>
      <c r="PDE57" s="1"/>
      <c r="PDF57" s="1"/>
      <c r="PDG57" s="1"/>
      <c r="PDH57" s="1"/>
      <c r="PDI57" s="1"/>
      <c r="PDJ57" s="1"/>
      <c r="PDK57" s="1"/>
      <c r="PDL57" s="1"/>
      <c r="PDM57" s="1"/>
      <c r="PDN57" s="1"/>
      <c r="PDO57" s="1"/>
      <c r="PDP57" s="1"/>
      <c r="PDQ57" s="1"/>
      <c r="PDR57" s="1"/>
      <c r="PDS57" s="1"/>
      <c r="PDT57" s="1"/>
      <c r="PDU57" s="1"/>
      <c r="PDV57" s="1"/>
      <c r="PDW57" s="1"/>
      <c r="PDX57" s="1"/>
      <c r="PDY57" s="1"/>
      <c r="PDZ57" s="1"/>
      <c r="PEA57" s="1"/>
      <c r="PEB57" s="1"/>
      <c r="PEC57" s="1"/>
      <c r="PED57" s="1"/>
      <c r="PEE57" s="1"/>
      <c r="PEF57" s="1"/>
      <c r="PEG57" s="1"/>
      <c r="PEH57" s="1"/>
      <c r="PEI57" s="1"/>
      <c r="PEJ57" s="1"/>
      <c r="PEK57" s="1"/>
      <c r="PEL57" s="1"/>
      <c r="PEM57" s="1"/>
      <c r="PEN57" s="1"/>
      <c r="PEO57" s="1"/>
      <c r="PEP57" s="1"/>
      <c r="PEQ57" s="1"/>
      <c r="PER57" s="1"/>
      <c r="PES57" s="1"/>
      <c r="PET57" s="1"/>
      <c r="PEU57" s="1"/>
      <c r="PEV57" s="1"/>
      <c r="PEW57" s="1"/>
      <c r="PEX57" s="1"/>
      <c r="PEY57" s="1"/>
      <c r="PEZ57" s="1"/>
      <c r="PFA57" s="1"/>
      <c r="PFB57" s="1"/>
      <c r="PFC57" s="1"/>
      <c r="PFD57" s="1"/>
      <c r="PFE57" s="1"/>
      <c r="PFF57" s="1"/>
      <c r="PFG57" s="1"/>
      <c r="PFH57" s="1"/>
      <c r="PFI57" s="1"/>
      <c r="PFJ57" s="1"/>
      <c r="PFK57" s="1"/>
      <c r="PFL57" s="1"/>
      <c r="PFM57" s="1"/>
      <c r="PFN57" s="1"/>
      <c r="PFO57" s="1"/>
      <c r="PFP57" s="1"/>
      <c r="PFQ57" s="1"/>
      <c r="PFR57" s="1"/>
      <c r="PFS57" s="1"/>
      <c r="PFT57" s="1"/>
      <c r="PFU57" s="1"/>
      <c r="PFV57" s="1"/>
      <c r="PFW57" s="1"/>
      <c r="PFX57" s="1"/>
      <c r="PFY57" s="1"/>
      <c r="PFZ57" s="1"/>
      <c r="PGA57" s="1"/>
      <c r="PGB57" s="1"/>
      <c r="PGC57" s="1"/>
      <c r="PGD57" s="1"/>
      <c r="PGE57" s="1"/>
      <c r="PGF57" s="1"/>
      <c r="PGG57" s="1"/>
      <c r="PGH57" s="1"/>
      <c r="PGI57" s="1"/>
      <c r="PGJ57" s="1"/>
      <c r="PGK57" s="1"/>
      <c r="PGL57" s="1"/>
      <c r="PGM57" s="1"/>
      <c r="PGN57" s="1"/>
      <c r="PGO57" s="1"/>
      <c r="PGP57" s="1"/>
      <c r="PGQ57" s="1"/>
      <c r="PGR57" s="1"/>
      <c r="PGS57" s="1"/>
      <c r="PGT57" s="1"/>
      <c r="PGU57" s="1"/>
      <c r="PGV57" s="1"/>
      <c r="PGW57" s="1"/>
      <c r="PGX57" s="1"/>
      <c r="PGY57" s="1"/>
      <c r="PGZ57" s="1"/>
      <c r="PHA57" s="1"/>
      <c r="PHB57" s="1"/>
      <c r="PHC57" s="1"/>
      <c r="PHD57" s="1"/>
      <c r="PHE57" s="1"/>
      <c r="PHF57" s="1"/>
      <c r="PHG57" s="1"/>
      <c r="PHH57" s="1"/>
      <c r="PHI57" s="1"/>
      <c r="PHJ57" s="1"/>
      <c r="PHK57" s="1"/>
      <c r="PHL57" s="1"/>
      <c r="PHM57" s="1"/>
      <c r="PHN57" s="1"/>
      <c r="PHO57" s="1"/>
      <c r="PHP57" s="1"/>
      <c r="PHQ57" s="1"/>
      <c r="PHR57" s="1"/>
      <c r="PHS57" s="1"/>
      <c r="PHT57" s="1"/>
      <c r="PHU57" s="1"/>
      <c r="PHV57" s="1"/>
      <c r="PHW57" s="1"/>
      <c r="PHX57" s="1"/>
      <c r="PHY57" s="1"/>
      <c r="PHZ57" s="1"/>
      <c r="PIA57" s="1"/>
      <c r="PIB57" s="1"/>
      <c r="PIC57" s="1"/>
      <c r="PID57" s="1"/>
      <c r="PIE57" s="1"/>
      <c r="PIF57" s="1"/>
      <c r="PIG57" s="1"/>
      <c r="PIH57" s="1"/>
      <c r="PII57" s="1"/>
      <c r="PIJ57" s="1"/>
      <c r="PIK57" s="1"/>
      <c r="PIL57" s="1"/>
      <c r="PIM57" s="1"/>
      <c r="PIN57" s="1"/>
      <c r="PIO57" s="1"/>
      <c r="PIP57" s="1"/>
      <c r="PIQ57" s="1"/>
      <c r="PIR57" s="1"/>
      <c r="PIS57" s="1"/>
      <c r="PIT57" s="1"/>
      <c r="PIU57" s="1"/>
      <c r="PIV57" s="1"/>
      <c r="PIW57" s="1"/>
      <c r="PIX57" s="1"/>
      <c r="PIY57" s="1"/>
      <c r="PIZ57" s="1"/>
      <c r="PJA57" s="1"/>
      <c r="PJB57" s="1"/>
      <c r="PJC57" s="1"/>
      <c r="PJD57" s="1"/>
      <c r="PJE57" s="1"/>
      <c r="PJF57" s="1"/>
      <c r="PJG57" s="1"/>
      <c r="PJH57" s="1"/>
      <c r="PJI57" s="1"/>
      <c r="PJJ57" s="1"/>
      <c r="PJK57" s="1"/>
      <c r="PJL57" s="1"/>
      <c r="PJM57" s="1"/>
      <c r="PJN57" s="1"/>
      <c r="PJO57" s="1"/>
      <c r="PJP57" s="1"/>
      <c r="PJQ57" s="1"/>
      <c r="PJR57" s="1"/>
      <c r="PJS57" s="1"/>
      <c r="PJT57" s="1"/>
      <c r="PJU57" s="1"/>
      <c r="PJV57" s="1"/>
      <c r="PJW57" s="1"/>
      <c r="PJX57" s="1"/>
      <c r="PJY57" s="1"/>
      <c r="PJZ57" s="1"/>
      <c r="PKA57" s="1"/>
      <c r="PKB57" s="1"/>
      <c r="PKC57" s="1"/>
      <c r="PKD57" s="1"/>
      <c r="PKE57" s="1"/>
      <c r="PKF57" s="1"/>
      <c r="PKG57" s="1"/>
      <c r="PKH57" s="1"/>
      <c r="PKI57" s="1"/>
      <c r="PKJ57" s="1"/>
      <c r="PKK57" s="1"/>
      <c r="PKL57" s="1"/>
      <c r="PKM57" s="1"/>
      <c r="PKN57" s="1"/>
      <c r="PKO57" s="1"/>
      <c r="PKP57" s="1"/>
      <c r="PKQ57" s="1"/>
      <c r="PKR57" s="1"/>
      <c r="PKS57" s="1"/>
      <c r="PKT57" s="1"/>
      <c r="PKU57" s="1"/>
      <c r="PKV57" s="1"/>
      <c r="PKW57" s="1"/>
      <c r="PKX57" s="1"/>
      <c r="PKY57" s="1"/>
      <c r="PKZ57" s="1"/>
      <c r="PLA57" s="1"/>
      <c r="PLB57" s="1"/>
      <c r="PLC57" s="1"/>
      <c r="PLD57" s="1"/>
      <c r="PLE57" s="1"/>
      <c r="PLF57" s="1"/>
      <c r="PLG57" s="1"/>
      <c r="PLH57" s="1"/>
      <c r="PLI57" s="1"/>
      <c r="PLJ57" s="1"/>
      <c r="PLK57" s="1"/>
      <c r="PLL57" s="1"/>
      <c r="PLM57" s="1"/>
      <c r="PLN57" s="1"/>
      <c r="PLO57" s="1"/>
      <c r="PLP57" s="1"/>
      <c r="PLQ57" s="1"/>
      <c r="PLR57" s="1"/>
      <c r="PLS57" s="1"/>
      <c r="PLT57" s="1"/>
      <c r="PLU57" s="1"/>
      <c r="PLV57" s="1"/>
      <c r="PLW57" s="1"/>
      <c r="PLX57" s="1"/>
      <c r="PLY57" s="1"/>
      <c r="PLZ57" s="1"/>
      <c r="PMA57" s="1"/>
      <c r="PMB57" s="1"/>
      <c r="PMC57" s="1"/>
      <c r="PMD57" s="1"/>
      <c r="PME57" s="1"/>
      <c r="PMF57" s="1"/>
      <c r="PMG57" s="1"/>
      <c r="PMH57" s="1"/>
      <c r="PMI57" s="1"/>
      <c r="PMJ57" s="1"/>
      <c r="PMK57" s="1"/>
      <c r="PML57" s="1"/>
      <c r="PMM57" s="1"/>
      <c r="PMN57" s="1"/>
      <c r="PMO57" s="1"/>
      <c r="PMP57" s="1"/>
      <c r="PMQ57" s="1"/>
      <c r="PMR57" s="1"/>
      <c r="PMS57" s="1"/>
      <c r="PMT57" s="1"/>
      <c r="PMU57" s="1"/>
      <c r="PMV57" s="1"/>
      <c r="PMW57" s="1"/>
      <c r="PMX57" s="1"/>
      <c r="PMY57" s="1"/>
      <c r="PMZ57" s="1"/>
      <c r="PNA57" s="1"/>
      <c r="PNB57" s="1"/>
      <c r="PNC57" s="1"/>
      <c r="PND57" s="1"/>
      <c r="PNE57" s="1"/>
      <c r="PNF57" s="1"/>
      <c r="PNG57" s="1"/>
      <c r="PNH57" s="1"/>
      <c r="PNI57" s="1"/>
      <c r="PNJ57" s="1"/>
      <c r="PNK57" s="1"/>
      <c r="PNL57" s="1"/>
      <c r="PNM57" s="1"/>
      <c r="PNN57" s="1"/>
      <c r="PNO57" s="1"/>
      <c r="PNP57" s="1"/>
      <c r="PNQ57" s="1"/>
      <c r="PNR57" s="1"/>
      <c r="PNS57" s="1"/>
      <c r="PNT57" s="1"/>
      <c r="PNU57" s="1"/>
      <c r="PNV57" s="1"/>
      <c r="PNW57" s="1"/>
      <c r="PNX57" s="1"/>
      <c r="PNY57" s="1"/>
      <c r="PNZ57" s="1"/>
      <c r="POA57" s="1"/>
      <c r="POB57" s="1"/>
      <c r="POC57" s="1"/>
      <c r="POD57" s="1"/>
      <c r="POE57" s="1"/>
      <c r="POF57" s="1"/>
      <c r="POG57" s="1"/>
      <c r="POH57" s="1"/>
      <c r="POI57" s="1"/>
      <c r="POJ57" s="1"/>
      <c r="POK57" s="1"/>
      <c r="POL57" s="1"/>
      <c r="POM57" s="1"/>
      <c r="PON57" s="1"/>
      <c r="POO57" s="1"/>
      <c r="POP57" s="1"/>
      <c r="POQ57" s="1"/>
      <c r="POR57" s="1"/>
      <c r="POS57" s="1"/>
      <c r="POT57" s="1"/>
      <c r="POU57" s="1"/>
      <c r="POV57" s="1"/>
      <c r="POW57" s="1"/>
      <c r="POX57" s="1"/>
      <c r="POY57" s="1"/>
      <c r="POZ57" s="1"/>
      <c r="PPA57" s="1"/>
      <c r="PPB57" s="1"/>
      <c r="PPC57" s="1"/>
      <c r="PPD57" s="1"/>
      <c r="PPE57" s="1"/>
      <c r="PPF57" s="1"/>
      <c r="PPG57" s="1"/>
      <c r="PPH57" s="1"/>
      <c r="PPI57" s="1"/>
      <c r="PPJ57" s="1"/>
      <c r="PPK57" s="1"/>
      <c r="PPL57" s="1"/>
      <c r="PPM57" s="1"/>
      <c r="PPN57" s="1"/>
      <c r="PPO57" s="1"/>
      <c r="PPP57" s="1"/>
      <c r="PPQ57" s="1"/>
      <c r="PPR57" s="1"/>
      <c r="PPS57" s="1"/>
      <c r="PPT57" s="1"/>
      <c r="PPU57" s="1"/>
      <c r="PPV57" s="1"/>
      <c r="PPW57" s="1"/>
      <c r="PPX57" s="1"/>
      <c r="PPY57" s="1"/>
      <c r="PPZ57" s="1"/>
      <c r="PQA57" s="1"/>
      <c r="PQB57" s="1"/>
      <c r="PQC57" s="1"/>
      <c r="PQD57" s="1"/>
      <c r="PQE57" s="1"/>
      <c r="PQF57" s="1"/>
      <c r="PQG57" s="1"/>
      <c r="PQH57" s="1"/>
      <c r="PQI57" s="1"/>
      <c r="PQJ57" s="1"/>
      <c r="PQK57" s="1"/>
      <c r="PQL57" s="1"/>
      <c r="PQM57" s="1"/>
      <c r="PQN57" s="1"/>
      <c r="PQO57" s="1"/>
      <c r="PQP57" s="1"/>
      <c r="PQQ57" s="1"/>
      <c r="PQR57" s="1"/>
      <c r="PQS57" s="1"/>
      <c r="PQT57" s="1"/>
      <c r="PQU57" s="1"/>
      <c r="PQV57" s="1"/>
      <c r="PQW57" s="1"/>
      <c r="PQX57" s="1"/>
      <c r="PQY57" s="1"/>
      <c r="PQZ57" s="1"/>
      <c r="PRA57" s="1"/>
      <c r="PRB57" s="1"/>
      <c r="PRC57" s="1"/>
      <c r="PRD57" s="1"/>
      <c r="PRE57" s="1"/>
      <c r="PRF57" s="1"/>
      <c r="PRG57" s="1"/>
      <c r="PRH57" s="1"/>
      <c r="PRI57" s="1"/>
      <c r="PRJ57" s="1"/>
      <c r="PRK57" s="1"/>
      <c r="PRL57" s="1"/>
      <c r="PRM57" s="1"/>
      <c r="PRN57" s="1"/>
      <c r="PRO57" s="1"/>
      <c r="PRP57" s="1"/>
      <c r="PRQ57" s="1"/>
      <c r="PRR57" s="1"/>
      <c r="PRS57" s="1"/>
      <c r="PRT57" s="1"/>
      <c r="PRU57" s="1"/>
      <c r="PRV57" s="1"/>
      <c r="PRW57" s="1"/>
      <c r="PRX57" s="1"/>
      <c r="PRY57" s="1"/>
      <c r="PRZ57" s="1"/>
      <c r="PSA57" s="1"/>
      <c r="PSB57" s="1"/>
      <c r="PSC57" s="1"/>
      <c r="PSD57" s="1"/>
      <c r="PSE57" s="1"/>
      <c r="PSF57" s="1"/>
      <c r="PSG57" s="1"/>
      <c r="PSH57" s="1"/>
      <c r="PSI57" s="1"/>
      <c r="PSJ57" s="1"/>
      <c r="PSK57" s="1"/>
      <c r="PSL57" s="1"/>
      <c r="PSM57" s="1"/>
      <c r="PSN57" s="1"/>
      <c r="PSO57" s="1"/>
      <c r="PSP57" s="1"/>
      <c r="PSQ57" s="1"/>
      <c r="PSR57" s="1"/>
      <c r="PSS57" s="1"/>
      <c r="PST57" s="1"/>
      <c r="PSU57" s="1"/>
      <c r="PSV57" s="1"/>
      <c r="PSW57" s="1"/>
      <c r="PSX57" s="1"/>
      <c r="PSY57" s="1"/>
      <c r="PSZ57" s="1"/>
      <c r="PTA57" s="1"/>
      <c r="PTB57" s="1"/>
      <c r="PTC57" s="1"/>
      <c r="PTD57" s="1"/>
      <c r="PTE57" s="1"/>
      <c r="PTF57" s="1"/>
      <c r="PTG57" s="1"/>
      <c r="PTH57" s="1"/>
      <c r="PTI57" s="1"/>
      <c r="PTJ57" s="1"/>
      <c r="PTK57" s="1"/>
      <c r="PTL57" s="1"/>
      <c r="PTM57" s="1"/>
      <c r="PTN57" s="1"/>
      <c r="PTO57" s="1"/>
      <c r="PTP57" s="1"/>
      <c r="PTQ57" s="1"/>
      <c r="PTR57" s="1"/>
      <c r="PTS57" s="1"/>
      <c r="PTT57" s="1"/>
      <c r="PTU57" s="1"/>
      <c r="PTV57" s="1"/>
      <c r="PTW57" s="1"/>
      <c r="PTX57" s="1"/>
      <c r="PTY57" s="1"/>
      <c r="PTZ57" s="1"/>
      <c r="PUA57" s="1"/>
      <c r="PUB57" s="1"/>
      <c r="PUC57" s="1"/>
      <c r="PUD57" s="1"/>
      <c r="PUE57" s="1"/>
      <c r="PUF57" s="1"/>
      <c r="PUG57" s="1"/>
      <c r="PUH57" s="1"/>
      <c r="PUI57" s="1"/>
      <c r="PUJ57" s="1"/>
      <c r="PUK57" s="1"/>
      <c r="PUL57" s="1"/>
      <c r="PUM57" s="1"/>
      <c r="PUN57" s="1"/>
      <c r="PUO57" s="1"/>
      <c r="PUP57" s="1"/>
      <c r="PUQ57" s="1"/>
      <c r="PUR57" s="1"/>
      <c r="PUS57" s="1"/>
      <c r="PUT57" s="1"/>
      <c r="PUU57" s="1"/>
      <c r="PUV57" s="1"/>
      <c r="PUW57" s="1"/>
      <c r="PUX57" s="1"/>
      <c r="PUY57" s="1"/>
      <c r="PUZ57" s="1"/>
      <c r="PVA57" s="1"/>
      <c r="PVB57" s="1"/>
      <c r="PVC57" s="1"/>
      <c r="PVD57" s="1"/>
      <c r="PVE57" s="1"/>
      <c r="PVF57" s="1"/>
      <c r="PVG57" s="1"/>
      <c r="PVH57" s="1"/>
      <c r="PVI57" s="1"/>
      <c r="PVJ57" s="1"/>
      <c r="PVK57" s="1"/>
      <c r="PVL57" s="1"/>
      <c r="PVM57" s="1"/>
      <c r="PVN57" s="1"/>
      <c r="PVO57" s="1"/>
      <c r="PVP57" s="1"/>
      <c r="PVQ57" s="1"/>
      <c r="PVR57" s="1"/>
      <c r="PVS57" s="1"/>
      <c r="PVT57" s="1"/>
      <c r="PVU57" s="1"/>
      <c r="PVV57" s="1"/>
      <c r="PVW57" s="1"/>
      <c r="PVX57" s="1"/>
      <c r="PVY57" s="1"/>
      <c r="PVZ57" s="1"/>
      <c r="PWA57" s="1"/>
      <c r="PWB57" s="1"/>
      <c r="PWC57" s="1"/>
      <c r="PWD57" s="1"/>
      <c r="PWE57" s="1"/>
      <c r="PWF57" s="1"/>
      <c r="PWG57" s="1"/>
      <c r="PWH57" s="1"/>
      <c r="PWI57" s="1"/>
      <c r="PWJ57" s="1"/>
      <c r="PWK57" s="1"/>
      <c r="PWL57" s="1"/>
      <c r="PWM57" s="1"/>
      <c r="PWN57" s="1"/>
      <c r="PWO57" s="1"/>
      <c r="PWP57" s="1"/>
      <c r="PWQ57" s="1"/>
      <c r="PWR57" s="1"/>
      <c r="PWS57" s="1"/>
      <c r="PWT57" s="1"/>
      <c r="PWU57" s="1"/>
      <c r="PWV57" s="1"/>
      <c r="PWW57" s="1"/>
      <c r="PWX57" s="1"/>
      <c r="PWY57" s="1"/>
      <c r="PWZ57" s="1"/>
      <c r="PXA57" s="1"/>
      <c r="PXB57" s="1"/>
      <c r="PXC57" s="1"/>
      <c r="PXD57" s="1"/>
      <c r="PXE57" s="1"/>
      <c r="PXF57" s="1"/>
      <c r="PXG57" s="1"/>
      <c r="PXH57" s="1"/>
      <c r="PXI57" s="1"/>
      <c r="PXJ57" s="1"/>
      <c r="PXK57" s="1"/>
      <c r="PXL57" s="1"/>
      <c r="PXM57" s="1"/>
      <c r="PXN57" s="1"/>
      <c r="PXO57" s="1"/>
      <c r="PXP57" s="1"/>
      <c r="PXQ57" s="1"/>
      <c r="PXR57" s="1"/>
      <c r="PXS57" s="1"/>
      <c r="PXT57" s="1"/>
      <c r="PXU57" s="1"/>
      <c r="PXV57" s="1"/>
      <c r="PXW57" s="1"/>
      <c r="PXX57" s="1"/>
      <c r="PXY57" s="1"/>
      <c r="PXZ57" s="1"/>
      <c r="PYA57" s="1"/>
      <c r="PYB57" s="1"/>
      <c r="PYC57" s="1"/>
      <c r="PYD57" s="1"/>
      <c r="PYE57" s="1"/>
      <c r="PYF57" s="1"/>
      <c r="PYG57" s="1"/>
      <c r="PYH57" s="1"/>
      <c r="PYI57" s="1"/>
      <c r="PYJ57" s="1"/>
      <c r="PYK57" s="1"/>
      <c r="PYL57" s="1"/>
      <c r="PYM57" s="1"/>
      <c r="PYN57" s="1"/>
      <c r="PYO57" s="1"/>
      <c r="PYP57" s="1"/>
      <c r="PYQ57" s="1"/>
      <c r="PYR57" s="1"/>
      <c r="PYS57" s="1"/>
      <c r="PYT57" s="1"/>
      <c r="PYU57" s="1"/>
      <c r="PYV57" s="1"/>
      <c r="PYW57" s="1"/>
      <c r="PYX57" s="1"/>
      <c r="PYY57" s="1"/>
      <c r="PYZ57" s="1"/>
      <c r="PZA57" s="1"/>
      <c r="PZB57" s="1"/>
      <c r="PZC57" s="1"/>
      <c r="PZD57" s="1"/>
      <c r="PZE57" s="1"/>
      <c r="PZF57" s="1"/>
      <c r="PZG57" s="1"/>
      <c r="PZH57" s="1"/>
      <c r="PZI57" s="1"/>
      <c r="PZJ57" s="1"/>
      <c r="PZK57" s="1"/>
      <c r="PZL57" s="1"/>
      <c r="PZM57" s="1"/>
      <c r="PZN57" s="1"/>
      <c r="PZO57" s="1"/>
      <c r="PZP57" s="1"/>
      <c r="PZQ57" s="1"/>
      <c r="PZR57" s="1"/>
      <c r="PZS57" s="1"/>
      <c r="PZT57" s="1"/>
      <c r="PZU57" s="1"/>
      <c r="PZV57" s="1"/>
      <c r="PZW57" s="1"/>
      <c r="PZX57" s="1"/>
      <c r="PZY57" s="1"/>
      <c r="PZZ57" s="1"/>
      <c r="QAA57" s="1"/>
      <c r="QAB57" s="1"/>
      <c r="QAC57" s="1"/>
      <c r="QAD57" s="1"/>
      <c r="QAE57" s="1"/>
      <c r="QAF57" s="1"/>
      <c r="QAG57" s="1"/>
      <c r="QAH57" s="1"/>
      <c r="QAI57" s="1"/>
      <c r="QAJ57" s="1"/>
      <c r="QAK57" s="1"/>
      <c r="QAL57" s="1"/>
      <c r="QAM57" s="1"/>
      <c r="QAN57" s="1"/>
      <c r="QAO57" s="1"/>
      <c r="QAP57" s="1"/>
      <c r="QAQ57" s="1"/>
      <c r="QAR57" s="1"/>
      <c r="QAS57" s="1"/>
      <c r="QAT57" s="1"/>
      <c r="QAU57" s="1"/>
      <c r="QAV57" s="1"/>
      <c r="QAW57" s="1"/>
      <c r="QAX57" s="1"/>
      <c r="QAY57" s="1"/>
      <c r="QAZ57" s="1"/>
      <c r="QBA57" s="1"/>
      <c r="QBB57" s="1"/>
      <c r="QBC57" s="1"/>
      <c r="QBD57" s="1"/>
      <c r="QBE57" s="1"/>
      <c r="QBF57" s="1"/>
      <c r="QBG57" s="1"/>
      <c r="QBH57" s="1"/>
      <c r="QBI57" s="1"/>
      <c r="QBJ57" s="1"/>
      <c r="QBK57" s="1"/>
      <c r="QBL57" s="1"/>
      <c r="QBM57" s="1"/>
      <c r="QBN57" s="1"/>
      <c r="QBO57" s="1"/>
      <c r="QBP57" s="1"/>
      <c r="QBQ57" s="1"/>
      <c r="QBR57" s="1"/>
      <c r="QBS57" s="1"/>
      <c r="QBT57" s="1"/>
      <c r="QBU57" s="1"/>
      <c r="QBV57" s="1"/>
      <c r="QBW57" s="1"/>
      <c r="QBX57" s="1"/>
      <c r="QBY57" s="1"/>
      <c r="QBZ57" s="1"/>
      <c r="QCA57" s="1"/>
      <c r="QCB57" s="1"/>
      <c r="QCC57" s="1"/>
      <c r="QCD57" s="1"/>
      <c r="QCE57" s="1"/>
      <c r="QCF57" s="1"/>
      <c r="QCG57" s="1"/>
      <c r="QCH57" s="1"/>
      <c r="QCI57" s="1"/>
      <c r="QCJ57" s="1"/>
      <c r="QCK57" s="1"/>
      <c r="QCL57" s="1"/>
      <c r="QCM57" s="1"/>
      <c r="QCN57" s="1"/>
      <c r="QCO57" s="1"/>
      <c r="QCP57" s="1"/>
      <c r="QCQ57" s="1"/>
      <c r="QCR57" s="1"/>
      <c r="QCS57" s="1"/>
      <c r="QCT57" s="1"/>
      <c r="QCU57" s="1"/>
      <c r="QCV57" s="1"/>
      <c r="QCW57" s="1"/>
      <c r="QCX57" s="1"/>
      <c r="QCY57" s="1"/>
      <c r="QCZ57" s="1"/>
      <c r="QDA57" s="1"/>
      <c r="QDB57" s="1"/>
      <c r="QDC57" s="1"/>
      <c r="QDD57" s="1"/>
      <c r="QDE57" s="1"/>
      <c r="QDF57" s="1"/>
      <c r="QDG57" s="1"/>
      <c r="QDH57" s="1"/>
      <c r="QDI57" s="1"/>
      <c r="QDJ57" s="1"/>
      <c r="QDK57" s="1"/>
      <c r="QDL57" s="1"/>
      <c r="QDM57" s="1"/>
      <c r="QDN57" s="1"/>
      <c r="QDO57" s="1"/>
      <c r="QDP57" s="1"/>
      <c r="QDQ57" s="1"/>
      <c r="QDR57" s="1"/>
      <c r="QDS57" s="1"/>
      <c r="QDT57" s="1"/>
      <c r="QDU57" s="1"/>
      <c r="QDV57" s="1"/>
      <c r="QDW57" s="1"/>
      <c r="QDX57" s="1"/>
      <c r="QDY57" s="1"/>
      <c r="QDZ57" s="1"/>
      <c r="QEA57" s="1"/>
      <c r="QEB57" s="1"/>
      <c r="QEC57" s="1"/>
      <c r="QED57" s="1"/>
      <c r="QEE57" s="1"/>
      <c r="QEF57" s="1"/>
      <c r="QEG57" s="1"/>
      <c r="QEH57" s="1"/>
      <c r="QEI57" s="1"/>
      <c r="QEJ57" s="1"/>
      <c r="QEK57" s="1"/>
      <c r="QEL57" s="1"/>
      <c r="QEM57" s="1"/>
      <c r="QEN57" s="1"/>
      <c r="QEO57" s="1"/>
      <c r="QEP57" s="1"/>
      <c r="QEQ57" s="1"/>
      <c r="QER57" s="1"/>
      <c r="QES57" s="1"/>
      <c r="QET57" s="1"/>
      <c r="QEU57" s="1"/>
      <c r="QEV57" s="1"/>
      <c r="QEW57" s="1"/>
      <c r="QEX57" s="1"/>
      <c r="QEY57" s="1"/>
      <c r="QEZ57" s="1"/>
      <c r="QFA57" s="1"/>
      <c r="QFB57" s="1"/>
      <c r="QFC57" s="1"/>
      <c r="QFD57" s="1"/>
      <c r="QFE57" s="1"/>
      <c r="QFF57" s="1"/>
      <c r="QFG57" s="1"/>
      <c r="QFH57" s="1"/>
      <c r="QFI57" s="1"/>
      <c r="QFJ57" s="1"/>
      <c r="QFK57" s="1"/>
      <c r="QFL57" s="1"/>
      <c r="QFM57" s="1"/>
      <c r="QFN57" s="1"/>
      <c r="QFO57" s="1"/>
      <c r="QFP57" s="1"/>
      <c r="QFQ57" s="1"/>
      <c r="QFR57" s="1"/>
      <c r="QFS57" s="1"/>
      <c r="QFT57" s="1"/>
      <c r="QFU57" s="1"/>
      <c r="QFV57" s="1"/>
      <c r="QFW57" s="1"/>
      <c r="QFX57" s="1"/>
      <c r="QFY57" s="1"/>
      <c r="QFZ57" s="1"/>
      <c r="QGA57" s="1"/>
      <c r="QGB57" s="1"/>
      <c r="QGC57" s="1"/>
      <c r="QGD57" s="1"/>
      <c r="QGE57" s="1"/>
      <c r="QGF57" s="1"/>
      <c r="QGG57" s="1"/>
      <c r="QGH57" s="1"/>
      <c r="QGI57" s="1"/>
      <c r="QGJ57" s="1"/>
      <c r="QGK57" s="1"/>
      <c r="QGL57" s="1"/>
      <c r="QGM57" s="1"/>
      <c r="QGN57" s="1"/>
      <c r="QGO57" s="1"/>
      <c r="QGP57" s="1"/>
      <c r="QGQ57" s="1"/>
      <c r="QGR57" s="1"/>
      <c r="QGS57" s="1"/>
      <c r="QGT57" s="1"/>
      <c r="QGU57" s="1"/>
      <c r="QGV57" s="1"/>
      <c r="QGW57" s="1"/>
      <c r="QGX57" s="1"/>
      <c r="QGY57" s="1"/>
      <c r="QGZ57" s="1"/>
      <c r="QHA57" s="1"/>
      <c r="QHB57" s="1"/>
      <c r="QHC57" s="1"/>
      <c r="QHD57" s="1"/>
      <c r="QHE57" s="1"/>
      <c r="QHF57" s="1"/>
      <c r="QHG57" s="1"/>
      <c r="QHH57" s="1"/>
      <c r="QHI57" s="1"/>
      <c r="QHJ57" s="1"/>
      <c r="QHK57" s="1"/>
      <c r="QHL57" s="1"/>
      <c r="QHM57" s="1"/>
      <c r="QHN57" s="1"/>
      <c r="QHO57" s="1"/>
      <c r="QHP57" s="1"/>
      <c r="QHQ57" s="1"/>
      <c r="QHR57" s="1"/>
      <c r="QHS57" s="1"/>
      <c r="QHT57" s="1"/>
      <c r="QHU57" s="1"/>
      <c r="QHV57" s="1"/>
      <c r="QHW57" s="1"/>
      <c r="QHX57" s="1"/>
      <c r="QHY57" s="1"/>
      <c r="QHZ57" s="1"/>
      <c r="QIA57" s="1"/>
      <c r="QIB57" s="1"/>
      <c r="QIC57" s="1"/>
      <c r="QID57" s="1"/>
      <c r="QIE57" s="1"/>
      <c r="QIF57" s="1"/>
      <c r="QIG57" s="1"/>
      <c r="QIH57" s="1"/>
      <c r="QII57" s="1"/>
      <c r="QIJ57" s="1"/>
      <c r="QIK57" s="1"/>
      <c r="QIL57" s="1"/>
      <c r="QIM57" s="1"/>
      <c r="QIN57" s="1"/>
      <c r="QIO57" s="1"/>
      <c r="QIP57" s="1"/>
      <c r="QIQ57" s="1"/>
      <c r="QIR57" s="1"/>
      <c r="QIS57" s="1"/>
      <c r="QIT57" s="1"/>
      <c r="QIU57" s="1"/>
      <c r="QIV57" s="1"/>
      <c r="QIW57" s="1"/>
      <c r="QIX57" s="1"/>
      <c r="QIY57" s="1"/>
      <c r="QIZ57" s="1"/>
      <c r="QJA57" s="1"/>
      <c r="QJB57" s="1"/>
      <c r="QJC57" s="1"/>
      <c r="QJD57" s="1"/>
      <c r="QJE57" s="1"/>
      <c r="QJF57" s="1"/>
      <c r="QJG57" s="1"/>
      <c r="QJH57" s="1"/>
      <c r="QJI57" s="1"/>
      <c r="QJJ57" s="1"/>
      <c r="QJK57" s="1"/>
      <c r="QJL57" s="1"/>
      <c r="QJM57" s="1"/>
      <c r="QJN57" s="1"/>
      <c r="QJO57" s="1"/>
      <c r="QJP57" s="1"/>
      <c r="QJQ57" s="1"/>
      <c r="QJR57" s="1"/>
      <c r="QJS57" s="1"/>
      <c r="QJT57" s="1"/>
      <c r="QJU57" s="1"/>
      <c r="QJV57" s="1"/>
      <c r="QJW57" s="1"/>
      <c r="QJX57" s="1"/>
      <c r="QJY57" s="1"/>
      <c r="QJZ57" s="1"/>
      <c r="QKA57" s="1"/>
      <c r="QKB57" s="1"/>
      <c r="QKC57" s="1"/>
      <c r="QKD57" s="1"/>
      <c r="QKE57" s="1"/>
      <c r="QKF57" s="1"/>
      <c r="QKG57" s="1"/>
      <c r="QKH57" s="1"/>
      <c r="QKI57" s="1"/>
      <c r="QKJ57" s="1"/>
      <c r="QKK57" s="1"/>
      <c r="QKL57" s="1"/>
      <c r="QKM57" s="1"/>
      <c r="QKN57" s="1"/>
      <c r="QKO57" s="1"/>
      <c r="QKP57" s="1"/>
      <c r="QKQ57" s="1"/>
      <c r="QKR57" s="1"/>
      <c r="QKS57" s="1"/>
      <c r="QKT57" s="1"/>
      <c r="QKU57" s="1"/>
      <c r="QKV57" s="1"/>
      <c r="QKW57" s="1"/>
      <c r="QKX57" s="1"/>
      <c r="QKY57" s="1"/>
      <c r="QKZ57" s="1"/>
      <c r="QLA57" s="1"/>
      <c r="QLB57" s="1"/>
      <c r="QLC57" s="1"/>
      <c r="QLD57" s="1"/>
      <c r="QLE57" s="1"/>
      <c r="QLF57" s="1"/>
      <c r="QLG57" s="1"/>
      <c r="QLH57" s="1"/>
      <c r="QLI57" s="1"/>
      <c r="QLJ57" s="1"/>
      <c r="QLK57" s="1"/>
      <c r="QLL57" s="1"/>
      <c r="QLM57" s="1"/>
      <c r="QLN57" s="1"/>
      <c r="QLO57" s="1"/>
      <c r="QLP57" s="1"/>
      <c r="QLQ57" s="1"/>
      <c r="QLR57" s="1"/>
      <c r="QLS57" s="1"/>
      <c r="QLT57" s="1"/>
      <c r="QLU57" s="1"/>
      <c r="QLV57" s="1"/>
      <c r="QLW57" s="1"/>
      <c r="QLX57" s="1"/>
      <c r="QLY57" s="1"/>
      <c r="QLZ57" s="1"/>
      <c r="QMA57" s="1"/>
      <c r="QMB57" s="1"/>
      <c r="QMC57" s="1"/>
      <c r="QMD57" s="1"/>
      <c r="QME57" s="1"/>
      <c r="QMF57" s="1"/>
      <c r="QMG57" s="1"/>
      <c r="QMH57" s="1"/>
      <c r="QMI57" s="1"/>
      <c r="QMJ57" s="1"/>
      <c r="QMK57" s="1"/>
      <c r="QML57" s="1"/>
      <c r="QMM57" s="1"/>
      <c r="QMN57" s="1"/>
      <c r="QMO57" s="1"/>
      <c r="QMP57" s="1"/>
      <c r="QMQ57" s="1"/>
      <c r="QMR57" s="1"/>
      <c r="QMS57" s="1"/>
      <c r="QMT57" s="1"/>
      <c r="QMU57" s="1"/>
      <c r="QMV57" s="1"/>
      <c r="QMW57" s="1"/>
      <c r="QMX57" s="1"/>
      <c r="QMY57" s="1"/>
      <c r="QMZ57" s="1"/>
      <c r="QNA57" s="1"/>
      <c r="QNB57" s="1"/>
      <c r="QNC57" s="1"/>
      <c r="QND57" s="1"/>
      <c r="QNE57" s="1"/>
      <c r="QNF57" s="1"/>
      <c r="QNG57" s="1"/>
      <c r="QNH57" s="1"/>
      <c r="QNI57" s="1"/>
      <c r="QNJ57" s="1"/>
      <c r="QNK57" s="1"/>
      <c r="QNL57" s="1"/>
      <c r="QNM57" s="1"/>
      <c r="QNN57" s="1"/>
      <c r="QNO57" s="1"/>
      <c r="QNP57" s="1"/>
      <c r="QNQ57" s="1"/>
      <c r="QNR57" s="1"/>
      <c r="QNS57" s="1"/>
      <c r="QNT57" s="1"/>
      <c r="QNU57" s="1"/>
      <c r="QNV57" s="1"/>
      <c r="QNW57" s="1"/>
      <c r="QNX57" s="1"/>
      <c r="QNY57" s="1"/>
      <c r="QNZ57" s="1"/>
      <c r="QOA57" s="1"/>
      <c r="QOB57" s="1"/>
      <c r="QOC57" s="1"/>
      <c r="QOD57" s="1"/>
      <c r="QOE57" s="1"/>
      <c r="QOF57" s="1"/>
      <c r="QOG57" s="1"/>
      <c r="QOH57" s="1"/>
      <c r="QOI57" s="1"/>
      <c r="QOJ57" s="1"/>
      <c r="QOK57" s="1"/>
      <c r="QOL57" s="1"/>
      <c r="QOM57" s="1"/>
      <c r="QON57" s="1"/>
      <c r="QOO57" s="1"/>
      <c r="QOP57" s="1"/>
      <c r="QOQ57" s="1"/>
      <c r="QOR57" s="1"/>
      <c r="QOS57" s="1"/>
      <c r="QOT57" s="1"/>
      <c r="QOU57" s="1"/>
      <c r="QOV57" s="1"/>
      <c r="QOW57" s="1"/>
      <c r="QOX57" s="1"/>
      <c r="QOY57" s="1"/>
      <c r="QOZ57" s="1"/>
      <c r="QPA57" s="1"/>
      <c r="QPB57" s="1"/>
      <c r="QPC57" s="1"/>
      <c r="QPD57" s="1"/>
      <c r="QPE57" s="1"/>
      <c r="QPF57" s="1"/>
      <c r="QPG57" s="1"/>
      <c r="QPH57" s="1"/>
      <c r="QPI57" s="1"/>
      <c r="QPJ57" s="1"/>
      <c r="QPK57" s="1"/>
      <c r="QPL57" s="1"/>
      <c r="QPM57" s="1"/>
      <c r="QPN57" s="1"/>
      <c r="QPO57" s="1"/>
      <c r="QPP57" s="1"/>
      <c r="QPQ57" s="1"/>
      <c r="QPR57" s="1"/>
      <c r="QPS57" s="1"/>
      <c r="QPT57" s="1"/>
      <c r="QPU57" s="1"/>
      <c r="QPV57" s="1"/>
      <c r="QPW57" s="1"/>
      <c r="QPX57" s="1"/>
      <c r="QPY57" s="1"/>
      <c r="QPZ57" s="1"/>
      <c r="QQA57" s="1"/>
      <c r="QQB57" s="1"/>
      <c r="QQC57" s="1"/>
      <c r="QQD57" s="1"/>
      <c r="QQE57" s="1"/>
      <c r="QQF57" s="1"/>
      <c r="QQG57" s="1"/>
      <c r="QQH57" s="1"/>
      <c r="QQI57" s="1"/>
      <c r="QQJ57" s="1"/>
      <c r="QQK57" s="1"/>
      <c r="QQL57" s="1"/>
      <c r="QQM57" s="1"/>
      <c r="QQN57" s="1"/>
      <c r="QQO57" s="1"/>
      <c r="QQP57" s="1"/>
      <c r="QQQ57" s="1"/>
      <c r="QQR57" s="1"/>
      <c r="QQS57" s="1"/>
      <c r="QQT57" s="1"/>
      <c r="QQU57" s="1"/>
      <c r="QQV57" s="1"/>
      <c r="QQW57" s="1"/>
      <c r="QQX57" s="1"/>
      <c r="QQY57" s="1"/>
      <c r="QQZ57" s="1"/>
      <c r="QRA57" s="1"/>
      <c r="QRB57" s="1"/>
      <c r="QRC57" s="1"/>
      <c r="QRD57" s="1"/>
      <c r="QRE57" s="1"/>
      <c r="QRF57" s="1"/>
      <c r="QRG57" s="1"/>
      <c r="QRH57" s="1"/>
      <c r="QRI57" s="1"/>
      <c r="QRJ57" s="1"/>
      <c r="QRK57" s="1"/>
      <c r="QRL57" s="1"/>
      <c r="QRM57" s="1"/>
      <c r="QRN57" s="1"/>
      <c r="QRO57" s="1"/>
      <c r="QRP57" s="1"/>
      <c r="QRQ57" s="1"/>
      <c r="QRR57" s="1"/>
      <c r="QRS57" s="1"/>
      <c r="QRT57" s="1"/>
      <c r="QRU57" s="1"/>
      <c r="QRV57" s="1"/>
      <c r="QRW57" s="1"/>
      <c r="QRX57" s="1"/>
      <c r="QRY57" s="1"/>
      <c r="QRZ57" s="1"/>
      <c r="QSA57" s="1"/>
      <c r="QSB57" s="1"/>
      <c r="QSC57" s="1"/>
      <c r="QSD57" s="1"/>
      <c r="QSE57" s="1"/>
      <c r="QSF57" s="1"/>
      <c r="QSG57" s="1"/>
      <c r="QSH57" s="1"/>
      <c r="QSI57" s="1"/>
      <c r="QSJ57" s="1"/>
      <c r="QSK57" s="1"/>
      <c r="QSL57" s="1"/>
      <c r="QSM57" s="1"/>
      <c r="QSN57" s="1"/>
      <c r="QSO57" s="1"/>
      <c r="QSP57" s="1"/>
      <c r="QSQ57" s="1"/>
      <c r="QSR57" s="1"/>
      <c r="QSS57" s="1"/>
      <c r="QST57" s="1"/>
      <c r="QSU57" s="1"/>
      <c r="QSV57" s="1"/>
      <c r="QSW57" s="1"/>
      <c r="QSX57" s="1"/>
      <c r="QSY57" s="1"/>
      <c r="QSZ57" s="1"/>
      <c r="QTA57" s="1"/>
      <c r="QTB57" s="1"/>
      <c r="QTC57" s="1"/>
      <c r="QTD57" s="1"/>
      <c r="QTE57" s="1"/>
      <c r="QTF57" s="1"/>
      <c r="QTG57" s="1"/>
      <c r="QTH57" s="1"/>
      <c r="QTI57" s="1"/>
      <c r="QTJ57" s="1"/>
      <c r="QTK57" s="1"/>
      <c r="QTL57" s="1"/>
      <c r="QTM57" s="1"/>
      <c r="QTN57" s="1"/>
      <c r="QTO57" s="1"/>
      <c r="QTP57" s="1"/>
      <c r="QTQ57" s="1"/>
      <c r="QTR57" s="1"/>
      <c r="QTS57" s="1"/>
      <c r="QTT57" s="1"/>
      <c r="QTU57" s="1"/>
      <c r="QTV57" s="1"/>
      <c r="QTW57" s="1"/>
      <c r="QTX57" s="1"/>
      <c r="QTY57" s="1"/>
      <c r="QTZ57" s="1"/>
      <c r="QUA57" s="1"/>
      <c r="QUB57" s="1"/>
      <c r="QUC57" s="1"/>
      <c r="QUD57" s="1"/>
      <c r="QUE57" s="1"/>
      <c r="QUF57" s="1"/>
      <c r="QUG57" s="1"/>
      <c r="QUH57" s="1"/>
      <c r="QUI57" s="1"/>
      <c r="QUJ57" s="1"/>
      <c r="QUK57" s="1"/>
      <c r="QUL57" s="1"/>
      <c r="QUM57" s="1"/>
      <c r="QUN57" s="1"/>
      <c r="QUO57" s="1"/>
      <c r="QUP57" s="1"/>
      <c r="QUQ57" s="1"/>
      <c r="QUR57" s="1"/>
      <c r="QUS57" s="1"/>
      <c r="QUT57" s="1"/>
      <c r="QUU57" s="1"/>
      <c r="QUV57" s="1"/>
      <c r="QUW57" s="1"/>
      <c r="QUX57" s="1"/>
      <c r="QUY57" s="1"/>
      <c r="QUZ57" s="1"/>
      <c r="QVA57" s="1"/>
      <c r="QVB57" s="1"/>
      <c r="QVC57" s="1"/>
      <c r="QVD57" s="1"/>
      <c r="QVE57" s="1"/>
      <c r="QVF57" s="1"/>
      <c r="QVG57" s="1"/>
      <c r="QVH57" s="1"/>
      <c r="QVI57" s="1"/>
      <c r="QVJ57" s="1"/>
      <c r="QVK57" s="1"/>
      <c r="QVL57" s="1"/>
      <c r="QVM57" s="1"/>
      <c r="QVN57" s="1"/>
      <c r="QVO57" s="1"/>
      <c r="QVP57" s="1"/>
      <c r="QVQ57" s="1"/>
      <c r="QVR57" s="1"/>
      <c r="QVS57" s="1"/>
      <c r="QVT57" s="1"/>
      <c r="QVU57" s="1"/>
      <c r="QVV57" s="1"/>
      <c r="QVW57" s="1"/>
      <c r="QVX57" s="1"/>
      <c r="QVY57" s="1"/>
      <c r="QVZ57" s="1"/>
      <c r="QWA57" s="1"/>
      <c r="QWB57" s="1"/>
      <c r="QWC57" s="1"/>
      <c r="QWD57" s="1"/>
      <c r="QWE57" s="1"/>
      <c r="QWF57" s="1"/>
      <c r="QWG57" s="1"/>
      <c r="QWH57" s="1"/>
      <c r="QWI57" s="1"/>
      <c r="QWJ57" s="1"/>
      <c r="QWK57" s="1"/>
      <c r="QWL57" s="1"/>
      <c r="QWM57" s="1"/>
      <c r="QWN57" s="1"/>
      <c r="QWO57" s="1"/>
      <c r="QWP57" s="1"/>
      <c r="QWQ57" s="1"/>
      <c r="QWR57" s="1"/>
      <c r="QWS57" s="1"/>
      <c r="QWT57" s="1"/>
      <c r="QWU57" s="1"/>
      <c r="QWV57" s="1"/>
      <c r="QWW57" s="1"/>
      <c r="QWX57" s="1"/>
      <c r="QWY57" s="1"/>
      <c r="QWZ57" s="1"/>
      <c r="QXA57" s="1"/>
      <c r="QXB57" s="1"/>
      <c r="QXC57" s="1"/>
      <c r="QXD57" s="1"/>
      <c r="QXE57" s="1"/>
      <c r="QXF57" s="1"/>
      <c r="QXG57" s="1"/>
      <c r="QXH57" s="1"/>
      <c r="QXI57" s="1"/>
      <c r="QXJ57" s="1"/>
      <c r="QXK57" s="1"/>
      <c r="QXL57" s="1"/>
      <c r="QXM57" s="1"/>
      <c r="QXN57" s="1"/>
      <c r="QXO57" s="1"/>
      <c r="QXP57" s="1"/>
      <c r="QXQ57" s="1"/>
      <c r="QXR57" s="1"/>
      <c r="QXS57" s="1"/>
      <c r="QXT57" s="1"/>
      <c r="QXU57" s="1"/>
      <c r="QXV57" s="1"/>
      <c r="QXW57" s="1"/>
      <c r="QXX57" s="1"/>
      <c r="QXY57" s="1"/>
      <c r="QXZ57" s="1"/>
      <c r="QYA57" s="1"/>
      <c r="QYB57" s="1"/>
      <c r="QYC57" s="1"/>
      <c r="QYD57" s="1"/>
      <c r="QYE57" s="1"/>
      <c r="QYF57" s="1"/>
      <c r="QYG57" s="1"/>
      <c r="QYH57" s="1"/>
      <c r="QYI57" s="1"/>
      <c r="QYJ57" s="1"/>
      <c r="QYK57" s="1"/>
      <c r="QYL57" s="1"/>
      <c r="QYM57" s="1"/>
      <c r="QYN57" s="1"/>
      <c r="QYO57" s="1"/>
      <c r="QYP57" s="1"/>
      <c r="QYQ57" s="1"/>
      <c r="QYR57" s="1"/>
      <c r="QYS57" s="1"/>
      <c r="QYT57" s="1"/>
      <c r="QYU57" s="1"/>
      <c r="QYV57" s="1"/>
      <c r="QYW57" s="1"/>
      <c r="QYX57" s="1"/>
      <c r="QYY57" s="1"/>
      <c r="QYZ57" s="1"/>
      <c r="QZA57" s="1"/>
      <c r="QZB57" s="1"/>
      <c r="QZC57" s="1"/>
      <c r="QZD57" s="1"/>
      <c r="QZE57" s="1"/>
      <c r="QZF57" s="1"/>
      <c r="QZG57" s="1"/>
      <c r="QZH57" s="1"/>
      <c r="QZI57" s="1"/>
      <c r="QZJ57" s="1"/>
      <c r="QZK57" s="1"/>
      <c r="QZL57" s="1"/>
      <c r="QZM57" s="1"/>
      <c r="QZN57" s="1"/>
      <c r="QZO57" s="1"/>
      <c r="QZP57" s="1"/>
      <c r="QZQ57" s="1"/>
      <c r="QZR57" s="1"/>
      <c r="QZS57" s="1"/>
      <c r="QZT57" s="1"/>
      <c r="QZU57" s="1"/>
      <c r="QZV57" s="1"/>
      <c r="QZW57" s="1"/>
      <c r="QZX57" s="1"/>
      <c r="QZY57" s="1"/>
      <c r="QZZ57" s="1"/>
      <c r="RAA57" s="1"/>
      <c r="RAB57" s="1"/>
      <c r="RAC57" s="1"/>
      <c r="RAD57" s="1"/>
      <c r="RAE57" s="1"/>
      <c r="RAF57" s="1"/>
      <c r="RAG57" s="1"/>
      <c r="RAH57" s="1"/>
      <c r="RAI57" s="1"/>
      <c r="RAJ57" s="1"/>
      <c r="RAK57" s="1"/>
      <c r="RAL57" s="1"/>
      <c r="RAM57" s="1"/>
      <c r="RAN57" s="1"/>
      <c r="RAO57" s="1"/>
      <c r="RAP57" s="1"/>
      <c r="RAQ57" s="1"/>
      <c r="RAR57" s="1"/>
      <c r="RAS57" s="1"/>
      <c r="RAT57" s="1"/>
      <c r="RAU57" s="1"/>
      <c r="RAV57" s="1"/>
      <c r="RAW57" s="1"/>
      <c r="RAX57" s="1"/>
      <c r="RAY57" s="1"/>
      <c r="RAZ57" s="1"/>
      <c r="RBA57" s="1"/>
      <c r="RBB57" s="1"/>
      <c r="RBC57" s="1"/>
      <c r="RBD57" s="1"/>
      <c r="RBE57" s="1"/>
      <c r="RBF57" s="1"/>
      <c r="RBG57" s="1"/>
      <c r="RBH57" s="1"/>
      <c r="RBI57" s="1"/>
      <c r="RBJ57" s="1"/>
      <c r="RBK57" s="1"/>
      <c r="RBL57" s="1"/>
      <c r="RBM57" s="1"/>
      <c r="RBN57" s="1"/>
      <c r="RBO57" s="1"/>
      <c r="RBP57" s="1"/>
      <c r="RBQ57" s="1"/>
      <c r="RBR57" s="1"/>
      <c r="RBS57" s="1"/>
      <c r="RBT57" s="1"/>
      <c r="RBU57" s="1"/>
      <c r="RBV57" s="1"/>
      <c r="RBW57" s="1"/>
      <c r="RBX57" s="1"/>
      <c r="RBY57" s="1"/>
      <c r="RBZ57" s="1"/>
      <c r="RCA57" s="1"/>
      <c r="RCB57" s="1"/>
      <c r="RCC57" s="1"/>
      <c r="RCD57" s="1"/>
      <c r="RCE57" s="1"/>
      <c r="RCF57" s="1"/>
      <c r="RCG57" s="1"/>
      <c r="RCH57" s="1"/>
      <c r="RCI57" s="1"/>
      <c r="RCJ57" s="1"/>
      <c r="RCK57" s="1"/>
      <c r="RCL57" s="1"/>
      <c r="RCM57" s="1"/>
      <c r="RCN57" s="1"/>
      <c r="RCO57" s="1"/>
      <c r="RCP57" s="1"/>
      <c r="RCQ57" s="1"/>
      <c r="RCR57" s="1"/>
      <c r="RCS57" s="1"/>
      <c r="RCT57" s="1"/>
      <c r="RCU57" s="1"/>
      <c r="RCV57" s="1"/>
      <c r="RCW57" s="1"/>
      <c r="RCX57" s="1"/>
      <c r="RCY57" s="1"/>
      <c r="RCZ57" s="1"/>
      <c r="RDA57" s="1"/>
      <c r="RDB57" s="1"/>
      <c r="RDC57" s="1"/>
      <c r="RDD57" s="1"/>
      <c r="RDE57" s="1"/>
      <c r="RDF57" s="1"/>
      <c r="RDG57" s="1"/>
      <c r="RDH57" s="1"/>
      <c r="RDI57" s="1"/>
      <c r="RDJ57" s="1"/>
      <c r="RDK57" s="1"/>
      <c r="RDL57" s="1"/>
      <c r="RDM57" s="1"/>
      <c r="RDN57" s="1"/>
      <c r="RDO57" s="1"/>
      <c r="RDP57" s="1"/>
      <c r="RDQ57" s="1"/>
      <c r="RDR57" s="1"/>
      <c r="RDS57" s="1"/>
      <c r="RDT57" s="1"/>
      <c r="RDU57" s="1"/>
      <c r="RDV57" s="1"/>
      <c r="RDW57" s="1"/>
      <c r="RDX57" s="1"/>
      <c r="RDY57" s="1"/>
      <c r="RDZ57" s="1"/>
      <c r="REA57" s="1"/>
      <c r="REB57" s="1"/>
      <c r="REC57" s="1"/>
      <c r="RED57" s="1"/>
      <c r="REE57" s="1"/>
      <c r="REF57" s="1"/>
      <c r="REG57" s="1"/>
      <c r="REH57" s="1"/>
      <c r="REI57" s="1"/>
      <c r="REJ57" s="1"/>
      <c r="REK57" s="1"/>
      <c r="REL57" s="1"/>
      <c r="REM57" s="1"/>
      <c r="REN57" s="1"/>
      <c r="REO57" s="1"/>
      <c r="REP57" s="1"/>
      <c r="REQ57" s="1"/>
      <c r="RER57" s="1"/>
      <c r="RES57" s="1"/>
      <c r="RET57" s="1"/>
      <c r="REU57" s="1"/>
      <c r="REV57" s="1"/>
      <c r="REW57" s="1"/>
      <c r="REX57" s="1"/>
      <c r="REY57" s="1"/>
      <c r="REZ57" s="1"/>
      <c r="RFA57" s="1"/>
      <c r="RFB57" s="1"/>
      <c r="RFC57" s="1"/>
      <c r="RFD57" s="1"/>
      <c r="RFE57" s="1"/>
      <c r="RFF57" s="1"/>
      <c r="RFG57" s="1"/>
      <c r="RFH57" s="1"/>
      <c r="RFI57" s="1"/>
      <c r="RFJ57" s="1"/>
      <c r="RFK57" s="1"/>
      <c r="RFL57" s="1"/>
      <c r="RFM57" s="1"/>
      <c r="RFN57" s="1"/>
      <c r="RFO57" s="1"/>
      <c r="RFP57" s="1"/>
      <c r="RFQ57" s="1"/>
      <c r="RFR57" s="1"/>
      <c r="RFS57" s="1"/>
      <c r="RFT57" s="1"/>
      <c r="RFU57" s="1"/>
      <c r="RFV57" s="1"/>
      <c r="RFW57" s="1"/>
      <c r="RFX57" s="1"/>
      <c r="RFY57" s="1"/>
      <c r="RFZ57" s="1"/>
      <c r="RGA57" s="1"/>
      <c r="RGB57" s="1"/>
      <c r="RGC57" s="1"/>
      <c r="RGD57" s="1"/>
      <c r="RGE57" s="1"/>
      <c r="RGF57" s="1"/>
      <c r="RGG57" s="1"/>
      <c r="RGH57" s="1"/>
      <c r="RGI57" s="1"/>
      <c r="RGJ57" s="1"/>
      <c r="RGK57" s="1"/>
      <c r="RGL57" s="1"/>
      <c r="RGM57" s="1"/>
      <c r="RGN57" s="1"/>
      <c r="RGO57" s="1"/>
      <c r="RGP57" s="1"/>
      <c r="RGQ57" s="1"/>
      <c r="RGR57" s="1"/>
      <c r="RGS57" s="1"/>
      <c r="RGT57" s="1"/>
      <c r="RGU57" s="1"/>
      <c r="RGV57" s="1"/>
      <c r="RGW57" s="1"/>
      <c r="RGX57" s="1"/>
      <c r="RGY57" s="1"/>
      <c r="RGZ57" s="1"/>
      <c r="RHA57" s="1"/>
      <c r="RHB57" s="1"/>
      <c r="RHC57" s="1"/>
      <c r="RHD57" s="1"/>
      <c r="RHE57" s="1"/>
      <c r="RHF57" s="1"/>
      <c r="RHG57" s="1"/>
      <c r="RHH57" s="1"/>
      <c r="RHI57" s="1"/>
      <c r="RHJ57" s="1"/>
      <c r="RHK57" s="1"/>
      <c r="RHL57" s="1"/>
      <c r="RHM57" s="1"/>
      <c r="RHN57" s="1"/>
      <c r="RHO57" s="1"/>
      <c r="RHP57" s="1"/>
      <c r="RHQ57" s="1"/>
      <c r="RHR57" s="1"/>
      <c r="RHS57" s="1"/>
      <c r="RHT57" s="1"/>
      <c r="RHU57" s="1"/>
      <c r="RHV57" s="1"/>
      <c r="RHW57" s="1"/>
      <c r="RHX57" s="1"/>
      <c r="RHY57" s="1"/>
      <c r="RHZ57" s="1"/>
      <c r="RIA57" s="1"/>
      <c r="RIB57" s="1"/>
      <c r="RIC57" s="1"/>
      <c r="RID57" s="1"/>
      <c r="RIE57" s="1"/>
      <c r="RIF57" s="1"/>
      <c r="RIG57" s="1"/>
      <c r="RIH57" s="1"/>
      <c r="RII57" s="1"/>
      <c r="RIJ57" s="1"/>
      <c r="RIK57" s="1"/>
      <c r="RIL57" s="1"/>
      <c r="RIM57" s="1"/>
      <c r="RIN57" s="1"/>
      <c r="RIO57" s="1"/>
      <c r="RIP57" s="1"/>
      <c r="RIQ57" s="1"/>
      <c r="RIR57" s="1"/>
      <c r="RIS57" s="1"/>
      <c r="RIT57" s="1"/>
      <c r="RIU57" s="1"/>
      <c r="RIV57" s="1"/>
      <c r="RIW57" s="1"/>
      <c r="RIX57" s="1"/>
      <c r="RIY57" s="1"/>
      <c r="RIZ57" s="1"/>
      <c r="RJA57" s="1"/>
      <c r="RJB57" s="1"/>
      <c r="RJC57" s="1"/>
      <c r="RJD57" s="1"/>
      <c r="RJE57" s="1"/>
      <c r="RJF57" s="1"/>
      <c r="RJG57" s="1"/>
      <c r="RJH57" s="1"/>
      <c r="RJI57" s="1"/>
      <c r="RJJ57" s="1"/>
      <c r="RJK57" s="1"/>
      <c r="RJL57" s="1"/>
      <c r="RJM57" s="1"/>
      <c r="RJN57" s="1"/>
      <c r="RJO57" s="1"/>
      <c r="RJP57" s="1"/>
      <c r="RJQ57" s="1"/>
      <c r="RJR57" s="1"/>
      <c r="RJS57" s="1"/>
      <c r="RJT57" s="1"/>
      <c r="RJU57" s="1"/>
      <c r="RJV57" s="1"/>
      <c r="RJW57" s="1"/>
      <c r="RJX57" s="1"/>
      <c r="RJY57" s="1"/>
      <c r="RJZ57" s="1"/>
      <c r="RKA57" s="1"/>
      <c r="RKB57" s="1"/>
      <c r="RKC57" s="1"/>
      <c r="RKD57" s="1"/>
      <c r="RKE57" s="1"/>
      <c r="RKF57" s="1"/>
      <c r="RKG57" s="1"/>
      <c r="RKH57" s="1"/>
      <c r="RKI57" s="1"/>
      <c r="RKJ57" s="1"/>
      <c r="RKK57" s="1"/>
      <c r="RKL57" s="1"/>
      <c r="RKM57" s="1"/>
      <c r="RKN57" s="1"/>
      <c r="RKO57" s="1"/>
      <c r="RKP57" s="1"/>
      <c r="RKQ57" s="1"/>
      <c r="RKR57" s="1"/>
      <c r="RKS57" s="1"/>
      <c r="RKT57" s="1"/>
      <c r="RKU57" s="1"/>
      <c r="RKV57" s="1"/>
      <c r="RKW57" s="1"/>
      <c r="RKX57" s="1"/>
      <c r="RKY57" s="1"/>
      <c r="RKZ57" s="1"/>
      <c r="RLA57" s="1"/>
      <c r="RLB57" s="1"/>
      <c r="RLC57" s="1"/>
      <c r="RLD57" s="1"/>
      <c r="RLE57" s="1"/>
      <c r="RLF57" s="1"/>
      <c r="RLG57" s="1"/>
      <c r="RLH57" s="1"/>
      <c r="RLI57" s="1"/>
      <c r="RLJ57" s="1"/>
      <c r="RLK57" s="1"/>
      <c r="RLL57" s="1"/>
      <c r="RLM57" s="1"/>
      <c r="RLN57" s="1"/>
      <c r="RLO57" s="1"/>
      <c r="RLP57" s="1"/>
      <c r="RLQ57" s="1"/>
      <c r="RLR57" s="1"/>
      <c r="RLS57" s="1"/>
      <c r="RLT57" s="1"/>
      <c r="RLU57" s="1"/>
      <c r="RLV57" s="1"/>
      <c r="RLW57" s="1"/>
      <c r="RLX57" s="1"/>
      <c r="RLY57" s="1"/>
      <c r="RLZ57" s="1"/>
      <c r="RMA57" s="1"/>
      <c r="RMB57" s="1"/>
      <c r="RMC57" s="1"/>
      <c r="RMD57" s="1"/>
      <c r="RME57" s="1"/>
      <c r="RMF57" s="1"/>
      <c r="RMG57" s="1"/>
      <c r="RMH57" s="1"/>
      <c r="RMI57" s="1"/>
      <c r="RMJ57" s="1"/>
      <c r="RMK57" s="1"/>
      <c r="RML57" s="1"/>
      <c r="RMM57" s="1"/>
      <c r="RMN57" s="1"/>
      <c r="RMO57" s="1"/>
      <c r="RMP57" s="1"/>
      <c r="RMQ57" s="1"/>
      <c r="RMR57" s="1"/>
      <c r="RMS57" s="1"/>
      <c r="RMT57" s="1"/>
      <c r="RMU57" s="1"/>
      <c r="RMV57" s="1"/>
      <c r="RMW57" s="1"/>
      <c r="RMX57" s="1"/>
      <c r="RMY57" s="1"/>
      <c r="RMZ57" s="1"/>
      <c r="RNA57" s="1"/>
      <c r="RNB57" s="1"/>
      <c r="RNC57" s="1"/>
      <c r="RND57" s="1"/>
      <c r="RNE57" s="1"/>
      <c r="RNF57" s="1"/>
      <c r="RNG57" s="1"/>
      <c r="RNH57" s="1"/>
      <c r="RNI57" s="1"/>
      <c r="RNJ57" s="1"/>
      <c r="RNK57" s="1"/>
      <c r="RNL57" s="1"/>
      <c r="RNM57" s="1"/>
      <c r="RNN57" s="1"/>
      <c r="RNO57" s="1"/>
      <c r="RNP57" s="1"/>
      <c r="RNQ57" s="1"/>
      <c r="RNR57" s="1"/>
      <c r="RNS57" s="1"/>
      <c r="RNT57" s="1"/>
      <c r="RNU57" s="1"/>
      <c r="RNV57" s="1"/>
      <c r="RNW57" s="1"/>
      <c r="RNX57" s="1"/>
      <c r="RNY57" s="1"/>
      <c r="RNZ57" s="1"/>
      <c r="ROA57" s="1"/>
      <c r="ROB57" s="1"/>
      <c r="ROC57" s="1"/>
      <c r="ROD57" s="1"/>
      <c r="ROE57" s="1"/>
      <c r="ROF57" s="1"/>
      <c r="ROG57" s="1"/>
      <c r="ROH57" s="1"/>
      <c r="ROI57" s="1"/>
      <c r="ROJ57" s="1"/>
      <c r="ROK57" s="1"/>
      <c r="ROL57" s="1"/>
      <c r="ROM57" s="1"/>
      <c r="RON57" s="1"/>
      <c r="ROO57" s="1"/>
      <c r="ROP57" s="1"/>
      <c r="ROQ57" s="1"/>
      <c r="ROR57" s="1"/>
      <c r="ROS57" s="1"/>
      <c r="ROT57" s="1"/>
      <c r="ROU57" s="1"/>
      <c r="ROV57" s="1"/>
      <c r="ROW57" s="1"/>
      <c r="ROX57" s="1"/>
      <c r="ROY57" s="1"/>
      <c r="ROZ57" s="1"/>
      <c r="RPA57" s="1"/>
      <c r="RPB57" s="1"/>
      <c r="RPC57" s="1"/>
      <c r="RPD57" s="1"/>
      <c r="RPE57" s="1"/>
      <c r="RPF57" s="1"/>
      <c r="RPG57" s="1"/>
      <c r="RPH57" s="1"/>
      <c r="RPI57" s="1"/>
      <c r="RPJ57" s="1"/>
      <c r="RPK57" s="1"/>
      <c r="RPL57" s="1"/>
      <c r="RPM57" s="1"/>
      <c r="RPN57" s="1"/>
      <c r="RPO57" s="1"/>
      <c r="RPP57" s="1"/>
      <c r="RPQ57" s="1"/>
      <c r="RPR57" s="1"/>
      <c r="RPS57" s="1"/>
      <c r="RPT57" s="1"/>
      <c r="RPU57" s="1"/>
      <c r="RPV57" s="1"/>
      <c r="RPW57" s="1"/>
      <c r="RPX57" s="1"/>
      <c r="RPY57" s="1"/>
      <c r="RPZ57" s="1"/>
      <c r="RQA57" s="1"/>
      <c r="RQB57" s="1"/>
      <c r="RQC57" s="1"/>
      <c r="RQD57" s="1"/>
      <c r="RQE57" s="1"/>
      <c r="RQF57" s="1"/>
      <c r="RQG57" s="1"/>
      <c r="RQH57" s="1"/>
      <c r="RQI57" s="1"/>
      <c r="RQJ57" s="1"/>
      <c r="RQK57" s="1"/>
      <c r="RQL57" s="1"/>
      <c r="RQM57" s="1"/>
      <c r="RQN57" s="1"/>
      <c r="RQO57" s="1"/>
      <c r="RQP57" s="1"/>
      <c r="RQQ57" s="1"/>
      <c r="RQR57" s="1"/>
      <c r="RQS57" s="1"/>
      <c r="RQT57" s="1"/>
      <c r="RQU57" s="1"/>
      <c r="RQV57" s="1"/>
      <c r="RQW57" s="1"/>
      <c r="RQX57" s="1"/>
      <c r="RQY57" s="1"/>
      <c r="RQZ57" s="1"/>
      <c r="RRA57" s="1"/>
      <c r="RRB57" s="1"/>
      <c r="RRC57" s="1"/>
      <c r="RRD57" s="1"/>
      <c r="RRE57" s="1"/>
      <c r="RRF57" s="1"/>
      <c r="RRG57" s="1"/>
      <c r="RRH57" s="1"/>
      <c r="RRI57" s="1"/>
      <c r="RRJ57" s="1"/>
      <c r="RRK57" s="1"/>
      <c r="RRL57" s="1"/>
      <c r="RRM57" s="1"/>
      <c r="RRN57" s="1"/>
      <c r="RRO57" s="1"/>
      <c r="RRP57" s="1"/>
      <c r="RRQ57" s="1"/>
      <c r="RRR57" s="1"/>
      <c r="RRS57" s="1"/>
      <c r="RRT57" s="1"/>
      <c r="RRU57" s="1"/>
      <c r="RRV57" s="1"/>
      <c r="RRW57" s="1"/>
      <c r="RRX57" s="1"/>
      <c r="RRY57" s="1"/>
      <c r="RRZ57" s="1"/>
      <c r="RSA57" s="1"/>
      <c r="RSB57" s="1"/>
      <c r="RSC57" s="1"/>
      <c r="RSD57" s="1"/>
      <c r="RSE57" s="1"/>
      <c r="RSF57" s="1"/>
      <c r="RSG57" s="1"/>
      <c r="RSH57" s="1"/>
      <c r="RSI57" s="1"/>
      <c r="RSJ57" s="1"/>
      <c r="RSK57" s="1"/>
      <c r="RSL57" s="1"/>
      <c r="RSM57" s="1"/>
      <c r="RSN57" s="1"/>
      <c r="RSO57" s="1"/>
      <c r="RSP57" s="1"/>
      <c r="RSQ57" s="1"/>
      <c r="RSR57" s="1"/>
      <c r="RSS57" s="1"/>
      <c r="RST57" s="1"/>
      <c r="RSU57" s="1"/>
      <c r="RSV57" s="1"/>
      <c r="RSW57" s="1"/>
      <c r="RSX57" s="1"/>
      <c r="RSY57" s="1"/>
      <c r="RSZ57" s="1"/>
      <c r="RTA57" s="1"/>
      <c r="RTB57" s="1"/>
      <c r="RTC57" s="1"/>
      <c r="RTD57" s="1"/>
      <c r="RTE57" s="1"/>
      <c r="RTF57" s="1"/>
      <c r="RTG57" s="1"/>
      <c r="RTH57" s="1"/>
      <c r="RTI57" s="1"/>
      <c r="RTJ57" s="1"/>
      <c r="RTK57" s="1"/>
      <c r="RTL57" s="1"/>
      <c r="RTM57" s="1"/>
      <c r="RTN57" s="1"/>
      <c r="RTO57" s="1"/>
      <c r="RTP57" s="1"/>
      <c r="RTQ57" s="1"/>
      <c r="RTR57" s="1"/>
      <c r="RTS57" s="1"/>
      <c r="RTT57" s="1"/>
      <c r="RTU57" s="1"/>
      <c r="RTV57" s="1"/>
      <c r="RTW57" s="1"/>
      <c r="RTX57" s="1"/>
      <c r="RTY57" s="1"/>
      <c r="RTZ57" s="1"/>
      <c r="RUA57" s="1"/>
      <c r="RUB57" s="1"/>
      <c r="RUC57" s="1"/>
      <c r="RUD57" s="1"/>
      <c r="RUE57" s="1"/>
      <c r="RUF57" s="1"/>
      <c r="RUG57" s="1"/>
      <c r="RUH57" s="1"/>
      <c r="RUI57" s="1"/>
      <c r="RUJ57" s="1"/>
      <c r="RUK57" s="1"/>
      <c r="RUL57" s="1"/>
      <c r="RUM57" s="1"/>
      <c r="RUN57" s="1"/>
      <c r="RUO57" s="1"/>
      <c r="RUP57" s="1"/>
      <c r="RUQ57" s="1"/>
      <c r="RUR57" s="1"/>
      <c r="RUS57" s="1"/>
      <c r="RUT57" s="1"/>
      <c r="RUU57" s="1"/>
      <c r="RUV57" s="1"/>
      <c r="RUW57" s="1"/>
      <c r="RUX57" s="1"/>
      <c r="RUY57" s="1"/>
      <c r="RUZ57" s="1"/>
      <c r="RVA57" s="1"/>
      <c r="RVB57" s="1"/>
      <c r="RVC57" s="1"/>
      <c r="RVD57" s="1"/>
      <c r="RVE57" s="1"/>
      <c r="RVF57" s="1"/>
      <c r="RVG57" s="1"/>
      <c r="RVH57" s="1"/>
      <c r="RVI57" s="1"/>
      <c r="RVJ57" s="1"/>
      <c r="RVK57" s="1"/>
      <c r="RVL57" s="1"/>
      <c r="RVM57" s="1"/>
      <c r="RVN57" s="1"/>
      <c r="RVO57" s="1"/>
      <c r="RVP57" s="1"/>
      <c r="RVQ57" s="1"/>
      <c r="RVR57" s="1"/>
      <c r="RVS57" s="1"/>
      <c r="RVT57" s="1"/>
      <c r="RVU57" s="1"/>
      <c r="RVV57" s="1"/>
      <c r="RVW57" s="1"/>
      <c r="RVX57" s="1"/>
      <c r="RVY57" s="1"/>
      <c r="RVZ57" s="1"/>
      <c r="RWA57" s="1"/>
      <c r="RWB57" s="1"/>
      <c r="RWC57" s="1"/>
      <c r="RWD57" s="1"/>
      <c r="RWE57" s="1"/>
      <c r="RWF57" s="1"/>
      <c r="RWG57" s="1"/>
      <c r="RWH57" s="1"/>
      <c r="RWI57" s="1"/>
      <c r="RWJ57" s="1"/>
      <c r="RWK57" s="1"/>
      <c r="RWL57" s="1"/>
      <c r="RWM57" s="1"/>
      <c r="RWN57" s="1"/>
      <c r="RWO57" s="1"/>
      <c r="RWP57" s="1"/>
      <c r="RWQ57" s="1"/>
      <c r="RWR57" s="1"/>
      <c r="RWS57" s="1"/>
      <c r="RWT57" s="1"/>
      <c r="RWU57" s="1"/>
      <c r="RWV57" s="1"/>
      <c r="RWW57" s="1"/>
      <c r="RWX57" s="1"/>
      <c r="RWY57" s="1"/>
      <c r="RWZ57" s="1"/>
      <c r="RXA57" s="1"/>
      <c r="RXB57" s="1"/>
      <c r="RXC57" s="1"/>
      <c r="RXD57" s="1"/>
      <c r="RXE57" s="1"/>
      <c r="RXF57" s="1"/>
      <c r="RXG57" s="1"/>
      <c r="RXH57" s="1"/>
      <c r="RXI57" s="1"/>
      <c r="RXJ57" s="1"/>
      <c r="RXK57" s="1"/>
      <c r="RXL57" s="1"/>
      <c r="RXM57" s="1"/>
      <c r="RXN57" s="1"/>
      <c r="RXO57" s="1"/>
      <c r="RXP57" s="1"/>
      <c r="RXQ57" s="1"/>
      <c r="RXR57" s="1"/>
      <c r="RXS57" s="1"/>
      <c r="RXT57" s="1"/>
      <c r="RXU57" s="1"/>
      <c r="RXV57" s="1"/>
      <c r="RXW57" s="1"/>
      <c r="RXX57" s="1"/>
      <c r="RXY57" s="1"/>
      <c r="RXZ57" s="1"/>
      <c r="RYA57" s="1"/>
      <c r="RYB57" s="1"/>
      <c r="RYC57" s="1"/>
      <c r="RYD57" s="1"/>
      <c r="RYE57" s="1"/>
      <c r="RYF57" s="1"/>
      <c r="RYG57" s="1"/>
      <c r="RYH57" s="1"/>
      <c r="RYI57" s="1"/>
      <c r="RYJ57" s="1"/>
      <c r="RYK57" s="1"/>
      <c r="RYL57" s="1"/>
      <c r="RYM57" s="1"/>
      <c r="RYN57" s="1"/>
      <c r="RYO57" s="1"/>
      <c r="RYP57" s="1"/>
      <c r="RYQ57" s="1"/>
      <c r="RYR57" s="1"/>
      <c r="RYS57" s="1"/>
      <c r="RYT57" s="1"/>
      <c r="RYU57" s="1"/>
      <c r="RYV57" s="1"/>
      <c r="RYW57" s="1"/>
      <c r="RYX57" s="1"/>
      <c r="RYY57" s="1"/>
      <c r="RYZ57" s="1"/>
      <c r="RZA57" s="1"/>
      <c r="RZB57" s="1"/>
      <c r="RZC57" s="1"/>
      <c r="RZD57" s="1"/>
      <c r="RZE57" s="1"/>
      <c r="RZF57" s="1"/>
      <c r="RZG57" s="1"/>
      <c r="RZH57" s="1"/>
      <c r="RZI57" s="1"/>
      <c r="RZJ57" s="1"/>
      <c r="RZK57" s="1"/>
      <c r="RZL57" s="1"/>
      <c r="RZM57" s="1"/>
      <c r="RZN57" s="1"/>
      <c r="RZO57" s="1"/>
      <c r="RZP57" s="1"/>
      <c r="RZQ57" s="1"/>
      <c r="RZR57" s="1"/>
      <c r="RZS57" s="1"/>
      <c r="RZT57" s="1"/>
      <c r="RZU57" s="1"/>
      <c r="RZV57" s="1"/>
      <c r="RZW57" s="1"/>
      <c r="RZX57" s="1"/>
      <c r="RZY57" s="1"/>
      <c r="RZZ57" s="1"/>
      <c r="SAA57" s="1"/>
      <c r="SAB57" s="1"/>
      <c r="SAC57" s="1"/>
      <c r="SAD57" s="1"/>
      <c r="SAE57" s="1"/>
      <c r="SAF57" s="1"/>
      <c r="SAG57" s="1"/>
      <c r="SAH57" s="1"/>
      <c r="SAI57" s="1"/>
      <c r="SAJ57" s="1"/>
      <c r="SAK57" s="1"/>
      <c r="SAL57" s="1"/>
      <c r="SAM57" s="1"/>
      <c r="SAN57" s="1"/>
      <c r="SAO57" s="1"/>
      <c r="SAP57" s="1"/>
      <c r="SAQ57" s="1"/>
      <c r="SAR57" s="1"/>
      <c r="SAS57" s="1"/>
      <c r="SAT57" s="1"/>
      <c r="SAU57" s="1"/>
      <c r="SAV57" s="1"/>
      <c r="SAW57" s="1"/>
      <c r="SAX57" s="1"/>
      <c r="SAY57" s="1"/>
      <c r="SAZ57" s="1"/>
      <c r="SBA57" s="1"/>
      <c r="SBB57" s="1"/>
      <c r="SBC57" s="1"/>
      <c r="SBD57" s="1"/>
      <c r="SBE57" s="1"/>
      <c r="SBF57" s="1"/>
      <c r="SBG57" s="1"/>
      <c r="SBH57" s="1"/>
      <c r="SBI57" s="1"/>
      <c r="SBJ57" s="1"/>
      <c r="SBK57" s="1"/>
      <c r="SBL57" s="1"/>
      <c r="SBM57" s="1"/>
      <c r="SBN57" s="1"/>
      <c r="SBO57" s="1"/>
      <c r="SBP57" s="1"/>
      <c r="SBQ57" s="1"/>
      <c r="SBR57" s="1"/>
      <c r="SBS57" s="1"/>
      <c r="SBT57" s="1"/>
      <c r="SBU57" s="1"/>
      <c r="SBV57" s="1"/>
      <c r="SBW57" s="1"/>
      <c r="SBX57" s="1"/>
      <c r="SBY57" s="1"/>
      <c r="SBZ57" s="1"/>
      <c r="SCA57" s="1"/>
      <c r="SCB57" s="1"/>
      <c r="SCC57" s="1"/>
      <c r="SCD57" s="1"/>
      <c r="SCE57" s="1"/>
      <c r="SCF57" s="1"/>
      <c r="SCG57" s="1"/>
      <c r="SCH57" s="1"/>
      <c r="SCI57" s="1"/>
      <c r="SCJ57" s="1"/>
      <c r="SCK57" s="1"/>
      <c r="SCL57" s="1"/>
      <c r="SCM57" s="1"/>
      <c r="SCN57" s="1"/>
      <c r="SCO57" s="1"/>
      <c r="SCP57" s="1"/>
      <c r="SCQ57" s="1"/>
      <c r="SCR57" s="1"/>
      <c r="SCS57" s="1"/>
      <c r="SCT57" s="1"/>
      <c r="SCU57" s="1"/>
      <c r="SCV57" s="1"/>
      <c r="SCW57" s="1"/>
      <c r="SCX57" s="1"/>
      <c r="SCY57" s="1"/>
      <c r="SCZ57" s="1"/>
      <c r="SDA57" s="1"/>
      <c r="SDB57" s="1"/>
      <c r="SDC57" s="1"/>
      <c r="SDD57" s="1"/>
      <c r="SDE57" s="1"/>
      <c r="SDF57" s="1"/>
      <c r="SDG57" s="1"/>
      <c r="SDH57" s="1"/>
      <c r="SDI57" s="1"/>
      <c r="SDJ57" s="1"/>
      <c r="SDK57" s="1"/>
      <c r="SDL57" s="1"/>
      <c r="SDM57" s="1"/>
      <c r="SDN57" s="1"/>
      <c r="SDO57" s="1"/>
      <c r="SDP57" s="1"/>
      <c r="SDQ57" s="1"/>
      <c r="SDR57" s="1"/>
      <c r="SDS57" s="1"/>
      <c r="SDT57" s="1"/>
      <c r="SDU57" s="1"/>
      <c r="SDV57" s="1"/>
      <c r="SDW57" s="1"/>
      <c r="SDX57" s="1"/>
      <c r="SDY57" s="1"/>
      <c r="SDZ57" s="1"/>
      <c r="SEA57" s="1"/>
      <c r="SEB57" s="1"/>
      <c r="SEC57" s="1"/>
      <c r="SED57" s="1"/>
      <c r="SEE57" s="1"/>
      <c r="SEF57" s="1"/>
      <c r="SEG57" s="1"/>
      <c r="SEH57" s="1"/>
      <c r="SEI57" s="1"/>
      <c r="SEJ57" s="1"/>
      <c r="SEK57" s="1"/>
      <c r="SEL57" s="1"/>
      <c r="SEM57" s="1"/>
      <c r="SEN57" s="1"/>
      <c r="SEO57" s="1"/>
      <c r="SEP57" s="1"/>
      <c r="SEQ57" s="1"/>
      <c r="SER57" s="1"/>
      <c r="SES57" s="1"/>
      <c r="SET57" s="1"/>
      <c r="SEU57" s="1"/>
      <c r="SEV57" s="1"/>
      <c r="SEW57" s="1"/>
      <c r="SEX57" s="1"/>
      <c r="SEY57" s="1"/>
      <c r="SEZ57" s="1"/>
      <c r="SFA57" s="1"/>
      <c r="SFB57" s="1"/>
      <c r="SFC57" s="1"/>
      <c r="SFD57" s="1"/>
      <c r="SFE57" s="1"/>
      <c r="SFF57" s="1"/>
      <c r="SFG57" s="1"/>
      <c r="SFH57" s="1"/>
      <c r="SFI57" s="1"/>
      <c r="SFJ57" s="1"/>
      <c r="SFK57" s="1"/>
      <c r="SFL57" s="1"/>
      <c r="SFM57" s="1"/>
      <c r="SFN57" s="1"/>
      <c r="SFO57" s="1"/>
      <c r="SFP57" s="1"/>
      <c r="SFQ57" s="1"/>
      <c r="SFR57" s="1"/>
      <c r="SFS57" s="1"/>
      <c r="SFT57" s="1"/>
      <c r="SFU57" s="1"/>
      <c r="SFV57" s="1"/>
      <c r="SFW57" s="1"/>
      <c r="SFX57" s="1"/>
      <c r="SFY57" s="1"/>
      <c r="SFZ57" s="1"/>
      <c r="SGA57" s="1"/>
      <c r="SGB57" s="1"/>
      <c r="SGC57" s="1"/>
      <c r="SGD57" s="1"/>
      <c r="SGE57" s="1"/>
      <c r="SGF57" s="1"/>
      <c r="SGG57" s="1"/>
      <c r="SGH57" s="1"/>
      <c r="SGI57" s="1"/>
      <c r="SGJ57" s="1"/>
      <c r="SGK57" s="1"/>
      <c r="SGL57" s="1"/>
      <c r="SGM57" s="1"/>
      <c r="SGN57" s="1"/>
      <c r="SGO57" s="1"/>
      <c r="SGP57" s="1"/>
      <c r="SGQ57" s="1"/>
      <c r="SGR57" s="1"/>
      <c r="SGS57" s="1"/>
      <c r="SGT57" s="1"/>
      <c r="SGU57" s="1"/>
      <c r="SGV57" s="1"/>
      <c r="SGW57" s="1"/>
      <c r="SGX57" s="1"/>
      <c r="SGY57" s="1"/>
      <c r="SGZ57" s="1"/>
      <c r="SHA57" s="1"/>
      <c r="SHB57" s="1"/>
      <c r="SHC57" s="1"/>
      <c r="SHD57" s="1"/>
      <c r="SHE57" s="1"/>
      <c r="SHF57" s="1"/>
      <c r="SHG57" s="1"/>
      <c r="SHH57" s="1"/>
      <c r="SHI57" s="1"/>
      <c r="SHJ57" s="1"/>
      <c r="SHK57" s="1"/>
      <c r="SHL57" s="1"/>
      <c r="SHM57" s="1"/>
      <c r="SHN57" s="1"/>
      <c r="SHO57" s="1"/>
      <c r="SHP57" s="1"/>
      <c r="SHQ57" s="1"/>
      <c r="SHR57" s="1"/>
      <c r="SHS57" s="1"/>
      <c r="SHT57" s="1"/>
      <c r="SHU57" s="1"/>
      <c r="SHV57" s="1"/>
      <c r="SHW57" s="1"/>
      <c r="SHX57" s="1"/>
      <c r="SHY57" s="1"/>
      <c r="SHZ57" s="1"/>
      <c r="SIA57" s="1"/>
      <c r="SIB57" s="1"/>
      <c r="SIC57" s="1"/>
      <c r="SID57" s="1"/>
      <c r="SIE57" s="1"/>
      <c r="SIF57" s="1"/>
      <c r="SIG57" s="1"/>
      <c r="SIH57" s="1"/>
      <c r="SII57" s="1"/>
      <c r="SIJ57" s="1"/>
      <c r="SIK57" s="1"/>
      <c r="SIL57" s="1"/>
      <c r="SIM57" s="1"/>
      <c r="SIN57" s="1"/>
      <c r="SIO57" s="1"/>
      <c r="SIP57" s="1"/>
      <c r="SIQ57" s="1"/>
      <c r="SIR57" s="1"/>
      <c r="SIS57" s="1"/>
      <c r="SIT57" s="1"/>
      <c r="SIU57" s="1"/>
      <c r="SIV57" s="1"/>
      <c r="SIW57" s="1"/>
      <c r="SIX57" s="1"/>
      <c r="SIY57" s="1"/>
      <c r="SIZ57" s="1"/>
      <c r="SJA57" s="1"/>
      <c r="SJB57" s="1"/>
      <c r="SJC57" s="1"/>
      <c r="SJD57" s="1"/>
      <c r="SJE57" s="1"/>
      <c r="SJF57" s="1"/>
      <c r="SJG57" s="1"/>
      <c r="SJH57" s="1"/>
      <c r="SJI57" s="1"/>
      <c r="SJJ57" s="1"/>
      <c r="SJK57" s="1"/>
      <c r="SJL57" s="1"/>
      <c r="SJM57" s="1"/>
      <c r="SJN57" s="1"/>
      <c r="SJO57" s="1"/>
      <c r="SJP57" s="1"/>
      <c r="SJQ57" s="1"/>
      <c r="SJR57" s="1"/>
      <c r="SJS57" s="1"/>
      <c r="SJT57" s="1"/>
      <c r="SJU57" s="1"/>
      <c r="SJV57" s="1"/>
      <c r="SJW57" s="1"/>
      <c r="SJX57" s="1"/>
      <c r="SJY57" s="1"/>
      <c r="SJZ57" s="1"/>
      <c r="SKA57" s="1"/>
      <c r="SKB57" s="1"/>
      <c r="SKC57" s="1"/>
      <c r="SKD57" s="1"/>
      <c r="SKE57" s="1"/>
      <c r="SKF57" s="1"/>
      <c r="SKG57" s="1"/>
      <c r="SKH57" s="1"/>
      <c r="SKI57" s="1"/>
      <c r="SKJ57" s="1"/>
      <c r="SKK57" s="1"/>
      <c r="SKL57" s="1"/>
      <c r="SKM57" s="1"/>
      <c r="SKN57" s="1"/>
      <c r="SKO57" s="1"/>
      <c r="SKP57" s="1"/>
      <c r="SKQ57" s="1"/>
      <c r="SKR57" s="1"/>
      <c r="SKS57" s="1"/>
      <c r="SKT57" s="1"/>
      <c r="SKU57" s="1"/>
      <c r="SKV57" s="1"/>
      <c r="SKW57" s="1"/>
      <c r="SKX57" s="1"/>
      <c r="SKY57" s="1"/>
      <c r="SKZ57" s="1"/>
      <c r="SLA57" s="1"/>
      <c r="SLB57" s="1"/>
      <c r="SLC57" s="1"/>
      <c r="SLD57" s="1"/>
      <c r="SLE57" s="1"/>
      <c r="SLF57" s="1"/>
      <c r="SLG57" s="1"/>
      <c r="SLH57" s="1"/>
      <c r="SLI57" s="1"/>
      <c r="SLJ57" s="1"/>
      <c r="SLK57" s="1"/>
      <c r="SLL57" s="1"/>
      <c r="SLM57" s="1"/>
      <c r="SLN57" s="1"/>
      <c r="SLO57" s="1"/>
      <c r="SLP57" s="1"/>
      <c r="SLQ57" s="1"/>
      <c r="SLR57" s="1"/>
      <c r="SLS57" s="1"/>
      <c r="SLT57" s="1"/>
      <c r="SLU57" s="1"/>
      <c r="SLV57" s="1"/>
      <c r="SLW57" s="1"/>
      <c r="SLX57" s="1"/>
      <c r="SLY57" s="1"/>
      <c r="SLZ57" s="1"/>
      <c r="SMA57" s="1"/>
      <c r="SMB57" s="1"/>
      <c r="SMC57" s="1"/>
      <c r="SMD57" s="1"/>
      <c r="SME57" s="1"/>
      <c r="SMF57" s="1"/>
      <c r="SMG57" s="1"/>
      <c r="SMH57" s="1"/>
      <c r="SMI57" s="1"/>
      <c r="SMJ57" s="1"/>
      <c r="SMK57" s="1"/>
      <c r="SML57" s="1"/>
      <c r="SMM57" s="1"/>
      <c r="SMN57" s="1"/>
      <c r="SMO57" s="1"/>
      <c r="SMP57" s="1"/>
      <c r="SMQ57" s="1"/>
      <c r="SMR57" s="1"/>
      <c r="SMS57" s="1"/>
      <c r="SMT57" s="1"/>
      <c r="SMU57" s="1"/>
      <c r="SMV57" s="1"/>
      <c r="SMW57" s="1"/>
      <c r="SMX57" s="1"/>
      <c r="SMY57" s="1"/>
      <c r="SMZ57" s="1"/>
      <c r="SNA57" s="1"/>
      <c r="SNB57" s="1"/>
      <c r="SNC57" s="1"/>
      <c r="SND57" s="1"/>
      <c r="SNE57" s="1"/>
      <c r="SNF57" s="1"/>
      <c r="SNG57" s="1"/>
      <c r="SNH57" s="1"/>
      <c r="SNI57" s="1"/>
      <c r="SNJ57" s="1"/>
      <c r="SNK57" s="1"/>
      <c r="SNL57" s="1"/>
      <c r="SNM57" s="1"/>
      <c r="SNN57" s="1"/>
      <c r="SNO57" s="1"/>
      <c r="SNP57" s="1"/>
      <c r="SNQ57" s="1"/>
      <c r="SNR57" s="1"/>
      <c r="SNS57" s="1"/>
      <c r="SNT57" s="1"/>
      <c r="SNU57" s="1"/>
      <c r="SNV57" s="1"/>
      <c r="SNW57" s="1"/>
      <c r="SNX57" s="1"/>
      <c r="SNY57" s="1"/>
      <c r="SNZ57" s="1"/>
      <c r="SOA57" s="1"/>
      <c r="SOB57" s="1"/>
      <c r="SOC57" s="1"/>
      <c r="SOD57" s="1"/>
      <c r="SOE57" s="1"/>
      <c r="SOF57" s="1"/>
      <c r="SOG57" s="1"/>
      <c r="SOH57" s="1"/>
      <c r="SOI57" s="1"/>
      <c r="SOJ57" s="1"/>
      <c r="SOK57" s="1"/>
      <c r="SOL57" s="1"/>
      <c r="SOM57" s="1"/>
      <c r="SON57" s="1"/>
      <c r="SOO57" s="1"/>
      <c r="SOP57" s="1"/>
      <c r="SOQ57" s="1"/>
      <c r="SOR57" s="1"/>
      <c r="SOS57" s="1"/>
      <c r="SOT57" s="1"/>
      <c r="SOU57" s="1"/>
      <c r="SOV57" s="1"/>
      <c r="SOW57" s="1"/>
      <c r="SOX57" s="1"/>
      <c r="SOY57" s="1"/>
      <c r="SOZ57" s="1"/>
      <c r="SPA57" s="1"/>
      <c r="SPB57" s="1"/>
      <c r="SPC57" s="1"/>
      <c r="SPD57" s="1"/>
      <c r="SPE57" s="1"/>
      <c r="SPF57" s="1"/>
      <c r="SPG57" s="1"/>
      <c r="SPH57" s="1"/>
      <c r="SPI57" s="1"/>
      <c r="SPJ57" s="1"/>
      <c r="SPK57" s="1"/>
      <c r="SPL57" s="1"/>
      <c r="SPM57" s="1"/>
      <c r="SPN57" s="1"/>
      <c r="SPO57" s="1"/>
      <c r="SPP57" s="1"/>
      <c r="SPQ57" s="1"/>
      <c r="SPR57" s="1"/>
      <c r="SPS57" s="1"/>
      <c r="SPT57" s="1"/>
      <c r="SPU57" s="1"/>
      <c r="SPV57" s="1"/>
      <c r="SPW57" s="1"/>
      <c r="SPX57" s="1"/>
      <c r="SPY57" s="1"/>
      <c r="SPZ57" s="1"/>
      <c r="SQA57" s="1"/>
      <c r="SQB57" s="1"/>
      <c r="SQC57" s="1"/>
      <c r="SQD57" s="1"/>
      <c r="SQE57" s="1"/>
      <c r="SQF57" s="1"/>
      <c r="SQG57" s="1"/>
      <c r="SQH57" s="1"/>
      <c r="SQI57" s="1"/>
      <c r="SQJ57" s="1"/>
      <c r="SQK57" s="1"/>
      <c r="SQL57" s="1"/>
      <c r="SQM57" s="1"/>
      <c r="SQN57" s="1"/>
      <c r="SQO57" s="1"/>
      <c r="SQP57" s="1"/>
      <c r="SQQ57" s="1"/>
      <c r="SQR57" s="1"/>
      <c r="SQS57" s="1"/>
      <c r="SQT57" s="1"/>
      <c r="SQU57" s="1"/>
      <c r="SQV57" s="1"/>
      <c r="SQW57" s="1"/>
      <c r="SQX57" s="1"/>
      <c r="SQY57" s="1"/>
      <c r="SQZ57" s="1"/>
      <c r="SRA57" s="1"/>
      <c r="SRB57" s="1"/>
      <c r="SRC57" s="1"/>
      <c r="SRD57" s="1"/>
      <c r="SRE57" s="1"/>
      <c r="SRF57" s="1"/>
      <c r="SRG57" s="1"/>
      <c r="SRH57" s="1"/>
      <c r="SRI57" s="1"/>
      <c r="SRJ57" s="1"/>
      <c r="SRK57" s="1"/>
      <c r="SRL57" s="1"/>
      <c r="SRM57" s="1"/>
      <c r="SRN57" s="1"/>
      <c r="SRO57" s="1"/>
      <c r="SRP57" s="1"/>
      <c r="SRQ57" s="1"/>
      <c r="SRR57" s="1"/>
      <c r="SRS57" s="1"/>
      <c r="SRT57" s="1"/>
      <c r="SRU57" s="1"/>
      <c r="SRV57" s="1"/>
      <c r="SRW57" s="1"/>
      <c r="SRX57" s="1"/>
      <c r="SRY57" s="1"/>
      <c r="SRZ57" s="1"/>
      <c r="SSA57" s="1"/>
      <c r="SSB57" s="1"/>
      <c r="SSC57" s="1"/>
      <c r="SSD57" s="1"/>
      <c r="SSE57" s="1"/>
      <c r="SSF57" s="1"/>
      <c r="SSG57" s="1"/>
      <c r="SSH57" s="1"/>
      <c r="SSI57" s="1"/>
      <c r="SSJ57" s="1"/>
      <c r="SSK57" s="1"/>
      <c r="SSL57" s="1"/>
      <c r="SSM57" s="1"/>
      <c r="SSN57" s="1"/>
      <c r="SSO57" s="1"/>
      <c r="SSP57" s="1"/>
      <c r="SSQ57" s="1"/>
      <c r="SSR57" s="1"/>
      <c r="SSS57" s="1"/>
      <c r="SST57" s="1"/>
      <c r="SSU57" s="1"/>
      <c r="SSV57" s="1"/>
      <c r="SSW57" s="1"/>
      <c r="SSX57" s="1"/>
      <c r="SSY57" s="1"/>
      <c r="SSZ57" s="1"/>
      <c r="STA57" s="1"/>
      <c r="STB57" s="1"/>
      <c r="STC57" s="1"/>
      <c r="STD57" s="1"/>
      <c r="STE57" s="1"/>
      <c r="STF57" s="1"/>
      <c r="STG57" s="1"/>
      <c r="STH57" s="1"/>
      <c r="STI57" s="1"/>
      <c r="STJ57" s="1"/>
      <c r="STK57" s="1"/>
      <c r="STL57" s="1"/>
      <c r="STM57" s="1"/>
      <c r="STN57" s="1"/>
      <c r="STO57" s="1"/>
      <c r="STP57" s="1"/>
      <c r="STQ57" s="1"/>
      <c r="STR57" s="1"/>
      <c r="STS57" s="1"/>
      <c r="STT57" s="1"/>
      <c r="STU57" s="1"/>
      <c r="STV57" s="1"/>
      <c r="STW57" s="1"/>
      <c r="STX57" s="1"/>
      <c r="STY57" s="1"/>
      <c r="STZ57" s="1"/>
      <c r="SUA57" s="1"/>
      <c r="SUB57" s="1"/>
      <c r="SUC57" s="1"/>
      <c r="SUD57" s="1"/>
      <c r="SUE57" s="1"/>
      <c r="SUF57" s="1"/>
      <c r="SUG57" s="1"/>
      <c r="SUH57" s="1"/>
      <c r="SUI57" s="1"/>
      <c r="SUJ57" s="1"/>
      <c r="SUK57" s="1"/>
      <c r="SUL57" s="1"/>
      <c r="SUM57" s="1"/>
      <c r="SUN57" s="1"/>
      <c r="SUO57" s="1"/>
      <c r="SUP57" s="1"/>
      <c r="SUQ57" s="1"/>
      <c r="SUR57" s="1"/>
      <c r="SUS57" s="1"/>
      <c r="SUT57" s="1"/>
      <c r="SUU57" s="1"/>
      <c r="SUV57" s="1"/>
      <c r="SUW57" s="1"/>
      <c r="SUX57" s="1"/>
      <c r="SUY57" s="1"/>
      <c r="SUZ57" s="1"/>
      <c r="SVA57" s="1"/>
      <c r="SVB57" s="1"/>
      <c r="SVC57" s="1"/>
      <c r="SVD57" s="1"/>
      <c r="SVE57" s="1"/>
      <c r="SVF57" s="1"/>
      <c r="SVG57" s="1"/>
      <c r="SVH57" s="1"/>
      <c r="SVI57" s="1"/>
      <c r="SVJ57" s="1"/>
      <c r="SVK57" s="1"/>
      <c r="SVL57" s="1"/>
      <c r="SVM57" s="1"/>
      <c r="SVN57" s="1"/>
      <c r="SVO57" s="1"/>
      <c r="SVP57" s="1"/>
      <c r="SVQ57" s="1"/>
      <c r="SVR57" s="1"/>
      <c r="SVS57" s="1"/>
      <c r="SVT57" s="1"/>
      <c r="SVU57" s="1"/>
      <c r="SVV57" s="1"/>
      <c r="SVW57" s="1"/>
      <c r="SVX57" s="1"/>
      <c r="SVY57" s="1"/>
      <c r="SVZ57" s="1"/>
      <c r="SWA57" s="1"/>
      <c r="SWB57" s="1"/>
      <c r="SWC57" s="1"/>
      <c r="SWD57" s="1"/>
      <c r="SWE57" s="1"/>
      <c r="SWF57" s="1"/>
      <c r="SWG57" s="1"/>
      <c r="SWH57" s="1"/>
      <c r="SWI57" s="1"/>
      <c r="SWJ57" s="1"/>
      <c r="SWK57" s="1"/>
      <c r="SWL57" s="1"/>
      <c r="SWM57" s="1"/>
      <c r="SWN57" s="1"/>
      <c r="SWO57" s="1"/>
      <c r="SWP57" s="1"/>
      <c r="SWQ57" s="1"/>
      <c r="SWR57" s="1"/>
      <c r="SWS57" s="1"/>
      <c r="SWT57" s="1"/>
      <c r="SWU57" s="1"/>
      <c r="SWV57" s="1"/>
      <c r="SWW57" s="1"/>
      <c r="SWX57" s="1"/>
      <c r="SWY57" s="1"/>
      <c r="SWZ57" s="1"/>
      <c r="SXA57" s="1"/>
      <c r="SXB57" s="1"/>
      <c r="SXC57" s="1"/>
      <c r="SXD57" s="1"/>
      <c r="SXE57" s="1"/>
      <c r="SXF57" s="1"/>
      <c r="SXG57" s="1"/>
      <c r="SXH57" s="1"/>
      <c r="SXI57" s="1"/>
      <c r="SXJ57" s="1"/>
      <c r="SXK57" s="1"/>
      <c r="SXL57" s="1"/>
      <c r="SXM57" s="1"/>
      <c r="SXN57" s="1"/>
      <c r="SXO57" s="1"/>
      <c r="SXP57" s="1"/>
      <c r="SXQ57" s="1"/>
      <c r="SXR57" s="1"/>
      <c r="SXS57" s="1"/>
      <c r="SXT57" s="1"/>
      <c r="SXU57" s="1"/>
      <c r="SXV57" s="1"/>
      <c r="SXW57" s="1"/>
      <c r="SXX57" s="1"/>
      <c r="SXY57" s="1"/>
      <c r="SXZ57" s="1"/>
      <c r="SYA57" s="1"/>
      <c r="SYB57" s="1"/>
      <c r="SYC57" s="1"/>
      <c r="SYD57" s="1"/>
      <c r="SYE57" s="1"/>
      <c r="SYF57" s="1"/>
      <c r="SYG57" s="1"/>
      <c r="SYH57" s="1"/>
      <c r="SYI57" s="1"/>
      <c r="SYJ57" s="1"/>
      <c r="SYK57" s="1"/>
      <c r="SYL57" s="1"/>
      <c r="SYM57" s="1"/>
      <c r="SYN57" s="1"/>
      <c r="SYO57" s="1"/>
      <c r="SYP57" s="1"/>
      <c r="SYQ57" s="1"/>
      <c r="SYR57" s="1"/>
      <c r="SYS57" s="1"/>
      <c r="SYT57" s="1"/>
      <c r="SYU57" s="1"/>
      <c r="SYV57" s="1"/>
      <c r="SYW57" s="1"/>
      <c r="SYX57" s="1"/>
      <c r="SYY57" s="1"/>
      <c r="SYZ57" s="1"/>
      <c r="SZA57" s="1"/>
      <c r="SZB57" s="1"/>
      <c r="SZC57" s="1"/>
      <c r="SZD57" s="1"/>
      <c r="SZE57" s="1"/>
      <c r="SZF57" s="1"/>
      <c r="SZG57" s="1"/>
      <c r="SZH57" s="1"/>
      <c r="SZI57" s="1"/>
      <c r="SZJ57" s="1"/>
      <c r="SZK57" s="1"/>
      <c r="SZL57" s="1"/>
      <c r="SZM57" s="1"/>
      <c r="SZN57" s="1"/>
      <c r="SZO57" s="1"/>
      <c r="SZP57" s="1"/>
      <c r="SZQ57" s="1"/>
      <c r="SZR57" s="1"/>
      <c r="SZS57" s="1"/>
      <c r="SZT57" s="1"/>
      <c r="SZU57" s="1"/>
      <c r="SZV57" s="1"/>
      <c r="SZW57" s="1"/>
      <c r="SZX57" s="1"/>
      <c r="SZY57" s="1"/>
      <c r="SZZ57" s="1"/>
      <c r="TAA57" s="1"/>
      <c r="TAB57" s="1"/>
      <c r="TAC57" s="1"/>
      <c r="TAD57" s="1"/>
      <c r="TAE57" s="1"/>
      <c r="TAF57" s="1"/>
      <c r="TAG57" s="1"/>
      <c r="TAH57" s="1"/>
      <c r="TAI57" s="1"/>
      <c r="TAJ57" s="1"/>
      <c r="TAK57" s="1"/>
      <c r="TAL57" s="1"/>
      <c r="TAM57" s="1"/>
      <c r="TAN57" s="1"/>
      <c r="TAO57" s="1"/>
      <c r="TAP57" s="1"/>
      <c r="TAQ57" s="1"/>
      <c r="TAR57" s="1"/>
      <c r="TAS57" s="1"/>
      <c r="TAT57" s="1"/>
      <c r="TAU57" s="1"/>
      <c r="TAV57" s="1"/>
      <c r="TAW57" s="1"/>
      <c r="TAX57" s="1"/>
      <c r="TAY57" s="1"/>
      <c r="TAZ57" s="1"/>
      <c r="TBA57" s="1"/>
      <c r="TBB57" s="1"/>
      <c r="TBC57" s="1"/>
      <c r="TBD57" s="1"/>
      <c r="TBE57" s="1"/>
      <c r="TBF57" s="1"/>
      <c r="TBG57" s="1"/>
      <c r="TBH57" s="1"/>
      <c r="TBI57" s="1"/>
      <c r="TBJ57" s="1"/>
      <c r="TBK57" s="1"/>
      <c r="TBL57" s="1"/>
      <c r="TBM57" s="1"/>
      <c r="TBN57" s="1"/>
      <c r="TBO57" s="1"/>
      <c r="TBP57" s="1"/>
      <c r="TBQ57" s="1"/>
      <c r="TBR57" s="1"/>
      <c r="TBS57" s="1"/>
      <c r="TBT57" s="1"/>
      <c r="TBU57" s="1"/>
      <c r="TBV57" s="1"/>
      <c r="TBW57" s="1"/>
      <c r="TBX57" s="1"/>
      <c r="TBY57" s="1"/>
      <c r="TBZ57" s="1"/>
      <c r="TCA57" s="1"/>
      <c r="TCB57" s="1"/>
      <c r="TCC57" s="1"/>
      <c r="TCD57" s="1"/>
      <c r="TCE57" s="1"/>
      <c r="TCF57" s="1"/>
      <c r="TCG57" s="1"/>
      <c r="TCH57" s="1"/>
      <c r="TCI57" s="1"/>
      <c r="TCJ57" s="1"/>
      <c r="TCK57" s="1"/>
      <c r="TCL57" s="1"/>
      <c r="TCM57" s="1"/>
      <c r="TCN57" s="1"/>
      <c r="TCO57" s="1"/>
      <c r="TCP57" s="1"/>
      <c r="TCQ57" s="1"/>
      <c r="TCR57" s="1"/>
      <c r="TCS57" s="1"/>
      <c r="TCT57" s="1"/>
      <c r="TCU57" s="1"/>
      <c r="TCV57" s="1"/>
      <c r="TCW57" s="1"/>
      <c r="TCX57" s="1"/>
      <c r="TCY57" s="1"/>
      <c r="TCZ57" s="1"/>
      <c r="TDA57" s="1"/>
      <c r="TDB57" s="1"/>
      <c r="TDC57" s="1"/>
      <c r="TDD57" s="1"/>
      <c r="TDE57" s="1"/>
      <c r="TDF57" s="1"/>
      <c r="TDG57" s="1"/>
      <c r="TDH57" s="1"/>
      <c r="TDI57" s="1"/>
      <c r="TDJ57" s="1"/>
      <c r="TDK57" s="1"/>
      <c r="TDL57" s="1"/>
      <c r="TDM57" s="1"/>
      <c r="TDN57" s="1"/>
      <c r="TDO57" s="1"/>
      <c r="TDP57" s="1"/>
      <c r="TDQ57" s="1"/>
      <c r="TDR57" s="1"/>
      <c r="TDS57" s="1"/>
      <c r="TDT57" s="1"/>
      <c r="TDU57" s="1"/>
      <c r="TDV57" s="1"/>
      <c r="TDW57" s="1"/>
      <c r="TDX57" s="1"/>
      <c r="TDY57" s="1"/>
      <c r="TDZ57" s="1"/>
      <c r="TEA57" s="1"/>
      <c r="TEB57" s="1"/>
      <c r="TEC57" s="1"/>
      <c r="TED57" s="1"/>
      <c r="TEE57" s="1"/>
      <c r="TEF57" s="1"/>
      <c r="TEG57" s="1"/>
      <c r="TEH57" s="1"/>
      <c r="TEI57" s="1"/>
      <c r="TEJ57" s="1"/>
      <c r="TEK57" s="1"/>
      <c r="TEL57" s="1"/>
      <c r="TEM57" s="1"/>
      <c r="TEN57" s="1"/>
      <c r="TEO57" s="1"/>
      <c r="TEP57" s="1"/>
      <c r="TEQ57" s="1"/>
      <c r="TER57" s="1"/>
      <c r="TES57" s="1"/>
      <c r="TET57" s="1"/>
      <c r="TEU57" s="1"/>
      <c r="TEV57" s="1"/>
      <c r="TEW57" s="1"/>
      <c r="TEX57" s="1"/>
      <c r="TEY57" s="1"/>
      <c r="TEZ57" s="1"/>
      <c r="TFA57" s="1"/>
      <c r="TFB57" s="1"/>
      <c r="TFC57" s="1"/>
      <c r="TFD57" s="1"/>
      <c r="TFE57" s="1"/>
      <c r="TFF57" s="1"/>
      <c r="TFG57" s="1"/>
      <c r="TFH57" s="1"/>
      <c r="TFI57" s="1"/>
      <c r="TFJ57" s="1"/>
      <c r="TFK57" s="1"/>
      <c r="TFL57" s="1"/>
      <c r="TFM57" s="1"/>
      <c r="TFN57" s="1"/>
      <c r="TFO57" s="1"/>
      <c r="TFP57" s="1"/>
      <c r="TFQ57" s="1"/>
      <c r="TFR57" s="1"/>
      <c r="TFS57" s="1"/>
      <c r="TFT57" s="1"/>
      <c r="TFU57" s="1"/>
      <c r="TFV57" s="1"/>
      <c r="TFW57" s="1"/>
      <c r="TFX57" s="1"/>
      <c r="TFY57" s="1"/>
      <c r="TFZ57" s="1"/>
      <c r="TGA57" s="1"/>
      <c r="TGB57" s="1"/>
      <c r="TGC57" s="1"/>
      <c r="TGD57" s="1"/>
      <c r="TGE57" s="1"/>
      <c r="TGF57" s="1"/>
      <c r="TGG57" s="1"/>
      <c r="TGH57" s="1"/>
      <c r="TGI57" s="1"/>
      <c r="TGJ57" s="1"/>
      <c r="TGK57" s="1"/>
      <c r="TGL57" s="1"/>
      <c r="TGM57" s="1"/>
      <c r="TGN57" s="1"/>
      <c r="TGO57" s="1"/>
      <c r="TGP57" s="1"/>
      <c r="TGQ57" s="1"/>
      <c r="TGR57" s="1"/>
      <c r="TGS57" s="1"/>
      <c r="TGT57" s="1"/>
      <c r="TGU57" s="1"/>
      <c r="TGV57" s="1"/>
      <c r="TGW57" s="1"/>
      <c r="TGX57" s="1"/>
      <c r="TGY57" s="1"/>
      <c r="TGZ57" s="1"/>
      <c r="THA57" s="1"/>
      <c r="THB57" s="1"/>
      <c r="THC57" s="1"/>
      <c r="THD57" s="1"/>
      <c r="THE57" s="1"/>
      <c r="THF57" s="1"/>
      <c r="THG57" s="1"/>
      <c r="THH57" s="1"/>
      <c r="THI57" s="1"/>
      <c r="THJ57" s="1"/>
      <c r="THK57" s="1"/>
      <c r="THL57" s="1"/>
      <c r="THM57" s="1"/>
      <c r="THN57" s="1"/>
      <c r="THO57" s="1"/>
      <c r="THP57" s="1"/>
      <c r="THQ57" s="1"/>
      <c r="THR57" s="1"/>
      <c r="THS57" s="1"/>
      <c r="THT57" s="1"/>
      <c r="THU57" s="1"/>
      <c r="THV57" s="1"/>
      <c r="THW57" s="1"/>
      <c r="THX57" s="1"/>
      <c r="THY57" s="1"/>
      <c r="THZ57" s="1"/>
      <c r="TIA57" s="1"/>
      <c r="TIB57" s="1"/>
      <c r="TIC57" s="1"/>
      <c r="TID57" s="1"/>
      <c r="TIE57" s="1"/>
      <c r="TIF57" s="1"/>
      <c r="TIG57" s="1"/>
      <c r="TIH57" s="1"/>
      <c r="TII57" s="1"/>
      <c r="TIJ57" s="1"/>
      <c r="TIK57" s="1"/>
      <c r="TIL57" s="1"/>
      <c r="TIM57" s="1"/>
      <c r="TIN57" s="1"/>
      <c r="TIO57" s="1"/>
      <c r="TIP57" s="1"/>
      <c r="TIQ57" s="1"/>
      <c r="TIR57" s="1"/>
      <c r="TIS57" s="1"/>
      <c r="TIT57" s="1"/>
      <c r="TIU57" s="1"/>
      <c r="TIV57" s="1"/>
      <c r="TIW57" s="1"/>
      <c r="TIX57" s="1"/>
      <c r="TIY57" s="1"/>
      <c r="TIZ57" s="1"/>
      <c r="TJA57" s="1"/>
      <c r="TJB57" s="1"/>
      <c r="TJC57" s="1"/>
      <c r="TJD57" s="1"/>
      <c r="TJE57" s="1"/>
      <c r="TJF57" s="1"/>
      <c r="TJG57" s="1"/>
      <c r="TJH57" s="1"/>
      <c r="TJI57" s="1"/>
      <c r="TJJ57" s="1"/>
      <c r="TJK57" s="1"/>
      <c r="TJL57" s="1"/>
      <c r="TJM57" s="1"/>
      <c r="TJN57" s="1"/>
      <c r="TJO57" s="1"/>
      <c r="TJP57" s="1"/>
      <c r="TJQ57" s="1"/>
      <c r="TJR57" s="1"/>
      <c r="TJS57" s="1"/>
      <c r="TJT57" s="1"/>
      <c r="TJU57" s="1"/>
      <c r="TJV57" s="1"/>
      <c r="TJW57" s="1"/>
      <c r="TJX57" s="1"/>
      <c r="TJY57" s="1"/>
      <c r="TJZ57" s="1"/>
      <c r="TKA57" s="1"/>
      <c r="TKB57" s="1"/>
      <c r="TKC57" s="1"/>
      <c r="TKD57" s="1"/>
      <c r="TKE57" s="1"/>
      <c r="TKF57" s="1"/>
      <c r="TKG57" s="1"/>
      <c r="TKH57" s="1"/>
      <c r="TKI57" s="1"/>
      <c r="TKJ57" s="1"/>
      <c r="TKK57" s="1"/>
      <c r="TKL57" s="1"/>
      <c r="TKM57" s="1"/>
      <c r="TKN57" s="1"/>
      <c r="TKO57" s="1"/>
      <c r="TKP57" s="1"/>
      <c r="TKQ57" s="1"/>
      <c r="TKR57" s="1"/>
      <c r="TKS57" s="1"/>
      <c r="TKT57" s="1"/>
      <c r="TKU57" s="1"/>
      <c r="TKV57" s="1"/>
      <c r="TKW57" s="1"/>
      <c r="TKX57" s="1"/>
      <c r="TKY57" s="1"/>
      <c r="TKZ57" s="1"/>
      <c r="TLA57" s="1"/>
      <c r="TLB57" s="1"/>
      <c r="TLC57" s="1"/>
      <c r="TLD57" s="1"/>
      <c r="TLE57" s="1"/>
      <c r="TLF57" s="1"/>
      <c r="TLG57" s="1"/>
      <c r="TLH57" s="1"/>
      <c r="TLI57" s="1"/>
      <c r="TLJ57" s="1"/>
      <c r="TLK57" s="1"/>
      <c r="TLL57" s="1"/>
      <c r="TLM57" s="1"/>
      <c r="TLN57" s="1"/>
      <c r="TLO57" s="1"/>
      <c r="TLP57" s="1"/>
      <c r="TLQ57" s="1"/>
      <c r="TLR57" s="1"/>
      <c r="TLS57" s="1"/>
      <c r="TLT57" s="1"/>
      <c r="TLU57" s="1"/>
      <c r="TLV57" s="1"/>
      <c r="TLW57" s="1"/>
      <c r="TLX57" s="1"/>
      <c r="TLY57" s="1"/>
      <c r="TLZ57" s="1"/>
      <c r="TMA57" s="1"/>
      <c r="TMB57" s="1"/>
      <c r="TMC57" s="1"/>
      <c r="TMD57" s="1"/>
      <c r="TME57" s="1"/>
      <c r="TMF57" s="1"/>
      <c r="TMG57" s="1"/>
      <c r="TMH57" s="1"/>
      <c r="TMI57" s="1"/>
      <c r="TMJ57" s="1"/>
      <c r="TMK57" s="1"/>
      <c r="TML57" s="1"/>
      <c r="TMM57" s="1"/>
      <c r="TMN57" s="1"/>
      <c r="TMO57" s="1"/>
      <c r="TMP57" s="1"/>
      <c r="TMQ57" s="1"/>
      <c r="TMR57" s="1"/>
      <c r="TMS57" s="1"/>
      <c r="TMT57" s="1"/>
      <c r="TMU57" s="1"/>
      <c r="TMV57" s="1"/>
      <c r="TMW57" s="1"/>
      <c r="TMX57" s="1"/>
      <c r="TMY57" s="1"/>
      <c r="TMZ57" s="1"/>
      <c r="TNA57" s="1"/>
      <c r="TNB57" s="1"/>
      <c r="TNC57" s="1"/>
      <c r="TND57" s="1"/>
      <c r="TNE57" s="1"/>
      <c r="TNF57" s="1"/>
      <c r="TNG57" s="1"/>
      <c r="TNH57" s="1"/>
      <c r="TNI57" s="1"/>
      <c r="TNJ57" s="1"/>
      <c r="TNK57" s="1"/>
      <c r="TNL57" s="1"/>
      <c r="TNM57" s="1"/>
      <c r="TNN57" s="1"/>
      <c r="TNO57" s="1"/>
      <c r="TNP57" s="1"/>
      <c r="TNQ57" s="1"/>
      <c r="TNR57" s="1"/>
      <c r="TNS57" s="1"/>
      <c r="TNT57" s="1"/>
      <c r="TNU57" s="1"/>
      <c r="TNV57" s="1"/>
      <c r="TNW57" s="1"/>
      <c r="TNX57" s="1"/>
      <c r="TNY57" s="1"/>
      <c r="TNZ57" s="1"/>
      <c r="TOA57" s="1"/>
      <c r="TOB57" s="1"/>
      <c r="TOC57" s="1"/>
      <c r="TOD57" s="1"/>
      <c r="TOE57" s="1"/>
      <c r="TOF57" s="1"/>
      <c r="TOG57" s="1"/>
      <c r="TOH57" s="1"/>
      <c r="TOI57" s="1"/>
      <c r="TOJ57" s="1"/>
      <c r="TOK57" s="1"/>
      <c r="TOL57" s="1"/>
      <c r="TOM57" s="1"/>
      <c r="TON57" s="1"/>
      <c r="TOO57" s="1"/>
      <c r="TOP57" s="1"/>
      <c r="TOQ57" s="1"/>
      <c r="TOR57" s="1"/>
      <c r="TOS57" s="1"/>
      <c r="TOT57" s="1"/>
      <c r="TOU57" s="1"/>
      <c r="TOV57" s="1"/>
      <c r="TOW57" s="1"/>
      <c r="TOX57" s="1"/>
      <c r="TOY57" s="1"/>
      <c r="TOZ57" s="1"/>
      <c r="TPA57" s="1"/>
      <c r="TPB57" s="1"/>
      <c r="TPC57" s="1"/>
      <c r="TPD57" s="1"/>
      <c r="TPE57" s="1"/>
      <c r="TPF57" s="1"/>
      <c r="TPG57" s="1"/>
      <c r="TPH57" s="1"/>
      <c r="TPI57" s="1"/>
      <c r="TPJ57" s="1"/>
      <c r="TPK57" s="1"/>
      <c r="TPL57" s="1"/>
      <c r="TPM57" s="1"/>
      <c r="TPN57" s="1"/>
      <c r="TPO57" s="1"/>
      <c r="TPP57" s="1"/>
      <c r="TPQ57" s="1"/>
      <c r="TPR57" s="1"/>
      <c r="TPS57" s="1"/>
      <c r="TPT57" s="1"/>
      <c r="TPU57" s="1"/>
      <c r="TPV57" s="1"/>
      <c r="TPW57" s="1"/>
      <c r="TPX57" s="1"/>
      <c r="TPY57" s="1"/>
      <c r="TPZ57" s="1"/>
      <c r="TQA57" s="1"/>
      <c r="TQB57" s="1"/>
      <c r="TQC57" s="1"/>
      <c r="TQD57" s="1"/>
      <c r="TQE57" s="1"/>
      <c r="TQF57" s="1"/>
      <c r="TQG57" s="1"/>
      <c r="TQH57" s="1"/>
      <c r="TQI57" s="1"/>
      <c r="TQJ57" s="1"/>
      <c r="TQK57" s="1"/>
      <c r="TQL57" s="1"/>
      <c r="TQM57" s="1"/>
      <c r="TQN57" s="1"/>
      <c r="TQO57" s="1"/>
      <c r="TQP57" s="1"/>
      <c r="TQQ57" s="1"/>
      <c r="TQR57" s="1"/>
      <c r="TQS57" s="1"/>
      <c r="TQT57" s="1"/>
      <c r="TQU57" s="1"/>
      <c r="TQV57" s="1"/>
      <c r="TQW57" s="1"/>
      <c r="TQX57" s="1"/>
      <c r="TQY57" s="1"/>
      <c r="TQZ57" s="1"/>
      <c r="TRA57" s="1"/>
      <c r="TRB57" s="1"/>
      <c r="TRC57" s="1"/>
      <c r="TRD57" s="1"/>
      <c r="TRE57" s="1"/>
      <c r="TRF57" s="1"/>
      <c r="TRG57" s="1"/>
      <c r="TRH57" s="1"/>
      <c r="TRI57" s="1"/>
      <c r="TRJ57" s="1"/>
      <c r="TRK57" s="1"/>
      <c r="TRL57" s="1"/>
      <c r="TRM57" s="1"/>
      <c r="TRN57" s="1"/>
      <c r="TRO57" s="1"/>
      <c r="TRP57" s="1"/>
      <c r="TRQ57" s="1"/>
      <c r="TRR57" s="1"/>
      <c r="TRS57" s="1"/>
      <c r="TRT57" s="1"/>
      <c r="TRU57" s="1"/>
      <c r="TRV57" s="1"/>
      <c r="TRW57" s="1"/>
      <c r="TRX57" s="1"/>
      <c r="TRY57" s="1"/>
      <c r="TRZ57" s="1"/>
      <c r="TSA57" s="1"/>
      <c r="TSB57" s="1"/>
      <c r="TSC57" s="1"/>
      <c r="TSD57" s="1"/>
      <c r="TSE57" s="1"/>
      <c r="TSF57" s="1"/>
      <c r="TSG57" s="1"/>
      <c r="TSH57" s="1"/>
      <c r="TSI57" s="1"/>
      <c r="TSJ57" s="1"/>
      <c r="TSK57" s="1"/>
      <c r="TSL57" s="1"/>
      <c r="TSM57" s="1"/>
      <c r="TSN57" s="1"/>
      <c r="TSO57" s="1"/>
      <c r="TSP57" s="1"/>
      <c r="TSQ57" s="1"/>
      <c r="TSR57" s="1"/>
      <c r="TSS57" s="1"/>
      <c r="TST57" s="1"/>
      <c r="TSU57" s="1"/>
      <c r="TSV57" s="1"/>
      <c r="TSW57" s="1"/>
      <c r="TSX57" s="1"/>
      <c r="TSY57" s="1"/>
      <c r="TSZ57" s="1"/>
      <c r="TTA57" s="1"/>
      <c r="TTB57" s="1"/>
      <c r="TTC57" s="1"/>
      <c r="TTD57" s="1"/>
      <c r="TTE57" s="1"/>
      <c r="TTF57" s="1"/>
      <c r="TTG57" s="1"/>
      <c r="TTH57" s="1"/>
      <c r="TTI57" s="1"/>
      <c r="TTJ57" s="1"/>
      <c r="TTK57" s="1"/>
      <c r="TTL57" s="1"/>
      <c r="TTM57" s="1"/>
      <c r="TTN57" s="1"/>
      <c r="TTO57" s="1"/>
      <c r="TTP57" s="1"/>
      <c r="TTQ57" s="1"/>
      <c r="TTR57" s="1"/>
      <c r="TTS57" s="1"/>
      <c r="TTT57" s="1"/>
      <c r="TTU57" s="1"/>
      <c r="TTV57" s="1"/>
      <c r="TTW57" s="1"/>
      <c r="TTX57" s="1"/>
      <c r="TTY57" s="1"/>
      <c r="TTZ57" s="1"/>
      <c r="TUA57" s="1"/>
      <c r="TUB57" s="1"/>
      <c r="TUC57" s="1"/>
      <c r="TUD57" s="1"/>
      <c r="TUE57" s="1"/>
      <c r="TUF57" s="1"/>
      <c r="TUG57" s="1"/>
      <c r="TUH57" s="1"/>
      <c r="TUI57" s="1"/>
      <c r="TUJ57" s="1"/>
      <c r="TUK57" s="1"/>
      <c r="TUL57" s="1"/>
      <c r="TUM57" s="1"/>
      <c r="TUN57" s="1"/>
      <c r="TUO57" s="1"/>
      <c r="TUP57" s="1"/>
      <c r="TUQ57" s="1"/>
      <c r="TUR57" s="1"/>
      <c r="TUS57" s="1"/>
      <c r="TUT57" s="1"/>
      <c r="TUU57" s="1"/>
      <c r="TUV57" s="1"/>
      <c r="TUW57" s="1"/>
      <c r="TUX57" s="1"/>
      <c r="TUY57" s="1"/>
      <c r="TUZ57" s="1"/>
      <c r="TVA57" s="1"/>
      <c r="TVB57" s="1"/>
      <c r="TVC57" s="1"/>
      <c r="TVD57" s="1"/>
      <c r="TVE57" s="1"/>
      <c r="TVF57" s="1"/>
      <c r="TVG57" s="1"/>
      <c r="TVH57" s="1"/>
      <c r="TVI57" s="1"/>
      <c r="TVJ57" s="1"/>
      <c r="TVK57" s="1"/>
      <c r="TVL57" s="1"/>
      <c r="TVM57" s="1"/>
      <c r="TVN57" s="1"/>
      <c r="TVO57" s="1"/>
      <c r="TVP57" s="1"/>
      <c r="TVQ57" s="1"/>
      <c r="TVR57" s="1"/>
      <c r="TVS57" s="1"/>
      <c r="TVT57" s="1"/>
      <c r="TVU57" s="1"/>
      <c r="TVV57" s="1"/>
      <c r="TVW57" s="1"/>
      <c r="TVX57" s="1"/>
      <c r="TVY57" s="1"/>
      <c r="TVZ57" s="1"/>
      <c r="TWA57" s="1"/>
      <c r="TWB57" s="1"/>
      <c r="TWC57" s="1"/>
      <c r="TWD57" s="1"/>
      <c r="TWE57" s="1"/>
      <c r="TWF57" s="1"/>
      <c r="TWG57" s="1"/>
      <c r="TWH57" s="1"/>
      <c r="TWI57" s="1"/>
      <c r="TWJ57" s="1"/>
      <c r="TWK57" s="1"/>
      <c r="TWL57" s="1"/>
      <c r="TWM57" s="1"/>
      <c r="TWN57" s="1"/>
      <c r="TWO57" s="1"/>
      <c r="TWP57" s="1"/>
      <c r="TWQ57" s="1"/>
      <c r="TWR57" s="1"/>
      <c r="TWS57" s="1"/>
      <c r="TWT57" s="1"/>
      <c r="TWU57" s="1"/>
      <c r="TWV57" s="1"/>
      <c r="TWW57" s="1"/>
      <c r="TWX57" s="1"/>
      <c r="TWY57" s="1"/>
      <c r="TWZ57" s="1"/>
      <c r="TXA57" s="1"/>
      <c r="TXB57" s="1"/>
      <c r="TXC57" s="1"/>
      <c r="TXD57" s="1"/>
      <c r="TXE57" s="1"/>
      <c r="TXF57" s="1"/>
      <c r="TXG57" s="1"/>
      <c r="TXH57" s="1"/>
      <c r="TXI57" s="1"/>
      <c r="TXJ57" s="1"/>
      <c r="TXK57" s="1"/>
      <c r="TXL57" s="1"/>
      <c r="TXM57" s="1"/>
      <c r="TXN57" s="1"/>
      <c r="TXO57" s="1"/>
      <c r="TXP57" s="1"/>
      <c r="TXQ57" s="1"/>
      <c r="TXR57" s="1"/>
      <c r="TXS57" s="1"/>
      <c r="TXT57" s="1"/>
      <c r="TXU57" s="1"/>
      <c r="TXV57" s="1"/>
      <c r="TXW57" s="1"/>
      <c r="TXX57" s="1"/>
      <c r="TXY57" s="1"/>
      <c r="TXZ57" s="1"/>
      <c r="TYA57" s="1"/>
      <c r="TYB57" s="1"/>
      <c r="TYC57" s="1"/>
      <c r="TYD57" s="1"/>
      <c r="TYE57" s="1"/>
      <c r="TYF57" s="1"/>
      <c r="TYG57" s="1"/>
      <c r="TYH57" s="1"/>
      <c r="TYI57" s="1"/>
      <c r="TYJ57" s="1"/>
      <c r="TYK57" s="1"/>
      <c r="TYL57" s="1"/>
      <c r="TYM57" s="1"/>
      <c r="TYN57" s="1"/>
      <c r="TYO57" s="1"/>
      <c r="TYP57" s="1"/>
      <c r="TYQ57" s="1"/>
      <c r="TYR57" s="1"/>
      <c r="TYS57" s="1"/>
      <c r="TYT57" s="1"/>
      <c r="TYU57" s="1"/>
      <c r="TYV57" s="1"/>
      <c r="TYW57" s="1"/>
      <c r="TYX57" s="1"/>
      <c r="TYY57" s="1"/>
      <c r="TYZ57" s="1"/>
      <c r="TZA57" s="1"/>
      <c r="TZB57" s="1"/>
      <c r="TZC57" s="1"/>
      <c r="TZD57" s="1"/>
      <c r="TZE57" s="1"/>
      <c r="TZF57" s="1"/>
      <c r="TZG57" s="1"/>
      <c r="TZH57" s="1"/>
      <c r="TZI57" s="1"/>
      <c r="TZJ57" s="1"/>
      <c r="TZK57" s="1"/>
      <c r="TZL57" s="1"/>
      <c r="TZM57" s="1"/>
      <c r="TZN57" s="1"/>
      <c r="TZO57" s="1"/>
      <c r="TZP57" s="1"/>
      <c r="TZQ57" s="1"/>
      <c r="TZR57" s="1"/>
      <c r="TZS57" s="1"/>
      <c r="TZT57" s="1"/>
      <c r="TZU57" s="1"/>
      <c r="TZV57" s="1"/>
      <c r="TZW57" s="1"/>
      <c r="TZX57" s="1"/>
      <c r="TZY57" s="1"/>
      <c r="TZZ57" s="1"/>
      <c r="UAA57" s="1"/>
      <c r="UAB57" s="1"/>
      <c r="UAC57" s="1"/>
      <c r="UAD57" s="1"/>
      <c r="UAE57" s="1"/>
      <c r="UAF57" s="1"/>
      <c r="UAG57" s="1"/>
      <c r="UAH57" s="1"/>
      <c r="UAI57" s="1"/>
      <c r="UAJ57" s="1"/>
      <c r="UAK57" s="1"/>
      <c r="UAL57" s="1"/>
      <c r="UAM57" s="1"/>
      <c r="UAN57" s="1"/>
      <c r="UAO57" s="1"/>
      <c r="UAP57" s="1"/>
      <c r="UAQ57" s="1"/>
      <c r="UAR57" s="1"/>
      <c r="UAS57" s="1"/>
      <c r="UAT57" s="1"/>
      <c r="UAU57" s="1"/>
      <c r="UAV57" s="1"/>
      <c r="UAW57" s="1"/>
      <c r="UAX57" s="1"/>
      <c r="UAY57" s="1"/>
      <c r="UAZ57" s="1"/>
      <c r="UBA57" s="1"/>
      <c r="UBB57" s="1"/>
      <c r="UBC57" s="1"/>
      <c r="UBD57" s="1"/>
      <c r="UBE57" s="1"/>
      <c r="UBF57" s="1"/>
      <c r="UBG57" s="1"/>
      <c r="UBH57" s="1"/>
      <c r="UBI57" s="1"/>
      <c r="UBJ57" s="1"/>
      <c r="UBK57" s="1"/>
      <c r="UBL57" s="1"/>
      <c r="UBM57" s="1"/>
      <c r="UBN57" s="1"/>
      <c r="UBO57" s="1"/>
      <c r="UBP57" s="1"/>
      <c r="UBQ57" s="1"/>
      <c r="UBR57" s="1"/>
      <c r="UBS57" s="1"/>
      <c r="UBT57" s="1"/>
      <c r="UBU57" s="1"/>
      <c r="UBV57" s="1"/>
      <c r="UBW57" s="1"/>
      <c r="UBX57" s="1"/>
      <c r="UBY57" s="1"/>
      <c r="UBZ57" s="1"/>
      <c r="UCA57" s="1"/>
      <c r="UCB57" s="1"/>
      <c r="UCC57" s="1"/>
      <c r="UCD57" s="1"/>
      <c r="UCE57" s="1"/>
      <c r="UCF57" s="1"/>
      <c r="UCG57" s="1"/>
      <c r="UCH57" s="1"/>
      <c r="UCI57" s="1"/>
      <c r="UCJ57" s="1"/>
      <c r="UCK57" s="1"/>
      <c r="UCL57" s="1"/>
      <c r="UCM57" s="1"/>
      <c r="UCN57" s="1"/>
      <c r="UCO57" s="1"/>
      <c r="UCP57" s="1"/>
      <c r="UCQ57" s="1"/>
      <c r="UCR57" s="1"/>
      <c r="UCS57" s="1"/>
      <c r="UCT57" s="1"/>
      <c r="UCU57" s="1"/>
      <c r="UCV57" s="1"/>
      <c r="UCW57" s="1"/>
      <c r="UCX57" s="1"/>
      <c r="UCY57" s="1"/>
      <c r="UCZ57" s="1"/>
      <c r="UDA57" s="1"/>
      <c r="UDB57" s="1"/>
      <c r="UDC57" s="1"/>
      <c r="UDD57" s="1"/>
      <c r="UDE57" s="1"/>
      <c r="UDF57" s="1"/>
      <c r="UDG57" s="1"/>
      <c r="UDH57" s="1"/>
      <c r="UDI57" s="1"/>
      <c r="UDJ57" s="1"/>
      <c r="UDK57" s="1"/>
      <c r="UDL57" s="1"/>
      <c r="UDM57" s="1"/>
      <c r="UDN57" s="1"/>
      <c r="UDO57" s="1"/>
      <c r="UDP57" s="1"/>
      <c r="UDQ57" s="1"/>
      <c r="UDR57" s="1"/>
      <c r="UDS57" s="1"/>
      <c r="UDT57" s="1"/>
      <c r="UDU57" s="1"/>
      <c r="UDV57" s="1"/>
      <c r="UDW57" s="1"/>
      <c r="UDX57" s="1"/>
      <c r="UDY57" s="1"/>
      <c r="UDZ57" s="1"/>
      <c r="UEA57" s="1"/>
      <c r="UEB57" s="1"/>
      <c r="UEC57" s="1"/>
      <c r="UED57" s="1"/>
      <c r="UEE57" s="1"/>
      <c r="UEF57" s="1"/>
      <c r="UEG57" s="1"/>
      <c r="UEH57" s="1"/>
      <c r="UEI57" s="1"/>
      <c r="UEJ57" s="1"/>
      <c r="UEK57" s="1"/>
      <c r="UEL57" s="1"/>
      <c r="UEM57" s="1"/>
      <c r="UEN57" s="1"/>
      <c r="UEO57" s="1"/>
      <c r="UEP57" s="1"/>
      <c r="UEQ57" s="1"/>
      <c r="UER57" s="1"/>
      <c r="UES57" s="1"/>
      <c r="UET57" s="1"/>
      <c r="UEU57" s="1"/>
      <c r="UEV57" s="1"/>
      <c r="UEW57" s="1"/>
      <c r="UEX57" s="1"/>
      <c r="UEY57" s="1"/>
      <c r="UEZ57" s="1"/>
      <c r="UFA57" s="1"/>
      <c r="UFB57" s="1"/>
      <c r="UFC57" s="1"/>
      <c r="UFD57" s="1"/>
      <c r="UFE57" s="1"/>
      <c r="UFF57" s="1"/>
      <c r="UFG57" s="1"/>
      <c r="UFH57" s="1"/>
      <c r="UFI57" s="1"/>
      <c r="UFJ57" s="1"/>
      <c r="UFK57" s="1"/>
      <c r="UFL57" s="1"/>
      <c r="UFM57" s="1"/>
      <c r="UFN57" s="1"/>
      <c r="UFO57" s="1"/>
      <c r="UFP57" s="1"/>
      <c r="UFQ57" s="1"/>
      <c r="UFR57" s="1"/>
      <c r="UFS57" s="1"/>
      <c r="UFT57" s="1"/>
      <c r="UFU57" s="1"/>
      <c r="UFV57" s="1"/>
      <c r="UFW57" s="1"/>
      <c r="UFX57" s="1"/>
      <c r="UFY57" s="1"/>
      <c r="UFZ57" s="1"/>
      <c r="UGA57" s="1"/>
      <c r="UGB57" s="1"/>
      <c r="UGC57" s="1"/>
      <c r="UGD57" s="1"/>
      <c r="UGE57" s="1"/>
      <c r="UGF57" s="1"/>
      <c r="UGG57" s="1"/>
      <c r="UGH57" s="1"/>
      <c r="UGI57" s="1"/>
      <c r="UGJ57" s="1"/>
      <c r="UGK57" s="1"/>
      <c r="UGL57" s="1"/>
      <c r="UGM57" s="1"/>
      <c r="UGN57" s="1"/>
      <c r="UGO57" s="1"/>
      <c r="UGP57" s="1"/>
      <c r="UGQ57" s="1"/>
      <c r="UGR57" s="1"/>
      <c r="UGS57" s="1"/>
      <c r="UGT57" s="1"/>
      <c r="UGU57" s="1"/>
      <c r="UGV57" s="1"/>
      <c r="UGW57" s="1"/>
      <c r="UGX57" s="1"/>
      <c r="UGY57" s="1"/>
      <c r="UGZ57" s="1"/>
      <c r="UHA57" s="1"/>
      <c r="UHB57" s="1"/>
      <c r="UHC57" s="1"/>
      <c r="UHD57" s="1"/>
      <c r="UHE57" s="1"/>
      <c r="UHF57" s="1"/>
      <c r="UHG57" s="1"/>
      <c r="UHH57" s="1"/>
      <c r="UHI57" s="1"/>
      <c r="UHJ57" s="1"/>
      <c r="UHK57" s="1"/>
      <c r="UHL57" s="1"/>
      <c r="UHM57" s="1"/>
      <c r="UHN57" s="1"/>
      <c r="UHO57" s="1"/>
      <c r="UHP57" s="1"/>
      <c r="UHQ57" s="1"/>
      <c r="UHR57" s="1"/>
      <c r="UHS57" s="1"/>
      <c r="UHT57" s="1"/>
      <c r="UHU57" s="1"/>
      <c r="UHV57" s="1"/>
      <c r="UHW57" s="1"/>
      <c r="UHX57" s="1"/>
      <c r="UHY57" s="1"/>
      <c r="UHZ57" s="1"/>
      <c r="UIA57" s="1"/>
      <c r="UIB57" s="1"/>
      <c r="UIC57" s="1"/>
      <c r="UID57" s="1"/>
      <c r="UIE57" s="1"/>
      <c r="UIF57" s="1"/>
      <c r="UIG57" s="1"/>
      <c r="UIH57" s="1"/>
      <c r="UII57" s="1"/>
      <c r="UIJ57" s="1"/>
      <c r="UIK57" s="1"/>
      <c r="UIL57" s="1"/>
      <c r="UIM57" s="1"/>
      <c r="UIN57" s="1"/>
      <c r="UIO57" s="1"/>
      <c r="UIP57" s="1"/>
      <c r="UIQ57" s="1"/>
      <c r="UIR57" s="1"/>
      <c r="UIS57" s="1"/>
      <c r="UIT57" s="1"/>
      <c r="UIU57" s="1"/>
      <c r="UIV57" s="1"/>
      <c r="UIW57" s="1"/>
      <c r="UIX57" s="1"/>
      <c r="UIY57" s="1"/>
      <c r="UIZ57" s="1"/>
      <c r="UJA57" s="1"/>
      <c r="UJB57" s="1"/>
      <c r="UJC57" s="1"/>
      <c r="UJD57" s="1"/>
      <c r="UJE57" s="1"/>
      <c r="UJF57" s="1"/>
      <c r="UJG57" s="1"/>
      <c r="UJH57" s="1"/>
      <c r="UJI57" s="1"/>
      <c r="UJJ57" s="1"/>
      <c r="UJK57" s="1"/>
      <c r="UJL57" s="1"/>
      <c r="UJM57" s="1"/>
      <c r="UJN57" s="1"/>
      <c r="UJO57" s="1"/>
      <c r="UJP57" s="1"/>
      <c r="UJQ57" s="1"/>
      <c r="UJR57" s="1"/>
      <c r="UJS57" s="1"/>
      <c r="UJT57" s="1"/>
      <c r="UJU57" s="1"/>
      <c r="UJV57" s="1"/>
      <c r="UJW57" s="1"/>
      <c r="UJX57" s="1"/>
      <c r="UJY57" s="1"/>
      <c r="UJZ57" s="1"/>
      <c r="UKA57" s="1"/>
      <c r="UKB57" s="1"/>
      <c r="UKC57" s="1"/>
      <c r="UKD57" s="1"/>
      <c r="UKE57" s="1"/>
      <c r="UKF57" s="1"/>
      <c r="UKG57" s="1"/>
      <c r="UKH57" s="1"/>
      <c r="UKI57" s="1"/>
      <c r="UKJ57" s="1"/>
      <c r="UKK57" s="1"/>
      <c r="UKL57" s="1"/>
      <c r="UKM57" s="1"/>
      <c r="UKN57" s="1"/>
      <c r="UKO57" s="1"/>
      <c r="UKP57" s="1"/>
      <c r="UKQ57" s="1"/>
      <c r="UKR57" s="1"/>
      <c r="UKS57" s="1"/>
      <c r="UKT57" s="1"/>
      <c r="UKU57" s="1"/>
      <c r="UKV57" s="1"/>
      <c r="UKW57" s="1"/>
      <c r="UKX57" s="1"/>
      <c r="UKY57" s="1"/>
      <c r="UKZ57" s="1"/>
      <c r="ULA57" s="1"/>
      <c r="ULB57" s="1"/>
      <c r="ULC57" s="1"/>
      <c r="ULD57" s="1"/>
      <c r="ULE57" s="1"/>
      <c r="ULF57" s="1"/>
      <c r="ULG57" s="1"/>
      <c r="ULH57" s="1"/>
      <c r="ULI57" s="1"/>
      <c r="ULJ57" s="1"/>
      <c r="ULK57" s="1"/>
      <c r="ULL57" s="1"/>
      <c r="ULM57" s="1"/>
      <c r="ULN57" s="1"/>
      <c r="ULO57" s="1"/>
      <c r="ULP57" s="1"/>
      <c r="ULQ57" s="1"/>
      <c r="ULR57" s="1"/>
      <c r="ULS57" s="1"/>
      <c r="ULT57" s="1"/>
      <c r="ULU57" s="1"/>
      <c r="ULV57" s="1"/>
      <c r="ULW57" s="1"/>
      <c r="ULX57" s="1"/>
      <c r="ULY57" s="1"/>
      <c r="ULZ57" s="1"/>
      <c r="UMA57" s="1"/>
      <c r="UMB57" s="1"/>
      <c r="UMC57" s="1"/>
      <c r="UMD57" s="1"/>
      <c r="UME57" s="1"/>
      <c r="UMF57" s="1"/>
      <c r="UMG57" s="1"/>
      <c r="UMH57" s="1"/>
      <c r="UMI57" s="1"/>
      <c r="UMJ57" s="1"/>
      <c r="UMK57" s="1"/>
      <c r="UML57" s="1"/>
      <c r="UMM57" s="1"/>
      <c r="UMN57" s="1"/>
      <c r="UMO57" s="1"/>
      <c r="UMP57" s="1"/>
      <c r="UMQ57" s="1"/>
      <c r="UMR57" s="1"/>
      <c r="UMS57" s="1"/>
      <c r="UMT57" s="1"/>
      <c r="UMU57" s="1"/>
      <c r="UMV57" s="1"/>
      <c r="UMW57" s="1"/>
      <c r="UMX57" s="1"/>
      <c r="UMY57" s="1"/>
      <c r="UMZ57" s="1"/>
      <c r="UNA57" s="1"/>
      <c r="UNB57" s="1"/>
      <c r="UNC57" s="1"/>
      <c r="UND57" s="1"/>
      <c r="UNE57" s="1"/>
      <c r="UNF57" s="1"/>
      <c r="UNG57" s="1"/>
      <c r="UNH57" s="1"/>
      <c r="UNI57" s="1"/>
      <c r="UNJ57" s="1"/>
      <c r="UNK57" s="1"/>
      <c r="UNL57" s="1"/>
      <c r="UNM57" s="1"/>
      <c r="UNN57" s="1"/>
      <c r="UNO57" s="1"/>
      <c r="UNP57" s="1"/>
      <c r="UNQ57" s="1"/>
      <c r="UNR57" s="1"/>
      <c r="UNS57" s="1"/>
      <c r="UNT57" s="1"/>
      <c r="UNU57" s="1"/>
      <c r="UNV57" s="1"/>
      <c r="UNW57" s="1"/>
      <c r="UNX57" s="1"/>
      <c r="UNY57" s="1"/>
      <c r="UNZ57" s="1"/>
      <c r="UOA57" s="1"/>
      <c r="UOB57" s="1"/>
      <c r="UOC57" s="1"/>
      <c r="UOD57" s="1"/>
      <c r="UOE57" s="1"/>
      <c r="UOF57" s="1"/>
      <c r="UOG57" s="1"/>
      <c r="UOH57" s="1"/>
      <c r="UOI57" s="1"/>
      <c r="UOJ57" s="1"/>
      <c r="UOK57" s="1"/>
      <c r="UOL57" s="1"/>
      <c r="UOM57" s="1"/>
      <c r="UON57" s="1"/>
      <c r="UOO57" s="1"/>
      <c r="UOP57" s="1"/>
      <c r="UOQ57" s="1"/>
      <c r="UOR57" s="1"/>
      <c r="UOS57" s="1"/>
      <c r="UOT57" s="1"/>
      <c r="UOU57" s="1"/>
      <c r="UOV57" s="1"/>
      <c r="UOW57" s="1"/>
      <c r="UOX57" s="1"/>
      <c r="UOY57" s="1"/>
      <c r="UOZ57" s="1"/>
      <c r="UPA57" s="1"/>
      <c r="UPB57" s="1"/>
      <c r="UPC57" s="1"/>
      <c r="UPD57" s="1"/>
      <c r="UPE57" s="1"/>
      <c r="UPF57" s="1"/>
      <c r="UPG57" s="1"/>
      <c r="UPH57" s="1"/>
      <c r="UPI57" s="1"/>
      <c r="UPJ57" s="1"/>
      <c r="UPK57" s="1"/>
      <c r="UPL57" s="1"/>
      <c r="UPM57" s="1"/>
      <c r="UPN57" s="1"/>
      <c r="UPO57" s="1"/>
      <c r="UPP57" s="1"/>
      <c r="UPQ57" s="1"/>
      <c r="UPR57" s="1"/>
      <c r="UPS57" s="1"/>
      <c r="UPT57" s="1"/>
      <c r="UPU57" s="1"/>
      <c r="UPV57" s="1"/>
      <c r="UPW57" s="1"/>
      <c r="UPX57" s="1"/>
      <c r="UPY57" s="1"/>
      <c r="UPZ57" s="1"/>
      <c r="UQA57" s="1"/>
      <c r="UQB57" s="1"/>
      <c r="UQC57" s="1"/>
      <c r="UQD57" s="1"/>
      <c r="UQE57" s="1"/>
      <c r="UQF57" s="1"/>
      <c r="UQG57" s="1"/>
      <c r="UQH57" s="1"/>
      <c r="UQI57" s="1"/>
      <c r="UQJ57" s="1"/>
      <c r="UQK57" s="1"/>
      <c r="UQL57" s="1"/>
      <c r="UQM57" s="1"/>
      <c r="UQN57" s="1"/>
      <c r="UQO57" s="1"/>
      <c r="UQP57" s="1"/>
      <c r="UQQ57" s="1"/>
      <c r="UQR57" s="1"/>
      <c r="UQS57" s="1"/>
      <c r="UQT57" s="1"/>
      <c r="UQU57" s="1"/>
      <c r="UQV57" s="1"/>
      <c r="UQW57" s="1"/>
      <c r="UQX57" s="1"/>
      <c r="UQY57" s="1"/>
      <c r="UQZ57" s="1"/>
      <c r="URA57" s="1"/>
      <c r="URB57" s="1"/>
      <c r="URC57" s="1"/>
      <c r="URD57" s="1"/>
      <c r="URE57" s="1"/>
      <c r="URF57" s="1"/>
      <c r="URG57" s="1"/>
      <c r="URH57" s="1"/>
      <c r="URI57" s="1"/>
      <c r="URJ57" s="1"/>
      <c r="URK57" s="1"/>
      <c r="URL57" s="1"/>
      <c r="URM57" s="1"/>
      <c r="URN57" s="1"/>
      <c r="URO57" s="1"/>
      <c r="URP57" s="1"/>
      <c r="URQ57" s="1"/>
      <c r="URR57" s="1"/>
      <c r="URS57" s="1"/>
      <c r="URT57" s="1"/>
      <c r="URU57" s="1"/>
      <c r="URV57" s="1"/>
      <c r="URW57" s="1"/>
      <c r="URX57" s="1"/>
      <c r="URY57" s="1"/>
      <c r="URZ57" s="1"/>
      <c r="USA57" s="1"/>
      <c r="USB57" s="1"/>
      <c r="USC57" s="1"/>
      <c r="USD57" s="1"/>
      <c r="USE57" s="1"/>
      <c r="USF57" s="1"/>
      <c r="USG57" s="1"/>
      <c r="USH57" s="1"/>
      <c r="USI57" s="1"/>
      <c r="USJ57" s="1"/>
      <c r="USK57" s="1"/>
      <c r="USL57" s="1"/>
      <c r="USM57" s="1"/>
      <c r="USN57" s="1"/>
      <c r="USO57" s="1"/>
      <c r="USP57" s="1"/>
      <c r="USQ57" s="1"/>
      <c r="USR57" s="1"/>
      <c r="USS57" s="1"/>
      <c r="UST57" s="1"/>
      <c r="USU57" s="1"/>
      <c r="USV57" s="1"/>
      <c r="USW57" s="1"/>
      <c r="USX57" s="1"/>
      <c r="USY57" s="1"/>
      <c r="USZ57" s="1"/>
      <c r="UTA57" s="1"/>
      <c r="UTB57" s="1"/>
      <c r="UTC57" s="1"/>
      <c r="UTD57" s="1"/>
      <c r="UTE57" s="1"/>
      <c r="UTF57" s="1"/>
      <c r="UTG57" s="1"/>
      <c r="UTH57" s="1"/>
      <c r="UTI57" s="1"/>
      <c r="UTJ57" s="1"/>
      <c r="UTK57" s="1"/>
      <c r="UTL57" s="1"/>
      <c r="UTM57" s="1"/>
      <c r="UTN57" s="1"/>
      <c r="UTO57" s="1"/>
      <c r="UTP57" s="1"/>
      <c r="UTQ57" s="1"/>
      <c r="UTR57" s="1"/>
      <c r="UTS57" s="1"/>
      <c r="UTT57" s="1"/>
      <c r="UTU57" s="1"/>
      <c r="UTV57" s="1"/>
      <c r="UTW57" s="1"/>
      <c r="UTX57" s="1"/>
      <c r="UTY57" s="1"/>
      <c r="UTZ57" s="1"/>
      <c r="UUA57" s="1"/>
      <c r="UUB57" s="1"/>
      <c r="UUC57" s="1"/>
      <c r="UUD57" s="1"/>
      <c r="UUE57" s="1"/>
      <c r="UUF57" s="1"/>
      <c r="UUG57" s="1"/>
      <c r="UUH57" s="1"/>
      <c r="UUI57" s="1"/>
      <c r="UUJ57" s="1"/>
      <c r="UUK57" s="1"/>
      <c r="UUL57" s="1"/>
      <c r="UUM57" s="1"/>
      <c r="UUN57" s="1"/>
      <c r="UUO57" s="1"/>
      <c r="UUP57" s="1"/>
      <c r="UUQ57" s="1"/>
      <c r="UUR57" s="1"/>
      <c r="UUS57" s="1"/>
      <c r="UUT57" s="1"/>
      <c r="UUU57" s="1"/>
      <c r="UUV57" s="1"/>
      <c r="UUW57" s="1"/>
      <c r="UUX57" s="1"/>
      <c r="UUY57" s="1"/>
      <c r="UUZ57" s="1"/>
      <c r="UVA57" s="1"/>
      <c r="UVB57" s="1"/>
      <c r="UVC57" s="1"/>
      <c r="UVD57" s="1"/>
      <c r="UVE57" s="1"/>
      <c r="UVF57" s="1"/>
      <c r="UVG57" s="1"/>
      <c r="UVH57" s="1"/>
      <c r="UVI57" s="1"/>
      <c r="UVJ57" s="1"/>
      <c r="UVK57" s="1"/>
      <c r="UVL57" s="1"/>
      <c r="UVM57" s="1"/>
      <c r="UVN57" s="1"/>
      <c r="UVO57" s="1"/>
      <c r="UVP57" s="1"/>
      <c r="UVQ57" s="1"/>
      <c r="UVR57" s="1"/>
      <c r="UVS57" s="1"/>
      <c r="UVT57" s="1"/>
      <c r="UVU57" s="1"/>
      <c r="UVV57" s="1"/>
      <c r="UVW57" s="1"/>
      <c r="UVX57" s="1"/>
      <c r="UVY57" s="1"/>
      <c r="UVZ57" s="1"/>
      <c r="UWA57" s="1"/>
      <c r="UWB57" s="1"/>
      <c r="UWC57" s="1"/>
      <c r="UWD57" s="1"/>
      <c r="UWE57" s="1"/>
      <c r="UWF57" s="1"/>
      <c r="UWG57" s="1"/>
      <c r="UWH57" s="1"/>
      <c r="UWI57" s="1"/>
      <c r="UWJ57" s="1"/>
      <c r="UWK57" s="1"/>
      <c r="UWL57" s="1"/>
      <c r="UWM57" s="1"/>
      <c r="UWN57" s="1"/>
      <c r="UWO57" s="1"/>
      <c r="UWP57" s="1"/>
      <c r="UWQ57" s="1"/>
      <c r="UWR57" s="1"/>
      <c r="UWS57" s="1"/>
      <c r="UWT57" s="1"/>
      <c r="UWU57" s="1"/>
      <c r="UWV57" s="1"/>
      <c r="UWW57" s="1"/>
      <c r="UWX57" s="1"/>
      <c r="UWY57" s="1"/>
      <c r="UWZ57" s="1"/>
      <c r="UXA57" s="1"/>
      <c r="UXB57" s="1"/>
      <c r="UXC57" s="1"/>
      <c r="UXD57" s="1"/>
      <c r="UXE57" s="1"/>
      <c r="UXF57" s="1"/>
      <c r="UXG57" s="1"/>
      <c r="UXH57" s="1"/>
      <c r="UXI57" s="1"/>
      <c r="UXJ57" s="1"/>
      <c r="UXK57" s="1"/>
      <c r="UXL57" s="1"/>
      <c r="UXM57" s="1"/>
      <c r="UXN57" s="1"/>
      <c r="UXO57" s="1"/>
      <c r="UXP57" s="1"/>
      <c r="UXQ57" s="1"/>
      <c r="UXR57" s="1"/>
      <c r="UXS57" s="1"/>
      <c r="UXT57" s="1"/>
      <c r="UXU57" s="1"/>
      <c r="UXV57" s="1"/>
      <c r="UXW57" s="1"/>
      <c r="UXX57" s="1"/>
      <c r="UXY57" s="1"/>
      <c r="UXZ57" s="1"/>
      <c r="UYA57" s="1"/>
      <c r="UYB57" s="1"/>
      <c r="UYC57" s="1"/>
      <c r="UYD57" s="1"/>
      <c r="UYE57" s="1"/>
      <c r="UYF57" s="1"/>
      <c r="UYG57" s="1"/>
      <c r="UYH57" s="1"/>
      <c r="UYI57" s="1"/>
      <c r="UYJ57" s="1"/>
      <c r="UYK57" s="1"/>
      <c r="UYL57" s="1"/>
      <c r="UYM57" s="1"/>
      <c r="UYN57" s="1"/>
      <c r="UYO57" s="1"/>
      <c r="UYP57" s="1"/>
      <c r="UYQ57" s="1"/>
      <c r="UYR57" s="1"/>
      <c r="UYS57" s="1"/>
      <c r="UYT57" s="1"/>
      <c r="UYU57" s="1"/>
      <c r="UYV57" s="1"/>
      <c r="UYW57" s="1"/>
      <c r="UYX57" s="1"/>
      <c r="UYY57" s="1"/>
      <c r="UYZ57" s="1"/>
      <c r="UZA57" s="1"/>
      <c r="UZB57" s="1"/>
      <c r="UZC57" s="1"/>
      <c r="UZD57" s="1"/>
      <c r="UZE57" s="1"/>
      <c r="UZF57" s="1"/>
      <c r="UZG57" s="1"/>
      <c r="UZH57" s="1"/>
      <c r="UZI57" s="1"/>
      <c r="UZJ57" s="1"/>
      <c r="UZK57" s="1"/>
      <c r="UZL57" s="1"/>
      <c r="UZM57" s="1"/>
      <c r="UZN57" s="1"/>
      <c r="UZO57" s="1"/>
      <c r="UZP57" s="1"/>
      <c r="UZQ57" s="1"/>
      <c r="UZR57" s="1"/>
      <c r="UZS57" s="1"/>
      <c r="UZT57" s="1"/>
      <c r="UZU57" s="1"/>
      <c r="UZV57" s="1"/>
      <c r="UZW57" s="1"/>
      <c r="UZX57" s="1"/>
      <c r="UZY57" s="1"/>
      <c r="UZZ57" s="1"/>
      <c r="VAA57" s="1"/>
      <c r="VAB57" s="1"/>
      <c r="VAC57" s="1"/>
      <c r="VAD57" s="1"/>
      <c r="VAE57" s="1"/>
      <c r="VAF57" s="1"/>
      <c r="VAG57" s="1"/>
      <c r="VAH57" s="1"/>
      <c r="VAI57" s="1"/>
      <c r="VAJ57" s="1"/>
      <c r="VAK57" s="1"/>
      <c r="VAL57" s="1"/>
      <c r="VAM57" s="1"/>
      <c r="VAN57" s="1"/>
      <c r="VAO57" s="1"/>
      <c r="VAP57" s="1"/>
      <c r="VAQ57" s="1"/>
      <c r="VAR57" s="1"/>
      <c r="VAS57" s="1"/>
      <c r="VAT57" s="1"/>
      <c r="VAU57" s="1"/>
      <c r="VAV57" s="1"/>
      <c r="VAW57" s="1"/>
      <c r="VAX57" s="1"/>
      <c r="VAY57" s="1"/>
      <c r="VAZ57" s="1"/>
      <c r="VBA57" s="1"/>
      <c r="VBB57" s="1"/>
      <c r="VBC57" s="1"/>
      <c r="VBD57" s="1"/>
      <c r="VBE57" s="1"/>
      <c r="VBF57" s="1"/>
      <c r="VBG57" s="1"/>
      <c r="VBH57" s="1"/>
      <c r="VBI57" s="1"/>
      <c r="VBJ57" s="1"/>
      <c r="VBK57" s="1"/>
      <c r="VBL57" s="1"/>
      <c r="VBM57" s="1"/>
      <c r="VBN57" s="1"/>
      <c r="VBO57" s="1"/>
      <c r="VBP57" s="1"/>
      <c r="VBQ57" s="1"/>
      <c r="VBR57" s="1"/>
      <c r="VBS57" s="1"/>
      <c r="VBT57" s="1"/>
      <c r="VBU57" s="1"/>
      <c r="VBV57" s="1"/>
      <c r="VBW57" s="1"/>
      <c r="VBX57" s="1"/>
      <c r="VBY57" s="1"/>
      <c r="VBZ57" s="1"/>
      <c r="VCA57" s="1"/>
      <c r="VCB57" s="1"/>
      <c r="VCC57" s="1"/>
      <c r="VCD57" s="1"/>
      <c r="VCE57" s="1"/>
      <c r="VCF57" s="1"/>
      <c r="VCG57" s="1"/>
      <c r="VCH57" s="1"/>
      <c r="VCI57" s="1"/>
      <c r="VCJ57" s="1"/>
      <c r="VCK57" s="1"/>
      <c r="VCL57" s="1"/>
      <c r="VCM57" s="1"/>
      <c r="VCN57" s="1"/>
      <c r="VCO57" s="1"/>
      <c r="VCP57" s="1"/>
      <c r="VCQ57" s="1"/>
      <c r="VCR57" s="1"/>
      <c r="VCS57" s="1"/>
      <c r="VCT57" s="1"/>
      <c r="VCU57" s="1"/>
      <c r="VCV57" s="1"/>
      <c r="VCW57" s="1"/>
      <c r="VCX57" s="1"/>
      <c r="VCY57" s="1"/>
      <c r="VCZ57" s="1"/>
      <c r="VDA57" s="1"/>
      <c r="VDB57" s="1"/>
      <c r="VDC57" s="1"/>
      <c r="VDD57" s="1"/>
      <c r="VDE57" s="1"/>
      <c r="VDF57" s="1"/>
      <c r="VDG57" s="1"/>
      <c r="VDH57" s="1"/>
      <c r="VDI57" s="1"/>
      <c r="VDJ57" s="1"/>
      <c r="VDK57" s="1"/>
      <c r="VDL57" s="1"/>
      <c r="VDM57" s="1"/>
      <c r="VDN57" s="1"/>
      <c r="VDO57" s="1"/>
      <c r="VDP57" s="1"/>
      <c r="VDQ57" s="1"/>
      <c r="VDR57" s="1"/>
      <c r="VDS57" s="1"/>
      <c r="VDT57" s="1"/>
      <c r="VDU57" s="1"/>
      <c r="VDV57" s="1"/>
      <c r="VDW57" s="1"/>
      <c r="VDX57" s="1"/>
      <c r="VDY57" s="1"/>
      <c r="VDZ57" s="1"/>
      <c r="VEA57" s="1"/>
      <c r="VEB57" s="1"/>
      <c r="VEC57" s="1"/>
      <c r="VED57" s="1"/>
      <c r="VEE57" s="1"/>
      <c r="VEF57" s="1"/>
      <c r="VEG57" s="1"/>
      <c r="VEH57" s="1"/>
      <c r="VEI57" s="1"/>
      <c r="VEJ57" s="1"/>
      <c r="VEK57" s="1"/>
      <c r="VEL57" s="1"/>
      <c r="VEM57" s="1"/>
      <c r="VEN57" s="1"/>
      <c r="VEO57" s="1"/>
      <c r="VEP57" s="1"/>
      <c r="VEQ57" s="1"/>
      <c r="VER57" s="1"/>
      <c r="VES57" s="1"/>
      <c r="VET57" s="1"/>
      <c r="VEU57" s="1"/>
      <c r="VEV57" s="1"/>
      <c r="VEW57" s="1"/>
      <c r="VEX57" s="1"/>
      <c r="VEY57" s="1"/>
      <c r="VEZ57" s="1"/>
      <c r="VFA57" s="1"/>
      <c r="VFB57" s="1"/>
      <c r="VFC57" s="1"/>
      <c r="VFD57" s="1"/>
      <c r="VFE57" s="1"/>
      <c r="VFF57" s="1"/>
      <c r="VFG57" s="1"/>
      <c r="VFH57" s="1"/>
      <c r="VFI57" s="1"/>
      <c r="VFJ57" s="1"/>
      <c r="VFK57" s="1"/>
      <c r="VFL57" s="1"/>
      <c r="VFM57" s="1"/>
      <c r="VFN57" s="1"/>
      <c r="VFO57" s="1"/>
      <c r="VFP57" s="1"/>
      <c r="VFQ57" s="1"/>
      <c r="VFR57" s="1"/>
      <c r="VFS57" s="1"/>
      <c r="VFT57" s="1"/>
      <c r="VFU57" s="1"/>
      <c r="VFV57" s="1"/>
      <c r="VFW57" s="1"/>
      <c r="VFX57" s="1"/>
      <c r="VFY57" s="1"/>
      <c r="VFZ57" s="1"/>
      <c r="VGA57" s="1"/>
      <c r="VGB57" s="1"/>
      <c r="VGC57" s="1"/>
      <c r="VGD57" s="1"/>
      <c r="VGE57" s="1"/>
      <c r="VGF57" s="1"/>
      <c r="VGG57" s="1"/>
      <c r="VGH57" s="1"/>
      <c r="VGI57" s="1"/>
      <c r="VGJ57" s="1"/>
      <c r="VGK57" s="1"/>
      <c r="VGL57" s="1"/>
      <c r="VGM57" s="1"/>
      <c r="VGN57" s="1"/>
      <c r="VGO57" s="1"/>
      <c r="VGP57" s="1"/>
      <c r="VGQ57" s="1"/>
      <c r="VGR57" s="1"/>
      <c r="VGS57" s="1"/>
      <c r="VGT57" s="1"/>
      <c r="VGU57" s="1"/>
      <c r="VGV57" s="1"/>
      <c r="VGW57" s="1"/>
      <c r="VGX57" s="1"/>
      <c r="VGY57" s="1"/>
      <c r="VGZ57" s="1"/>
      <c r="VHA57" s="1"/>
      <c r="VHB57" s="1"/>
      <c r="VHC57" s="1"/>
      <c r="VHD57" s="1"/>
      <c r="VHE57" s="1"/>
      <c r="VHF57" s="1"/>
      <c r="VHG57" s="1"/>
      <c r="VHH57" s="1"/>
      <c r="VHI57" s="1"/>
      <c r="VHJ57" s="1"/>
      <c r="VHK57" s="1"/>
      <c r="VHL57" s="1"/>
      <c r="VHM57" s="1"/>
      <c r="VHN57" s="1"/>
      <c r="VHO57" s="1"/>
      <c r="VHP57" s="1"/>
      <c r="VHQ57" s="1"/>
      <c r="VHR57" s="1"/>
      <c r="VHS57" s="1"/>
      <c r="VHT57" s="1"/>
      <c r="VHU57" s="1"/>
      <c r="VHV57" s="1"/>
      <c r="VHW57" s="1"/>
      <c r="VHX57" s="1"/>
      <c r="VHY57" s="1"/>
      <c r="VHZ57" s="1"/>
      <c r="VIA57" s="1"/>
      <c r="VIB57" s="1"/>
      <c r="VIC57" s="1"/>
      <c r="VID57" s="1"/>
      <c r="VIE57" s="1"/>
      <c r="VIF57" s="1"/>
      <c r="VIG57" s="1"/>
      <c r="VIH57" s="1"/>
      <c r="VII57" s="1"/>
      <c r="VIJ57" s="1"/>
      <c r="VIK57" s="1"/>
      <c r="VIL57" s="1"/>
      <c r="VIM57" s="1"/>
      <c r="VIN57" s="1"/>
      <c r="VIO57" s="1"/>
      <c r="VIP57" s="1"/>
      <c r="VIQ57" s="1"/>
      <c r="VIR57" s="1"/>
      <c r="VIS57" s="1"/>
      <c r="VIT57" s="1"/>
      <c r="VIU57" s="1"/>
      <c r="VIV57" s="1"/>
      <c r="VIW57" s="1"/>
      <c r="VIX57" s="1"/>
      <c r="VIY57" s="1"/>
      <c r="VIZ57" s="1"/>
      <c r="VJA57" s="1"/>
      <c r="VJB57" s="1"/>
      <c r="VJC57" s="1"/>
      <c r="VJD57" s="1"/>
      <c r="VJE57" s="1"/>
      <c r="VJF57" s="1"/>
      <c r="VJG57" s="1"/>
      <c r="VJH57" s="1"/>
      <c r="VJI57" s="1"/>
      <c r="VJJ57" s="1"/>
      <c r="VJK57" s="1"/>
      <c r="VJL57" s="1"/>
      <c r="VJM57" s="1"/>
      <c r="VJN57" s="1"/>
      <c r="VJO57" s="1"/>
      <c r="VJP57" s="1"/>
      <c r="VJQ57" s="1"/>
      <c r="VJR57" s="1"/>
      <c r="VJS57" s="1"/>
      <c r="VJT57" s="1"/>
      <c r="VJU57" s="1"/>
      <c r="VJV57" s="1"/>
      <c r="VJW57" s="1"/>
      <c r="VJX57" s="1"/>
      <c r="VJY57" s="1"/>
      <c r="VJZ57" s="1"/>
      <c r="VKA57" s="1"/>
      <c r="VKB57" s="1"/>
      <c r="VKC57" s="1"/>
      <c r="VKD57" s="1"/>
      <c r="VKE57" s="1"/>
      <c r="VKF57" s="1"/>
      <c r="VKG57" s="1"/>
      <c r="VKH57" s="1"/>
      <c r="VKI57" s="1"/>
      <c r="VKJ57" s="1"/>
      <c r="VKK57" s="1"/>
      <c r="VKL57" s="1"/>
      <c r="VKM57" s="1"/>
      <c r="VKN57" s="1"/>
      <c r="VKO57" s="1"/>
      <c r="VKP57" s="1"/>
      <c r="VKQ57" s="1"/>
      <c r="VKR57" s="1"/>
      <c r="VKS57" s="1"/>
      <c r="VKT57" s="1"/>
      <c r="VKU57" s="1"/>
      <c r="VKV57" s="1"/>
      <c r="VKW57" s="1"/>
      <c r="VKX57" s="1"/>
      <c r="VKY57" s="1"/>
      <c r="VKZ57" s="1"/>
      <c r="VLA57" s="1"/>
      <c r="VLB57" s="1"/>
      <c r="VLC57" s="1"/>
      <c r="VLD57" s="1"/>
      <c r="VLE57" s="1"/>
      <c r="VLF57" s="1"/>
      <c r="VLG57" s="1"/>
      <c r="VLH57" s="1"/>
      <c r="VLI57" s="1"/>
      <c r="VLJ57" s="1"/>
      <c r="VLK57" s="1"/>
      <c r="VLL57" s="1"/>
      <c r="VLM57" s="1"/>
      <c r="VLN57" s="1"/>
      <c r="VLO57" s="1"/>
      <c r="VLP57" s="1"/>
      <c r="VLQ57" s="1"/>
      <c r="VLR57" s="1"/>
      <c r="VLS57" s="1"/>
      <c r="VLT57" s="1"/>
      <c r="VLU57" s="1"/>
      <c r="VLV57" s="1"/>
      <c r="VLW57" s="1"/>
      <c r="VLX57" s="1"/>
      <c r="VLY57" s="1"/>
      <c r="VLZ57" s="1"/>
      <c r="VMA57" s="1"/>
      <c r="VMB57" s="1"/>
      <c r="VMC57" s="1"/>
      <c r="VMD57" s="1"/>
      <c r="VME57" s="1"/>
      <c r="VMF57" s="1"/>
      <c r="VMG57" s="1"/>
      <c r="VMH57" s="1"/>
      <c r="VMI57" s="1"/>
      <c r="VMJ57" s="1"/>
      <c r="VMK57" s="1"/>
      <c r="VML57" s="1"/>
      <c r="VMM57" s="1"/>
      <c r="VMN57" s="1"/>
      <c r="VMO57" s="1"/>
      <c r="VMP57" s="1"/>
      <c r="VMQ57" s="1"/>
      <c r="VMR57" s="1"/>
      <c r="VMS57" s="1"/>
      <c r="VMT57" s="1"/>
      <c r="VMU57" s="1"/>
      <c r="VMV57" s="1"/>
      <c r="VMW57" s="1"/>
      <c r="VMX57" s="1"/>
      <c r="VMY57" s="1"/>
      <c r="VMZ57" s="1"/>
      <c r="VNA57" s="1"/>
      <c r="VNB57" s="1"/>
      <c r="VNC57" s="1"/>
      <c r="VND57" s="1"/>
      <c r="VNE57" s="1"/>
      <c r="VNF57" s="1"/>
      <c r="VNG57" s="1"/>
      <c r="VNH57" s="1"/>
      <c r="VNI57" s="1"/>
      <c r="VNJ57" s="1"/>
      <c r="VNK57" s="1"/>
      <c r="VNL57" s="1"/>
      <c r="VNM57" s="1"/>
      <c r="VNN57" s="1"/>
      <c r="VNO57" s="1"/>
      <c r="VNP57" s="1"/>
      <c r="VNQ57" s="1"/>
      <c r="VNR57" s="1"/>
      <c r="VNS57" s="1"/>
      <c r="VNT57" s="1"/>
      <c r="VNU57" s="1"/>
      <c r="VNV57" s="1"/>
      <c r="VNW57" s="1"/>
      <c r="VNX57" s="1"/>
      <c r="VNY57" s="1"/>
      <c r="VNZ57" s="1"/>
      <c r="VOA57" s="1"/>
      <c r="VOB57" s="1"/>
      <c r="VOC57" s="1"/>
      <c r="VOD57" s="1"/>
      <c r="VOE57" s="1"/>
      <c r="VOF57" s="1"/>
      <c r="VOG57" s="1"/>
      <c r="VOH57" s="1"/>
      <c r="VOI57" s="1"/>
      <c r="VOJ57" s="1"/>
      <c r="VOK57" s="1"/>
      <c r="VOL57" s="1"/>
      <c r="VOM57" s="1"/>
      <c r="VON57" s="1"/>
      <c r="VOO57" s="1"/>
      <c r="VOP57" s="1"/>
      <c r="VOQ57" s="1"/>
      <c r="VOR57" s="1"/>
      <c r="VOS57" s="1"/>
      <c r="VOT57" s="1"/>
      <c r="VOU57" s="1"/>
      <c r="VOV57" s="1"/>
      <c r="VOW57" s="1"/>
      <c r="VOX57" s="1"/>
      <c r="VOY57" s="1"/>
      <c r="VOZ57" s="1"/>
      <c r="VPA57" s="1"/>
      <c r="VPB57" s="1"/>
      <c r="VPC57" s="1"/>
      <c r="VPD57" s="1"/>
      <c r="VPE57" s="1"/>
      <c r="VPF57" s="1"/>
      <c r="VPG57" s="1"/>
      <c r="VPH57" s="1"/>
      <c r="VPI57" s="1"/>
      <c r="VPJ57" s="1"/>
      <c r="VPK57" s="1"/>
      <c r="VPL57" s="1"/>
      <c r="VPM57" s="1"/>
      <c r="VPN57" s="1"/>
      <c r="VPO57" s="1"/>
      <c r="VPP57" s="1"/>
      <c r="VPQ57" s="1"/>
      <c r="VPR57" s="1"/>
      <c r="VPS57" s="1"/>
      <c r="VPT57" s="1"/>
      <c r="VPU57" s="1"/>
      <c r="VPV57" s="1"/>
      <c r="VPW57" s="1"/>
      <c r="VPX57" s="1"/>
      <c r="VPY57" s="1"/>
      <c r="VPZ57" s="1"/>
      <c r="VQA57" s="1"/>
      <c r="VQB57" s="1"/>
      <c r="VQC57" s="1"/>
      <c r="VQD57" s="1"/>
      <c r="VQE57" s="1"/>
      <c r="VQF57" s="1"/>
      <c r="VQG57" s="1"/>
      <c r="VQH57" s="1"/>
      <c r="VQI57" s="1"/>
      <c r="VQJ57" s="1"/>
      <c r="VQK57" s="1"/>
      <c r="VQL57" s="1"/>
      <c r="VQM57" s="1"/>
      <c r="VQN57" s="1"/>
      <c r="VQO57" s="1"/>
      <c r="VQP57" s="1"/>
      <c r="VQQ57" s="1"/>
      <c r="VQR57" s="1"/>
      <c r="VQS57" s="1"/>
      <c r="VQT57" s="1"/>
      <c r="VQU57" s="1"/>
      <c r="VQV57" s="1"/>
      <c r="VQW57" s="1"/>
      <c r="VQX57" s="1"/>
      <c r="VQY57" s="1"/>
      <c r="VQZ57" s="1"/>
      <c r="VRA57" s="1"/>
      <c r="VRB57" s="1"/>
      <c r="VRC57" s="1"/>
      <c r="VRD57" s="1"/>
      <c r="VRE57" s="1"/>
      <c r="VRF57" s="1"/>
      <c r="VRG57" s="1"/>
      <c r="VRH57" s="1"/>
      <c r="VRI57" s="1"/>
      <c r="VRJ57" s="1"/>
      <c r="VRK57" s="1"/>
      <c r="VRL57" s="1"/>
      <c r="VRM57" s="1"/>
      <c r="VRN57" s="1"/>
      <c r="VRO57" s="1"/>
      <c r="VRP57" s="1"/>
      <c r="VRQ57" s="1"/>
      <c r="VRR57" s="1"/>
      <c r="VRS57" s="1"/>
      <c r="VRT57" s="1"/>
      <c r="VRU57" s="1"/>
      <c r="VRV57" s="1"/>
      <c r="VRW57" s="1"/>
      <c r="VRX57" s="1"/>
      <c r="VRY57" s="1"/>
      <c r="VRZ57" s="1"/>
      <c r="VSA57" s="1"/>
      <c r="VSB57" s="1"/>
      <c r="VSC57" s="1"/>
      <c r="VSD57" s="1"/>
      <c r="VSE57" s="1"/>
      <c r="VSF57" s="1"/>
      <c r="VSG57" s="1"/>
      <c r="VSH57" s="1"/>
      <c r="VSI57" s="1"/>
      <c r="VSJ57" s="1"/>
      <c r="VSK57" s="1"/>
      <c r="VSL57" s="1"/>
      <c r="VSM57" s="1"/>
      <c r="VSN57" s="1"/>
      <c r="VSO57" s="1"/>
      <c r="VSP57" s="1"/>
      <c r="VSQ57" s="1"/>
      <c r="VSR57" s="1"/>
      <c r="VSS57" s="1"/>
      <c r="VST57" s="1"/>
      <c r="VSU57" s="1"/>
      <c r="VSV57" s="1"/>
      <c r="VSW57" s="1"/>
      <c r="VSX57" s="1"/>
      <c r="VSY57" s="1"/>
      <c r="VSZ57" s="1"/>
      <c r="VTA57" s="1"/>
      <c r="VTB57" s="1"/>
      <c r="VTC57" s="1"/>
      <c r="VTD57" s="1"/>
      <c r="VTE57" s="1"/>
      <c r="VTF57" s="1"/>
      <c r="VTG57" s="1"/>
      <c r="VTH57" s="1"/>
      <c r="VTI57" s="1"/>
      <c r="VTJ57" s="1"/>
      <c r="VTK57" s="1"/>
      <c r="VTL57" s="1"/>
      <c r="VTM57" s="1"/>
      <c r="VTN57" s="1"/>
      <c r="VTO57" s="1"/>
      <c r="VTP57" s="1"/>
      <c r="VTQ57" s="1"/>
      <c r="VTR57" s="1"/>
      <c r="VTS57" s="1"/>
      <c r="VTT57" s="1"/>
      <c r="VTU57" s="1"/>
      <c r="VTV57" s="1"/>
      <c r="VTW57" s="1"/>
      <c r="VTX57" s="1"/>
      <c r="VTY57" s="1"/>
      <c r="VTZ57" s="1"/>
      <c r="VUA57" s="1"/>
      <c r="VUB57" s="1"/>
      <c r="VUC57" s="1"/>
      <c r="VUD57" s="1"/>
      <c r="VUE57" s="1"/>
      <c r="VUF57" s="1"/>
      <c r="VUG57" s="1"/>
      <c r="VUH57" s="1"/>
      <c r="VUI57" s="1"/>
      <c r="VUJ57" s="1"/>
      <c r="VUK57" s="1"/>
      <c r="VUL57" s="1"/>
      <c r="VUM57" s="1"/>
      <c r="VUN57" s="1"/>
      <c r="VUO57" s="1"/>
      <c r="VUP57" s="1"/>
      <c r="VUQ57" s="1"/>
      <c r="VUR57" s="1"/>
      <c r="VUS57" s="1"/>
      <c r="VUT57" s="1"/>
      <c r="VUU57" s="1"/>
      <c r="VUV57" s="1"/>
      <c r="VUW57" s="1"/>
      <c r="VUX57" s="1"/>
      <c r="VUY57" s="1"/>
      <c r="VUZ57" s="1"/>
      <c r="VVA57" s="1"/>
      <c r="VVB57" s="1"/>
      <c r="VVC57" s="1"/>
      <c r="VVD57" s="1"/>
      <c r="VVE57" s="1"/>
      <c r="VVF57" s="1"/>
      <c r="VVG57" s="1"/>
      <c r="VVH57" s="1"/>
      <c r="VVI57" s="1"/>
      <c r="VVJ57" s="1"/>
      <c r="VVK57" s="1"/>
      <c r="VVL57" s="1"/>
      <c r="VVM57" s="1"/>
      <c r="VVN57" s="1"/>
      <c r="VVO57" s="1"/>
      <c r="VVP57" s="1"/>
      <c r="VVQ57" s="1"/>
      <c r="VVR57" s="1"/>
      <c r="VVS57" s="1"/>
      <c r="VVT57" s="1"/>
      <c r="VVU57" s="1"/>
      <c r="VVV57" s="1"/>
      <c r="VVW57" s="1"/>
      <c r="VVX57" s="1"/>
      <c r="VVY57" s="1"/>
      <c r="VVZ57" s="1"/>
      <c r="VWA57" s="1"/>
      <c r="VWB57" s="1"/>
      <c r="VWC57" s="1"/>
      <c r="VWD57" s="1"/>
      <c r="VWE57" s="1"/>
      <c r="VWF57" s="1"/>
      <c r="VWG57" s="1"/>
      <c r="VWH57" s="1"/>
      <c r="VWI57" s="1"/>
      <c r="VWJ57" s="1"/>
      <c r="VWK57" s="1"/>
      <c r="VWL57" s="1"/>
      <c r="VWM57" s="1"/>
      <c r="VWN57" s="1"/>
      <c r="VWO57" s="1"/>
      <c r="VWP57" s="1"/>
      <c r="VWQ57" s="1"/>
      <c r="VWR57" s="1"/>
      <c r="VWS57" s="1"/>
      <c r="VWT57" s="1"/>
      <c r="VWU57" s="1"/>
      <c r="VWV57" s="1"/>
      <c r="VWW57" s="1"/>
      <c r="VWX57" s="1"/>
      <c r="VWY57" s="1"/>
      <c r="VWZ57" s="1"/>
      <c r="VXA57" s="1"/>
      <c r="VXB57" s="1"/>
      <c r="VXC57" s="1"/>
      <c r="VXD57" s="1"/>
      <c r="VXE57" s="1"/>
      <c r="VXF57" s="1"/>
      <c r="VXG57" s="1"/>
      <c r="VXH57" s="1"/>
      <c r="VXI57" s="1"/>
      <c r="VXJ57" s="1"/>
      <c r="VXK57" s="1"/>
      <c r="VXL57" s="1"/>
      <c r="VXM57" s="1"/>
      <c r="VXN57" s="1"/>
      <c r="VXO57" s="1"/>
      <c r="VXP57" s="1"/>
      <c r="VXQ57" s="1"/>
      <c r="VXR57" s="1"/>
      <c r="VXS57" s="1"/>
      <c r="VXT57" s="1"/>
      <c r="VXU57" s="1"/>
      <c r="VXV57" s="1"/>
      <c r="VXW57" s="1"/>
      <c r="VXX57" s="1"/>
      <c r="VXY57" s="1"/>
      <c r="VXZ57" s="1"/>
      <c r="VYA57" s="1"/>
      <c r="VYB57" s="1"/>
      <c r="VYC57" s="1"/>
      <c r="VYD57" s="1"/>
      <c r="VYE57" s="1"/>
      <c r="VYF57" s="1"/>
      <c r="VYG57" s="1"/>
      <c r="VYH57" s="1"/>
      <c r="VYI57" s="1"/>
      <c r="VYJ57" s="1"/>
      <c r="VYK57" s="1"/>
      <c r="VYL57" s="1"/>
      <c r="VYM57" s="1"/>
      <c r="VYN57" s="1"/>
      <c r="VYO57" s="1"/>
      <c r="VYP57" s="1"/>
      <c r="VYQ57" s="1"/>
      <c r="VYR57" s="1"/>
      <c r="VYS57" s="1"/>
      <c r="VYT57" s="1"/>
      <c r="VYU57" s="1"/>
      <c r="VYV57" s="1"/>
      <c r="VYW57" s="1"/>
      <c r="VYX57" s="1"/>
      <c r="VYY57" s="1"/>
      <c r="VYZ57" s="1"/>
      <c r="VZA57" s="1"/>
      <c r="VZB57" s="1"/>
      <c r="VZC57" s="1"/>
      <c r="VZD57" s="1"/>
      <c r="VZE57" s="1"/>
      <c r="VZF57" s="1"/>
      <c r="VZG57" s="1"/>
      <c r="VZH57" s="1"/>
      <c r="VZI57" s="1"/>
      <c r="VZJ57" s="1"/>
      <c r="VZK57" s="1"/>
      <c r="VZL57" s="1"/>
      <c r="VZM57" s="1"/>
      <c r="VZN57" s="1"/>
      <c r="VZO57" s="1"/>
      <c r="VZP57" s="1"/>
      <c r="VZQ57" s="1"/>
      <c r="VZR57" s="1"/>
      <c r="VZS57" s="1"/>
      <c r="VZT57" s="1"/>
      <c r="VZU57" s="1"/>
      <c r="VZV57" s="1"/>
      <c r="VZW57" s="1"/>
      <c r="VZX57" s="1"/>
      <c r="VZY57" s="1"/>
      <c r="VZZ57" s="1"/>
      <c r="WAA57" s="1"/>
      <c r="WAB57" s="1"/>
      <c r="WAC57" s="1"/>
      <c r="WAD57" s="1"/>
      <c r="WAE57" s="1"/>
      <c r="WAF57" s="1"/>
      <c r="WAG57" s="1"/>
      <c r="WAH57" s="1"/>
      <c r="WAI57" s="1"/>
      <c r="WAJ57" s="1"/>
      <c r="WAK57" s="1"/>
      <c r="WAL57" s="1"/>
      <c r="WAM57" s="1"/>
      <c r="WAN57" s="1"/>
      <c r="WAO57" s="1"/>
      <c r="WAP57" s="1"/>
      <c r="WAQ57" s="1"/>
      <c r="WAR57" s="1"/>
      <c r="WAS57" s="1"/>
      <c r="WAT57" s="1"/>
      <c r="WAU57" s="1"/>
      <c r="WAV57" s="1"/>
      <c r="WAW57" s="1"/>
      <c r="WAX57" s="1"/>
      <c r="WAY57" s="1"/>
      <c r="WAZ57" s="1"/>
      <c r="WBA57" s="1"/>
      <c r="WBB57" s="1"/>
      <c r="WBC57" s="1"/>
      <c r="WBD57" s="1"/>
      <c r="WBE57" s="1"/>
      <c r="WBF57" s="1"/>
      <c r="WBG57" s="1"/>
      <c r="WBH57" s="1"/>
      <c r="WBI57" s="1"/>
      <c r="WBJ57" s="1"/>
      <c r="WBK57" s="1"/>
      <c r="WBL57" s="1"/>
      <c r="WBM57" s="1"/>
      <c r="WBN57" s="1"/>
      <c r="WBO57" s="1"/>
      <c r="WBP57" s="1"/>
      <c r="WBQ57" s="1"/>
      <c r="WBR57" s="1"/>
      <c r="WBS57" s="1"/>
      <c r="WBT57" s="1"/>
      <c r="WBU57" s="1"/>
      <c r="WBV57" s="1"/>
      <c r="WBW57" s="1"/>
      <c r="WBX57" s="1"/>
      <c r="WBY57" s="1"/>
      <c r="WBZ57" s="1"/>
      <c r="WCA57" s="1"/>
      <c r="WCB57" s="1"/>
      <c r="WCC57" s="1"/>
      <c r="WCD57" s="1"/>
      <c r="WCE57" s="1"/>
      <c r="WCF57" s="1"/>
      <c r="WCG57" s="1"/>
      <c r="WCH57" s="1"/>
      <c r="WCI57" s="1"/>
      <c r="WCJ57" s="1"/>
      <c r="WCK57" s="1"/>
      <c r="WCL57" s="1"/>
      <c r="WCM57" s="1"/>
      <c r="WCN57" s="1"/>
      <c r="WCO57" s="1"/>
      <c r="WCP57" s="1"/>
      <c r="WCQ57" s="1"/>
      <c r="WCR57" s="1"/>
      <c r="WCS57" s="1"/>
      <c r="WCT57" s="1"/>
      <c r="WCU57" s="1"/>
      <c r="WCV57" s="1"/>
      <c r="WCW57" s="1"/>
      <c r="WCX57" s="1"/>
      <c r="WCY57" s="1"/>
      <c r="WCZ57" s="1"/>
      <c r="WDA57" s="1"/>
      <c r="WDB57" s="1"/>
      <c r="WDC57" s="1"/>
      <c r="WDD57" s="1"/>
      <c r="WDE57" s="1"/>
      <c r="WDF57" s="1"/>
      <c r="WDG57" s="1"/>
      <c r="WDH57" s="1"/>
      <c r="WDI57" s="1"/>
      <c r="WDJ57" s="1"/>
      <c r="WDK57" s="1"/>
      <c r="WDL57" s="1"/>
      <c r="WDM57" s="1"/>
      <c r="WDN57" s="1"/>
      <c r="WDO57" s="1"/>
      <c r="WDP57" s="1"/>
      <c r="WDQ57" s="1"/>
      <c r="WDR57" s="1"/>
      <c r="WDS57" s="1"/>
      <c r="WDT57" s="1"/>
      <c r="WDU57" s="1"/>
      <c r="WDV57" s="1"/>
      <c r="WDW57" s="1"/>
      <c r="WDX57" s="1"/>
      <c r="WDY57" s="1"/>
      <c r="WDZ57" s="1"/>
      <c r="WEA57" s="1"/>
      <c r="WEB57" s="1"/>
      <c r="WEC57" s="1"/>
      <c r="WED57" s="1"/>
      <c r="WEE57" s="1"/>
      <c r="WEF57" s="1"/>
      <c r="WEG57" s="1"/>
      <c r="WEH57" s="1"/>
      <c r="WEI57" s="1"/>
      <c r="WEJ57" s="1"/>
      <c r="WEK57" s="1"/>
      <c r="WEL57" s="1"/>
      <c r="WEM57" s="1"/>
      <c r="WEN57" s="1"/>
      <c r="WEO57" s="1"/>
      <c r="WEP57" s="1"/>
      <c r="WEQ57" s="1"/>
      <c r="WER57" s="1"/>
      <c r="WES57" s="1"/>
      <c r="WET57" s="1"/>
      <c r="WEU57" s="1"/>
      <c r="WEV57" s="1"/>
      <c r="WEW57" s="1"/>
      <c r="WEX57" s="1"/>
      <c r="WEY57" s="1"/>
      <c r="WEZ57" s="1"/>
      <c r="WFA57" s="1"/>
      <c r="WFB57" s="1"/>
      <c r="WFC57" s="1"/>
      <c r="WFD57" s="1"/>
      <c r="WFE57" s="1"/>
      <c r="WFF57" s="1"/>
      <c r="WFG57" s="1"/>
      <c r="WFH57" s="1"/>
      <c r="WFI57" s="1"/>
      <c r="WFJ57" s="1"/>
      <c r="WFK57" s="1"/>
      <c r="WFL57" s="1"/>
      <c r="WFM57" s="1"/>
      <c r="WFN57" s="1"/>
      <c r="WFO57" s="1"/>
      <c r="WFP57" s="1"/>
      <c r="WFQ57" s="1"/>
      <c r="WFR57" s="1"/>
      <c r="WFS57" s="1"/>
      <c r="WFT57" s="1"/>
      <c r="WFU57" s="1"/>
      <c r="WFV57" s="1"/>
      <c r="WFW57" s="1"/>
      <c r="WFX57" s="1"/>
      <c r="WFY57" s="1"/>
      <c r="WFZ57" s="1"/>
      <c r="WGA57" s="1"/>
      <c r="WGB57" s="1"/>
      <c r="WGC57" s="1"/>
      <c r="WGD57" s="1"/>
      <c r="WGE57" s="1"/>
      <c r="WGF57" s="1"/>
      <c r="WGG57" s="1"/>
      <c r="WGH57" s="1"/>
      <c r="WGI57" s="1"/>
      <c r="WGJ57" s="1"/>
      <c r="WGK57" s="1"/>
      <c r="WGL57" s="1"/>
      <c r="WGM57" s="1"/>
      <c r="WGN57" s="1"/>
      <c r="WGO57" s="1"/>
      <c r="WGP57" s="1"/>
      <c r="WGQ57" s="1"/>
      <c r="WGR57" s="1"/>
      <c r="WGS57" s="1"/>
      <c r="WGT57" s="1"/>
      <c r="WGU57" s="1"/>
      <c r="WGV57" s="1"/>
      <c r="WGW57" s="1"/>
      <c r="WGX57" s="1"/>
      <c r="WGY57" s="1"/>
      <c r="WGZ57" s="1"/>
      <c r="WHA57" s="1"/>
      <c r="WHB57" s="1"/>
      <c r="WHC57" s="1"/>
      <c r="WHD57" s="1"/>
      <c r="WHE57" s="1"/>
      <c r="WHF57" s="1"/>
      <c r="WHG57" s="1"/>
      <c r="WHH57" s="1"/>
      <c r="WHI57" s="1"/>
      <c r="WHJ57" s="1"/>
      <c r="WHK57" s="1"/>
      <c r="WHL57" s="1"/>
      <c r="WHM57" s="1"/>
      <c r="WHN57" s="1"/>
      <c r="WHO57" s="1"/>
      <c r="WHP57" s="1"/>
      <c r="WHQ57" s="1"/>
      <c r="WHR57" s="1"/>
      <c r="WHS57" s="1"/>
      <c r="WHT57" s="1"/>
      <c r="WHU57" s="1"/>
      <c r="WHV57" s="1"/>
      <c r="WHW57" s="1"/>
      <c r="WHX57" s="1"/>
      <c r="WHY57" s="1"/>
      <c r="WHZ57" s="1"/>
      <c r="WIA57" s="1"/>
      <c r="WIB57" s="1"/>
      <c r="WIC57" s="1"/>
      <c r="WID57" s="1"/>
      <c r="WIE57" s="1"/>
      <c r="WIF57" s="1"/>
      <c r="WIG57" s="1"/>
      <c r="WIH57" s="1"/>
      <c r="WII57" s="1"/>
      <c r="WIJ57" s="1"/>
      <c r="WIK57" s="1"/>
      <c r="WIL57" s="1"/>
      <c r="WIM57" s="1"/>
      <c r="WIN57" s="1"/>
      <c r="WIO57" s="1"/>
      <c r="WIP57" s="1"/>
      <c r="WIQ57" s="1"/>
      <c r="WIR57" s="1"/>
      <c r="WIS57" s="1"/>
      <c r="WIT57" s="1"/>
      <c r="WIU57" s="1"/>
      <c r="WIV57" s="1"/>
      <c r="WIW57" s="1"/>
      <c r="WIX57" s="1"/>
      <c r="WIY57" s="1"/>
      <c r="WIZ57" s="1"/>
      <c r="WJA57" s="1"/>
      <c r="WJB57" s="1"/>
      <c r="WJC57" s="1"/>
      <c r="WJD57" s="1"/>
      <c r="WJE57" s="1"/>
      <c r="WJF57" s="1"/>
      <c r="WJG57" s="1"/>
      <c r="WJH57" s="1"/>
      <c r="WJI57" s="1"/>
      <c r="WJJ57" s="1"/>
      <c r="WJK57" s="1"/>
      <c r="WJL57" s="1"/>
      <c r="WJM57" s="1"/>
      <c r="WJN57" s="1"/>
      <c r="WJO57" s="1"/>
      <c r="WJP57" s="1"/>
      <c r="WJQ57" s="1"/>
      <c r="WJR57" s="1"/>
      <c r="WJS57" s="1"/>
      <c r="WJT57" s="1"/>
      <c r="WJU57" s="1"/>
      <c r="WJV57" s="1"/>
      <c r="WJW57" s="1"/>
      <c r="WJX57" s="1"/>
      <c r="WJY57" s="1"/>
      <c r="WJZ57" s="1"/>
      <c r="WKA57" s="1"/>
      <c r="WKB57" s="1"/>
      <c r="WKC57" s="1"/>
      <c r="WKD57" s="1"/>
      <c r="WKE57" s="1"/>
      <c r="WKF57" s="1"/>
      <c r="WKG57" s="1"/>
      <c r="WKH57" s="1"/>
      <c r="WKI57" s="1"/>
      <c r="WKJ57" s="1"/>
      <c r="WKK57" s="1"/>
      <c r="WKL57" s="1"/>
      <c r="WKM57" s="1"/>
      <c r="WKN57" s="1"/>
      <c r="WKO57" s="1"/>
      <c r="WKP57" s="1"/>
      <c r="WKQ57" s="1"/>
      <c r="WKR57" s="1"/>
      <c r="WKS57" s="1"/>
      <c r="WKT57" s="1"/>
      <c r="WKU57" s="1"/>
      <c r="WKV57" s="1"/>
      <c r="WKW57" s="1"/>
      <c r="WKX57" s="1"/>
      <c r="WKY57" s="1"/>
      <c r="WKZ57" s="1"/>
      <c r="WLA57" s="1"/>
      <c r="WLB57" s="1"/>
      <c r="WLC57" s="1"/>
      <c r="WLD57" s="1"/>
      <c r="WLE57" s="1"/>
      <c r="WLF57" s="1"/>
      <c r="WLG57" s="1"/>
      <c r="WLH57" s="1"/>
      <c r="WLI57" s="1"/>
      <c r="WLJ57" s="1"/>
      <c r="WLK57" s="1"/>
      <c r="WLL57" s="1"/>
      <c r="WLM57" s="1"/>
      <c r="WLN57" s="1"/>
      <c r="WLO57" s="1"/>
      <c r="WLP57" s="1"/>
      <c r="WLQ57" s="1"/>
      <c r="WLR57" s="1"/>
      <c r="WLS57" s="1"/>
      <c r="WLT57" s="1"/>
      <c r="WLU57" s="1"/>
      <c r="WLV57" s="1"/>
      <c r="WLW57" s="1"/>
      <c r="WLX57" s="1"/>
      <c r="WLY57" s="1"/>
      <c r="WLZ57" s="1"/>
      <c r="WMA57" s="1"/>
      <c r="WMB57" s="1"/>
      <c r="WMC57" s="1"/>
      <c r="WMD57" s="1"/>
      <c r="WME57" s="1"/>
      <c r="WMF57" s="1"/>
      <c r="WMG57" s="1"/>
      <c r="WMH57" s="1"/>
      <c r="WMI57" s="1"/>
      <c r="WMJ57" s="1"/>
      <c r="WMK57" s="1"/>
      <c r="WML57" s="1"/>
      <c r="WMM57" s="1"/>
      <c r="WMN57" s="1"/>
      <c r="WMO57" s="1"/>
      <c r="WMP57" s="1"/>
      <c r="WMQ57" s="1"/>
      <c r="WMR57" s="1"/>
      <c r="WMS57" s="1"/>
      <c r="WMT57" s="1"/>
      <c r="WMU57" s="1"/>
      <c r="WMV57" s="1"/>
      <c r="WMW57" s="1"/>
      <c r="WMX57" s="1"/>
      <c r="WMY57" s="1"/>
      <c r="WMZ57" s="1"/>
      <c r="WNA57" s="1"/>
      <c r="WNB57" s="1"/>
      <c r="WNC57" s="1"/>
      <c r="WND57" s="1"/>
      <c r="WNE57" s="1"/>
      <c r="WNF57" s="1"/>
      <c r="WNG57" s="1"/>
      <c r="WNH57" s="1"/>
      <c r="WNI57" s="1"/>
      <c r="WNJ57" s="1"/>
      <c r="WNK57" s="1"/>
      <c r="WNL57" s="1"/>
      <c r="WNM57" s="1"/>
      <c r="WNN57" s="1"/>
      <c r="WNO57" s="1"/>
      <c r="WNP57" s="1"/>
      <c r="WNQ57" s="1"/>
      <c r="WNR57" s="1"/>
      <c r="WNS57" s="1"/>
      <c r="WNT57" s="1"/>
      <c r="WNU57" s="1"/>
      <c r="WNV57" s="1"/>
      <c r="WNW57" s="1"/>
      <c r="WNX57" s="1"/>
      <c r="WNY57" s="1"/>
      <c r="WNZ57" s="1"/>
      <c r="WOA57" s="1"/>
      <c r="WOB57" s="1"/>
      <c r="WOC57" s="1"/>
      <c r="WOD57" s="1"/>
      <c r="WOE57" s="1"/>
      <c r="WOF57" s="1"/>
      <c r="WOG57" s="1"/>
      <c r="WOH57" s="1"/>
      <c r="WOI57" s="1"/>
      <c r="WOJ57" s="1"/>
      <c r="WOK57" s="1"/>
      <c r="WOL57" s="1"/>
      <c r="WOM57" s="1"/>
      <c r="WON57" s="1"/>
      <c r="WOO57" s="1"/>
      <c r="WOP57" s="1"/>
      <c r="WOQ57" s="1"/>
      <c r="WOR57" s="1"/>
      <c r="WOS57" s="1"/>
      <c r="WOT57" s="1"/>
      <c r="WOU57" s="1"/>
      <c r="WOV57" s="1"/>
      <c r="WOW57" s="1"/>
      <c r="WOX57" s="1"/>
      <c r="WOY57" s="1"/>
      <c r="WOZ57" s="1"/>
      <c r="WPA57" s="1"/>
      <c r="WPB57" s="1"/>
      <c r="WPC57" s="1"/>
      <c r="WPD57" s="1"/>
      <c r="WPE57" s="1"/>
      <c r="WPF57" s="1"/>
      <c r="WPG57" s="1"/>
      <c r="WPH57" s="1"/>
      <c r="WPI57" s="1"/>
      <c r="WPJ57" s="1"/>
      <c r="WPK57" s="1"/>
      <c r="WPL57" s="1"/>
      <c r="WPM57" s="1"/>
      <c r="WPN57" s="1"/>
      <c r="WPO57" s="1"/>
      <c r="WPP57" s="1"/>
      <c r="WPQ57" s="1"/>
      <c r="WPR57" s="1"/>
      <c r="WPS57" s="1"/>
      <c r="WPT57" s="1"/>
      <c r="WPU57" s="1"/>
      <c r="WPV57" s="1"/>
      <c r="WPW57" s="1"/>
      <c r="WPX57" s="1"/>
      <c r="WPY57" s="1"/>
      <c r="WPZ57" s="1"/>
      <c r="WQA57" s="1"/>
      <c r="WQB57" s="1"/>
      <c r="WQC57" s="1"/>
      <c r="WQD57" s="1"/>
      <c r="WQE57" s="1"/>
      <c r="WQF57" s="1"/>
      <c r="WQG57" s="1"/>
      <c r="WQH57" s="1"/>
      <c r="WQI57" s="1"/>
      <c r="WQJ57" s="1"/>
      <c r="WQK57" s="1"/>
      <c r="WQL57" s="1"/>
      <c r="WQM57" s="1"/>
      <c r="WQN57" s="1"/>
      <c r="WQO57" s="1"/>
      <c r="WQP57" s="1"/>
      <c r="WQQ57" s="1"/>
      <c r="WQR57" s="1"/>
      <c r="WQS57" s="1"/>
      <c r="WQT57" s="1"/>
      <c r="WQU57" s="1"/>
      <c r="WQV57" s="1"/>
      <c r="WQW57" s="1"/>
      <c r="WQX57" s="1"/>
      <c r="WQY57" s="1"/>
      <c r="WQZ57" s="1"/>
      <c r="WRA57" s="1"/>
      <c r="WRB57" s="1"/>
      <c r="WRC57" s="1"/>
      <c r="WRD57" s="1"/>
      <c r="WRE57" s="1"/>
      <c r="WRF57" s="1"/>
      <c r="WRG57" s="1"/>
      <c r="WRH57" s="1"/>
      <c r="WRI57" s="1"/>
      <c r="WRJ57" s="1"/>
      <c r="WRK57" s="1"/>
      <c r="WRL57" s="1"/>
      <c r="WRM57" s="1"/>
      <c r="WRN57" s="1"/>
      <c r="WRO57" s="1"/>
      <c r="WRP57" s="1"/>
      <c r="WRQ57" s="1"/>
      <c r="WRR57" s="1"/>
      <c r="WRS57" s="1"/>
      <c r="WRT57" s="1"/>
      <c r="WRU57" s="1"/>
      <c r="WRV57" s="1"/>
      <c r="WRW57" s="1"/>
      <c r="WRX57" s="1"/>
      <c r="WRY57" s="1"/>
      <c r="WRZ57" s="1"/>
      <c r="WSA57" s="1"/>
      <c r="WSB57" s="1"/>
      <c r="WSC57" s="1"/>
      <c r="WSD57" s="1"/>
      <c r="WSE57" s="1"/>
      <c r="WSF57" s="1"/>
      <c r="WSG57" s="1"/>
      <c r="WSH57" s="1"/>
      <c r="WSI57" s="1"/>
      <c r="WSJ57" s="1"/>
      <c r="WSK57" s="1"/>
      <c r="WSL57" s="1"/>
      <c r="WSM57" s="1"/>
      <c r="WSN57" s="1"/>
      <c r="WSO57" s="1"/>
      <c r="WSP57" s="1"/>
      <c r="WSQ57" s="1"/>
      <c r="WSR57" s="1"/>
      <c r="WSS57" s="1"/>
      <c r="WST57" s="1"/>
      <c r="WSU57" s="1"/>
      <c r="WSV57" s="1"/>
      <c r="WSW57" s="1"/>
      <c r="WSX57" s="1"/>
      <c r="WSY57" s="1"/>
      <c r="WSZ57" s="1"/>
      <c r="WTA57" s="1"/>
      <c r="WTB57" s="1"/>
      <c r="WTC57" s="1"/>
      <c r="WTD57" s="1"/>
      <c r="WTE57" s="1"/>
      <c r="WTF57" s="1"/>
      <c r="WTG57" s="1"/>
      <c r="WTH57" s="1"/>
      <c r="WTI57" s="1"/>
      <c r="WTJ57" s="1"/>
      <c r="WTK57" s="1"/>
      <c r="WTL57" s="1"/>
      <c r="WTM57" s="1"/>
      <c r="WTN57" s="1"/>
      <c r="WTO57" s="1"/>
      <c r="WTP57" s="1"/>
      <c r="WTQ57" s="1"/>
      <c r="WTR57" s="1"/>
      <c r="WTS57" s="1"/>
      <c r="WTT57" s="1"/>
      <c r="WTU57" s="1"/>
      <c r="WTV57" s="1"/>
      <c r="WTW57" s="1"/>
      <c r="WTX57" s="1"/>
      <c r="WTY57" s="1"/>
      <c r="WTZ57" s="1"/>
      <c r="WUA57" s="1"/>
      <c r="WUB57" s="1"/>
      <c r="WUC57" s="1"/>
      <c r="WUD57" s="1"/>
      <c r="WUE57" s="1"/>
      <c r="WUF57" s="1"/>
      <c r="WUG57" s="1"/>
      <c r="WUH57" s="1"/>
      <c r="WUI57" s="1"/>
      <c r="WUJ57" s="1"/>
      <c r="WUK57" s="1"/>
      <c r="WUL57" s="1"/>
      <c r="WUM57" s="1"/>
      <c r="WUN57" s="1"/>
      <c r="WUO57" s="1"/>
      <c r="WUP57" s="1"/>
      <c r="WUQ57" s="1"/>
      <c r="WUR57" s="1"/>
      <c r="WUS57" s="1"/>
      <c r="WUT57" s="1"/>
      <c r="WUU57" s="1"/>
      <c r="WUV57" s="1"/>
      <c r="WUW57" s="1"/>
      <c r="WUX57" s="1"/>
      <c r="WUY57" s="1"/>
      <c r="WUZ57" s="1"/>
      <c r="WVA57" s="1"/>
      <c r="WVB57" s="1"/>
      <c r="WVC57" s="1"/>
      <c r="WVD57" s="1"/>
      <c r="WVE57" s="1"/>
      <c r="WVF57" s="1"/>
      <c r="WVG57" s="1"/>
      <c r="WVH57" s="1"/>
      <c r="WVI57" s="1"/>
      <c r="WVJ57" s="1"/>
      <c r="WVK57" s="1"/>
      <c r="WVL57" s="1"/>
      <c r="WVM57" s="1"/>
      <c r="WVN57" s="1"/>
      <c r="WVO57" s="1"/>
      <c r="WVP57" s="1"/>
      <c r="WVQ57" s="1"/>
      <c r="WVR57" s="1"/>
      <c r="WVS57" s="1"/>
      <c r="WVT57" s="1"/>
      <c r="WVU57" s="1"/>
      <c r="WVV57" s="1"/>
      <c r="WVW57" s="1"/>
      <c r="WVX57" s="1"/>
      <c r="WVY57" s="1"/>
      <c r="WVZ57" s="1"/>
      <c r="WWA57" s="1"/>
      <c r="WWB57" s="1"/>
      <c r="WWC57" s="1"/>
      <c r="WWD57" s="1"/>
      <c r="WWE57" s="1"/>
      <c r="WWF57" s="1"/>
      <c r="WWG57" s="1"/>
      <c r="WWH57" s="1"/>
      <c r="WWI57" s="1"/>
      <c r="WWJ57" s="1"/>
      <c r="WWK57" s="1"/>
      <c r="WWL57" s="1"/>
      <c r="WWM57" s="1"/>
      <c r="WWN57" s="1"/>
      <c r="WWO57" s="1"/>
      <c r="WWP57" s="1"/>
      <c r="WWQ57" s="1"/>
      <c r="WWR57" s="1"/>
      <c r="WWS57" s="1"/>
      <c r="WWT57" s="1"/>
      <c r="WWU57" s="1"/>
      <c r="WWV57" s="1"/>
      <c r="WWW57" s="1"/>
      <c r="WWX57" s="1"/>
      <c r="WWY57" s="1"/>
      <c r="WWZ57" s="1"/>
      <c r="WXA57" s="1"/>
      <c r="WXB57" s="1"/>
      <c r="WXC57" s="1"/>
      <c r="WXD57" s="1"/>
      <c r="WXE57" s="1"/>
      <c r="WXF57" s="1"/>
      <c r="WXG57" s="1"/>
      <c r="WXH57" s="1"/>
      <c r="WXI57" s="1"/>
      <c r="WXJ57" s="1"/>
      <c r="WXK57" s="1"/>
      <c r="WXL57" s="1"/>
      <c r="WXM57" s="1"/>
      <c r="WXN57" s="1"/>
      <c r="WXO57" s="1"/>
      <c r="WXP57" s="1"/>
      <c r="WXQ57" s="1"/>
      <c r="WXR57" s="1"/>
      <c r="WXS57" s="1"/>
      <c r="WXT57" s="1"/>
      <c r="WXU57" s="1"/>
      <c r="WXV57" s="1"/>
      <c r="WXW57" s="1"/>
      <c r="WXX57" s="1"/>
      <c r="WXY57" s="1"/>
      <c r="WXZ57" s="1"/>
      <c r="WYA57" s="1"/>
      <c r="WYB57" s="1"/>
      <c r="WYC57" s="1"/>
      <c r="WYD57" s="1"/>
      <c r="WYE57" s="1"/>
      <c r="WYF57" s="1"/>
      <c r="WYG57" s="1"/>
      <c r="WYH57" s="1"/>
      <c r="WYI57" s="1"/>
      <c r="WYJ57" s="1"/>
      <c r="WYK57" s="1"/>
      <c r="WYL57" s="1"/>
      <c r="WYM57" s="1"/>
      <c r="WYN57" s="1"/>
      <c r="WYO57" s="1"/>
      <c r="WYP57" s="1"/>
      <c r="WYQ57" s="1"/>
      <c r="WYR57" s="1"/>
      <c r="WYS57" s="1"/>
      <c r="WYT57" s="1"/>
      <c r="WYU57" s="1"/>
      <c r="WYV57" s="1"/>
      <c r="WYW57" s="1"/>
      <c r="WYX57" s="1"/>
      <c r="WYY57" s="1"/>
      <c r="WYZ57" s="1"/>
      <c r="WZA57" s="1"/>
      <c r="WZB57" s="1"/>
      <c r="WZC57" s="1"/>
      <c r="WZD57" s="1"/>
      <c r="WZE57" s="1"/>
      <c r="WZF57" s="1"/>
      <c r="WZG57" s="1"/>
      <c r="WZH57" s="1"/>
      <c r="WZI57" s="1"/>
      <c r="WZJ57" s="1"/>
      <c r="WZK57" s="1"/>
      <c r="WZL57" s="1"/>
      <c r="WZM57" s="1"/>
      <c r="WZN57" s="1"/>
      <c r="WZO57" s="1"/>
      <c r="WZP57" s="1"/>
      <c r="WZQ57" s="1"/>
      <c r="WZR57" s="1"/>
      <c r="WZS57" s="1"/>
      <c r="WZT57" s="1"/>
      <c r="WZU57" s="1"/>
      <c r="WZV57" s="1"/>
      <c r="WZW57" s="1"/>
      <c r="WZX57" s="1"/>
      <c r="WZY57" s="1"/>
      <c r="WZZ57" s="1"/>
      <c r="XAA57" s="1"/>
      <c r="XAB57" s="1"/>
      <c r="XAC57" s="1"/>
      <c r="XAD57" s="1"/>
      <c r="XAE57" s="1"/>
      <c r="XAF57" s="1"/>
      <c r="XAG57" s="1"/>
      <c r="XAH57" s="1"/>
      <c r="XAI57" s="1"/>
      <c r="XAJ57" s="1"/>
      <c r="XAK57" s="1"/>
      <c r="XAL57" s="1"/>
      <c r="XAM57" s="1"/>
      <c r="XAN57" s="1"/>
      <c r="XAO57" s="1"/>
      <c r="XAP57" s="1"/>
      <c r="XAQ57" s="1"/>
      <c r="XAR57" s="1"/>
      <c r="XAS57" s="1"/>
      <c r="XAT57" s="1"/>
      <c r="XAU57" s="1"/>
      <c r="XAV57" s="1"/>
      <c r="XAW57" s="1"/>
      <c r="XAX57" s="1"/>
      <c r="XAY57" s="1"/>
      <c r="XAZ57" s="1"/>
      <c r="XBA57" s="1"/>
      <c r="XBB57" s="1"/>
      <c r="XBC57" s="1"/>
      <c r="XBD57" s="1"/>
      <c r="XBE57" s="1"/>
      <c r="XBF57" s="1"/>
      <c r="XBG57" s="1"/>
      <c r="XBH57" s="1"/>
      <c r="XBI57" s="1"/>
      <c r="XBJ57" s="1"/>
      <c r="XBK57" s="1"/>
      <c r="XBL57" s="1"/>
      <c r="XBM57" s="1"/>
      <c r="XBN57" s="1"/>
      <c r="XBO57" s="1"/>
      <c r="XBP57" s="1"/>
      <c r="XBQ57" s="1"/>
      <c r="XBR57" s="1"/>
      <c r="XBS57" s="1"/>
      <c r="XBT57" s="1"/>
      <c r="XBU57" s="1"/>
      <c r="XBV57" s="1"/>
      <c r="XBW57" s="1"/>
      <c r="XBX57" s="1"/>
      <c r="XBY57" s="1"/>
      <c r="XBZ57" s="1"/>
      <c r="XCA57" s="1"/>
      <c r="XCB57" s="1"/>
      <c r="XCC57" s="1"/>
      <c r="XCD57" s="1"/>
      <c r="XCE57" s="1"/>
      <c r="XCF57" s="1"/>
      <c r="XCG57" s="1"/>
      <c r="XCH57" s="1"/>
      <c r="XCI57" s="1"/>
      <c r="XCJ57" s="1"/>
      <c r="XCK57" s="1"/>
      <c r="XCL57" s="1"/>
      <c r="XCM57" s="1"/>
      <c r="XCN57" s="1"/>
      <c r="XCO57" s="1"/>
      <c r="XCP57" s="1"/>
      <c r="XCQ57" s="1"/>
      <c r="XCR57" s="1"/>
      <c r="XCS57" s="1"/>
      <c r="XCT57" s="1"/>
      <c r="XCU57" s="1"/>
      <c r="XCV57" s="1"/>
      <c r="XCW57" s="1"/>
      <c r="XCX57" s="1"/>
      <c r="XCY57" s="1"/>
      <c r="XCZ57" s="1"/>
      <c r="XDA57" s="1"/>
      <c r="XDB57" s="1"/>
      <c r="XDC57" s="1"/>
      <c r="XDD57" s="1"/>
      <c r="XDE57" s="1"/>
      <c r="XDF57" s="1"/>
      <c r="XDG57" s="1"/>
      <c r="XDH57" s="1"/>
      <c r="XDI57" s="1"/>
      <c r="XDJ57" s="1"/>
      <c r="XDK57" s="1"/>
      <c r="XDL57" s="1"/>
      <c r="XDM57" s="1"/>
      <c r="XDN57" s="1"/>
      <c r="XDO57" s="1"/>
      <c r="XDP57" s="1"/>
      <c r="XDQ57" s="1"/>
      <c r="XDR57" s="1"/>
      <c r="XDS57" s="1"/>
      <c r="XDT57" s="1"/>
      <c r="XDU57" s="1"/>
      <c r="XDV57" s="1"/>
      <c r="XDW57" s="1"/>
      <c r="XDX57" s="1"/>
      <c r="XDY57" s="1"/>
      <c r="XDZ57" s="1"/>
      <c r="XEA57" s="1"/>
      <c r="XEB57" s="1"/>
      <c r="XEC57" s="1"/>
      <c r="XED57" s="1"/>
      <c r="XEE57" s="1"/>
      <c r="XEF57" s="1"/>
      <c r="XEG57" s="1"/>
      <c r="XEH57" s="1"/>
      <c r="XEI57" s="1"/>
      <c r="XEJ57" s="1"/>
      <c r="XEK57" s="1"/>
      <c r="XEL57" s="1"/>
      <c r="XEM57" s="1"/>
      <c r="XEN57" s="1"/>
      <c r="XEO57" s="1"/>
      <c r="XEP57" s="1"/>
      <c r="XEQ57" s="1"/>
      <c r="XER57" s="1"/>
      <c r="XES57" s="1"/>
      <c r="XET57" s="1"/>
      <c r="XEU57" s="1"/>
      <c r="XEV57" s="1"/>
      <c r="XEW57" s="1"/>
      <c r="XEX57" s="1"/>
      <c r="XEY57" s="1"/>
      <c r="XEZ57" s="1"/>
      <c r="XFA57" s="1"/>
      <c r="XFB57" s="1"/>
      <c r="XFC57" s="1"/>
      <c r="XFD57" s="1"/>
    </row>
    <row r="58" spans="1:16384" s="8" customFormat="1" x14ac:dyDescent="0.25">
      <c r="A58" s="21"/>
      <c r="B58" s="192"/>
      <c r="C58" s="219" t="s">
        <v>915</v>
      </c>
      <c r="D58" s="191"/>
      <c r="E58" s="191"/>
      <c r="F58" s="191"/>
      <c r="G58" s="191"/>
      <c r="H58" s="887" t="str">
        <f>Summary!G21</f>
        <v>Expert</v>
      </c>
      <c r="I58" s="888"/>
      <c r="J58" s="191"/>
      <c r="K58" s="191"/>
      <c r="L58" s="191"/>
      <c r="M58" s="191"/>
      <c r="N58" s="191"/>
      <c r="O58" s="191"/>
      <c r="P58" s="191"/>
      <c r="Q58" s="191"/>
      <c r="R58" s="191"/>
      <c r="S58" s="191"/>
      <c r="T58" s="191"/>
      <c r="U58" s="191"/>
      <c r="V58" s="191"/>
      <c r="W58" s="2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C58" s="1"/>
      <c r="ND58" s="1"/>
      <c r="NE58" s="1"/>
      <c r="NF58" s="1"/>
      <c r="NG58" s="1"/>
      <c r="NH58" s="1"/>
      <c r="NI58" s="1"/>
      <c r="NJ58" s="1"/>
      <c r="NK58" s="1"/>
      <c r="NL58" s="1"/>
      <c r="NM58" s="1"/>
      <c r="NN58" s="1"/>
      <c r="NO58" s="1"/>
      <c r="NP58" s="1"/>
      <c r="NQ58" s="1"/>
      <c r="NR58" s="1"/>
      <c r="NS58" s="1"/>
      <c r="NT58" s="1"/>
      <c r="NU58" s="1"/>
      <c r="NV58" s="1"/>
      <c r="NW58" s="1"/>
      <c r="NX58" s="1"/>
      <c r="NY58" s="1"/>
      <c r="NZ58" s="1"/>
      <c r="OA58" s="1"/>
      <c r="OB58" s="1"/>
      <c r="OC58" s="1"/>
      <c r="OD58" s="1"/>
      <c r="OE58" s="1"/>
      <c r="OF58" s="1"/>
      <c r="OG58" s="1"/>
      <c r="OH58" s="1"/>
      <c r="OI58" s="1"/>
      <c r="OJ58" s="1"/>
      <c r="OK58" s="1"/>
      <c r="OL58" s="1"/>
      <c r="OM58" s="1"/>
      <c r="ON58" s="1"/>
      <c r="OO58" s="1"/>
      <c r="OP58" s="1"/>
      <c r="OQ58" s="1"/>
      <c r="OR58" s="1"/>
      <c r="OS58" s="1"/>
      <c r="OT58" s="1"/>
      <c r="OU58" s="1"/>
      <c r="OV58" s="1"/>
      <c r="OW58" s="1"/>
      <c r="OX58" s="1"/>
      <c r="OY58" s="1"/>
      <c r="OZ58" s="1"/>
      <c r="PA58" s="1"/>
      <c r="PB58" s="1"/>
      <c r="PC58" s="1"/>
      <c r="PD58" s="1"/>
      <c r="PE58" s="1"/>
      <c r="PF58" s="1"/>
      <c r="PG58" s="1"/>
      <c r="PH58" s="1"/>
      <c r="PI58" s="1"/>
      <c r="PJ58" s="1"/>
      <c r="PK58" s="1"/>
      <c r="PL58" s="1"/>
      <c r="PM58" s="1"/>
      <c r="PN58" s="1"/>
      <c r="PO58" s="1"/>
      <c r="PP58" s="1"/>
      <c r="PQ58" s="1"/>
      <c r="PR58" s="1"/>
      <c r="PS58" s="1"/>
      <c r="PT58" s="1"/>
      <c r="PU58" s="1"/>
      <c r="PV58" s="1"/>
      <c r="PW58" s="1"/>
      <c r="PX58" s="1"/>
      <c r="PY58" s="1"/>
      <c r="PZ58" s="1"/>
      <c r="QA58" s="1"/>
      <c r="QB58" s="1"/>
      <c r="QC58" s="1"/>
      <c r="QD58" s="1"/>
      <c r="QE58" s="1"/>
      <c r="QF58" s="1"/>
      <c r="QG58" s="1"/>
      <c r="QH58" s="1"/>
      <c r="QI58" s="1"/>
      <c r="QJ58" s="1"/>
      <c r="QK58" s="1"/>
      <c r="QL58" s="1"/>
      <c r="QM58" s="1"/>
      <c r="QN58" s="1"/>
      <c r="QO58" s="1"/>
      <c r="QP58" s="1"/>
      <c r="QQ58" s="1"/>
      <c r="QR58" s="1"/>
      <c r="QS58" s="1"/>
      <c r="QT58" s="1"/>
      <c r="QU58" s="1"/>
      <c r="QV58" s="1"/>
      <c r="QW58" s="1"/>
      <c r="QX58" s="1"/>
      <c r="QY58" s="1"/>
      <c r="QZ58" s="1"/>
      <c r="RA58" s="1"/>
      <c r="RB58" s="1"/>
      <c r="RC58" s="1"/>
      <c r="RD58" s="1"/>
      <c r="RE58" s="1"/>
      <c r="RF58" s="1"/>
      <c r="RG58" s="1"/>
      <c r="RH58" s="1"/>
      <c r="RI58" s="1"/>
      <c r="RJ58" s="1"/>
      <c r="RK58" s="1"/>
      <c r="RL58" s="1"/>
      <c r="RM58" s="1"/>
      <c r="RN58" s="1"/>
      <c r="RO58" s="1"/>
      <c r="RP58" s="1"/>
      <c r="RQ58" s="1"/>
      <c r="RR58" s="1"/>
      <c r="RS58" s="1"/>
      <c r="RT58" s="1"/>
      <c r="RU58" s="1"/>
      <c r="RV58" s="1"/>
      <c r="RW58" s="1"/>
      <c r="RX58" s="1"/>
      <c r="RY58" s="1"/>
      <c r="RZ58" s="1"/>
      <c r="SA58" s="1"/>
      <c r="SB58" s="1"/>
      <c r="SC58" s="1"/>
      <c r="SD58" s="1"/>
      <c r="SE58" s="1"/>
      <c r="SF58" s="1"/>
      <c r="SG58" s="1"/>
      <c r="SH58" s="1"/>
      <c r="SI58" s="1"/>
      <c r="SJ58" s="1"/>
      <c r="SK58" s="1"/>
      <c r="SL58" s="1"/>
      <c r="SM58" s="1"/>
      <c r="SN58" s="1"/>
      <c r="SO58" s="1"/>
      <c r="SP58" s="1"/>
      <c r="SQ58" s="1"/>
      <c r="SR58" s="1"/>
      <c r="SS58" s="1"/>
      <c r="ST58" s="1"/>
      <c r="SU58" s="1"/>
      <c r="SV58" s="1"/>
      <c r="SW58" s="1"/>
      <c r="SX58" s="1"/>
      <c r="SY58" s="1"/>
      <c r="SZ58" s="1"/>
      <c r="TA58" s="1"/>
      <c r="TB58" s="1"/>
      <c r="TC58" s="1"/>
      <c r="TD58" s="1"/>
      <c r="TE58" s="1"/>
      <c r="TF58" s="1"/>
      <c r="TG58" s="1"/>
      <c r="TH58" s="1"/>
      <c r="TI58" s="1"/>
      <c r="TJ58" s="1"/>
      <c r="TK58" s="1"/>
      <c r="TL58" s="1"/>
      <c r="TM58" s="1"/>
      <c r="TN58" s="1"/>
      <c r="TO58" s="1"/>
      <c r="TP58" s="1"/>
      <c r="TQ58" s="1"/>
      <c r="TR58" s="1"/>
      <c r="TS58" s="1"/>
      <c r="TT58" s="1"/>
      <c r="TU58" s="1"/>
      <c r="TV58" s="1"/>
      <c r="TW58" s="1"/>
      <c r="TX58" s="1"/>
      <c r="TY58" s="1"/>
      <c r="TZ58" s="1"/>
      <c r="UA58" s="1"/>
      <c r="UB58" s="1"/>
      <c r="UC58" s="1"/>
      <c r="UD58" s="1"/>
      <c r="UE58" s="1"/>
      <c r="UF58" s="1"/>
      <c r="UG58" s="1"/>
      <c r="UH58" s="1"/>
      <c r="UI58" s="1"/>
      <c r="UJ58" s="1"/>
      <c r="UK58" s="1"/>
      <c r="UL58" s="1"/>
      <c r="UM58" s="1"/>
      <c r="UN58" s="1"/>
      <c r="UO58" s="1"/>
      <c r="UP58" s="1"/>
      <c r="UQ58" s="1"/>
      <c r="UR58" s="1"/>
      <c r="US58" s="1"/>
      <c r="UT58" s="1"/>
      <c r="UU58" s="1"/>
      <c r="UV58" s="1"/>
      <c r="UW58" s="1"/>
      <c r="UX58" s="1"/>
      <c r="UY58" s="1"/>
      <c r="UZ58" s="1"/>
      <c r="VA58" s="1"/>
      <c r="VB58" s="1"/>
      <c r="VC58" s="1"/>
      <c r="VD58" s="1"/>
      <c r="VE58" s="1"/>
      <c r="VF58" s="1"/>
      <c r="VG58" s="1"/>
      <c r="VH58" s="1"/>
      <c r="VI58" s="1"/>
      <c r="VJ58" s="1"/>
      <c r="VK58" s="1"/>
      <c r="VL58" s="1"/>
      <c r="VM58" s="1"/>
      <c r="VN58" s="1"/>
      <c r="VO58" s="1"/>
      <c r="VP58" s="1"/>
      <c r="VQ58" s="1"/>
      <c r="VR58" s="1"/>
      <c r="VS58" s="1"/>
      <c r="VT58" s="1"/>
      <c r="VU58" s="1"/>
      <c r="VV58" s="1"/>
      <c r="VW58" s="1"/>
      <c r="VX58" s="1"/>
      <c r="VY58" s="1"/>
      <c r="VZ58" s="1"/>
      <c r="WA58" s="1"/>
      <c r="WB58" s="1"/>
      <c r="WC58" s="1"/>
      <c r="WD58" s="1"/>
      <c r="WE58" s="1"/>
      <c r="WF58" s="1"/>
      <c r="WG58" s="1"/>
      <c r="WH58" s="1"/>
      <c r="WI58" s="1"/>
      <c r="WJ58" s="1"/>
      <c r="WK58" s="1"/>
      <c r="WL58" s="1"/>
      <c r="WM58" s="1"/>
      <c r="WN58" s="1"/>
      <c r="WO58" s="1"/>
      <c r="WP58" s="1"/>
      <c r="WQ58" s="1"/>
      <c r="WR58" s="1"/>
      <c r="WS58" s="1"/>
      <c r="WT58" s="1"/>
      <c r="WU58" s="1"/>
      <c r="WV58" s="1"/>
      <c r="WW58" s="1"/>
      <c r="WX58" s="1"/>
      <c r="WY58" s="1"/>
      <c r="WZ58" s="1"/>
      <c r="XA58" s="1"/>
      <c r="XB58" s="1"/>
      <c r="XC58" s="1"/>
      <c r="XD58" s="1"/>
      <c r="XE58" s="1"/>
      <c r="XF58" s="1"/>
      <c r="XG58" s="1"/>
      <c r="XH58" s="1"/>
      <c r="XI58" s="1"/>
      <c r="XJ58" s="1"/>
      <c r="XK58" s="1"/>
      <c r="XL58" s="1"/>
      <c r="XM58" s="1"/>
      <c r="XN58" s="1"/>
      <c r="XO58" s="1"/>
      <c r="XP58" s="1"/>
      <c r="XQ58" s="1"/>
      <c r="XR58" s="1"/>
      <c r="XS58" s="1"/>
      <c r="XT58" s="1"/>
      <c r="XU58" s="1"/>
      <c r="XV58" s="1"/>
      <c r="XW58" s="1"/>
      <c r="XX58" s="1"/>
      <c r="XY58" s="1"/>
      <c r="XZ58" s="1"/>
      <c r="YA58" s="1"/>
      <c r="YB58" s="1"/>
      <c r="YC58" s="1"/>
      <c r="YD58" s="1"/>
      <c r="YE58" s="1"/>
      <c r="YF58" s="1"/>
      <c r="YG58" s="1"/>
      <c r="YH58" s="1"/>
      <c r="YI58" s="1"/>
      <c r="YJ58" s="1"/>
      <c r="YK58" s="1"/>
      <c r="YL58" s="1"/>
      <c r="YM58" s="1"/>
      <c r="YN58" s="1"/>
      <c r="YO58" s="1"/>
      <c r="YP58" s="1"/>
      <c r="YQ58" s="1"/>
      <c r="YR58" s="1"/>
      <c r="YS58" s="1"/>
      <c r="YT58" s="1"/>
      <c r="YU58" s="1"/>
      <c r="YV58" s="1"/>
      <c r="YW58" s="1"/>
      <c r="YX58" s="1"/>
      <c r="YY58" s="1"/>
      <c r="YZ58" s="1"/>
      <c r="ZA58" s="1"/>
      <c r="ZB58" s="1"/>
      <c r="ZC58" s="1"/>
      <c r="ZD58" s="1"/>
      <c r="ZE58" s="1"/>
      <c r="ZF58" s="1"/>
      <c r="ZG58" s="1"/>
      <c r="ZH58" s="1"/>
      <c r="ZI58" s="1"/>
      <c r="ZJ58" s="1"/>
      <c r="ZK58" s="1"/>
      <c r="ZL58" s="1"/>
      <c r="ZM58" s="1"/>
      <c r="ZN58" s="1"/>
      <c r="ZO58" s="1"/>
      <c r="ZP58" s="1"/>
      <c r="ZQ58" s="1"/>
      <c r="ZR58" s="1"/>
      <c r="ZS58" s="1"/>
      <c r="ZT58" s="1"/>
      <c r="ZU58" s="1"/>
      <c r="ZV58" s="1"/>
      <c r="ZW58" s="1"/>
      <c r="ZX58" s="1"/>
      <c r="ZY58" s="1"/>
      <c r="ZZ58" s="1"/>
      <c r="AAA58" s="1"/>
      <c r="AAB58" s="1"/>
      <c r="AAC58" s="1"/>
      <c r="AAD58" s="1"/>
      <c r="AAE58" s="1"/>
      <c r="AAF58" s="1"/>
      <c r="AAG58" s="1"/>
      <c r="AAH58" s="1"/>
      <c r="AAI58" s="1"/>
      <c r="AAJ58" s="1"/>
      <c r="AAK58" s="1"/>
      <c r="AAL58" s="1"/>
      <c r="AAM58" s="1"/>
      <c r="AAN58" s="1"/>
      <c r="AAO58" s="1"/>
      <c r="AAP58" s="1"/>
      <c r="AAQ58" s="1"/>
      <c r="AAR58" s="1"/>
      <c r="AAS58" s="1"/>
      <c r="AAT58" s="1"/>
      <c r="AAU58" s="1"/>
      <c r="AAV58" s="1"/>
      <c r="AAW58" s="1"/>
      <c r="AAX58" s="1"/>
      <c r="AAY58" s="1"/>
      <c r="AAZ58" s="1"/>
      <c r="ABA58" s="1"/>
      <c r="ABB58" s="1"/>
      <c r="ABC58" s="1"/>
      <c r="ABD58" s="1"/>
      <c r="ABE58" s="1"/>
      <c r="ABF58" s="1"/>
      <c r="ABG58" s="1"/>
      <c r="ABH58" s="1"/>
      <c r="ABI58" s="1"/>
      <c r="ABJ58" s="1"/>
      <c r="ABK58" s="1"/>
      <c r="ABL58" s="1"/>
      <c r="ABM58" s="1"/>
      <c r="ABN58" s="1"/>
      <c r="ABO58" s="1"/>
      <c r="ABP58" s="1"/>
      <c r="ABQ58" s="1"/>
      <c r="ABR58" s="1"/>
      <c r="ABS58" s="1"/>
      <c r="ABT58" s="1"/>
      <c r="ABU58" s="1"/>
      <c r="ABV58" s="1"/>
      <c r="ABW58" s="1"/>
      <c r="ABX58" s="1"/>
      <c r="ABY58" s="1"/>
      <c r="ABZ58" s="1"/>
      <c r="ACA58" s="1"/>
      <c r="ACB58" s="1"/>
      <c r="ACC58" s="1"/>
      <c r="ACD58" s="1"/>
      <c r="ACE58" s="1"/>
      <c r="ACF58" s="1"/>
      <c r="ACG58" s="1"/>
      <c r="ACH58" s="1"/>
      <c r="ACI58" s="1"/>
      <c r="ACJ58" s="1"/>
      <c r="ACK58" s="1"/>
      <c r="ACL58" s="1"/>
      <c r="ACM58" s="1"/>
      <c r="ACN58" s="1"/>
      <c r="ACO58" s="1"/>
      <c r="ACP58" s="1"/>
      <c r="ACQ58" s="1"/>
      <c r="ACR58" s="1"/>
      <c r="ACS58" s="1"/>
      <c r="ACT58" s="1"/>
      <c r="ACU58" s="1"/>
      <c r="ACV58" s="1"/>
      <c r="ACW58" s="1"/>
      <c r="ACX58" s="1"/>
      <c r="ACY58" s="1"/>
      <c r="ACZ58" s="1"/>
      <c r="ADA58" s="1"/>
      <c r="ADB58" s="1"/>
      <c r="ADC58" s="1"/>
      <c r="ADD58" s="1"/>
      <c r="ADE58" s="1"/>
      <c r="ADF58" s="1"/>
      <c r="ADG58" s="1"/>
      <c r="ADH58" s="1"/>
      <c r="ADI58" s="1"/>
      <c r="ADJ58" s="1"/>
      <c r="ADK58" s="1"/>
      <c r="ADL58" s="1"/>
      <c r="ADM58" s="1"/>
      <c r="ADN58" s="1"/>
      <c r="ADO58" s="1"/>
      <c r="ADP58" s="1"/>
      <c r="ADQ58" s="1"/>
      <c r="ADR58" s="1"/>
      <c r="ADS58" s="1"/>
      <c r="ADT58" s="1"/>
      <c r="ADU58" s="1"/>
      <c r="ADV58" s="1"/>
      <c r="ADW58" s="1"/>
      <c r="ADX58" s="1"/>
      <c r="ADY58" s="1"/>
      <c r="ADZ58" s="1"/>
      <c r="AEA58" s="1"/>
      <c r="AEB58" s="1"/>
      <c r="AEC58" s="1"/>
      <c r="AED58" s="1"/>
      <c r="AEE58" s="1"/>
      <c r="AEF58" s="1"/>
      <c r="AEG58" s="1"/>
      <c r="AEH58" s="1"/>
      <c r="AEI58" s="1"/>
      <c r="AEJ58" s="1"/>
      <c r="AEK58" s="1"/>
      <c r="AEL58" s="1"/>
      <c r="AEM58" s="1"/>
      <c r="AEN58" s="1"/>
      <c r="AEO58" s="1"/>
      <c r="AEP58" s="1"/>
      <c r="AEQ58" s="1"/>
      <c r="AER58" s="1"/>
      <c r="AES58" s="1"/>
      <c r="AET58" s="1"/>
      <c r="AEU58" s="1"/>
      <c r="AEV58" s="1"/>
      <c r="AEW58" s="1"/>
      <c r="AEX58" s="1"/>
      <c r="AEY58" s="1"/>
      <c r="AEZ58" s="1"/>
      <c r="AFA58" s="1"/>
      <c r="AFB58" s="1"/>
      <c r="AFC58" s="1"/>
      <c r="AFD58" s="1"/>
      <c r="AFE58" s="1"/>
      <c r="AFF58" s="1"/>
      <c r="AFG58" s="1"/>
      <c r="AFH58" s="1"/>
      <c r="AFI58" s="1"/>
      <c r="AFJ58" s="1"/>
      <c r="AFK58" s="1"/>
      <c r="AFL58" s="1"/>
      <c r="AFM58" s="1"/>
      <c r="AFN58" s="1"/>
      <c r="AFO58" s="1"/>
      <c r="AFP58" s="1"/>
      <c r="AFQ58" s="1"/>
      <c r="AFR58" s="1"/>
      <c r="AFS58" s="1"/>
      <c r="AFT58" s="1"/>
      <c r="AFU58" s="1"/>
      <c r="AFV58" s="1"/>
      <c r="AFW58" s="1"/>
      <c r="AFX58" s="1"/>
      <c r="AFY58" s="1"/>
      <c r="AFZ58" s="1"/>
      <c r="AGA58" s="1"/>
      <c r="AGB58" s="1"/>
      <c r="AGC58" s="1"/>
      <c r="AGD58" s="1"/>
      <c r="AGE58" s="1"/>
      <c r="AGF58" s="1"/>
      <c r="AGG58" s="1"/>
      <c r="AGH58" s="1"/>
      <c r="AGI58" s="1"/>
      <c r="AGJ58" s="1"/>
      <c r="AGK58" s="1"/>
      <c r="AGL58" s="1"/>
      <c r="AGM58" s="1"/>
      <c r="AGN58" s="1"/>
      <c r="AGO58" s="1"/>
      <c r="AGP58" s="1"/>
      <c r="AGQ58" s="1"/>
      <c r="AGR58" s="1"/>
      <c r="AGS58" s="1"/>
      <c r="AGT58" s="1"/>
      <c r="AGU58" s="1"/>
      <c r="AGV58" s="1"/>
      <c r="AGW58" s="1"/>
      <c r="AGX58" s="1"/>
      <c r="AGY58" s="1"/>
      <c r="AGZ58" s="1"/>
      <c r="AHA58" s="1"/>
      <c r="AHB58" s="1"/>
      <c r="AHC58" s="1"/>
      <c r="AHD58" s="1"/>
      <c r="AHE58" s="1"/>
      <c r="AHF58" s="1"/>
      <c r="AHG58" s="1"/>
      <c r="AHH58" s="1"/>
      <c r="AHI58" s="1"/>
      <c r="AHJ58" s="1"/>
      <c r="AHK58" s="1"/>
      <c r="AHL58" s="1"/>
      <c r="AHM58" s="1"/>
      <c r="AHN58" s="1"/>
      <c r="AHO58" s="1"/>
      <c r="AHP58" s="1"/>
      <c r="AHQ58" s="1"/>
      <c r="AHR58" s="1"/>
      <c r="AHS58" s="1"/>
      <c r="AHT58" s="1"/>
      <c r="AHU58" s="1"/>
      <c r="AHV58" s="1"/>
      <c r="AHW58" s="1"/>
      <c r="AHX58" s="1"/>
      <c r="AHY58" s="1"/>
      <c r="AHZ58" s="1"/>
      <c r="AIA58" s="1"/>
      <c r="AIB58" s="1"/>
      <c r="AIC58" s="1"/>
      <c r="AID58" s="1"/>
      <c r="AIE58" s="1"/>
      <c r="AIF58" s="1"/>
      <c r="AIG58" s="1"/>
      <c r="AIH58" s="1"/>
      <c r="AII58" s="1"/>
      <c r="AIJ58" s="1"/>
      <c r="AIK58" s="1"/>
      <c r="AIL58" s="1"/>
      <c r="AIM58" s="1"/>
      <c r="AIN58" s="1"/>
      <c r="AIO58" s="1"/>
      <c r="AIP58" s="1"/>
      <c r="AIQ58" s="1"/>
      <c r="AIR58" s="1"/>
      <c r="AIS58" s="1"/>
      <c r="AIT58" s="1"/>
      <c r="AIU58" s="1"/>
      <c r="AIV58" s="1"/>
      <c r="AIW58" s="1"/>
      <c r="AIX58" s="1"/>
      <c r="AIY58" s="1"/>
      <c r="AIZ58" s="1"/>
      <c r="AJA58" s="1"/>
      <c r="AJB58" s="1"/>
      <c r="AJC58" s="1"/>
      <c r="AJD58" s="1"/>
      <c r="AJE58" s="1"/>
      <c r="AJF58" s="1"/>
      <c r="AJG58" s="1"/>
      <c r="AJH58" s="1"/>
      <c r="AJI58" s="1"/>
      <c r="AJJ58" s="1"/>
      <c r="AJK58" s="1"/>
      <c r="AJL58" s="1"/>
      <c r="AJM58" s="1"/>
      <c r="AJN58" s="1"/>
      <c r="AJO58" s="1"/>
      <c r="AJP58" s="1"/>
      <c r="AJQ58" s="1"/>
      <c r="AJR58" s="1"/>
      <c r="AJS58" s="1"/>
      <c r="AJT58" s="1"/>
      <c r="AJU58" s="1"/>
      <c r="AJV58" s="1"/>
      <c r="AJW58" s="1"/>
      <c r="AJX58" s="1"/>
      <c r="AJY58" s="1"/>
      <c r="AJZ58" s="1"/>
      <c r="AKA58" s="1"/>
      <c r="AKB58" s="1"/>
      <c r="AKC58" s="1"/>
      <c r="AKD58" s="1"/>
      <c r="AKE58" s="1"/>
      <c r="AKF58" s="1"/>
      <c r="AKG58" s="1"/>
      <c r="AKH58" s="1"/>
      <c r="AKI58" s="1"/>
      <c r="AKJ58" s="1"/>
      <c r="AKK58" s="1"/>
      <c r="AKL58" s="1"/>
      <c r="AKM58" s="1"/>
      <c r="AKN58" s="1"/>
      <c r="AKO58" s="1"/>
      <c r="AKP58" s="1"/>
      <c r="AKQ58" s="1"/>
      <c r="AKR58" s="1"/>
      <c r="AKS58" s="1"/>
      <c r="AKT58" s="1"/>
      <c r="AKU58" s="1"/>
      <c r="AKV58" s="1"/>
      <c r="AKW58" s="1"/>
      <c r="AKX58" s="1"/>
      <c r="AKY58" s="1"/>
      <c r="AKZ58" s="1"/>
      <c r="ALA58" s="1"/>
      <c r="ALB58" s="1"/>
      <c r="ALC58" s="1"/>
      <c r="ALD58" s="1"/>
      <c r="ALE58" s="1"/>
      <c r="ALF58" s="1"/>
      <c r="ALG58" s="1"/>
      <c r="ALH58" s="1"/>
      <c r="ALI58" s="1"/>
      <c r="ALJ58" s="1"/>
      <c r="ALK58" s="1"/>
      <c r="ALL58" s="1"/>
      <c r="ALM58" s="1"/>
      <c r="ALN58" s="1"/>
      <c r="ALO58" s="1"/>
      <c r="ALP58" s="1"/>
      <c r="ALQ58" s="1"/>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c r="BOB58" s="1"/>
      <c r="BOC58" s="1"/>
      <c r="BOD58" s="1"/>
      <c r="BOE58" s="1"/>
      <c r="BOF58" s="1"/>
      <c r="BOG58" s="1"/>
      <c r="BOH58" s="1"/>
      <c r="BOI58" s="1"/>
      <c r="BOJ58" s="1"/>
      <c r="BOK58" s="1"/>
      <c r="BOL58" s="1"/>
      <c r="BOM58" s="1"/>
      <c r="BON58" s="1"/>
      <c r="BOO58" s="1"/>
      <c r="BOP58" s="1"/>
      <c r="BOQ58" s="1"/>
      <c r="BOR58" s="1"/>
      <c r="BOS58" s="1"/>
      <c r="BOT58" s="1"/>
      <c r="BOU58" s="1"/>
      <c r="BOV58" s="1"/>
      <c r="BOW58" s="1"/>
      <c r="BOX58" s="1"/>
      <c r="BOY58" s="1"/>
      <c r="BOZ58" s="1"/>
      <c r="BPA58" s="1"/>
      <c r="BPB58" s="1"/>
      <c r="BPC58" s="1"/>
      <c r="BPD58" s="1"/>
      <c r="BPE58" s="1"/>
      <c r="BPF58" s="1"/>
      <c r="BPG58" s="1"/>
      <c r="BPH58" s="1"/>
      <c r="BPI58" s="1"/>
      <c r="BPJ58" s="1"/>
      <c r="BPK58" s="1"/>
      <c r="BPL58" s="1"/>
      <c r="BPM58" s="1"/>
      <c r="BPN58" s="1"/>
      <c r="BPO58" s="1"/>
      <c r="BPP58" s="1"/>
      <c r="BPQ58" s="1"/>
      <c r="BPR58" s="1"/>
      <c r="BPS58" s="1"/>
      <c r="BPT58" s="1"/>
      <c r="BPU58" s="1"/>
      <c r="BPV58" s="1"/>
      <c r="BPW58" s="1"/>
      <c r="BPX58" s="1"/>
      <c r="BPY58" s="1"/>
      <c r="BPZ58" s="1"/>
      <c r="BQA58" s="1"/>
      <c r="BQB58" s="1"/>
      <c r="BQC58" s="1"/>
      <c r="BQD58" s="1"/>
      <c r="BQE58" s="1"/>
      <c r="BQF58" s="1"/>
      <c r="BQG58" s="1"/>
      <c r="BQH58" s="1"/>
      <c r="BQI58" s="1"/>
      <c r="BQJ58" s="1"/>
      <c r="BQK58" s="1"/>
      <c r="BQL58" s="1"/>
      <c r="BQM58" s="1"/>
      <c r="BQN58" s="1"/>
      <c r="BQO58" s="1"/>
      <c r="BQP58" s="1"/>
      <c r="BQQ58" s="1"/>
      <c r="BQR58" s="1"/>
      <c r="BQS58" s="1"/>
      <c r="BQT58" s="1"/>
      <c r="BQU58" s="1"/>
      <c r="BQV58" s="1"/>
      <c r="BQW58" s="1"/>
      <c r="BQX58" s="1"/>
      <c r="BQY58" s="1"/>
      <c r="BQZ58" s="1"/>
      <c r="BRA58" s="1"/>
      <c r="BRB58" s="1"/>
      <c r="BRC58" s="1"/>
      <c r="BRD58" s="1"/>
      <c r="BRE58" s="1"/>
      <c r="BRF58" s="1"/>
      <c r="BRG58" s="1"/>
      <c r="BRH58" s="1"/>
      <c r="BRI58" s="1"/>
      <c r="BRJ58" s="1"/>
      <c r="BRK58" s="1"/>
      <c r="BRL58" s="1"/>
      <c r="BRM58" s="1"/>
      <c r="BRN58" s="1"/>
      <c r="BRO58" s="1"/>
      <c r="BRP58" s="1"/>
      <c r="BRQ58" s="1"/>
      <c r="BRR58" s="1"/>
      <c r="BRS58" s="1"/>
      <c r="BRT58" s="1"/>
      <c r="BRU58" s="1"/>
      <c r="BRV58" s="1"/>
      <c r="BRW58" s="1"/>
      <c r="BRX58" s="1"/>
      <c r="BRY58" s="1"/>
      <c r="BRZ58" s="1"/>
      <c r="BSA58" s="1"/>
      <c r="BSB58" s="1"/>
      <c r="BSC58" s="1"/>
      <c r="BSD58" s="1"/>
      <c r="BSE58" s="1"/>
      <c r="BSF58" s="1"/>
      <c r="BSG58" s="1"/>
      <c r="BSH58" s="1"/>
      <c r="BSI58" s="1"/>
      <c r="BSJ58" s="1"/>
      <c r="BSK58" s="1"/>
      <c r="BSL58" s="1"/>
      <c r="BSM58" s="1"/>
      <c r="BSN58" s="1"/>
      <c r="BSO58" s="1"/>
      <c r="BSP58" s="1"/>
      <c r="BSQ58" s="1"/>
      <c r="BSR58" s="1"/>
      <c r="BSS58" s="1"/>
      <c r="BST58" s="1"/>
      <c r="BSU58" s="1"/>
      <c r="BSV58" s="1"/>
      <c r="BSW58" s="1"/>
      <c r="BSX58" s="1"/>
      <c r="BSY58" s="1"/>
      <c r="BSZ58" s="1"/>
      <c r="BTA58" s="1"/>
      <c r="BTB58" s="1"/>
      <c r="BTC58" s="1"/>
      <c r="BTD58" s="1"/>
      <c r="BTE58" s="1"/>
      <c r="BTF58" s="1"/>
      <c r="BTG58" s="1"/>
      <c r="BTH58" s="1"/>
      <c r="BTI58" s="1"/>
      <c r="BTJ58" s="1"/>
      <c r="BTK58" s="1"/>
      <c r="BTL58" s="1"/>
      <c r="BTM58" s="1"/>
      <c r="BTN58" s="1"/>
      <c r="BTO58" s="1"/>
      <c r="BTP58" s="1"/>
      <c r="BTQ58" s="1"/>
      <c r="BTR58" s="1"/>
      <c r="BTS58" s="1"/>
      <c r="BTT58" s="1"/>
      <c r="BTU58" s="1"/>
      <c r="BTV58" s="1"/>
      <c r="BTW58" s="1"/>
      <c r="BTX58" s="1"/>
      <c r="BTY58" s="1"/>
      <c r="BTZ58" s="1"/>
      <c r="BUA58" s="1"/>
      <c r="BUB58" s="1"/>
      <c r="BUC58" s="1"/>
      <c r="BUD58" s="1"/>
      <c r="BUE58" s="1"/>
      <c r="BUF58" s="1"/>
      <c r="BUG58" s="1"/>
      <c r="BUH58" s="1"/>
      <c r="BUI58" s="1"/>
      <c r="BUJ58" s="1"/>
      <c r="BUK58" s="1"/>
      <c r="BUL58" s="1"/>
      <c r="BUM58" s="1"/>
      <c r="BUN58" s="1"/>
      <c r="BUO58" s="1"/>
      <c r="BUP58" s="1"/>
      <c r="BUQ58" s="1"/>
      <c r="BUR58" s="1"/>
      <c r="BUS58" s="1"/>
      <c r="BUT58" s="1"/>
      <c r="BUU58" s="1"/>
      <c r="BUV58" s="1"/>
      <c r="BUW58" s="1"/>
      <c r="BUX58" s="1"/>
      <c r="BUY58" s="1"/>
      <c r="BUZ58" s="1"/>
      <c r="BVA58" s="1"/>
      <c r="BVB58" s="1"/>
      <c r="BVC58" s="1"/>
      <c r="BVD58" s="1"/>
      <c r="BVE58" s="1"/>
      <c r="BVF58" s="1"/>
      <c r="BVG58" s="1"/>
      <c r="BVH58" s="1"/>
      <c r="BVI58" s="1"/>
      <c r="BVJ58" s="1"/>
      <c r="BVK58" s="1"/>
      <c r="BVL58" s="1"/>
      <c r="BVM58" s="1"/>
      <c r="BVN58" s="1"/>
      <c r="BVO58" s="1"/>
      <c r="BVP58" s="1"/>
      <c r="BVQ58" s="1"/>
      <c r="BVR58" s="1"/>
      <c r="BVS58" s="1"/>
      <c r="BVT58" s="1"/>
      <c r="BVU58" s="1"/>
      <c r="BVV58" s="1"/>
      <c r="BVW58" s="1"/>
      <c r="BVX58" s="1"/>
      <c r="BVY58" s="1"/>
      <c r="BVZ58" s="1"/>
      <c r="BWA58" s="1"/>
      <c r="BWB58" s="1"/>
      <c r="BWC58" s="1"/>
      <c r="BWD58" s="1"/>
      <c r="BWE58" s="1"/>
      <c r="BWF58" s="1"/>
      <c r="BWG58" s="1"/>
      <c r="BWH58" s="1"/>
      <c r="BWI58" s="1"/>
      <c r="BWJ58" s="1"/>
      <c r="BWK58" s="1"/>
      <c r="BWL58" s="1"/>
      <c r="BWM58" s="1"/>
      <c r="BWN58" s="1"/>
      <c r="BWO58" s="1"/>
      <c r="BWP58" s="1"/>
      <c r="BWQ58" s="1"/>
      <c r="BWR58" s="1"/>
      <c r="BWS58" s="1"/>
      <c r="BWT58" s="1"/>
      <c r="BWU58" s="1"/>
      <c r="BWV58" s="1"/>
      <c r="BWW58" s="1"/>
      <c r="BWX58" s="1"/>
      <c r="BWY58" s="1"/>
      <c r="BWZ58" s="1"/>
      <c r="BXA58" s="1"/>
      <c r="BXB58" s="1"/>
      <c r="BXC58" s="1"/>
      <c r="BXD58" s="1"/>
      <c r="BXE58" s="1"/>
      <c r="BXF58" s="1"/>
      <c r="BXG58" s="1"/>
      <c r="BXH58" s="1"/>
      <c r="BXI58" s="1"/>
      <c r="BXJ58" s="1"/>
      <c r="BXK58" s="1"/>
      <c r="BXL58" s="1"/>
      <c r="BXM58" s="1"/>
      <c r="BXN58" s="1"/>
      <c r="BXO58" s="1"/>
      <c r="BXP58" s="1"/>
      <c r="BXQ58" s="1"/>
      <c r="BXR58" s="1"/>
      <c r="BXS58" s="1"/>
      <c r="BXT58" s="1"/>
      <c r="BXU58" s="1"/>
      <c r="BXV58" s="1"/>
      <c r="BXW58" s="1"/>
      <c r="BXX58" s="1"/>
      <c r="BXY58" s="1"/>
      <c r="BXZ58" s="1"/>
      <c r="BYA58" s="1"/>
      <c r="BYB58" s="1"/>
      <c r="BYC58" s="1"/>
      <c r="BYD58" s="1"/>
      <c r="BYE58" s="1"/>
      <c r="BYF58" s="1"/>
      <c r="BYG58" s="1"/>
      <c r="BYH58" s="1"/>
      <c r="BYI58" s="1"/>
      <c r="BYJ58" s="1"/>
      <c r="BYK58" s="1"/>
      <c r="BYL58" s="1"/>
      <c r="BYM58" s="1"/>
      <c r="BYN58" s="1"/>
      <c r="BYO58" s="1"/>
      <c r="BYP58" s="1"/>
      <c r="BYQ58" s="1"/>
      <c r="BYR58" s="1"/>
      <c r="BYS58" s="1"/>
      <c r="BYT58" s="1"/>
      <c r="BYU58" s="1"/>
      <c r="BYV58" s="1"/>
      <c r="BYW58" s="1"/>
      <c r="BYX58" s="1"/>
      <c r="BYY58" s="1"/>
      <c r="BYZ58" s="1"/>
      <c r="BZA58" s="1"/>
      <c r="BZB58" s="1"/>
      <c r="BZC58" s="1"/>
      <c r="BZD58" s="1"/>
      <c r="BZE58" s="1"/>
      <c r="BZF58" s="1"/>
      <c r="BZG58" s="1"/>
      <c r="BZH58" s="1"/>
      <c r="BZI58" s="1"/>
      <c r="BZJ58" s="1"/>
      <c r="BZK58" s="1"/>
      <c r="BZL58" s="1"/>
      <c r="BZM58" s="1"/>
      <c r="BZN58" s="1"/>
      <c r="BZO58" s="1"/>
      <c r="BZP58" s="1"/>
      <c r="BZQ58" s="1"/>
      <c r="BZR58" s="1"/>
      <c r="BZS58" s="1"/>
      <c r="BZT58" s="1"/>
      <c r="BZU58" s="1"/>
      <c r="BZV58" s="1"/>
      <c r="BZW58" s="1"/>
      <c r="BZX58" s="1"/>
      <c r="BZY58" s="1"/>
      <c r="BZZ58" s="1"/>
      <c r="CAA58" s="1"/>
      <c r="CAB58" s="1"/>
      <c r="CAC58" s="1"/>
      <c r="CAD58" s="1"/>
      <c r="CAE58" s="1"/>
      <c r="CAF58" s="1"/>
      <c r="CAG58" s="1"/>
      <c r="CAH58" s="1"/>
      <c r="CAI58" s="1"/>
      <c r="CAJ58" s="1"/>
      <c r="CAK58" s="1"/>
      <c r="CAL58" s="1"/>
      <c r="CAM58" s="1"/>
      <c r="CAN58" s="1"/>
      <c r="CAO58" s="1"/>
      <c r="CAP58" s="1"/>
      <c r="CAQ58" s="1"/>
      <c r="CAR58" s="1"/>
      <c r="CAS58" s="1"/>
      <c r="CAT58" s="1"/>
      <c r="CAU58" s="1"/>
      <c r="CAV58" s="1"/>
      <c r="CAW58" s="1"/>
      <c r="CAX58" s="1"/>
      <c r="CAY58" s="1"/>
      <c r="CAZ58" s="1"/>
      <c r="CBA58" s="1"/>
      <c r="CBB58" s="1"/>
      <c r="CBC58" s="1"/>
      <c r="CBD58" s="1"/>
      <c r="CBE58" s="1"/>
      <c r="CBF58" s="1"/>
      <c r="CBG58" s="1"/>
      <c r="CBH58" s="1"/>
      <c r="CBI58" s="1"/>
      <c r="CBJ58" s="1"/>
      <c r="CBK58" s="1"/>
      <c r="CBL58" s="1"/>
      <c r="CBM58" s="1"/>
      <c r="CBN58" s="1"/>
      <c r="CBO58" s="1"/>
      <c r="CBP58" s="1"/>
      <c r="CBQ58" s="1"/>
      <c r="CBR58" s="1"/>
      <c r="CBS58" s="1"/>
      <c r="CBT58" s="1"/>
      <c r="CBU58" s="1"/>
      <c r="CBV58" s="1"/>
      <c r="CBW58" s="1"/>
      <c r="CBX58" s="1"/>
      <c r="CBY58" s="1"/>
      <c r="CBZ58" s="1"/>
      <c r="CCA58" s="1"/>
      <c r="CCB58" s="1"/>
      <c r="CCC58" s="1"/>
      <c r="CCD58" s="1"/>
      <c r="CCE58" s="1"/>
      <c r="CCF58" s="1"/>
      <c r="CCG58" s="1"/>
      <c r="CCH58" s="1"/>
      <c r="CCI58" s="1"/>
      <c r="CCJ58" s="1"/>
      <c r="CCK58" s="1"/>
      <c r="CCL58" s="1"/>
      <c r="CCM58" s="1"/>
      <c r="CCN58" s="1"/>
      <c r="CCO58" s="1"/>
      <c r="CCP58" s="1"/>
      <c r="CCQ58" s="1"/>
      <c r="CCR58" s="1"/>
      <c r="CCS58" s="1"/>
      <c r="CCT58" s="1"/>
      <c r="CCU58" s="1"/>
      <c r="CCV58" s="1"/>
      <c r="CCW58" s="1"/>
      <c r="CCX58" s="1"/>
      <c r="CCY58" s="1"/>
      <c r="CCZ58" s="1"/>
      <c r="CDA58" s="1"/>
      <c r="CDB58" s="1"/>
      <c r="CDC58" s="1"/>
      <c r="CDD58" s="1"/>
      <c r="CDE58" s="1"/>
      <c r="CDF58" s="1"/>
      <c r="CDG58" s="1"/>
      <c r="CDH58" s="1"/>
      <c r="CDI58" s="1"/>
      <c r="CDJ58" s="1"/>
      <c r="CDK58" s="1"/>
      <c r="CDL58" s="1"/>
      <c r="CDM58" s="1"/>
      <c r="CDN58" s="1"/>
      <c r="CDO58" s="1"/>
      <c r="CDP58" s="1"/>
      <c r="CDQ58" s="1"/>
      <c r="CDR58" s="1"/>
      <c r="CDS58" s="1"/>
      <c r="CDT58" s="1"/>
      <c r="CDU58" s="1"/>
      <c r="CDV58" s="1"/>
      <c r="CDW58" s="1"/>
      <c r="CDX58" s="1"/>
      <c r="CDY58" s="1"/>
      <c r="CDZ58" s="1"/>
      <c r="CEA58" s="1"/>
      <c r="CEB58" s="1"/>
      <c r="CEC58" s="1"/>
      <c r="CED58" s="1"/>
      <c r="CEE58" s="1"/>
      <c r="CEF58" s="1"/>
      <c r="CEG58" s="1"/>
      <c r="CEH58" s="1"/>
      <c r="CEI58" s="1"/>
      <c r="CEJ58" s="1"/>
      <c r="CEK58" s="1"/>
      <c r="CEL58" s="1"/>
      <c r="CEM58" s="1"/>
      <c r="CEN58" s="1"/>
      <c r="CEO58" s="1"/>
      <c r="CEP58" s="1"/>
      <c r="CEQ58" s="1"/>
      <c r="CER58" s="1"/>
      <c r="CES58" s="1"/>
      <c r="CET58" s="1"/>
      <c r="CEU58" s="1"/>
      <c r="CEV58" s="1"/>
      <c r="CEW58" s="1"/>
      <c r="CEX58" s="1"/>
      <c r="CEY58" s="1"/>
      <c r="CEZ58" s="1"/>
      <c r="CFA58" s="1"/>
      <c r="CFB58" s="1"/>
      <c r="CFC58" s="1"/>
      <c r="CFD58" s="1"/>
      <c r="CFE58" s="1"/>
      <c r="CFF58" s="1"/>
      <c r="CFG58" s="1"/>
      <c r="CFH58" s="1"/>
      <c r="CFI58" s="1"/>
      <c r="CFJ58" s="1"/>
      <c r="CFK58" s="1"/>
      <c r="CFL58" s="1"/>
      <c r="CFM58" s="1"/>
      <c r="CFN58" s="1"/>
      <c r="CFO58" s="1"/>
      <c r="CFP58" s="1"/>
      <c r="CFQ58" s="1"/>
      <c r="CFR58" s="1"/>
      <c r="CFS58" s="1"/>
      <c r="CFT58" s="1"/>
      <c r="CFU58" s="1"/>
      <c r="CFV58" s="1"/>
      <c r="CFW58" s="1"/>
      <c r="CFX58" s="1"/>
      <c r="CFY58" s="1"/>
      <c r="CFZ58" s="1"/>
      <c r="CGA58" s="1"/>
      <c r="CGB58" s="1"/>
      <c r="CGC58" s="1"/>
      <c r="CGD58" s="1"/>
      <c r="CGE58" s="1"/>
      <c r="CGF58" s="1"/>
      <c r="CGG58" s="1"/>
      <c r="CGH58" s="1"/>
      <c r="CGI58" s="1"/>
      <c r="CGJ58" s="1"/>
      <c r="CGK58" s="1"/>
      <c r="CGL58" s="1"/>
      <c r="CGM58" s="1"/>
      <c r="CGN58" s="1"/>
      <c r="CGO58" s="1"/>
      <c r="CGP58" s="1"/>
      <c r="CGQ58" s="1"/>
      <c r="CGR58" s="1"/>
      <c r="CGS58" s="1"/>
      <c r="CGT58" s="1"/>
      <c r="CGU58" s="1"/>
      <c r="CGV58" s="1"/>
      <c r="CGW58" s="1"/>
      <c r="CGX58" s="1"/>
      <c r="CGY58" s="1"/>
      <c r="CGZ58" s="1"/>
      <c r="CHA58" s="1"/>
      <c r="CHB58" s="1"/>
      <c r="CHC58" s="1"/>
      <c r="CHD58" s="1"/>
      <c r="CHE58" s="1"/>
      <c r="CHF58" s="1"/>
      <c r="CHG58" s="1"/>
      <c r="CHH58" s="1"/>
      <c r="CHI58" s="1"/>
      <c r="CHJ58" s="1"/>
      <c r="CHK58" s="1"/>
      <c r="CHL58" s="1"/>
      <c r="CHM58" s="1"/>
      <c r="CHN58" s="1"/>
      <c r="CHO58" s="1"/>
      <c r="CHP58" s="1"/>
      <c r="CHQ58" s="1"/>
      <c r="CHR58" s="1"/>
      <c r="CHS58" s="1"/>
      <c r="CHT58" s="1"/>
      <c r="CHU58" s="1"/>
      <c r="CHV58" s="1"/>
      <c r="CHW58" s="1"/>
      <c r="CHX58" s="1"/>
      <c r="CHY58" s="1"/>
      <c r="CHZ58" s="1"/>
      <c r="CIA58" s="1"/>
      <c r="CIB58" s="1"/>
      <c r="CIC58" s="1"/>
      <c r="CID58" s="1"/>
      <c r="CIE58" s="1"/>
      <c r="CIF58" s="1"/>
      <c r="CIG58" s="1"/>
      <c r="CIH58" s="1"/>
      <c r="CII58" s="1"/>
      <c r="CIJ58" s="1"/>
      <c r="CIK58" s="1"/>
      <c r="CIL58" s="1"/>
      <c r="CIM58" s="1"/>
      <c r="CIN58" s="1"/>
      <c r="CIO58" s="1"/>
      <c r="CIP58" s="1"/>
      <c r="CIQ58" s="1"/>
      <c r="CIR58" s="1"/>
      <c r="CIS58" s="1"/>
      <c r="CIT58" s="1"/>
      <c r="CIU58" s="1"/>
      <c r="CIV58" s="1"/>
      <c r="CIW58" s="1"/>
      <c r="CIX58" s="1"/>
      <c r="CIY58" s="1"/>
      <c r="CIZ58" s="1"/>
      <c r="CJA58" s="1"/>
      <c r="CJB58" s="1"/>
      <c r="CJC58" s="1"/>
      <c r="CJD58" s="1"/>
      <c r="CJE58" s="1"/>
      <c r="CJF58" s="1"/>
      <c r="CJG58" s="1"/>
      <c r="CJH58" s="1"/>
      <c r="CJI58" s="1"/>
      <c r="CJJ58" s="1"/>
      <c r="CJK58" s="1"/>
      <c r="CJL58" s="1"/>
      <c r="CJM58" s="1"/>
      <c r="CJN58" s="1"/>
      <c r="CJO58" s="1"/>
      <c r="CJP58" s="1"/>
      <c r="CJQ58" s="1"/>
      <c r="CJR58" s="1"/>
      <c r="CJS58" s="1"/>
      <c r="CJT58" s="1"/>
      <c r="CJU58" s="1"/>
      <c r="CJV58" s="1"/>
      <c r="CJW58" s="1"/>
      <c r="CJX58" s="1"/>
      <c r="CJY58" s="1"/>
      <c r="CJZ58" s="1"/>
      <c r="CKA58" s="1"/>
      <c r="CKB58" s="1"/>
      <c r="CKC58" s="1"/>
      <c r="CKD58" s="1"/>
      <c r="CKE58" s="1"/>
      <c r="CKF58" s="1"/>
      <c r="CKG58" s="1"/>
      <c r="CKH58" s="1"/>
      <c r="CKI58" s="1"/>
      <c r="CKJ58" s="1"/>
      <c r="CKK58" s="1"/>
      <c r="CKL58" s="1"/>
      <c r="CKM58" s="1"/>
      <c r="CKN58" s="1"/>
      <c r="CKO58" s="1"/>
      <c r="CKP58" s="1"/>
      <c r="CKQ58" s="1"/>
      <c r="CKR58" s="1"/>
      <c r="CKS58" s="1"/>
      <c r="CKT58" s="1"/>
      <c r="CKU58" s="1"/>
      <c r="CKV58" s="1"/>
      <c r="CKW58" s="1"/>
      <c r="CKX58" s="1"/>
      <c r="CKY58" s="1"/>
      <c r="CKZ58" s="1"/>
      <c r="CLA58" s="1"/>
      <c r="CLB58" s="1"/>
      <c r="CLC58" s="1"/>
      <c r="CLD58" s="1"/>
      <c r="CLE58" s="1"/>
      <c r="CLF58" s="1"/>
      <c r="CLG58" s="1"/>
      <c r="CLH58" s="1"/>
      <c r="CLI58" s="1"/>
      <c r="CLJ58" s="1"/>
      <c r="CLK58" s="1"/>
      <c r="CLL58" s="1"/>
      <c r="CLM58" s="1"/>
      <c r="CLN58" s="1"/>
      <c r="CLO58" s="1"/>
      <c r="CLP58" s="1"/>
      <c r="CLQ58" s="1"/>
      <c r="CLR58" s="1"/>
      <c r="CLS58" s="1"/>
      <c r="CLT58" s="1"/>
      <c r="CLU58" s="1"/>
      <c r="CLV58" s="1"/>
      <c r="CLW58" s="1"/>
      <c r="CLX58" s="1"/>
      <c r="CLY58" s="1"/>
      <c r="CLZ58" s="1"/>
      <c r="CMA58" s="1"/>
      <c r="CMB58" s="1"/>
      <c r="CMC58" s="1"/>
      <c r="CMD58" s="1"/>
      <c r="CME58" s="1"/>
      <c r="CMF58" s="1"/>
      <c r="CMG58" s="1"/>
      <c r="CMH58" s="1"/>
      <c r="CMI58" s="1"/>
      <c r="CMJ58" s="1"/>
      <c r="CMK58" s="1"/>
      <c r="CML58" s="1"/>
      <c r="CMM58" s="1"/>
      <c r="CMN58" s="1"/>
      <c r="CMO58" s="1"/>
      <c r="CMP58" s="1"/>
      <c r="CMQ58" s="1"/>
      <c r="CMR58" s="1"/>
      <c r="CMS58" s="1"/>
      <c r="CMT58" s="1"/>
      <c r="CMU58" s="1"/>
      <c r="CMV58" s="1"/>
      <c r="CMW58" s="1"/>
      <c r="CMX58" s="1"/>
      <c r="CMY58" s="1"/>
      <c r="CMZ58" s="1"/>
      <c r="CNA58" s="1"/>
      <c r="CNB58" s="1"/>
      <c r="CNC58" s="1"/>
      <c r="CND58" s="1"/>
      <c r="CNE58" s="1"/>
      <c r="CNF58" s="1"/>
      <c r="CNG58" s="1"/>
      <c r="CNH58" s="1"/>
      <c r="CNI58" s="1"/>
      <c r="CNJ58" s="1"/>
      <c r="CNK58" s="1"/>
      <c r="CNL58" s="1"/>
      <c r="CNM58" s="1"/>
      <c r="CNN58" s="1"/>
      <c r="CNO58" s="1"/>
      <c r="CNP58" s="1"/>
      <c r="CNQ58" s="1"/>
      <c r="CNR58" s="1"/>
      <c r="CNS58" s="1"/>
      <c r="CNT58" s="1"/>
      <c r="CNU58" s="1"/>
      <c r="CNV58" s="1"/>
      <c r="CNW58" s="1"/>
      <c r="CNX58" s="1"/>
      <c r="CNY58" s="1"/>
      <c r="CNZ58" s="1"/>
      <c r="COA58" s="1"/>
      <c r="COB58" s="1"/>
      <c r="COC58" s="1"/>
      <c r="COD58" s="1"/>
      <c r="COE58" s="1"/>
      <c r="COF58" s="1"/>
      <c r="COG58" s="1"/>
      <c r="COH58" s="1"/>
      <c r="COI58" s="1"/>
      <c r="COJ58" s="1"/>
      <c r="COK58" s="1"/>
      <c r="COL58" s="1"/>
      <c r="COM58" s="1"/>
      <c r="CON58" s="1"/>
      <c r="COO58" s="1"/>
      <c r="COP58" s="1"/>
      <c r="COQ58" s="1"/>
      <c r="COR58" s="1"/>
      <c r="COS58" s="1"/>
      <c r="COT58" s="1"/>
      <c r="COU58" s="1"/>
      <c r="COV58" s="1"/>
      <c r="COW58" s="1"/>
      <c r="COX58" s="1"/>
      <c r="COY58" s="1"/>
      <c r="COZ58" s="1"/>
      <c r="CPA58" s="1"/>
      <c r="CPB58" s="1"/>
      <c r="CPC58" s="1"/>
      <c r="CPD58" s="1"/>
      <c r="CPE58" s="1"/>
      <c r="CPF58" s="1"/>
      <c r="CPG58" s="1"/>
      <c r="CPH58" s="1"/>
      <c r="CPI58" s="1"/>
      <c r="CPJ58" s="1"/>
      <c r="CPK58" s="1"/>
      <c r="CPL58" s="1"/>
      <c r="CPM58" s="1"/>
      <c r="CPN58" s="1"/>
      <c r="CPO58" s="1"/>
      <c r="CPP58" s="1"/>
      <c r="CPQ58" s="1"/>
      <c r="CPR58" s="1"/>
      <c r="CPS58" s="1"/>
      <c r="CPT58" s="1"/>
      <c r="CPU58" s="1"/>
      <c r="CPV58" s="1"/>
      <c r="CPW58" s="1"/>
      <c r="CPX58" s="1"/>
      <c r="CPY58" s="1"/>
      <c r="CPZ58" s="1"/>
      <c r="CQA58" s="1"/>
      <c r="CQB58" s="1"/>
      <c r="CQC58" s="1"/>
      <c r="CQD58" s="1"/>
      <c r="CQE58" s="1"/>
      <c r="CQF58" s="1"/>
      <c r="CQG58" s="1"/>
      <c r="CQH58" s="1"/>
      <c r="CQI58" s="1"/>
      <c r="CQJ58" s="1"/>
      <c r="CQK58" s="1"/>
      <c r="CQL58" s="1"/>
      <c r="CQM58" s="1"/>
      <c r="CQN58" s="1"/>
      <c r="CQO58" s="1"/>
      <c r="CQP58" s="1"/>
      <c r="CQQ58" s="1"/>
      <c r="CQR58" s="1"/>
      <c r="CQS58" s="1"/>
      <c r="CQT58" s="1"/>
      <c r="CQU58" s="1"/>
      <c r="CQV58" s="1"/>
      <c r="CQW58" s="1"/>
      <c r="CQX58" s="1"/>
      <c r="CQY58" s="1"/>
      <c r="CQZ58" s="1"/>
      <c r="CRA58" s="1"/>
      <c r="CRB58" s="1"/>
      <c r="CRC58" s="1"/>
      <c r="CRD58" s="1"/>
      <c r="CRE58" s="1"/>
      <c r="CRF58" s="1"/>
      <c r="CRG58" s="1"/>
      <c r="CRH58" s="1"/>
      <c r="CRI58" s="1"/>
      <c r="CRJ58" s="1"/>
      <c r="CRK58" s="1"/>
      <c r="CRL58" s="1"/>
      <c r="CRM58" s="1"/>
      <c r="CRN58" s="1"/>
      <c r="CRO58" s="1"/>
      <c r="CRP58" s="1"/>
      <c r="CRQ58" s="1"/>
      <c r="CRR58" s="1"/>
      <c r="CRS58" s="1"/>
      <c r="CRT58" s="1"/>
      <c r="CRU58" s="1"/>
      <c r="CRV58" s="1"/>
      <c r="CRW58" s="1"/>
      <c r="CRX58" s="1"/>
      <c r="CRY58" s="1"/>
      <c r="CRZ58" s="1"/>
      <c r="CSA58" s="1"/>
      <c r="CSB58" s="1"/>
      <c r="CSC58" s="1"/>
      <c r="CSD58" s="1"/>
      <c r="CSE58" s="1"/>
      <c r="CSF58" s="1"/>
      <c r="CSG58" s="1"/>
      <c r="CSH58" s="1"/>
      <c r="CSI58" s="1"/>
      <c r="CSJ58" s="1"/>
      <c r="CSK58" s="1"/>
      <c r="CSL58" s="1"/>
      <c r="CSM58" s="1"/>
      <c r="CSN58" s="1"/>
      <c r="CSO58" s="1"/>
      <c r="CSP58" s="1"/>
      <c r="CSQ58" s="1"/>
      <c r="CSR58" s="1"/>
      <c r="CSS58" s="1"/>
      <c r="CST58" s="1"/>
      <c r="CSU58" s="1"/>
      <c r="CSV58" s="1"/>
      <c r="CSW58" s="1"/>
      <c r="CSX58" s="1"/>
      <c r="CSY58" s="1"/>
      <c r="CSZ58" s="1"/>
      <c r="CTA58" s="1"/>
      <c r="CTB58" s="1"/>
      <c r="CTC58" s="1"/>
      <c r="CTD58" s="1"/>
      <c r="CTE58" s="1"/>
      <c r="CTF58" s="1"/>
      <c r="CTG58" s="1"/>
      <c r="CTH58" s="1"/>
      <c r="CTI58" s="1"/>
      <c r="CTJ58" s="1"/>
      <c r="CTK58" s="1"/>
      <c r="CTL58" s="1"/>
      <c r="CTM58" s="1"/>
      <c r="CTN58" s="1"/>
      <c r="CTO58" s="1"/>
      <c r="CTP58" s="1"/>
      <c r="CTQ58" s="1"/>
      <c r="CTR58" s="1"/>
      <c r="CTS58" s="1"/>
      <c r="CTT58" s="1"/>
      <c r="CTU58" s="1"/>
      <c r="CTV58" s="1"/>
      <c r="CTW58" s="1"/>
      <c r="CTX58" s="1"/>
      <c r="CTY58" s="1"/>
      <c r="CTZ58" s="1"/>
      <c r="CUA58" s="1"/>
      <c r="CUB58" s="1"/>
      <c r="CUC58" s="1"/>
      <c r="CUD58" s="1"/>
      <c r="CUE58" s="1"/>
      <c r="CUF58" s="1"/>
      <c r="CUG58" s="1"/>
      <c r="CUH58" s="1"/>
      <c r="CUI58" s="1"/>
      <c r="CUJ58" s="1"/>
      <c r="CUK58" s="1"/>
      <c r="CUL58" s="1"/>
      <c r="CUM58" s="1"/>
      <c r="CUN58" s="1"/>
      <c r="CUO58" s="1"/>
      <c r="CUP58" s="1"/>
      <c r="CUQ58" s="1"/>
      <c r="CUR58" s="1"/>
      <c r="CUS58" s="1"/>
      <c r="CUT58" s="1"/>
      <c r="CUU58" s="1"/>
      <c r="CUV58" s="1"/>
      <c r="CUW58" s="1"/>
      <c r="CUX58" s="1"/>
      <c r="CUY58" s="1"/>
      <c r="CUZ58" s="1"/>
      <c r="CVA58" s="1"/>
      <c r="CVB58" s="1"/>
      <c r="CVC58" s="1"/>
      <c r="CVD58" s="1"/>
      <c r="CVE58" s="1"/>
      <c r="CVF58" s="1"/>
      <c r="CVG58" s="1"/>
      <c r="CVH58" s="1"/>
      <c r="CVI58" s="1"/>
      <c r="CVJ58" s="1"/>
      <c r="CVK58" s="1"/>
      <c r="CVL58" s="1"/>
      <c r="CVM58" s="1"/>
      <c r="CVN58" s="1"/>
      <c r="CVO58" s="1"/>
      <c r="CVP58" s="1"/>
      <c r="CVQ58" s="1"/>
      <c r="CVR58" s="1"/>
      <c r="CVS58" s="1"/>
      <c r="CVT58" s="1"/>
      <c r="CVU58" s="1"/>
      <c r="CVV58" s="1"/>
      <c r="CVW58" s="1"/>
      <c r="CVX58" s="1"/>
      <c r="CVY58" s="1"/>
      <c r="CVZ58" s="1"/>
      <c r="CWA58" s="1"/>
      <c r="CWB58" s="1"/>
      <c r="CWC58" s="1"/>
      <c r="CWD58" s="1"/>
      <c r="CWE58" s="1"/>
      <c r="CWF58" s="1"/>
      <c r="CWG58" s="1"/>
      <c r="CWH58" s="1"/>
      <c r="CWI58" s="1"/>
      <c r="CWJ58" s="1"/>
      <c r="CWK58" s="1"/>
      <c r="CWL58" s="1"/>
      <c r="CWM58" s="1"/>
      <c r="CWN58" s="1"/>
      <c r="CWO58" s="1"/>
      <c r="CWP58" s="1"/>
      <c r="CWQ58" s="1"/>
      <c r="CWR58" s="1"/>
      <c r="CWS58" s="1"/>
      <c r="CWT58" s="1"/>
      <c r="CWU58" s="1"/>
      <c r="CWV58" s="1"/>
      <c r="CWW58" s="1"/>
      <c r="CWX58" s="1"/>
      <c r="CWY58" s="1"/>
      <c r="CWZ58" s="1"/>
      <c r="CXA58" s="1"/>
      <c r="CXB58" s="1"/>
      <c r="CXC58" s="1"/>
      <c r="CXD58" s="1"/>
      <c r="CXE58" s="1"/>
      <c r="CXF58" s="1"/>
      <c r="CXG58" s="1"/>
      <c r="CXH58" s="1"/>
      <c r="CXI58" s="1"/>
      <c r="CXJ58" s="1"/>
      <c r="CXK58" s="1"/>
      <c r="CXL58" s="1"/>
      <c r="CXM58" s="1"/>
      <c r="CXN58" s="1"/>
      <c r="CXO58" s="1"/>
      <c r="CXP58" s="1"/>
      <c r="CXQ58" s="1"/>
      <c r="CXR58" s="1"/>
      <c r="CXS58" s="1"/>
      <c r="CXT58" s="1"/>
      <c r="CXU58" s="1"/>
      <c r="CXV58" s="1"/>
      <c r="CXW58" s="1"/>
      <c r="CXX58" s="1"/>
      <c r="CXY58" s="1"/>
      <c r="CXZ58" s="1"/>
      <c r="CYA58" s="1"/>
      <c r="CYB58" s="1"/>
      <c r="CYC58" s="1"/>
      <c r="CYD58" s="1"/>
      <c r="CYE58" s="1"/>
      <c r="CYF58" s="1"/>
      <c r="CYG58" s="1"/>
      <c r="CYH58" s="1"/>
      <c r="CYI58" s="1"/>
      <c r="CYJ58" s="1"/>
      <c r="CYK58" s="1"/>
      <c r="CYL58" s="1"/>
      <c r="CYM58" s="1"/>
      <c r="CYN58" s="1"/>
      <c r="CYO58" s="1"/>
      <c r="CYP58" s="1"/>
      <c r="CYQ58" s="1"/>
      <c r="CYR58" s="1"/>
      <c r="CYS58" s="1"/>
      <c r="CYT58" s="1"/>
      <c r="CYU58" s="1"/>
      <c r="CYV58" s="1"/>
      <c r="CYW58" s="1"/>
      <c r="CYX58" s="1"/>
      <c r="CYY58" s="1"/>
      <c r="CYZ58" s="1"/>
      <c r="CZA58" s="1"/>
      <c r="CZB58" s="1"/>
      <c r="CZC58" s="1"/>
      <c r="CZD58" s="1"/>
      <c r="CZE58" s="1"/>
      <c r="CZF58" s="1"/>
      <c r="CZG58" s="1"/>
      <c r="CZH58" s="1"/>
      <c r="CZI58" s="1"/>
      <c r="CZJ58" s="1"/>
      <c r="CZK58" s="1"/>
      <c r="CZL58" s="1"/>
      <c r="CZM58" s="1"/>
      <c r="CZN58" s="1"/>
      <c r="CZO58" s="1"/>
      <c r="CZP58" s="1"/>
      <c r="CZQ58" s="1"/>
      <c r="CZR58" s="1"/>
      <c r="CZS58" s="1"/>
      <c r="CZT58" s="1"/>
      <c r="CZU58" s="1"/>
      <c r="CZV58" s="1"/>
      <c r="CZW58" s="1"/>
      <c r="CZX58" s="1"/>
      <c r="CZY58" s="1"/>
      <c r="CZZ58" s="1"/>
      <c r="DAA58" s="1"/>
      <c r="DAB58" s="1"/>
      <c r="DAC58" s="1"/>
      <c r="DAD58" s="1"/>
      <c r="DAE58" s="1"/>
      <c r="DAF58" s="1"/>
      <c r="DAG58" s="1"/>
      <c r="DAH58" s="1"/>
      <c r="DAI58" s="1"/>
      <c r="DAJ58" s="1"/>
      <c r="DAK58" s="1"/>
      <c r="DAL58" s="1"/>
      <c r="DAM58" s="1"/>
      <c r="DAN58" s="1"/>
      <c r="DAO58" s="1"/>
      <c r="DAP58" s="1"/>
      <c r="DAQ58" s="1"/>
      <c r="DAR58" s="1"/>
      <c r="DAS58" s="1"/>
      <c r="DAT58" s="1"/>
      <c r="DAU58" s="1"/>
      <c r="DAV58" s="1"/>
      <c r="DAW58" s="1"/>
      <c r="DAX58" s="1"/>
      <c r="DAY58" s="1"/>
      <c r="DAZ58" s="1"/>
      <c r="DBA58" s="1"/>
      <c r="DBB58" s="1"/>
      <c r="DBC58" s="1"/>
      <c r="DBD58" s="1"/>
      <c r="DBE58" s="1"/>
      <c r="DBF58" s="1"/>
      <c r="DBG58" s="1"/>
      <c r="DBH58" s="1"/>
      <c r="DBI58" s="1"/>
      <c r="DBJ58" s="1"/>
      <c r="DBK58" s="1"/>
      <c r="DBL58" s="1"/>
      <c r="DBM58" s="1"/>
      <c r="DBN58" s="1"/>
      <c r="DBO58" s="1"/>
      <c r="DBP58" s="1"/>
      <c r="DBQ58" s="1"/>
      <c r="DBR58" s="1"/>
      <c r="DBS58" s="1"/>
      <c r="DBT58" s="1"/>
      <c r="DBU58" s="1"/>
      <c r="DBV58" s="1"/>
      <c r="DBW58" s="1"/>
      <c r="DBX58" s="1"/>
      <c r="DBY58" s="1"/>
      <c r="DBZ58" s="1"/>
      <c r="DCA58" s="1"/>
      <c r="DCB58" s="1"/>
      <c r="DCC58" s="1"/>
      <c r="DCD58" s="1"/>
      <c r="DCE58" s="1"/>
      <c r="DCF58" s="1"/>
      <c r="DCG58" s="1"/>
      <c r="DCH58" s="1"/>
      <c r="DCI58" s="1"/>
      <c r="DCJ58" s="1"/>
      <c r="DCK58" s="1"/>
      <c r="DCL58" s="1"/>
      <c r="DCM58" s="1"/>
      <c r="DCN58" s="1"/>
      <c r="DCO58" s="1"/>
      <c r="DCP58" s="1"/>
      <c r="DCQ58" s="1"/>
      <c r="DCR58" s="1"/>
      <c r="DCS58" s="1"/>
      <c r="DCT58" s="1"/>
      <c r="DCU58" s="1"/>
      <c r="DCV58" s="1"/>
      <c r="DCW58" s="1"/>
      <c r="DCX58" s="1"/>
      <c r="DCY58" s="1"/>
      <c r="DCZ58" s="1"/>
      <c r="DDA58" s="1"/>
      <c r="DDB58" s="1"/>
      <c r="DDC58" s="1"/>
      <c r="DDD58" s="1"/>
      <c r="DDE58" s="1"/>
      <c r="DDF58" s="1"/>
      <c r="DDG58" s="1"/>
      <c r="DDH58" s="1"/>
      <c r="DDI58" s="1"/>
      <c r="DDJ58" s="1"/>
      <c r="DDK58" s="1"/>
      <c r="DDL58" s="1"/>
      <c r="DDM58" s="1"/>
      <c r="DDN58" s="1"/>
      <c r="DDO58" s="1"/>
      <c r="DDP58" s="1"/>
      <c r="DDQ58" s="1"/>
      <c r="DDR58" s="1"/>
      <c r="DDS58" s="1"/>
      <c r="DDT58" s="1"/>
      <c r="DDU58" s="1"/>
      <c r="DDV58" s="1"/>
      <c r="DDW58" s="1"/>
      <c r="DDX58" s="1"/>
      <c r="DDY58" s="1"/>
      <c r="DDZ58" s="1"/>
      <c r="DEA58" s="1"/>
      <c r="DEB58" s="1"/>
      <c r="DEC58" s="1"/>
      <c r="DED58" s="1"/>
      <c r="DEE58" s="1"/>
      <c r="DEF58" s="1"/>
      <c r="DEG58" s="1"/>
      <c r="DEH58" s="1"/>
      <c r="DEI58" s="1"/>
      <c r="DEJ58" s="1"/>
      <c r="DEK58" s="1"/>
      <c r="DEL58" s="1"/>
      <c r="DEM58" s="1"/>
      <c r="DEN58" s="1"/>
      <c r="DEO58" s="1"/>
      <c r="DEP58" s="1"/>
      <c r="DEQ58" s="1"/>
      <c r="DER58" s="1"/>
      <c r="DES58" s="1"/>
      <c r="DET58" s="1"/>
      <c r="DEU58" s="1"/>
      <c r="DEV58" s="1"/>
      <c r="DEW58" s="1"/>
      <c r="DEX58" s="1"/>
      <c r="DEY58" s="1"/>
      <c r="DEZ58" s="1"/>
      <c r="DFA58" s="1"/>
      <c r="DFB58" s="1"/>
      <c r="DFC58" s="1"/>
      <c r="DFD58" s="1"/>
      <c r="DFE58" s="1"/>
      <c r="DFF58" s="1"/>
      <c r="DFG58" s="1"/>
      <c r="DFH58" s="1"/>
      <c r="DFI58" s="1"/>
      <c r="DFJ58" s="1"/>
      <c r="DFK58" s="1"/>
      <c r="DFL58" s="1"/>
      <c r="DFM58" s="1"/>
      <c r="DFN58" s="1"/>
      <c r="DFO58" s="1"/>
      <c r="DFP58" s="1"/>
      <c r="DFQ58" s="1"/>
      <c r="DFR58" s="1"/>
      <c r="DFS58" s="1"/>
      <c r="DFT58" s="1"/>
      <c r="DFU58" s="1"/>
      <c r="DFV58" s="1"/>
      <c r="DFW58" s="1"/>
      <c r="DFX58" s="1"/>
      <c r="DFY58" s="1"/>
      <c r="DFZ58" s="1"/>
      <c r="DGA58" s="1"/>
      <c r="DGB58" s="1"/>
      <c r="DGC58" s="1"/>
      <c r="DGD58" s="1"/>
      <c r="DGE58" s="1"/>
      <c r="DGF58" s="1"/>
      <c r="DGG58" s="1"/>
      <c r="DGH58" s="1"/>
      <c r="DGI58" s="1"/>
      <c r="DGJ58" s="1"/>
      <c r="DGK58" s="1"/>
      <c r="DGL58" s="1"/>
      <c r="DGM58" s="1"/>
      <c r="DGN58" s="1"/>
      <c r="DGO58" s="1"/>
      <c r="DGP58" s="1"/>
      <c r="DGQ58" s="1"/>
      <c r="DGR58" s="1"/>
      <c r="DGS58" s="1"/>
      <c r="DGT58" s="1"/>
      <c r="DGU58" s="1"/>
      <c r="DGV58" s="1"/>
      <c r="DGW58" s="1"/>
      <c r="DGX58" s="1"/>
      <c r="DGY58" s="1"/>
      <c r="DGZ58" s="1"/>
      <c r="DHA58" s="1"/>
      <c r="DHB58" s="1"/>
      <c r="DHC58" s="1"/>
      <c r="DHD58" s="1"/>
      <c r="DHE58" s="1"/>
      <c r="DHF58" s="1"/>
      <c r="DHG58" s="1"/>
      <c r="DHH58" s="1"/>
      <c r="DHI58" s="1"/>
      <c r="DHJ58" s="1"/>
      <c r="DHK58" s="1"/>
      <c r="DHL58" s="1"/>
      <c r="DHM58" s="1"/>
      <c r="DHN58" s="1"/>
      <c r="DHO58" s="1"/>
      <c r="DHP58" s="1"/>
      <c r="DHQ58" s="1"/>
      <c r="DHR58" s="1"/>
      <c r="DHS58" s="1"/>
      <c r="DHT58" s="1"/>
      <c r="DHU58" s="1"/>
      <c r="DHV58" s="1"/>
      <c r="DHW58" s="1"/>
      <c r="DHX58" s="1"/>
      <c r="DHY58" s="1"/>
      <c r="DHZ58" s="1"/>
      <c r="DIA58" s="1"/>
      <c r="DIB58" s="1"/>
      <c r="DIC58" s="1"/>
      <c r="DID58" s="1"/>
      <c r="DIE58" s="1"/>
      <c r="DIF58" s="1"/>
      <c r="DIG58" s="1"/>
      <c r="DIH58" s="1"/>
      <c r="DII58" s="1"/>
      <c r="DIJ58" s="1"/>
      <c r="DIK58" s="1"/>
      <c r="DIL58" s="1"/>
      <c r="DIM58" s="1"/>
      <c r="DIN58" s="1"/>
      <c r="DIO58" s="1"/>
      <c r="DIP58" s="1"/>
      <c r="DIQ58" s="1"/>
      <c r="DIR58" s="1"/>
      <c r="DIS58" s="1"/>
      <c r="DIT58" s="1"/>
      <c r="DIU58" s="1"/>
      <c r="DIV58" s="1"/>
      <c r="DIW58" s="1"/>
      <c r="DIX58" s="1"/>
      <c r="DIY58" s="1"/>
      <c r="DIZ58" s="1"/>
      <c r="DJA58" s="1"/>
      <c r="DJB58" s="1"/>
      <c r="DJC58" s="1"/>
      <c r="DJD58" s="1"/>
      <c r="DJE58" s="1"/>
      <c r="DJF58" s="1"/>
      <c r="DJG58" s="1"/>
      <c r="DJH58" s="1"/>
      <c r="DJI58" s="1"/>
      <c r="DJJ58" s="1"/>
      <c r="DJK58" s="1"/>
      <c r="DJL58" s="1"/>
      <c r="DJM58" s="1"/>
      <c r="DJN58" s="1"/>
      <c r="DJO58" s="1"/>
      <c r="DJP58" s="1"/>
      <c r="DJQ58" s="1"/>
      <c r="DJR58" s="1"/>
      <c r="DJS58" s="1"/>
      <c r="DJT58" s="1"/>
      <c r="DJU58" s="1"/>
      <c r="DJV58" s="1"/>
      <c r="DJW58" s="1"/>
      <c r="DJX58" s="1"/>
      <c r="DJY58" s="1"/>
      <c r="DJZ58" s="1"/>
      <c r="DKA58" s="1"/>
      <c r="DKB58" s="1"/>
      <c r="DKC58" s="1"/>
      <c r="DKD58" s="1"/>
      <c r="DKE58" s="1"/>
      <c r="DKF58" s="1"/>
      <c r="DKG58" s="1"/>
      <c r="DKH58" s="1"/>
      <c r="DKI58" s="1"/>
      <c r="DKJ58" s="1"/>
      <c r="DKK58" s="1"/>
      <c r="DKL58" s="1"/>
      <c r="DKM58" s="1"/>
      <c r="DKN58" s="1"/>
      <c r="DKO58" s="1"/>
      <c r="DKP58" s="1"/>
      <c r="DKQ58" s="1"/>
      <c r="DKR58" s="1"/>
      <c r="DKS58" s="1"/>
      <c r="DKT58" s="1"/>
      <c r="DKU58" s="1"/>
      <c r="DKV58" s="1"/>
      <c r="DKW58" s="1"/>
      <c r="DKX58" s="1"/>
      <c r="DKY58" s="1"/>
      <c r="DKZ58" s="1"/>
      <c r="DLA58" s="1"/>
      <c r="DLB58" s="1"/>
      <c r="DLC58" s="1"/>
      <c r="DLD58" s="1"/>
      <c r="DLE58" s="1"/>
      <c r="DLF58" s="1"/>
      <c r="DLG58" s="1"/>
      <c r="DLH58" s="1"/>
      <c r="DLI58" s="1"/>
      <c r="DLJ58" s="1"/>
      <c r="DLK58" s="1"/>
      <c r="DLL58" s="1"/>
      <c r="DLM58" s="1"/>
      <c r="DLN58" s="1"/>
      <c r="DLO58" s="1"/>
      <c r="DLP58" s="1"/>
      <c r="DLQ58" s="1"/>
      <c r="DLR58" s="1"/>
      <c r="DLS58" s="1"/>
      <c r="DLT58" s="1"/>
      <c r="DLU58" s="1"/>
      <c r="DLV58" s="1"/>
      <c r="DLW58" s="1"/>
      <c r="DLX58" s="1"/>
      <c r="DLY58" s="1"/>
      <c r="DLZ58" s="1"/>
      <c r="DMA58" s="1"/>
      <c r="DMB58" s="1"/>
      <c r="DMC58" s="1"/>
      <c r="DMD58" s="1"/>
      <c r="DME58" s="1"/>
      <c r="DMF58" s="1"/>
      <c r="DMG58" s="1"/>
      <c r="DMH58" s="1"/>
      <c r="DMI58" s="1"/>
      <c r="DMJ58" s="1"/>
      <c r="DMK58" s="1"/>
      <c r="DML58" s="1"/>
      <c r="DMM58" s="1"/>
      <c r="DMN58" s="1"/>
      <c r="DMO58" s="1"/>
      <c r="DMP58" s="1"/>
      <c r="DMQ58" s="1"/>
      <c r="DMR58" s="1"/>
      <c r="DMS58" s="1"/>
      <c r="DMT58" s="1"/>
      <c r="DMU58" s="1"/>
      <c r="DMV58" s="1"/>
      <c r="DMW58" s="1"/>
      <c r="DMX58" s="1"/>
      <c r="DMY58" s="1"/>
      <c r="DMZ58" s="1"/>
      <c r="DNA58" s="1"/>
      <c r="DNB58" s="1"/>
      <c r="DNC58" s="1"/>
      <c r="DND58" s="1"/>
      <c r="DNE58" s="1"/>
      <c r="DNF58" s="1"/>
      <c r="DNG58" s="1"/>
      <c r="DNH58" s="1"/>
      <c r="DNI58" s="1"/>
      <c r="DNJ58" s="1"/>
      <c r="DNK58" s="1"/>
      <c r="DNL58" s="1"/>
      <c r="DNM58" s="1"/>
      <c r="DNN58" s="1"/>
      <c r="DNO58" s="1"/>
      <c r="DNP58" s="1"/>
      <c r="DNQ58" s="1"/>
      <c r="DNR58" s="1"/>
      <c r="DNS58" s="1"/>
      <c r="DNT58" s="1"/>
      <c r="DNU58" s="1"/>
      <c r="DNV58" s="1"/>
      <c r="DNW58" s="1"/>
      <c r="DNX58" s="1"/>
      <c r="DNY58" s="1"/>
      <c r="DNZ58" s="1"/>
      <c r="DOA58" s="1"/>
      <c r="DOB58" s="1"/>
      <c r="DOC58" s="1"/>
      <c r="DOD58" s="1"/>
      <c r="DOE58" s="1"/>
      <c r="DOF58" s="1"/>
      <c r="DOG58" s="1"/>
      <c r="DOH58" s="1"/>
      <c r="DOI58" s="1"/>
      <c r="DOJ58" s="1"/>
      <c r="DOK58" s="1"/>
      <c r="DOL58" s="1"/>
      <c r="DOM58" s="1"/>
      <c r="DON58" s="1"/>
      <c r="DOO58" s="1"/>
      <c r="DOP58" s="1"/>
      <c r="DOQ58" s="1"/>
      <c r="DOR58" s="1"/>
      <c r="DOS58" s="1"/>
      <c r="DOT58" s="1"/>
      <c r="DOU58" s="1"/>
      <c r="DOV58" s="1"/>
      <c r="DOW58" s="1"/>
      <c r="DOX58" s="1"/>
      <c r="DOY58" s="1"/>
      <c r="DOZ58" s="1"/>
      <c r="DPA58" s="1"/>
      <c r="DPB58" s="1"/>
      <c r="DPC58" s="1"/>
      <c r="DPD58" s="1"/>
      <c r="DPE58" s="1"/>
      <c r="DPF58" s="1"/>
      <c r="DPG58" s="1"/>
      <c r="DPH58" s="1"/>
      <c r="DPI58" s="1"/>
      <c r="DPJ58" s="1"/>
      <c r="DPK58" s="1"/>
      <c r="DPL58" s="1"/>
      <c r="DPM58" s="1"/>
      <c r="DPN58" s="1"/>
      <c r="DPO58" s="1"/>
      <c r="DPP58" s="1"/>
      <c r="DPQ58" s="1"/>
      <c r="DPR58" s="1"/>
      <c r="DPS58" s="1"/>
      <c r="DPT58" s="1"/>
      <c r="DPU58" s="1"/>
      <c r="DPV58" s="1"/>
      <c r="DPW58" s="1"/>
      <c r="DPX58" s="1"/>
      <c r="DPY58" s="1"/>
      <c r="DPZ58" s="1"/>
      <c r="DQA58" s="1"/>
      <c r="DQB58" s="1"/>
      <c r="DQC58" s="1"/>
      <c r="DQD58" s="1"/>
      <c r="DQE58" s="1"/>
      <c r="DQF58" s="1"/>
      <c r="DQG58" s="1"/>
      <c r="DQH58" s="1"/>
      <c r="DQI58" s="1"/>
      <c r="DQJ58" s="1"/>
      <c r="DQK58" s="1"/>
      <c r="DQL58" s="1"/>
      <c r="DQM58" s="1"/>
      <c r="DQN58" s="1"/>
      <c r="DQO58" s="1"/>
      <c r="DQP58" s="1"/>
      <c r="DQQ58" s="1"/>
      <c r="DQR58" s="1"/>
      <c r="DQS58" s="1"/>
      <c r="DQT58" s="1"/>
      <c r="DQU58" s="1"/>
      <c r="DQV58" s="1"/>
      <c r="DQW58" s="1"/>
      <c r="DQX58" s="1"/>
      <c r="DQY58" s="1"/>
      <c r="DQZ58" s="1"/>
      <c r="DRA58" s="1"/>
      <c r="DRB58" s="1"/>
      <c r="DRC58" s="1"/>
      <c r="DRD58" s="1"/>
      <c r="DRE58" s="1"/>
      <c r="DRF58" s="1"/>
      <c r="DRG58" s="1"/>
      <c r="DRH58" s="1"/>
      <c r="DRI58" s="1"/>
      <c r="DRJ58" s="1"/>
      <c r="DRK58" s="1"/>
      <c r="DRL58" s="1"/>
      <c r="DRM58" s="1"/>
      <c r="DRN58" s="1"/>
      <c r="DRO58" s="1"/>
      <c r="DRP58" s="1"/>
      <c r="DRQ58" s="1"/>
      <c r="DRR58" s="1"/>
      <c r="DRS58" s="1"/>
      <c r="DRT58" s="1"/>
      <c r="DRU58" s="1"/>
      <c r="DRV58" s="1"/>
      <c r="DRW58" s="1"/>
      <c r="DRX58" s="1"/>
      <c r="DRY58" s="1"/>
      <c r="DRZ58" s="1"/>
      <c r="DSA58" s="1"/>
      <c r="DSB58" s="1"/>
      <c r="DSC58" s="1"/>
      <c r="DSD58" s="1"/>
      <c r="DSE58" s="1"/>
      <c r="DSF58" s="1"/>
      <c r="DSG58" s="1"/>
      <c r="DSH58" s="1"/>
      <c r="DSI58" s="1"/>
      <c r="DSJ58" s="1"/>
      <c r="DSK58" s="1"/>
      <c r="DSL58" s="1"/>
      <c r="DSM58" s="1"/>
      <c r="DSN58" s="1"/>
      <c r="DSO58" s="1"/>
      <c r="DSP58" s="1"/>
      <c r="DSQ58" s="1"/>
      <c r="DSR58" s="1"/>
      <c r="DSS58" s="1"/>
      <c r="DST58" s="1"/>
      <c r="DSU58" s="1"/>
      <c r="DSV58" s="1"/>
      <c r="DSW58" s="1"/>
      <c r="DSX58" s="1"/>
      <c r="DSY58" s="1"/>
      <c r="DSZ58" s="1"/>
      <c r="DTA58" s="1"/>
      <c r="DTB58" s="1"/>
      <c r="DTC58" s="1"/>
      <c r="DTD58" s="1"/>
      <c r="DTE58" s="1"/>
      <c r="DTF58" s="1"/>
      <c r="DTG58" s="1"/>
      <c r="DTH58" s="1"/>
      <c r="DTI58" s="1"/>
      <c r="DTJ58" s="1"/>
      <c r="DTK58" s="1"/>
      <c r="DTL58" s="1"/>
      <c r="DTM58" s="1"/>
      <c r="DTN58" s="1"/>
      <c r="DTO58" s="1"/>
      <c r="DTP58" s="1"/>
      <c r="DTQ58" s="1"/>
      <c r="DTR58" s="1"/>
      <c r="DTS58" s="1"/>
      <c r="DTT58" s="1"/>
      <c r="DTU58" s="1"/>
      <c r="DTV58" s="1"/>
      <c r="DTW58" s="1"/>
      <c r="DTX58" s="1"/>
      <c r="DTY58" s="1"/>
      <c r="DTZ58" s="1"/>
      <c r="DUA58" s="1"/>
      <c r="DUB58" s="1"/>
      <c r="DUC58" s="1"/>
      <c r="DUD58" s="1"/>
      <c r="DUE58" s="1"/>
      <c r="DUF58" s="1"/>
      <c r="DUG58" s="1"/>
      <c r="DUH58" s="1"/>
      <c r="DUI58" s="1"/>
      <c r="DUJ58" s="1"/>
      <c r="DUK58" s="1"/>
      <c r="DUL58" s="1"/>
      <c r="DUM58" s="1"/>
      <c r="DUN58" s="1"/>
      <c r="DUO58" s="1"/>
      <c r="DUP58" s="1"/>
      <c r="DUQ58" s="1"/>
      <c r="DUR58" s="1"/>
      <c r="DUS58" s="1"/>
      <c r="DUT58" s="1"/>
      <c r="DUU58" s="1"/>
      <c r="DUV58" s="1"/>
      <c r="DUW58" s="1"/>
      <c r="DUX58" s="1"/>
      <c r="DUY58" s="1"/>
      <c r="DUZ58" s="1"/>
      <c r="DVA58" s="1"/>
      <c r="DVB58" s="1"/>
      <c r="DVC58" s="1"/>
      <c r="DVD58" s="1"/>
      <c r="DVE58" s="1"/>
      <c r="DVF58" s="1"/>
      <c r="DVG58" s="1"/>
      <c r="DVH58" s="1"/>
      <c r="DVI58" s="1"/>
      <c r="DVJ58" s="1"/>
      <c r="DVK58" s="1"/>
      <c r="DVL58" s="1"/>
      <c r="DVM58" s="1"/>
      <c r="DVN58" s="1"/>
      <c r="DVO58" s="1"/>
      <c r="DVP58" s="1"/>
      <c r="DVQ58" s="1"/>
      <c r="DVR58" s="1"/>
      <c r="DVS58" s="1"/>
      <c r="DVT58" s="1"/>
      <c r="DVU58" s="1"/>
      <c r="DVV58" s="1"/>
      <c r="DVW58" s="1"/>
      <c r="DVX58" s="1"/>
      <c r="DVY58" s="1"/>
      <c r="DVZ58" s="1"/>
      <c r="DWA58" s="1"/>
      <c r="DWB58" s="1"/>
      <c r="DWC58" s="1"/>
      <c r="DWD58" s="1"/>
      <c r="DWE58" s="1"/>
      <c r="DWF58" s="1"/>
      <c r="DWG58" s="1"/>
      <c r="DWH58" s="1"/>
      <c r="DWI58" s="1"/>
      <c r="DWJ58" s="1"/>
      <c r="DWK58" s="1"/>
      <c r="DWL58" s="1"/>
      <c r="DWM58" s="1"/>
      <c r="DWN58" s="1"/>
      <c r="DWO58" s="1"/>
      <c r="DWP58" s="1"/>
      <c r="DWQ58" s="1"/>
      <c r="DWR58" s="1"/>
      <c r="DWS58" s="1"/>
      <c r="DWT58" s="1"/>
      <c r="DWU58" s="1"/>
      <c r="DWV58" s="1"/>
      <c r="DWW58" s="1"/>
      <c r="DWX58" s="1"/>
      <c r="DWY58" s="1"/>
      <c r="DWZ58" s="1"/>
      <c r="DXA58" s="1"/>
      <c r="DXB58" s="1"/>
      <c r="DXC58" s="1"/>
      <c r="DXD58" s="1"/>
      <c r="DXE58" s="1"/>
      <c r="DXF58" s="1"/>
      <c r="DXG58" s="1"/>
      <c r="DXH58" s="1"/>
      <c r="DXI58" s="1"/>
      <c r="DXJ58" s="1"/>
      <c r="DXK58" s="1"/>
      <c r="DXL58" s="1"/>
      <c r="DXM58" s="1"/>
      <c r="DXN58" s="1"/>
      <c r="DXO58" s="1"/>
      <c r="DXP58" s="1"/>
      <c r="DXQ58" s="1"/>
      <c r="DXR58" s="1"/>
      <c r="DXS58" s="1"/>
      <c r="DXT58" s="1"/>
      <c r="DXU58" s="1"/>
      <c r="DXV58" s="1"/>
      <c r="DXW58" s="1"/>
      <c r="DXX58" s="1"/>
      <c r="DXY58" s="1"/>
      <c r="DXZ58" s="1"/>
      <c r="DYA58" s="1"/>
      <c r="DYB58" s="1"/>
      <c r="DYC58" s="1"/>
      <c r="DYD58" s="1"/>
      <c r="DYE58" s="1"/>
      <c r="DYF58" s="1"/>
      <c r="DYG58" s="1"/>
      <c r="DYH58" s="1"/>
      <c r="DYI58" s="1"/>
      <c r="DYJ58" s="1"/>
      <c r="DYK58" s="1"/>
      <c r="DYL58" s="1"/>
      <c r="DYM58" s="1"/>
      <c r="DYN58" s="1"/>
      <c r="DYO58" s="1"/>
      <c r="DYP58" s="1"/>
      <c r="DYQ58" s="1"/>
      <c r="DYR58" s="1"/>
      <c r="DYS58" s="1"/>
      <c r="DYT58" s="1"/>
      <c r="DYU58" s="1"/>
      <c r="DYV58" s="1"/>
      <c r="DYW58" s="1"/>
      <c r="DYX58" s="1"/>
      <c r="DYY58" s="1"/>
      <c r="DYZ58" s="1"/>
      <c r="DZA58" s="1"/>
      <c r="DZB58" s="1"/>
      <c r="DZC58" s="1"/>
      <c r="DZD58" s="1"/>
      <c r="DZE58" s="1"/>
      <c r="DZF58" s="1"/>
      <c r="DZG58" s="1"/>
      <c r="DZH58" s="1"/>
      <c r="DZI58" s="1"/>
      <c r="DZJ58" s="1"/>
      <c r="DZK58" s="1"/>
      <c r="DZL58" s="1"/>
      <c r="DZM58" s="1"/>
      <c r="DZN58" s="1"/>
      <c r="DZO58" s="1"/>
      <c r="DZP58" s="1"/>
      <c r="DZQ58" s="1"/>
      <c r="DZR58" s="1"/>
      <c r="DZS58" s="1"/>
      <c r="DZT58" s="1"/>
      <c r="DZU58" s="1"/>
      <c r="DZV58" s="1"/>
      <c r="DZW58" s="1"/>
      <c r="DZX58" s="1"/>
      <c r="DZY58" s="1"/>
      <c r="DZZ58" s="1"/>
      <c r="EAA58" s="1"/>
      <c r="EAB58" s="1"/>
      <c r="EAC58" s="1"/>
      <c r="EAD58" s="1"/>
      <c r="EAE58" s="1"/>
      <c r="EAF58" s="1"/>
      <c r="EAG58" s="1"/>
      <c r="EAH58" s="1"/>
      <c r="EAI58" s="1"/>
      <c r="EAJ58" s="1"/>
      <c r="EAK58" s="1"/>
      <c r="EAL58" s="1"/>
      <c r="EAM58" s="1"/>
      <c r="EAN58" s="1"/>
      <c r="EAO58" s="1"/>
      <c r="EAP58" s="1"/>
      <c r="EAQ58" s="1"/>
      <c r="EAR58" s="1"/>
      <c r="EAS58" s="1"/>
      <c r="EAT58" s="1"/>
      <c r="EAU58" s="1"/>
      <c r="EAV58" s="1"/>
      <c r="EAW58" s="1"/>
      <c r="EAX58" s="1"/>
      <c r="EAY58" s="1"/>
      <c r="EAZ58" s="1"/>
      <c r="EBA58" s="1"/>
      <c r="EBB58" s="1"/>
      <c r="EBC58" s="1"/>
      <c r="EBD58" s="1"/>
      <c r="EBE58" s="1"/>
      <c r="EBF58" s="1"/>
      <c r="EBG58" s="1"/>
      <c r="EBH58" s="1"/>
      <c r="EBI58" s="1"/>
      <c r="EBJ58" s="1"/>
      <c r="EBK58" s="1"/>
      <c r="EBL58" s="1"/>
      <c r="EBM58" s="1"/>
      <c r="EBN58" s="1"/>
      <c r="EBO58" s="1"/>
      <c r="EBP58" s="1"/>
      <c r="EBQ58" s="1"/>
      <c r="EBR58" s="1"/>
      <c r="EBS58" s="1"/>
      <c r="EBT58" s="1"/>
      <c r="EBU58" s="1"/>
      <c r="EBV58" s="1"/>
      <c r="EBW58" s="1"/>
      <c r="EBX58" s="1"/>
      <c r="EBY58" s="1"/>
      <c r="EBZ58" s="1"/>
      <c r="ECA58" s="1"/>
      <c r="ECB58" s="1"/>
      <c r="ECC58" s="1"/>
      <c r="ECD58" s="1"/>
      <c r="ECE58" s="1"/>
      <c r="ECF58" s="1"/>
      <c r="ECG58" s="1"/>
      <c r="ECH58" s="1"/>
      <c r="ECI58" s="1"/>
      <c r="ECJ58" s="1"/>
      <c r="ECK58" s="1"/>
      <c r="ECL58" s="1"/>
      <c r="ECM58" s="1"/>
      <c r="ECN58" s="1"/>
      <c r="ECO58" s="1"/>
      <c r="ECP58" s="1"/>
      <c r="ECQ58" s="1"/>
      <c r="ECR58" s="1"/>
      <c r="ECS58" s="1"/>
      <c r="ECT58" s="1"/>
      <c r="ECU58" s="1"/>
      <c r="ECV58" s="1"/>
      <c r="ECW58" s="1"/>
      <c r="ECX58" s="1"/>
      <c r="ECY58" s="1"/>
      <c r="ECZ58" s="1"/>
      <c r="EDA58" s="1"/>
      <c r="EDB58" s="1"/>
      <c r="EDC58" s="1"/>
      <c r="EDD58" s="1"/>
      <c r="EDE58" s="1"/>
      <c r="EDF58" s="1"/>
      <c r="EDG58" s="1"/>
      <c r="EDH58" s="1"/>
      <c r="EDI58" s="1"/>
      <c r="EDJ58" s="1"/>
      <c r="EDK58" s="1"/>
      <c r="EDL58" s="1"/>
      <c r="EDM58" s="1"/>
      <c r="EDN58" s="1"/>
      <c r="EDO58" s="1"/>
      <c r="EDP58" s="1"/>
      <c r="EDQ58" s="1"/>
      <c r="EDR58" s="1"/>
      <c r="EDS58" s="1"/>
      <c r="EDT58" s="1"/>
      <c r="EDU58" s="1"/>
      <c r="EDV58" s="1"/>
      <c r="EDW58" s="1"/>
      <c r="EDX58" s="1"/>
      <c r="EDY58" s="1"/>
      <c r="EDZ58" s="1"/>
      <c r="EEA58" s="1"/>
      <c r="EEB58" s="1"/>
      <c r="EEC58" s="1"/>
      <c r="EED58" s="1"/>
      <c r="EEE58" s="1"/>
      <c r="EEF58" s="1"/>
      <c r="EEG58" s="1"/>
      <c r="EEH58" s="1"/>
      <c r="EEI58" s="1"/>
      <c r="EEJ58" s="1"/>
      <c r="EEK58" s="1"/>
      <c r="EEL58" s="1"/>
      <c r="EEM58" s="1"/>
      <c r="EEN58" s="1"/>
      <c r="EEO58" s="1"/>
      <c r="EEP58" s="1"/>
      <c r="EEQ58" s="1"/>
      <c r="EER58" s="1"/>
      <c r="EES58" s="1"/>
      <c r="EET58" s="1"/>
      <c r="EEU58" s="1"/>
      <c r="EEV58" s="1"/>
      <c r="EEW58" s="1"/>
      <c r="EEX58" s="1"/>
      <c r="EEY58" s="1"/>
      <c r="EEZ58" s="1"/>
      <c r="EFA58" s="1"/>
      <c r="EFB58" s="1"/>
      <c r="EFC58" s="1"/>
      <c r="EFD58" s="1"/>
      <c r="EFE58" s="1"/>
      <c r="EFF58" s="1"/>
      <c r="EFG58" s="1"/>
      <c r="EFH58" s="1"/>
      <c r="EFI58" s="1"/>
      <c r="EFJ58" s="1"/>
      <c r="EFK58" s="1"/>
      <c r="EFL58" s="1"/>
      <c r="EFM58" s="1"/>
      <c r="EFN58" s="1"/>
      <c r="EFO58" s="1"/>
      <c r="EFP58" s="1"/>
      <c r="EFQ58" s="1"/>
      <c r="EFR58" s="1"/>
      <c r="EFS58" s="1"/>
      <c r="EFT58" s="1"/>
      <c r="EFU58" s="1"/>
      <c r="EFV58" s="1"/>
      <c r="EFW58" s="1"/>
      <c r="EFX58" s="1"/>
      <c r="EFY58" s="1"/>
      <c r="EFZ58" s="1"/>
      <c r="EGA58" s="1"/>
      <c r="EGB58" s="1"/>
      <c r="EGC58" s="1"/>
      <c r="EGD58" s="1"/>
      <c r="EGE58" s="1"/>
      <c r="EGF58" s="1"/>
      <c r="EGG58" s="1"/>
      <c r="EGH58" s="1"/>
      <c r="EGI58" s="1"/>
      <c r="EGJ58" s="1"/>
      <c r="EGK58" s="1"/>
      <c r="EGL58" s="1"/>
      <c r="EGM58" s="1"/>
      <c r="EGN58" s="1"/>
      <c r="EGO58" s="1"/>
      <c r="EGP58" s="1"/>
      <c r="EGQ58" s="1"/>
      <c r="EGR58" s="1"/>
      <c r="EGS58" s="1"/>
      <c r="EGT58" s="1"/>
      <c r="EGU58" s="1"/>
      <c r="EGV58" s="1"/>
      <c r="EGW58" s="1"/>
      <c r="EGX58" s="1"/>
      <c r="EGY58" s="1"/>
      <c r="EGZ58" s="1"/>
      <c r="EHA58" s="1"/>
      <c r="EHB58" s="1"/>
      <c r="EHC58" s="1"/>
      <c r="EHD58" s="1"/>
      <c r="EHE58" s="1"/>
      <c r="EHF58" s="1"/>
      <c r="EHG58" s="1"/>
      <c r="EHH58" s="1"/>
      <c r="EHI58" s="1"/>
      <c r="EHJ58" s="1"/>
      <c r="EHK58" s="1"/>
      <c r="EHL58" s="1"/>
      <c r="EHM58" s="1"/>
      <c r="EHN58" s="1"/>
      <c r="EHO58" s="1"/>
      <c r="EHP58" s="1"/>
      <c r="EHQ58" s="1"/>
      <c r="EHR58" s="1"/>
      <c r="EHS58" s="1"/>
      <c r="EHT58" s="1"/>
      <c r="EHU58" s="1"/>
      <c r="EHV58" s="1"/>
      <c r="EHW58" s="1"/>
      <c r="EHX58" s="1"/>
      <c r="EHY58" s="1"/>
      <c r="EHZ58" s="1"/>
      <c r="EIA58" s="1"/>
      <c r="EIB58" s="1"/>
      <c r="EIC58" s="1"/>
      <c r="EID58" s="1"/>
      <c r="EIE58" s="1"/>
      <c r="EIF58" s="1"/>
      <c r="EIG58" s="1"/>
      <c r="EIH58" s="1"/>
      <c r="EII58" s="1"/>
      <c r="EIJ58" s="1"/>
      <c r="EIK58" s="1"/>
      <c r="EIL58" s="1"/>
      <c r="EIM58" s="1"/>
      <c r="EIN58" s="1"/>
      <c r="EIO58" s="1"/>
      <c r="EIP58" s="1"/>
      <c r="EIQ58" s="1"/>
      <c r="EIR58" s="1"/>
      <c r="EIS58" s="1"/>
      <c r="EIT58" s="1"/>
      <c r="EIU58" s="1"/>
      <c r="EIV58" s="1"/>
      <c r="EIW58" s="1"/>
      <c r="EIX58" s="1"/>
      <c r="EIY58" s="1"/>
      <c r="EIZ58" s="1"/>
      <c r="EJA58" s="1"/>
      <c r="EJB58" s="1"/>
      <c r="EJC58" s="1"/>
      <c r="EJD58" s="1"/>
      <c r="EJE58" s="1"/>
      <c r="EJF58" s="1"/>
      <c r="EJG58" s="1"/>
      <c r="EJH58" s="1"/>
      <c r="EJI58" s="1"/>
      <c r="EJJ58" s="1"/>
      <c r="EJK58" s="1"/>
      <c r="EJL58" s="1"/>
      <c r="EJM58" s="1"/>
      <c r="EJN58" s="1"/>
      <c r="EJO58" s="1"/>
      <c r="EJP58" s="1"/>
      <c r="EJQ58" s="1"/>
      <c r="EJR58" s="1"/>
      <c r="EJS58" s="1"/>
      <c r="EJT58" s="1"/>
      <c r="EJU58" s="1"/>
      <c r="EJV58" s="1"/>
      <c r="EJW58" s="1"/>
      <c r="EJX58" s="1"/>
      <c r="EJY58" s="1"/>
      <c r="EJZ58" s="1"/>
      <c r="EKA58" s="1"/>
      <c r="EKB58" s="1"/>
      <c r="EKC58" s="1"/>
      <c r="EKD58" s="1"/>
      <c r="EKE58" s="1"/>
      <c r="EKF58" s="1"/>
      <c r="EKG58" s="1"/>
      <c r="EKH58" s="1"/>
      <c r="EKI58" s="1"/>
      <c r="EKJ58" s="1"/>
      <c r="EKK58" s="1"/>
      <c r="EKL58" s="1"/>
      <c r="EKM58" s="1"/>
      <c r="EKN58" s="1"/>
      <c r="EKO58" s="1"/>
      <c r="EKP58" s="1"/>
      <c r="EKQ58" s="1"/>
      <c r="EKR58" s="1"/>
      <c r="EKS58" s="1"/>
      <c r="EKT58" s="1"/>
      <c r="EKU58" s="1"/>
      <c r="EKV58" s="1"/>
      <c r="EKW58" s="1"/>
      <c r="EKX58" s="1"/>
      <c r="EKY58" s="1"/>
      <c r="EKZ58" s="1"/>
      <c r="ELA58" s="1"/>
      <c r="ELB58" s="1"/>
      <c r="ELC58" s="1"/>
      <c r="ELD58" s="1"/>
      <c r="ELE58" s="1"/>
      <c r="ELF58" s="1"/>
      <c r="ELG58" s="1"/>
      <c r="ELH58" s="1"/>
      <c r="ELI58" s="1"/>
      <c r="ELJ58" s="1"/>
      <c r="ELK58" s="1"/>
      <c r="ELL58" s="1"/>
      <c r="ELM58" s="1"/>
      <c r="ELN58" s="1"/>
      <c r="ELO58" s="1"/>
      <c r="ELP58" s="1"/>
      <c r="ELQ58" s="1"/>
      <c r="ELR58" s="1"/>
      <c r="ELS58" s="1"/>
      <c r="ELT58" s="1"/>
      <c r="ELU58" s="1"/>
      <c r="ELV58" s="1"/>
      <c r="ELW58" s="1"/>
      <c r="ELX58" s="1"/>
      <c r="ELY58" s="1"/>
      <c r="ELZ58" s="1"/>
      <c r="EMA58" s="1"/>
      <c r="EMB58" s="1"/>
      <c r="EMC58" s="1"/>
      <c r="EMD58" s="1"/>
      <c r="EME58" s="1"/>
      <c r="EMF58" s="1"/>
      <c r="EMG58" s="1"/>
      <c r="EMH58" s="1"/>
      <c r="EMI58" s="1"/>
      <c r="EMJ58" s="1"/>
      <c r="EMK58" s="1"/>
      <c r="EML58" s="1"/>
      <c r="EMM58" s="1"/>
      <c r="EMN58" s="1"/>
      <c r="EMO58" s="1"/>
      <c r="EMP58" s="1"/>
      <c r="EMQ58" s="1"/>
      <c r="EMR58" s="1"/>
      <c r="EMS58" s="1"/>
      <c r="EMT58" s="1"/>
      <c r="EMU58" s="1"/>
      <c r="EMV58" s="1"/>
      <c r="EMW58" s="1"/>
      <c r="EMX58" s="1"/>
      <c r="EMY58" s="1"/>
      <c r="EMZ58" s="1"/>
      <c r="ENA58" s="1"/>
      <c r="ENB58" s="1"/>
      <c r="ENC58" s="1"/>
      <c r="END58" s="1"/>
      <c r="ENE58" s="1"/>
      <c r="ENF58" s="1"/>
      <c r="ENG58" s="1"/>
      <c r="ENH58" s="1"/>
      <c r="ENI58" s="1"/>
      <c r="ENJ58" s="1"/>
      <c r="ENK58" s="1"/>
      <c r="ENL58" s="1"/>
      <c r="ENM58" s="1"/>
      <c r="ENN58" s="1"/>
      <c r="ENO58" s="1"/>
      <c r="ENP58" s="1"/>
      <c r="ENQ58" s="1"/>
      <c r="ENR58" s="1"/>
      <c r="ENS58" s="1"/>
      <c r="ENT58" s="1"/>
      <c r="ENU58" s="1"/>
      <c r="ENV58" s="1"/>
      <c r="ENW58" s="1"/>
      <c r="ENX58" s="1"/>
      <c r="ENY58" s="1"/>
      <c r="ENZ58" s="1"/>
      <c r="EOA58" s="1"/>
      <c r="EOB58" s="1"/>
      <c r="EOC58" s="1"/>
      <c r="EOD58" s="1"/>
      <c r="EOE58" s="1"/>
      <c r="EOF58" s="1"/>
      <c r="EOG58" s="1"/>
      <c r="EOH58" s="1"/>
      <c r="EOI58" s="1"/>
      <c r="EOJ58" s="1"/>
      <c r="EOK58" s="1"/>
      <c r="EOL58" s="1"/>
      <c r="EOM58" s="1"/>
      <c r="EON58" s="1"/>
      <c r="EOO58" s="1"/>
      <c r="EOP58" s="1"/>
      <c r="EOQ58" s="1"/>
      <c r="EOR58" s="1"/>
      <c r="EOS58" s="1"/>
      <c r="EOT58" s="1"/>
      <c r="EOU58" s="1"/>
      <c r="EOV58" s="1"/>
      <c r="EOW58" s="1"/>
      <c r="EOX58" s="1"/>
      <c r="EOY58" s="1"/>
      <c r="EOZ58" s="1"/>
      <c r="EPA58" s="1"/>
      <c r="EPB58" s="1"/>
      <c r="EPC58" s="1"/>
      <c r="EPD58" s="1"/>
      <c r="EPE58" s="1"/>
      <c r="EPF58" s="1"/>
      <c r="EPG58" s="1"/>
      <c r="EPH58" s="1"/>
      <c r="EPI58" s="1"/>
      <c r="EPJ58" s="1"/>
      <c r="EPK58" s="1"/>
      <c r="EPL58" s="1"/>
      <c r="EPM58" s="1"/>
      <c r="EPN58" s="1"/>
      <c r="EPO58" s="1"/>
      <c r="EPP58" s="1"/>
      <c r="EPQ58" s="1"/>
      <c r="EPR58" s="1"/>
      <c r="EPS58" s="1"/>
      <c r="EPT58" s="1"/>
      <c r="EPU58" s="1"/>
      <c r="EPV58" s="1"/>
      <c r="EPW58" s="1"/>
      <c r="EPX58" s="1"/>
      <c r="EPY58" s="1"/>
      <c r="EPZ58" s="1"/>
      <c r="EQA58" s="1"/>
      <c r="EQB58" s="1"/>
      <c r="EQC58" s="1"/>
      <c r="EQD58" s="1"/>
      <c r="EQE58" s="1"/>
      <c r="EQF58" s="1"/>
      <c r="EQG58" s="1"/>
      <c r="EQH58" s="1"/>
      <c r="EQI58" s="1"/>
      <c r="EQJ58" s="1"/>
      <c r="EQK58" s="1"/>
      <c r="EQL58" s="1"/>
      <c r="EQM58" s="1"/>
      <c r="EQN58" s="1"/>
      <c r="EQO58" s="1"/>
      <c r="EQP58" s="1"/>
      <c r="EQQ58" s="1"/>
      <c r="EQR58" s="1"/>
      <c r="EQS58" s="1"/>
      <c r="EQT58" s="1"/>
      <c r="EQU58" s="1"/>
      <c r="EQV58" s="1"/>
      <c r="EQW58" s="1"/>
      <c r="EQX58" s="1"/>
      <c r="EQY58" s="1"/>
      <c r="EQZ58" s="1"/>
      <c r="ERA58" s="1"/>
      <c r="ERB58" s="1"/>
      <c r="ERC58" s="1"/>
      <c r="ERD58" s="1"/>
      <c r="ERE58" s="1"/>
      <c r="ERF58" s="1"/>
      <c r="ERG58" s="1"/>
      <c r="ERH58" s="1"/>
      <c r="ERI58" s="1"/>
      <c r="ERJ58" s="1"/>
      <c r="ERK58" s="1"/>
      <c r="ERL58" s="1"/>
      <c r="ERM58" s="1"/>
      <c r="ERN58" s="1"/>
      <c r="ERO58" s="1"/>
      <c r="ERP58" s="1"/>
      <c r="ERQ58" s="1"/>
      <c r="ERR58" s="1"/>
      <c r="ERS58" s="1"/>
      <c r="ERT58" s="1"/>
      <c r="ERU58" s="1"/>
      <c r="ERV58" s="1"/>
      <c r="ERW58" s="1"/>
      <c r="ERX58" s="1"/>
      <c r="ERY58" s="1"/>
      <c r="ERZ58" s="1"/>
      <c r="ESA58" s="1"/>
      <c r="ESB58" s="1"/>
      <c r="ESC58" s="1"/>
      <c r="ESD58" s="1"/>
      <c r="ESE58" s="1"/>
      <c r="ESF58" s="1"/>
      <c r="ESG58" s="1"/>
      <c r="ESH58" s="1"/>
      <c r="ESI58" s="1"/>
      <c r="ESJ58" s="1"/>
      <c r="ESK58" s="1"/>
      <c r="ESL58" s="1"/>
      <c r="ESM58" s="1"/>
      <c r="ESN58" s="1"/>
      <c r="ESO58" s="1"/>
      <c r="ESP58" s="1"/>
      <c r="ESQ58" s="1"/>
      <c r="ESR58" s="1"/>
      <c r="ESS58" s="1"/>
      <c r="EST58" s="1"/>
      <c r="ESU58" s="1"/>
      <c r="ESV58" s="1"/>
      <c r="ESW58" s="1"/>
      <c r="ESX58" s="1"/>
      <c r="ESY58" s="1"/>
      <c r="ESZ58" s="1"/>
      <c r="ETA58" s="1"/>
      <c r="ETB58" s="1"/>
      <c r="ETC58" s="1"/>
      <c r="ETD58" s="1"/>
      <c r="ETE58" s="1"/>
      <c r="ETF58" s="1"/>
      <c r="ETG58" s="1"/>
      <c r="ETH58" s="1"/>
      <c r="ETI58" s="1"/>
      <c r="ETJ58" s="1"/>
      <c r="ETK58" s="1"/>
      <c r="ETL58" s="1"/>
      <c r="ETM58" s="1"/>
      <c r="ETN58" s="1"/>
      <c r="ETO58" s="1"/>
      <c r="ETP58" s="1"/>
      <c r="ETQ58" s="1"/>
      <c r="ETR58" s="1"/>
      <c r="ETS58" s="1"/>
      <c r="ETT58" s="1"/>
      <c r="ETU58" s="1"/>
      <c r="ETV58" s="1"/>
      <c r="ETW58" s="1"/>
      <c r="ETX58" s="1"/>
      <c r="ETY58" s="1"/>
      <c r="ETZ58" s="1"/>
      <c r="EUA58" s="1"/>
      <c r="EUB58" s="1"/>
      <c r="EUC58" s="1"/>
      <c r="EUD58" s="1"/>
      <c r="EUE58" s="1"/>
      <c r="EUF58" s="1"/>
      <c r="EUG58" s="1"/>
      <c r="EUH58" s="1"/>
      <c r="EUI58" s="1"/>
      <c r="EUJ58" s="1"/>
      <c r="EUK58" s="1"/>
      <c r="EUL58" s="1"/>
      <c r="EUM58" s="1"/>
      <c r="EUN58" s="1"/>
      <c r="EUO58" s="1"/>
      <c r="EUP58" s="1"/>
      <c r="EUQ58" s="1"/>
      <c r="EUR58" s="1"/>
      <c r="EUS58" s="1"/>
      <c r="EUT58" s="1"/>
      <c r="EUU58" s="1"/>
      <c r="EUV58" s="1"/>
      <c r="EUW58" s="1"/>
      <c r="EUX58" s="1"/>
      <c r="EUY58" s="1"/>
      <c r="EUZ58" s="1"/>
      <c r="EVA58" s="1"/>
      <c r="EVB58" s="1"/>
      <c r="EVC58" s="1"/>
      <c r="EVD58" s="1"/>
      <c r="EVE58" s="1"/>
      <c r="EVF58" s="1"/>
      <c r="EVG58" s="1"/>
      <c r="EVH58" s="1"/>
      <c r="EVI58" s="1"/>
      <c r="EVJ58" s="1"/>
      <c r="EVK58" s="1"/>
      <c r="EVL58" s="1"/>
      <c r="EVM58" s="1"/>
      <c r="EVN58" s="1"/>
      <c r="EVO58" s="1"/>
      <c r="EVP58" s="1"/>
      <c r="EVQ58" s="1"/>
      <c r="EVR58" s="1"/>
      <c r="EVS58" s="1"/>
      <c r="EVT58" s="1"/>
      <c r="EVU58" s="1"/>
      <c r="EVV58" s="1"/>
      <c r="EVW58" s="1"/>
      <c r="EVX58" s="1"/>
      <c r="EVY58" s="1"/>
      <c r="EVZ58" s="1"/>
      <c r="EWA58" s="1"/>
      <c r="EWB58" s="1"/>
      <c r="EWC58" s="1"/>
      <c r="EWD58" s="1"/>
      <c r="EWE58" s="1"/>
      <c r="EWF58" s="1"/>
      <c r="EWG58" s="1"/>
      <c r="EWH58" s="1"/>
      <c r="EWI58" s="1"/>
      <c r="EWJ58" s="1"/>
      <c r="EWK58" s="1"/>
      <c r="EWL58" s="1"/>
      <c r="EWM58" s="1"/>
      <c r="EWN58" s="1"/>
      <c r="EWO58" s="1"/>
      <c r="EWP58" s="1"/>
      <c r="EWQ58" s="1"/>
      <c r="EWR58" s="1"/>
      <c r="EWS58" s="1"/>
      <c r="EWT58" s="1"/>
      <c r="EWU58" s="1"/>
      <c r="EWV58" s="1"/>
      <c r="EWW58" s="1"/>
      <c r="EWX58" s="1"/>
      <c r="EWY58" s="1"/>
      <c r="EWZ58" s="1"/>
      <c r="EXA58" s="1"/>
      <c r="EXB58" s="1"/>
      <c r="EXC58" s="1"/>
      <c r="EXD58" s="1"/>
      <c r="EXE58" s="1"/>
      <c r="EXF58" s="1"/>
      <c r="EXG58" s="1"/>
      <c r="EXH58" s="1"/>
      <c r="EXI58" s="1"/>
      <c r="EXJ58" s="1"/>
      <c r="EXK58" s="1"/>
      <c r="EXL58" s="1"/>
      <c r="EXM58" s="1"/>
      <c r="EXN58" s="1"/>
      <c r="EXO58" s="1"/>
      <c r="EXP58" s="1"/>
      <c r="EXQ58" s="1"/>
      <c r="EXR58" s="1"/>
      <c r="EXS58" s="1"/>
      <c r="EXT58" s="1"/>
      <c r="EXU58" s="1"/>
      <c r="EXV58" s="1"/>
      <c r="EXW58" s="1"/>
      <c r="EXX58" s="1"/>
      <c r="EXY58" s="1"/>
      <c r="EXZ58" s="1"/>
      <c r="EYA58" s="1"/>
      <c r="EYB58" s="1"/>
      <c r="EYC58" s="1"/>
      <c r="EYD58" s="1"/>
      <c r="EYE58" s="1"/>
      <c r="EYF58" s="1"/>
      <c r="EYG58" s="1"/>
      <c r="EYH58" s="1"/>
      <c r="EYI58" s="1"/>
      <c r="EYJ58" s="1"/>
      <c r="EYK58" s="1"/>
      <c r="EYL58" s="1"/>
      <c r="EYM58" s="1"/>
      <c r="EYN58" s="1"/>
      <c r="EYO58" s="1"/>
      <c r="EYP58" s="1"/>
      <c r="EYQ58" s="1"/>
      <c r="EYR58" s="1"/>
      <c r="EYS58" s="1"/>
      <c r="EYT58" s="1"/>
      <c r="EYU58" s="1"/>
      <c r="EYV58" s="1"/>
      <c r="EYW58" s="1"/>
      <c r="EYX58" s="1"/>
      <c r="EYY58" s="1"/>
      <c r="EYZ58" s="1"/>
      <c r="EZA58" s="1"/>
      <c r="EZB58" s="1"/>
      <c r="EZC58" s="1"/>
      <c r="EZD58" s="1"/>
      <c r="EZE58" s="1"/>
      <c r="EZF58" s="1"/>
      <c r="EZG58" s="1"/>
      <c r="EZH58" s="1"/>
      <c r="EZI58" s="1"/>
      <c r="EZJ58" s="1"/>
      <c r="EZK58" s="1"/>
      <c r="EZL58" s="1"/>
      <c r="EZM58" s="1"/>
      <c r="EZN58" s="1"/>
      <c r="EZO58" s="1"/>
      <c r="EZP58" s="1"/>
      <c r="EZQ58" s="1"/>
      <c r="EZR58" s="1"/>
      <c r="EZS58" s="1"/>
      <c r="EZT58" s="1"/>
      <c r="EZU58" s="1"/>
      <c r="EZV58" s="1"/>
      <c r="EZW58" s="1"/>
      <c r="EZX58" s="1"/>
      <c r="EZY58" s="1"/>
      <c r="EZZ58" s="1"/>
      <c r="FAA58" s="1"/>
      <c r="FAB58" s="1"/>
      <c r="FAC58" s="1"/>
      <c r="FAD58" s="1"/>
      <c r="FAE58" s="1"/>
      <c r="FAF58" s="1"/>
      <c r="FAG58" s="1"/>
      <c r="FAH58" s="1"/>
      <c r="FAI58" s="1"/>
      <c r="FAJ58" s="1"/>
      <c r="FAK58" s="1"/>
      <c r="FAL58" s="1"/>
      <c r="FAM58" s="1"/>
      <c r="FAN58" s="1"/>
      <c r="FAO58" s="1"/>
      <c r="FAP58" s="1"/>
      <c r="FAQ58" s="1"/>
      <c r="FAR58" s="1"/>
      <c r="FAS58" s="1"/>
      <c r="FAT58" s="1"/>
      <c r="FAU58" s="1"/>
      <c r="FAV58" s="1"/>
      <c r="FAW58" s="1"/>
      <c r="FAX58" s="1"/>
      <c r="FAY58" s="1"/>
      <c r="FAZ58" s="1"/>
      <c r="FBA58" s="1"/>
      <c r="FBB58" s="1"/>
      <c r="FBC58" s="1"/>
      <c r="FBD58" s="1"/>
      <c r="FBE58" s="1"/>
      <c r="FBF58" s="1"/>
      <c r="FBG58" s="1"/>
      <c r="FBH58" s="1"/>
      <c r="FBI58" s="1"/>
      <c r="FBJ58" s="1"/>
      <c r="FBK58" s="1"/>
      <c r="FBL58" s="1"/>
      <c r="FBM58" s="1"/>
      <c r="FBN58" s="1"/>
      <c r="FBO58" s="1"/>
      <c r="FBP58" s="1"/>
      <c r="FBQ58" s="1"/>
      <c r="FBR58" s="1"/>
      <c r="FBS58" s="1"/>
      <c r="FBT58" s="1"/>
      <c r="FBU58" s="1"/>
      <c r="FBV58" s="1"/>
      <c r="FBW58" s="1"/>
      <c r="FBX58" s="1"/>
      <c r="FBY58" s="1"/>
      <c r="FBZ58" s="1"/>
      <c r="FCA58" s="1"/>
      <c r="FCB58" s="1"/>
      <c r="FCC58" s="1"/>
      <c r="FCD58" s="1"/>
      <c r="FCE58" s="1"/>
      <c r="FCF58" s="1"/>
      <c r="FCG58" s="1"/>
      <c r="FCH58" s="1"/>
      <c r="FCI58" s="1"/>
      <c r="FCJ58" s="1"/>
      <c r="FCK58" s="1"/>
      <c r="FCL58" s="1"/>
      <c r="FCM58" s="1"/>
      <c r="FCN58" s="1"/>
      <c r="FCO58" s="1"/>
      <c r="FCP58" s="1"/>
      <c r="FCQ58" s="1"/>
      <c r="FCR58" s="1"/>
      <c r="FCS58" s="1"/>
      <c r="FCT58" s="1"/>
      <c r="FCU58" s="1"/>
      <c r="FCV58" s="1"/>
      <c r="FCW58" s="1"/>
      <c r="FCX58" s="1"/>
      <c r="FCY58" s="1"/>
      <c r="FCZ58" s="1"/>
      <c r="FDA58" s="1"/>
      <c r="FDB58" s="1"/>
      <c r="FDC58" s="1"/>
      <c r="FDD58" s="1"/>
      <c r="FDE58" s="1"/>
      <c r="FDF58" s="1"/>
      <c r="FDG58" s="1"/>
      <c r="FDH58" s="1"/>
      <c r="FDI58" s="1"/>
      <c r="FDJ58" s="1"/>
      <c r="FDK58" s="1"/>
      <c r="FDL58" s="1"/>
      <c r="FDM58" s="1"/>
      <c r="FDN58" s="1"/>
      <c r="FDO58" s="1"/>
      <c r="FDP58" s="1"/>
      <c r="FDQ58" s="1"/>
      <c r="FDR58" s="1"/>
      <c r="FDS58" s="1"/>
      <c r="FDT58" s="1"/>
      <c r="FDU58" s="1"/>
      <c r="FDV58" s="1"/>
      <c r="FDW58" s="1"/>
      <c r="FDX58" s="1"/>
      <c r="FDY58" s="1"/>
      <c r="FDZ58" s="1"/>
      <c r="FEA58" s="1"/>
      <c r="FEB58" s="1"/>
      <c r="FEC58" s="1"/>
      <c r="FED58" s="1"/>
      <c r="FEE58" s="1"/>
      <c r="FEF58" s="1"/>
      <c r="FEG58" s="1"/>
      <c r="FEH58" s="1"/>
      <c r="FEI58" s="1"/>
      <c r="FEJ58" s="1"/>
      <c r="FEK58" s="1"/>
      <c r="FEL58" s="1"/>
      <c r="FEM58" s="1"/>
      <c r="FEN58" s="1"/>
      <c r="FEO58" s="1"/>
      <c r="FEP58" s="1"/>
      <c r="FEQ58" s="1"/>
      <c r="FER58" s="1"/>
      <c r="FES58" s="1"/>
      <c r="FET58" s="1"/>
      <c r="FEU58" s="1"/>
      <c r="FEV58" s="1"/>
      <c r="FEW58" s="1"/>
      <c r="FEX58" s="1"/>
      <c r="FEY58" s="1"/>
      <c r="FEZ58" s="1"/>
      <c r="FFA58" s="1"/>
      <c r="FFB58" s="1"/>
      <c r="FFC58" s="1"/>
      <c r="FFD58" s="1"/>
      <c r="FFE58" s="1"/>
      <c r="FFF58" s="1"/>
      <c r="FFG58" s="1"/>
      <c r="FFH58" s="1"/>
      <c r="FFI58" s="1"/>
      <c r="FFJ58" s="1"/>
      <c r="FFK58" s="1"/>
      <c r="FFL58" s="1"/>
      <c r="FFM58" s="1"/>
      <c r="FFN58" s="1"/>
      <c r="FFO58" s="1"/>
      <c r="FFP58" s="1"/>
      <c r="FFQ58" s="1"/>
      <c r="FFR58" s="1"/>
      <c r="FFS58" s="1"/>
      <c r="FFT58" s="1"/>
      <c r="FFU58" s="1"/>
      <c r="FFV58" s="1"/>
      <c r="FFW58" s="1"/>
      <c r="FFX58" s="1"/>
      <c r="FFY58" s="1"/>
      <c r="FFZ58" s="1"/>
      <c r="FGA58" s="1"/>
      <c r="FGB58" s="1"/>
      <c r="FGC58" s="1"/>
      <c r="FGD58" s="1"/>
      <c r="FGE58" s="1"/>
      <c r="FGF58" s="1"/>
      <c r="FGG58" s="1"/>
      <c r="FGH58" s="1"/>
      <c r="FGI58" s="1"/>
      <c r="FGJ58" s="1"/>
      <c r="FGK58" s="1"/>
      <c r="FGL58" s="1"/>
      <c r="FGM58" s="1"/>
      <c r="FGN58" s="1"/>
      <c r="FGO58" s="1"/>
      <c r="FGP58" s="1"/>
      <c r="FGQ58" s="1"/>
      <c r="FGR58" s="1"/>
      <c r="FGS58" s="1"/>
      <c r="FGT58" s="1"/>
      <c r="FGU58" s="1"/>
      <c r="FGV58" s="1"/>
      <c r="FGW58" s="1"/>
      <c r="FGX58" s="1"/>
      <c r="FGY58" s="1"/>
      <c r="FGZ58" s="1"/>
      <c r="FHA58" s="1"/>
      <c r="FHB58" s="1"/>
      <c r="FHC58" s="1"/>
      <c r="FHD58" s="1"/>
      <c r="FHE58" s="1"/>
      <c r="FHF58" s="1"/>
      <c r="FHG58" s="1"/>
      <c r="FHH58" s="1"/>
      <c r="FHI58" s="1"/>
      <c r="FHJ58" s="1"/>
      <c r="FHK58" s="1"/>
      <c r="FHL58" s="1"/>
      <c r="FHM58" s="1"/>
      <c r="FHN58" s="1"/>
      <c r="FHO58" s="1"/>
      <c r="FHP58" s="1"/>
      <c r="FHQ58" s="1"/>
      <c r="FHR58" s="1"/>
      <c r="FHS58" s="1"/>
      <c r="FHT58" s="1"/>
      <c r="FHU58" s="1"/>
      <c r="FHV58" s="1"/>
      <c r="FHW58" s="1"/>
      <c r="FHX58" s="1"/>
      <c r="FHY58" s="1"/>
      <c r="FHZ58" s="1"/>
      <c r="FIA58" s="1"/>
      <c r="FIB58" s="1"/>
      <c r="FIC58" s="1"/>
      <c r="FID58" s="1"/>
      <c r="FIE58" s="1"/>
      <c r="FIF58" s="1"/>
      <c r="FIG58" s="1"/>
      <c r="FIH58" s="1"/>
      <c r="FII58" s="1"/>
      <c r="FIJ58" s="1"/>
      <c r="FIK58" s="1"/>
      <c r="FIL58" s="1"/>
      <c r="FIM58" s="1"/>
      <c r="FIN58" s="1"/>
      <c r="FIO58" s="1"/>
      <c r="FIP58" s="1"/>
      <c r="FIQ58" s="1"/>
      <c r="FIR58" s="1"/>
      <c r="FIS58" s="1"/>
      <c r="FIT58" s="1"/>
      <c r="FIU58" s="1"/>
      <c r="FIV58" s="1"/>
      <c r="FIW58" s="1"/>
      <c r="FIX58" s="1"/>
      <c r="FIY58" s="1"/>
      <c r="FIZ58" s="1"/>
      <c r="FJA58" s="1"/>
      <c r="FJB58" s="1"/>
      <c r="FJC58" s="1"/>
      <c r="FJD58" s="1"/>
      <c r="FJE58" s="1"/>
      <c r="FJF58" s="1"/>
      <c r="FJG58" s="1"/>
      <c r="FJH58" s="1"/>
      <c r="FJI58" s="1"/>
      <c r="FJJ58" s="1"/>
      <c r="FJK58" s="1"/>
      <c r="FJL58" s="1"/>
      <c r="FJM58" s="1"/>
      <c r="FJN58" s="1"/>
      <c r="FJO58" s="1"/>
      <c r="FJP58" s="1"/>
      <c r="FJQ58" s="1"/>
      <c r="FJR58" s="1"/>
      <c r="FJS58" s="1"/>
      <c r="FJT58" s="1"/>
      <c r="FJU58" s="1"/>
      <c r="FJV58" s="1"/>
      <c r="FJW58" s="1"/>
      <c r="FJX58" s="1"/>
      <c r="FJY58" s="1"/>
      <c r="FJZ58" s="1"/>
      <c r="FKA58" s="1"/>
      <c r="FKB58" s="1"/>
      <c r="FKC58" s="1"/>
      <c r="FKD58" s="1"/>
      <c r="FKE58" s="1"/>
      <c r="FKF58" s="1"/>
      <c r="FKG58" s="1"/>
      <c r="FKH58" s="1"/>
      <c r="FKI58" s="1"/>
      <c r="FKJ58" s="1"/>
      <c r="FKK58" s="1"/>
      <c r="FKL58" s="1"/>
      <c r="FKM58" s="1"/>
      <c r="FKN58" s="1"/>
      <c r="FKO58" s="1"/>
      <c r="FKP58" s="1"/>
      <c r="FKQ58" s="1"/>
      <c r="FKR58" s="1"/>
      <c r="FKS58" s="1"/>
      <c r="FKT58" s="1"/>
      <c r="FKU58" s="1"/>
      <c r="FKV58" s="1"/>
      <c r="FKW58" s="1"/>
      <c r="FKX58" s="1"/>
      <c r="FKY58" s="1"/>
      <c r="FKZ58" s="1"/>
      <c r="FLA58" s="1"/>
      <c r="FLB58" s="1"/>
      <c r="FLC58" s="1"/>
      <c r="FLD58" s="1"/>
      <c r="FLE58" s="1"/>
      <c r="FLF58" s="1"/>
      <c r="FLG58" s="1"/>
      <c r="FLH58" s="1"/>
      <c r="FLI58" s="1"/>
      <c r="FLJ58" s="1"/>
      <c r="FLK58" s="1"/>
      <c r="FLL58" s="1"/>
      <c r="FLM58" s="1"/>
      <c r="FLN58" s="1"/>
      <c r="FLO58" s="1"/>
      <c r="FLP58" s="1"/>
      <c r="FLQ58" s="1"/>
      <c r="FLR58" s="1"/>
      <c r="FLS58" s="1"/>
      <c r="FLT58" s="1"/>
      <c r="FLU58" s="1"/>
      <c r="FLV58" s="1"/>
      <c r="FLW58" s="1"/>
      <c r="FLX58" s="1"/>
      <c r="FLY58" s="1"/>
      <c r="FLZ58" s="1"/>
      <c r="FMA58" s="1"/>
      <c r="FMB58" s="1"/>
      <c r="FMC58" s="1"/>
      <c r="FMD58" s="1"/>
      <c r="FME58" s="1"/>
      <c r="FMF58" s="1"/>
      <c r="FMG58" s="1"/>
      <c r="FMH58" s="1"/>
      <c r="FMI58" s="1"/>
      <c r="FMJ58" s="1"/>
      <c r="FMK58" s="1"/>
      <c r="FML58" s="1"/>
      <c r="FMM58" s="1"/>
      <c r="FMN58" s="1"/>
      <c r="FMO58" s="1"/>
      <c r="FMP58" s="1"/>
      <c r="FMQ58" s="1"/>
      <c r="FMR58" s="1"/>
      <c r="FMS58" s="1"/>
      <c r="FMT58" s="1"/>
      <c r="FMU58" s="1"/>
      <c r="FMV58" s="1"/>
      <c r="FMW58" s="1"/>
      <c r="FMX58" s="1"/>
      <c r="FMY58" s="1"/>
      <c r="FMZ58" s="1"/>
      <c r="FNA58" s="1"/>
      <c r="FNB58" s="1"/>
      <c r="FNC58" s="1"/>
      <c r="FND58" s="1"/>
      <c r="FNE58" s="1"/>
      <c r="FNF58" s="1"/>
      <c r="FNG58" s="1"/>
      <c r="FNH58" s="1"/>
      <c r="FNI58" s="1"/>
      <c r="FNJ58" s="1"/>
      <c r="FNK58" s="1"/>
      <c r="FNL58" s="1"/>
      <c r="FNM58" s="1"/>
      <c r="FNN58" s="1"/>
      <c r="FNO58" s="1"/>
      <c r="FNP58" s="1"/>
      <c r="FNQ58" s="1"/>
      <c r="FNR58" s="1"/>
      <c r="FNS58" s="1"/>
      <c r="FNT58" s="1"/>
      <c r="FNU58" s="1"/>
      <c r="FNV58" s="1"/>
      <c r="FNW58" s="1"/>
      <c r="FNX58" s="1"/>
      <c r="FNY58" s="1"/>
      <c r="FNZ58" s="1"/>
      <c r="FOA58" s="1"/>
      <c r="FOB58" s="1"/>
      <c r="FOC58" s="1"/>
      <c r="FOD58" s="1"/>
      <c r="FOE58" s="1"/>
      <c r="FOF58" s="1"/>
      <c r="FOG58" s="1"/>
      <c r="FOH58" s="1"/>
      <c r="FOI58" s="1"/>
      <c r="FOJ58" s="1"/>
      <c r="FOK58" s="1"/>
      <c r="FOL58" s="1"/>
      <c r="FOM58" s="1"/>
      <c r="FON58" s="1"/>
      <c r="FOO58" s="1"/>
      <c r="FOP58" s="1"/>
      <c r="FOQ58" s="1"/>
      <c r="FOR58" s="1"/>
      <c r="FOS58" s="1"/>
      <c r="FOT58" s="1"/>
      <c r="FOU58" s="1"/>
      <c r="FOV58" s="1"/>
      <c r="FOW58" s="1"/>
      <c r="FOX58" s="1"/>
      <c r="FOY58" s="1"/>
      <c r="FOZ58" s="1"/>
      <c r="FPA58" s="1"/>
      <c r="FPB58" s="1"/>
      <c r="FPC58" s="1"/>
      <c r="FPD58" s="1"/>
      <c r="FPE58" s="1"/>
      <c r="FPF58" s="1"/>
      <c r="FPG58" s="1"/>
      <c r="FPH58" s="1"/>
      <c r="FPI58" s="1"/>
      <c r="FPJ58" s="1"/>
      <c r="FPK58" s="1"/>
      <c r="FPL58" s="1"/>
      <c r="FPM58" s="1"/>
      <c r="FPN58" s="1"/>
      <c r="FPO58" s="1"/>
      <c r="FPP58" s="1"/>
      <c r="FPQ58" s="1"/>
      <c r="FPR58" s="1"/>
      <c r="FPS58" s="1"/>
      <c r="FPT58" s="1"/>
      <c r="FPU58" s="1"/>
      <c r="FPV58" s="1"/>
      <c r="FPW58" s="1"/>
      <c r="FPX58" s="1"/>
      <c r="FPY58" s="1"/>
      <c r="FPZ58" s="1"/>
      <c r="FQA58" s="1"/>
      <c r="FQB58" s="1"/>
      <c r="FQC58" s="1"/>
      <c r="FQD58" s="1"/>
      <c r="FQE58" s="1"/>
      <c r="FQF58" s="1"/>
      <c r="FQG58" s="1"/>
      <c r="FQH58" s="1"/>
      <c r="FQI58" s="1"/>
      <c r="FQJ58" s="1"/>
      <c r="FQK58" s="1"/>
      <c r="FQL58" s="1"/>
      <c r="FQM58" s="1"/>
      <c r="FQN58" s="1"/>
      <c r="FQO58" s="1"/>
      <c r="FQP58" s="1"/>
      <c r="FQQ58" s="1"/>
      <c r="FQR58" s="1"/>
      <c r="FQS58" s="1"/>
      <c r="FQT58" s="1"/>
      <c r="FQU58" s="1"/>
      <c r="FQV58" s="1"/>
      <c r="FQW58" s="1"/>
      <c r="FQX58" s="1"/>
      <c r="FQY58" s="1"/>
      <c r="FQZ58" s="1"/>
      <c r="FRA58" s="1"/>
      <c r="FRB58" s="1"/>
      <c r="FRC58" s="1"/>
      <c r="FRD58" s="1"/>
      <c r="FRE58" s="1"/>
      <c r="FRF58" s="1"/>
      <c r="FRG58" s="1"/>
      <c r="FRH58" s="1"/>
      <c r="FRI58" s="1"/>
      <c r="FRJ58" s="1"/>
      <c r="FRK58" s="1"/>
      <c r="FRL58" s="1"/>
      <c r="FRM58" s="1"/>
      <c r="FRN58" s="1"/>
      <c r="FRO58" s="1"/>
      <c r="FRP58" s="1"/>
      <c r="FRQ58" s="1"/>
      <c r="FRR58" s="1"/>
      <c r="FRS58" s="1"/>
      <c r="FRT58" s="1"/>
      <c r="FRU58" s="1"/>
      <c r="FRV58" s="1"/>
      <c r="FRW58" s="1"/>
      <c r="FRX58" s="1"/>
      <c r="FRY58" s="1"/>
      <c r="FRZ58" s="1"/>
      <c r="FSA58" s="1"/>
      <c r="FSB58" s="1"/>
      <c r="FSC58" s="1"/>
      <c r="FSD58" s="1"/>
      <c r="FSE58" s="1"/>
      <c r="FSF58" s="1"/>
      <c r="FSG58" s="1"/>
      <c r="FSH58" s="1"/>
      <c r="FSI58" s="1"/>
      <c r="FSJ58" s="1"/>
      <c r="FSK58" s="1"/>
      <c r="FSL58" s="1"/>
      <c r="FSM58" s="1"/>
      <c r="FSN58" s="1"/>
      <c r="FSO58" s="1"/>
      <c r="FSP58" s="1"/>
      <c r="FSQ58" s="1"/>
      <c r="FSR58" s="1"/>
      <c r="FSS58" s="1"/>
      <c r="FST58" s="1"/>
      <c r="FSU58" s="1"/>
      <c r="FSV58" s="1"/>
      <c r="FSW58" s="1"/>
      <c r="FSX58" s="1"/>
      <c r="FSY58" s="1"/>
      <c r="FSZ58" s="1"/>
      <c r="FTA58" s="1"/>
      <c r="FTB58" s="1"/>
      <c r="FTC58" s="1"/>
      <c r="FTD58" s="1"/>
      <c r="FTE58" s="1"/>
      <c r="FTF58" s="1"/>
      <c r="FTG58" s="1"/>
      <c r="FTH58" s="1"/>
      <c r="FTI58" s="1"/>
      <c r="FTJ58" s="1"/>
      <c r="FTK58" s="1"/>
      <c r="FTL58" s="1"/>
      <c r="FTM58" s="1"/>
      <c r="FTN58" s="1"/>
      <c r="FTO58" s="1"/>
      <c r="FTP58" s="1"/>
      <c r="FTQ58" s="1"/>
      <c r="FTR58" s="1"/>
      <c r="FTS58" s="1"/>
      <c r="FTT58" s="1"/>
      <c r="FTU58" s="1"/>
      <c r="FTV58" s="1"/>
      <c r="FTW58" s="1"/>
      <c r="FTX58" s="1"/>
      <c r="FTY58" s="1"/>
      <c r="FTZ58" s="1"/>
      <c r="FUA58" s="1"/>
      <c r="FUB58" s="1"/>
      <c r="FUC58" s="1"/>
      <c r="FUD58" s="1"/>
      <c r="FUE58" s="1"/>
      <c r="FUF58" s="1"/>
      <c r="FUG58" s="1"/>
      <c r="FUH58" s="1"/>
      <c r="FUI58" s="1"/>
      <c r="FUJ58" s="1"/>
      <c r="FUK58" s="1"/>
      <c r="FUL58" s="1"/>
      <c r="FUM58" s="1"/>
      <c r="FUN58" s="1"/>
      <c r="FUO58" s="1"/>
      <c r="FUP58" s="1"/>
      <c r="FUQ58" s="1"/>
      <c r="FUR58" s="1"/>
      <c r="FUS58" s="1"/>
      <c r="FUT58" s="1"/>
      <c r="FUU58" s="1"/>
      <c r="FUV58" s="1"/>
      <c r="FUW58" s="1"/>
      <c r="FUX58" s="1"/>
      <c r="FUY58" s="1"/>
      <c r="FUZ58" s="1"/>
      <c r="FVA58" s="1"/>
      <c r="FVB58" s="1"/>
      <c r="FVC58" s="1"/>
      <c r="FVD58" s="1"/>
      <c r="FVE58" s="1"/>
      <c r="FVF58" s="1"/>
      <c r="FVG58" s="1"/>
      <c r="FVH58" s="1"/>
      <c r="FVI58" s="1"/>
      <c r="FVJ58" s="1"/>
      <c r="FVK58" s="1"/>
      <c r="FVL58" s="1"/>
      <c r="FVM58" s="1"/>
      <c r="FVN58" s="1"/>
      <c r="FVO58" s="1"/>
      <c r="FVP58" s="1"/>
      <c r="FVQ58" s="1"/>
      <c r="FVR58" s="1"/>
      <c r="FVS58" s="1"/>
      <c r="FVT58" s="1"/>
      <c r="FVU58" s="1"/>
      <c r="FVV58" s="1"/>
      <c r="FVW58" s="1"/>
      <c r="FVX58" s="1"/>
      <c r="FVY58" s="1"/>
      <c r="FVZ58" s="1"/>
      <c r="FWA58" s="1"/>
      <c r="FWB58" s="1"/>
      <c r="FWC58" s="1"/>
      <c r="FWD58" s="1"/>
      <c r="FWE58" s="1"/>
      <c r="FWF58" s="1"/>
      <c r="FWG58" s="1"/>
      <c r="FWH58" s="1"/>
      <c r="FWI58" s="1"/>
      <c r="FWJ58" s="1"/>
      <c r="FWK58" s="1"/>
      <c r="FWL58" s="1"/>
      <c r="FWM58" s="1"/>
      <c r="FWN58" s="1"/>
      <c r="FWO58" s="1"/>
      <c r="FWP58" s="1"/>
      <c r="FWQ58" s="1"/>
      <c r="FWR58" s="1"/>
      <c r="FWS58" s="1"/>
      <c r="FWT58" s="1"/>
      <c r="FWU58" s="1"/>
      <c r="FWV58" s="1"/>
      <c r="FWW58" s="1"/>
      <c r="FWX58" s="1"/>
      <c r="FWY58" s="1"/>
      <c r="FWZ58" s="1"/>
      <c r="FXA58" s="1"/>
      <c r="FXB58" s="1"/>
      <c r="FXC58" s="1"/>
      <c r="FXD58" s="1"/>
      <c r="FXE58" s="1"/>
      <c r="FXF58" s="1"/>
      <c r="FXG58" s="1"/>
      <c r="FXH58" s="1"/>
      <c r="FXI58" s="1"/>
      <c r="FXJ58" s="1"/>
      <c r="FXK58" s="1"/>
      <c r="FXL58" s="1"/>
      <c r="FXM58" s="1"/>
      <c r="FXN58" s="1"/>
      <c r="FXO58" s="1"/>
      <c r="FXP58" s="1"/>
      <c r="FXQ58" s="1"/>
      <c r="FXR58" s="1"/>
      <c r="FXS58" s="1"/>
      <c r="FXT58" s="1"/>
      <c r="FXU58" s="1"/>
      <c r="FXV58" s="1"/>
      <c r="FXW58" s="1"/>
      <c r="FXX58" s="1"/>
      <c r="FXY58" s="1"/>
      <c r="FXZ58" s="1"/>
      <c r="FYA58" s="1"/>
      <c r="FYB58" s="1"/>
      <c r="FYC58" s="1"/>
      <c r="FYD58" s="1"/>
      <c r="FYE58" s="1"/>
      <c r="FYF58" s="1"/>
      <c r="FYG58" s="1"/>
      <c r="FYH58" s="1"/>
      <c r="FYI58" s="1"/>
      <c r="FYJ58" s="1"/>
      <c r="FYK58" s="1"/>
      <c r="FYL58" s="1"/>
      <c r="FYM58" s="1"/>
      <c r="FYN58" s="1"/>
      <c r="FYO58" s="1"/>
      <c r="FYP58" s="1"/>
      <c r="FYQ58" s="1"/>
      <c r="FYR58" s="1"/>
      <c r="FYS58" s="1"/>
      <c r="FYT58" s="1"/>
      <c r="FYU58" s="1"/>
      <c r="FYV58" s="1"/>
      <c r="FYW58" s="1"/>
      <c r="FYX58" s="1"/>
      <c r="FYY58" s="1"/>
      <c r="FYZ58" s="1"/>
      <c r="FZA58" s="1"/>
      <c r="FZB58" s="1"/>
      <c r="FZC58" s="1"/>
      <c r="FZD58" s="1"/>
      <c r="FZE58" s="1"/>
      <c r="FZF58" s="1"/>
      <c r="FZG58" s="1"/>
      <c r="FZH58" s="1"/>
      <c r="FZI58" s="1"/>
      <c r="FZJ58" s="1"/>
      <c r="FZK58" s="1"/>
      <c r="FZL58" s="1"/>
      <c r="FZM58" s="1"/>
      <c r="FZN58" s="1"/>
      <c r="FZO58" s="1"/>
      <c r="FZP58" s="1"/>
      <c r="FZQ58" s="1"/>
      <c r="FZR58" s="1"/>
      <c r="FZS58" s="1"/>
      <c r="FZT58" s="1"/>
      <c r="FZU58" s="1"/>
      <c r="FZV58" s="1"/>
      <c r="FZW58" s="1"/>
      <c r="FZX58" s="1"/>
      <c r="FZY58" s="1"/>
      <c r="FZZ58" s="1"/>
      <c r="GAA58" s="1"/>
      <c r="GAB58" s="1"/>
      <c r="GAC58" s="1"/>
      <c r="GAD58" s="1"/>
      <c r="GAE58" s="1"/>
      <c r="GAF58" s="1"/>
      <c r="GAG58" s="1"/>
      <c r="GAH58" s="1"/>
      <c r="GAI58" s="1"/>
      <c r="GAJ58" s="1"/>
      <c r="GAK58" s="1"/>
      <c r="GAL58" s="1"/>
      <c r="GAM58" s="1"/>
      <c r="GAN58" s="1"/>
      <c r="GAO58" s="1"/>
      <c r="GAP58" s="1"/>
      <c r="GAQ58" s="1"/>
      <c r="GAR58" s="1"/>
      <c r="GAS58" s="1"/>
      <c r="GAT58" s="1"/>
      <c r="GAU58" s="1"/>
      <c r="GAV58" s="1"/>
      <c r="GAW58" s="1"/>
      <c r="GAX58" s="1"/>
      <c r="GAY58" s="1"/>
      <c r="GAZ58" s="1"/>
      <c r="GBA58" s="1"/>
      <c r="GBB58" s="1"/>
      <c r="GBC58" s="1"/>
      <c r="GBD58" s="1"/>
      <c r="GBE58" s="1"/>
      <c r="GBF58" s="1"/>
      <c r="GBG58" s="1"/>
      <c r="GBH58" s="1"/>
      <c r="GBI58" s="1"/>
      <c r="GBJ58" s="1"/>
      <c r="GBK58" s="1"/>
      <c r="GBL58" s="1"/>
      <c r="GBM58" s="1"/>
      <c r="GBN58" s="1"/>
      <c r="GBO58" s="1"/>
      <c r="GBP58" s="1"/>
      <c r="GBQ58" s="1"/>
      <c r="GBR58" s="1"/>
      <c r="GBS58" s="1"/>
      <c r="GBT58" s="1"/>
      <c r="GBU58" s="1"/>
      <c r="GBV58" s="1"/>
      <c r="GBW58" s="1"/>
      <c r="GBX58" s="1"/>
      <c r="GBY58" s="1"/>
      <c r="GBZ58" s="1"/>
      <c r="GCA58" s="1"/>
      <c r="GCB58" s="1"/>
      <c r="GCC58" s="1"/>
      <c r="GCD58" s="1"/>
      <c r="GCE58" s="1"/>
      <c r="GCF58" s="1"/>
      <c r="GCG58" s="1"/>
      <c r="GCH58" s="1"/>
      <c r="GCI58" s="1"/>
      <c r="GCJ58" s="1"/>
      <c r="GCK58" s="1"/>
      <c r="GCL58" s="1"/>
      <c r="GCM58" s="1"/>
      <c r="GCN58" s="1"/>
      <c r="GCO58" s="1"/>
      <c r="GCP58" s="1"/>
      <c r="GCQ58" s="1"/>
      <c r="GCR58" s="1"/>
      <c r="GCS58" s="1"/>
      <c r="GCT58" s="1"/>
      <c r="GCU58" s="1"/>
      <c r="GCV58" s="1"/>
      <c r="GCW58" s="1"/>
      <c r="GCX58" s="1"/>
      <c r="GCY58" s="1"/>
      <c r="GCZ58" s="1"/>
      <c r="GDA58" s="1"/>
      <c r="GDB58" s="1"/>
      <c r="GDC58" s="1"/>
      <c r="GDD58" s="1"/>
      <c r="GDE58" s="1"/>
      <c r="GDF58" s="1"/>
      <c r="GDG58" s="1"/>
      <c r="GDH58" s="1"/>
      <c r="GDI58" s="1"/>
      <c r="GDJ58" s="1"/>
      <c r="GDK58" s="1"/>
      <c r="GDL58" s="1"/>
      <c r="GDM58" s="1"/>
      <c r="GDN58" s="1"/>
      <c r="GDO58" s="1"/>
      <c r="GDP58" s="1"/>
      <c r="GDQ58" s="1"/>
      <c r="GDR58" s="1"/>
      <c r="GDS58" s="1"/>
      <c r="GDT58" s="1"/>
      <c r="GDU58" s="1"/>
      <c r="GDV58" s="1"/>
      <c r="GDW58" s="1"/>
      <c r="GDX58" s="1"/>
      <c r="GDY58" s="1"/>
      <c r="GDZ58" s="1"/>
      <c r="GEA58" s="1"/>
      <c r="GEB58" s="1"/>
      <c r="GEC58" s="1"/>
      <c r="GED58" s="1"/>
      <c r="GEE58" s="1"/>
      <c r="GEF58" s="1"/>
      <c r="GEG58" s="1"/>
      <c r="GEH58" s="1"/>
      <c r="GEI58" s="1"/>
      <c r="GEJ58" s="1"/>
      <c r="GEK58" s="1"/>
      <c r="GEL58" s="1"/>
      <c r="GEM58" s="1"/>
      <c r="GEN58" s="1"/>
      <c r="GEO58" s="1"/>
      <c r="GEP58" s="1"/>
      <c r="GEQ58" s="1"/>
      <c r="GER58" s="1"/>
      <c r="GES58" s="1"/>
      <c r="GET58" s="1"/>
      <c r="GEU58" s="1"/>
      <c r="GEV58" s="1"/>
      <c r="GEW58" s="1"/>
      <c r="GEX58" s="1"/>
      <c r="GEY58" s="1"/>
      <c r="GEZ58" s="1"/>
      <c r="GFA58" s="1"/>
      <c r="GFB58" s="1"/>
      <c r="GFC58" s="1"/>
      <c r="GFD58" s="1"/>
      <c r="GFE58" s="1"/>
      <c r="GFF58" s="1"/>
      <c r="GFG58" s="1"/>
      <c r="GFH58" s="1"/>
      <c r="GFI58" s="1"/>
      <c r="GFJ58" s="1"/>
      <c r="GFK58" s="1"/>
      <c r="GFL58" s="1"/>
      <c r="GFM58" s="1"/>
      <c r="GFN58" s="1"/>
      <c r="GFO58" s="1"/>
      <c r="GFP58" s="1"/>
      <c r="GFQ58" s="1"/>
      <c r="GFR58" s="1"/>
      <c r="GFS58" s="1"/>
      <c r="GFT58" s="1"/>
      <c r="GFU58" s="1"/>
      <c r="GFV58" s="1"/>
      <c r="GFW58" s="1"/>
      <c r="GFX58" s="1"/>
      <c r="GFY58" s="1"/>
      <c r="GFZ58" s="1"/>
      <c r="GGA58" s="1"/>
      <c r="GGB58" s="1"/>
      <c r="GGC58" s="1"/>
      <c r="GGD58" s="1"/>
      <c r="GGE58" s="1"/>
      <c r="GGF58" s="1"/>
      <c r="GGG58" s="1"/>
      <c r="GGH58" s="1"/>
      <c r="GGI58" s="1"/>
      <c r="GGJ58" s="1"/>
      <c r="GGK58" s="1"/>
      <c r="GGL58" s="1"/>
      <c r="GGM58" s="1"/>
      <c r="GGN58" s="1"/>
      <c r="GGO58" s="1"/>
      <c r="GGP58" s="1"/>
      <c r="GGQ58" s="1"/>
      <c r="GGR58" s="1"/>
      <c r="GGS58" s="1"/>
      <c r="GGT58" s="1"/>
      <c r="GGU58" s="1"/>
      <c r="GGV58" s="1"/>
      <c r="GGW58" s="1"/>
      <c r="GGX58" s="1"/>
      <c r="GGY58" s="1"/>
      <c r="GGZ58" s="1"/>
      <c r="GHA58" s="1"/>
      <c r="GHB58" s="1"/>
      <c r="GHC58" s="1"/>
      <c r="GHD58" s="1"/>
      <c r="GHE58" s="1"/>
      <c r="GHF58" s="1"/>
      <c r="GHG58" s="1"/>
      <c r="GHH58" s="1"/>
      <c r="GHI58" s="1"/>
      <c r="GHJ58" s="1"/>
      <c r="GHK58" s="1"/>
      <c r="GHL58" s="1"/>
      <c r="GHM58" s="1"/>
      <c r="GHN58" s="1"/>
      <c r="GHO58" s="1"/>
      <c r="GHP58" s="1"/>
      <c r="GHQ58" s="1"/>
      <c r="GHR58" s="1"/>
      <c r="GHS58" s="1"/>
      <c r="GHT58" s="1"/>
      <c r="GHU58" s="1"/>
      <c r="GHV58" s="1"/>
      <c r="GHW58" s="1"/>
      <c r="GHX58" s="1"/>
      <c r="GHY58" s="1"/>
      <c r="GHZ58" s="1"/>
      <c r="GIA58" s="1"/>
      <c r="GIB58" s="1"/>
      <c r="GIC58" s="1"/>
      <c r="GID58" s="1"/>
      <c r="GIE58" s="1"/>
      <c r="GIF58" s="1"/>
      <c r="GIG58" s="1"/>
      <c r="GIH58" s="1"/>
      <c r="GII58" s="1"/>
      <c r="GIJ58" s="1"/>
      <c r="GIK58" s="1"/>
      <c r="GIL58" s="1"/>
      <c r="GIM58" s="1"/>
      <c r="GIN58" s="1"/>
      <c r="GIO58" s="1"/>
      <c r="GIP58" s="1"/>
      <c r="GIQ58" s="1"/>
      <c r="GIR58" s="1"/>
      <c r="GIS58" s="1"/>
      <c r="GIT58" s="1"/>
      <c r="GIU58" s="1"/>
      <c r="GIV58" s="1"/>
      <c r="GIW58" s="1"/>
      <c r="GIX58" s="1"/>
      <c r="GIY58" s="1"/>
      <c r="GIZ58" s="1"/>
      <c r="GJA58" s="1"/>
      <c r="GJB58" s="1"/>
      <c r="GJC58" s="1"/>
      <c r="GJD58" s="1"/>
      <c r="GJE58" s="1"/>
      <c r="GJF58" s="1"/>
      <c r="GJG58" s="1"/>
      <c r="GJH58" s="1"/>
      <c r="GJI58" s="1"/>
      <c r="GJJ58" s="1"/>
      <c r="GJK58" s="1"/>
      <c r="GJL58" s="1"/>
      <c r="GJM58" s="1"/>
      <c r="GJN58" s="1"/>
      <c r="GJO58" s="1"/>
      <c r="GJP58" s="1"/>
      <c r="GJQ58" s="1"/>
      <c r="GJR58" s="1"/>
      <c r="GJS58" s="1"/>
      <c r="GJT58" s="1"/>
      <c r="GJU58" s="1"/>
      <c r="GJV58" s="1"/>
      <c r="GJW58" s="1"/>
      <c r="GJX58" s="1"/>
      <c r="GJY58" s="1"/>
      <c r="GJZ58" s="1"/>
      <c r="GKA58" s="1"/>
      <c r="GKB58" s="1"/>
      <c r="GKC58" s="1"/>
      <c r="GKD58" s="1"/>
      <c r="GKE58" s="1"/>
      <c r="GKF58" s="1"/>
      <c r="GKG58" s="1"/>
      <c r="GKH58" s="1"/>
      <c r="GKI58" s="1"/>
      <c r="GKJ58" s="1"/>
      <c r="GKK58" s="1"/>
      <c r="GKL58" s="1"/>
      <c r="GKM58" s="1"/>
      <c r="GKN58" s="1"/>
      <c r="GKO58" s="1"/>
      <c r="GKP58" s="1"/>
      <c r="GKQ58" s="1"/>
      <c r="GKR58" s="1"/>
      <c r="GKS58" s="1"/>
      <c r="GKT58" s="1"/>
      <c r="GKU58" s="1"/>
      <c r="GKV58" s="1"/>
      <c r="GKW58" s="1"/>
      <c r="GKX58" s="1"/>
      <c r="GKY58" s="1"/>
      <c r="GKZ58" s="1"/>
      <c r="GLA58" s="1"/>
      <c r="GLB58" s="1"/>
      <c r="GLC58" s="1"/>
      <c r="GLD58" s="1"/>
      <c r="GLE58" s="1"/>
      <c r="GLF58" s="1"/>
      <c r="GLG58" s="1"/>
      <c r="GLH58" s="1"/>
      <c r="GLI58" s="1"/>
      <c r="GLJ58" s="1"/>
      <c r="GLK58" s="1"/>
      <c r="GLL58" s="1"/>
      <c r="GLM58" s="1"/>
      <c r="GLN58" s="1"/>
      <c r="GLO58" s="1"/>
      <c r="GLP58" s="1"/>
      <c r="GLQ58" s="1"/>
      <c r="GLR58" s="1"/>
      <c r="GLS58" s="1"/>
      <c r="GLT58" s="1"/>
      <c r="GLU58" s="1"/>
      <c r="GLV58" s="1"/>
      <c r="GLW58" s="1"/>
      <c r="GLX58" s="1"/>
      <c r="GLY58" s="1"/>
      <c r="GLZ58" s="1"/>
      <c r="GMA58" s="1"/>
      <c r="GMB58" s="1"/>
      <c r="GMC58" s="1"/>
      <c r="GMD58" s="1"/>
      <c r="GME58" s="1"/>
      <c r="GMF58" s="1"/>
      <c r="GMG58" s="1"/>
      <c r="GMH58" s="1"/>
      <c r="GMI58" s="1"/>
      <c r="GMJ58" s="1"/>
      <c r="GMK58" s="1"/>
      <c r="GML58" s="1"/>
      <c r="GMM58" s="1"/>
      <c r="GMN58" s="1"/>
      <c r="GMO58" s="1"/>
      <c r="GMP58" s="1"/>
      <c r="GMQ58" s="1"/>
      <c r="GMR58" s="1"/>
      <c r="GMS58" s="1"/>
      <c r="GMT58" s="1"/>
      <c r="GMU58" s="1"/>
      <c r="GMV58" s="1"/>
      <c r="GMW58" s="1"/>
      <c r="GMX58" s="1"/>
      <c r="GMY58" s="1"/>
      <c r="GMZ58" s="1"/>
      <c r="GNA58" s="1"/>
      <c r="GNB58" s="1"/>
      <c r="GNC58" s="1"/>
      <c r="GND58" s="1"/>
      <c r="GNE58" s="1"/>
      <c r="GNF58" s="1"/>
      <c r="GNG58" s="1"/>
      <c r="GNH58" s="1"/>
      <c r="GNI58" s="1"/>
      <c r="GNJ58" s="1"/>
      <c r="GNK58" s="1"/>
      <c r="GNL58" s="1"/>
      <c r="GNM58" s="1"/>
      <c r="GNN58" s="1"/>
      <c r="GNO58" s="1"/>
      <c r="GNP58" s="1"/>
      <c r="GNQ58" s="1"/>
      <c r="GNR58" s="1"/>
      <c r="GNS58" s="1"/>
      <c r="GNT58" s="1"/>
      <c r="GNU58" s="1"/>
      <c r="GNV58" s="1"/>
      <c r="GNW58" s="1"/>
      <c r="GNX58" s="1"/>
      <c r="GNY58" s="1"/>
      <c r="GNZ58" s="1"/>
      <c r="GOA58" s="1"/>
      <c r="GOB58" s="1"/>
      <c r="GOC58" s="1"/>
      <c r="GOD58" s="1"/>
      <c r="GOE58" s="1"/>
      <c r="GOF58" s="1"/>
      <c r="GOG58" s="1"/>
      <c r="GOH58" s="1"/>
      <c r="GOI58" s="1"/>
      <c r="GOJ58" s="1"/>
      <c r="GOK58" s="1"/>
      <c r="GOL58" s="1"/>
      <c r="GOM58" s="1"/>
      <c r="GON58" s="1"/>
      <c r="GOO58" s="1"/>
      <c r="GOP58" s="1"/>
      <c r="GOQ58" s="1"/>
      <c r="GOR58" s="1"/>
      <c r="GOS58" s="1"/>
      <c r="GOT58" s="1"/>
      <c r="GOU58" s="1"/>
      <c r="GOV58" s="1"/>
      <c r="GOW58" s="1"/>
      <c r="GOX58" s="1"/>
      <c r="GOY58" s="1"/>
      <c r="GOZ58" s="1"/>
      <c r="GPA58" s="1"/>
      <c r="GPB58" s="1"/>
      <c r="GPC58" s="1"/>
      <c r="GPD58" s="1"/>
      <c r="GPE58" s="1"/>
      <c r="GPF58" s="1"/>
      <c r="GPG58" s="1"/>
      <c r="GPH58" s="1"/>
      <c r="GPI58" s="1"/>
      <c r="GPJ58" s="1"/>
      <c r="GPK58" s="1"/>
      <c r="GPL58" s="1"/>
      <c r="GPM58" s="1"/>
      <c r="GPN58" s="1"/>
      <c r="GPO58" s="1"/>
      <c r="GPP58" s="1"/>
      <c r="GPQ58" s="1"/>
      <c r="GPR58" s="1"/>
      <c r="GPS58" s="1"/>
      <c r="GPT58" s="1"/>
      <c r="GPU58" s="1"/>
      <c r="GPV58" s="1"/>
      <c r="GPW58" s="1"/>
      <c r="GPX58" s="1"/>
      <c r="GPY58" s="1"/>
      <c r="GPZ58" s="1"/>
      <c r="GQA58" s="1"/>
      <c r="GQB58" s="1"/>
      <c r="GQC58" s="1"/>
      <c r="GQD58" s="1"/>
      <c r="GQE58" s="1"/>
      <c r="GQF58" s="1"/>
      <c r="GQG58" s="1"/>
      <c r="GQH58" s="1"/>
      <c r="GQI58" s="1"/>
      <c r="GQJ58" s="1"/>
      <c r="GQK58" s="1"/>
      <c r="GQL58" s="1"/>
      <c r="GQM58" s="1"/>
      <c r="GQN58" s="1"/>
      <c r="GQO58" s="1"/>
      <c r="GQP58" s="1"/>
      <c r="GQQ58" s="1"/>
      <c r="GQR58" s="1"/>
      <c r="GQS58" s="1"/>
      <c r="GQT58" s="1"/>
      <c r="GQU58" s="1"/>
      <c r="GQV58" s="1"/>
      <c r="GQW58" s="1"/>
      <c r="GQX58" s="1"/>
      <c r="GQY58" s="1"/>
      <c r="GQZ58" s="1"/>
      <c r="GRA58" s="1"/>
      <c r="GRB58" s="1"/>
      <c r="GRC58" s="1"/>
      <c r="GRD58" s="1"/>
      <c r="GRE58" s="1"/>
      <c r="GRF58" s="1"/>
      <c r="GRG58" s="1"/>
      <c r="GRH58" s="1"/>
      <c r="GRI58" s="1"/>
      <c r="GRJ58" s="1"/>
      <c r="GRK58" s="1"/>
      <c r="GRL58" s="1"/>
      <c r="GRM58" s="1"/>
      <c r="GRN58" s="1"/>
      <c r="GRO58" s="1"/>
      <c r="GRP58" s="1"/>
      <c r="GRQ58" s="1"/>
      <c r="GRR58" s="1"/>
      <c r="GRS58" s="1"/>
      <c r="GRT58" s="1"/>
      <c r="GRU58" s="1"/>
      <c r="GRV58" s="1"/>
      <c r="GRW58" s="1"/>
      <c r="GRX58" s="1"/>
      <c r="GRY58" s="1"/>
      <c r="GRZ58" s="1"/>
      <c r="GSA58" s="1"/>
      <c r="GSB58" s="1"/>
      <c r="GSC58" s="1"/>
      <c r="GSD58" s="1"/>
      <c r="GSE58" s="1"/>
      <c r="GSF58" s="1"/>
      <c r="GSG58" s="1"/>
      <c r="GSH58" s="1"/>
      <c r="GSI58" s="1"/>
      <c r="GSJ58" s="1"/>
      <c r="GSK58" s="1"/>
      <c r="GSL58" s="1"/>
      <c r="GSM58" s="1"/>
      <c r="GSN58" s="1"/>
      <c r="GSO58" s="1"/>
      <c r="GSP58" s="1"/>
      <c r="GSQ58" s="1"/>
      <c r="GSR58" s="1"/>
      <c r="GSS58" s="1"/>
      <c r="GST58" s="1"/>
      <c r="GSU58" s="1"/>
      <c r="GSV58" s="1"/>
      <c r="GSW58" s="1"/>
      <c r="GSX58" s="1"/>
      <c r="GSY58" s="1"/>
      <c r="GSZ58" s="1"/>
      <c r="GTA58" s="1"/>
      <c r="GTB58" s="1"/>
      <c r="GTC58" s="1"/>
      <c r="GTD58" s="1"/>
      <c r="GTE58" s="1"/>
      <c r="GTF58" s="1"/>
      <c r="GTG58" s="1"/>
      <c r="GTH58" s="1"/>
      <c r="GTI58" s="1"/>
      <c r="GTJ58" s="1"/>
      <c r="GTK58" s="1"/>
      <c r="GTL58" s="1"/>
      <c r="GTM58" s="1"/>
      <c r="GTN58" s="1"/>
      <c r="GTO58" s="1"/>
      <c r="GTP58" s="1"/>
      <c r="GTQ58" s="1"/>
      <c r="GTR58" s="1"/>
      <c r="GTS58" s="1"/>
      <c r="GTT58" s="1"/>
      <c r="GTU58" s="1"/>
      <c r="GTV58" s="1"/>
      <c r="GTW58" s="1"/>
      <c r="GTX58" s="1"/>
      <c r="GTY58" s="1"/>
      <c r="GTZ58" s="1"/>
      <c r="GUA58" s="1"/>
      <c r="GUB58" s="1"/>
      <c r="GUC58" s="1"/>
      <c r="GUD58" s="1"/>
      <c r="GUE58" s="1"/>
      <c r="GUF58" s="1"/>
      <c r="GUG58" s="1"/>
      <c r="GUH58" s="1"/>
      <c r="GUI58" s="1"/>
      <c r="GUJ58" s="1"/>
      <c r="GUK58" s="1"/>
      <c r="GUL58" s="1"/>
      <c r="GUM58" s="1"/>
      <c r="GUN58" s="1"/>
      <c r="GUO58" s="1"/>
      <c r="GUP58" s="1"/>
      <c r="GUQ58" s="1"/>
      <c r="GUR58" s="1"/>
      <c r="GUS58" s="1"/>
      <c r="GUT58" s="1"/>
      <c r="GUU58" s="1"/>
      <c r="GUV58" s="1"/>
      <c r="GUW58" s="1"/>
      <c r="GUX58" s="1"/>
      <c r="GUY58" s="1"/>
      <c r="GUZ58" s="1"/>
      <c r="GVA58" s="1"/>
      <c r="GVB58" s="1"/>
      <c r="GVC58" s="1"/>
      <c r="GVD58" s="1"/>
      <c r="GVE58" s="1"/>
      <c r="GVF58" s="1"/>
      <c r="GVG58" s="1"/>
      <c r="GVH58" s="1"/>
      <c r="GVI58" s="1"/>
      <c r="GVJ58" s="1"/>
      <c r="GVK58" s="1"/>
      <c r="GVL58" s="1"/>
      <c r="GVM58" s="1"/>
      <c r="GVN58" s="1"/>
      <c r="GVO58" s="1"/>
      <c r="GVP58" s="1"/>
      <c r="GVQ58" s="1"/>
      <c r="GVR58" s="1"/>
      <c r="GVS58" s="1"/>
      <c r="GVT58" s="1"/>
      <c r="GVU58" s="1"/>
      <c r="GVV58" s="1"/>
      <c r="GVW58" s="1"/>
      <c r="GVX58" s="1"/>
      <c r="GVY58" s="1"/>
      <c r="GVZ58" s="1"/>
      <c r="GWA58" s="1"/>
      <c r="GWB58" s="1"/>
      <c r="GWC58" s="1"/>
      <c r="GWD58" s="1"/>
      <c r="GWE58" s="1"/>
      <c r="GWF58" s="1"/>
      <c r="GWG58" s="1"/>
      <c r="GWH58" s="1"/>
      <c r="GWI58" s="1"/>
      <c r="GWJ58" s="1"/>
      <c r="GWK58" s="1"/>
      <c r="GWL58" s="1"/>
      <c r="GWM58" s="1"/>
      <c r="GWN58" s="1"/>
      <c r="GWO58" s="1"/>
      <c r="GWP58" s="1"/>
      <c r="GWQ58" s="1"/>
      <c r="GWR58" s="1"/>
      <c r="GWS58" s="1"/>
      <c r="GWT58" s="1"/>
      <c r="GWU58" s="1"/>
      <c r="GWV58" s="1"/>
      <c r="GWW58" s="1"/>
      <c r="GWX58" s="1"/>
      <c r="GWY58" s="1"/>
      <c r="GWZ58" s="1"/>
      <c r="GXA58" s="1"/>
      <c r="GXB58" s="1"/>
      <c r="GXC58" s="1"/>
      <c r="GXD58" s="1"/>
      <c r="GXE58" s="1"/>
      <c r="GXF58" s="1"/>
      <c r="GXG58" s="1"/>
      <c r="GXH58" s="1"/>
      <c r="GXI58" s="1"/>
      <c r="GXJ58" s="1"/>
      <c r="GXK58" s="1"/>
      <c r="GXL58" s="1"/>
      <c r="GXM58" s="1"/>
      <c r="GXN58" s="1"/>
      <c r="GXO58" s="1"/>
      <c r="GXP58" s="1"/>
      <c r="GXQ58" s="1"/>
      <c r="GXR58" s="1"/>
      <c r="GXS58" s="1"/>
      <c r="GXT58" s="1"/>
      <c r="GXU58" s="1"/>
      <c r="GXV58" s="1"/>
      <c r="GXW58" s="1"/>
      <c r="GXX58" s="1"/>
      <c r="GXY58" s="1"/>
      <c r="GXZ58" s="1"/>
      <c r="GYA58" s="1"/>
      <c r="GYB58" s="1"/>
      <c r="GYC58" s="1"/>
      <c r="GYD58" s="1"/>
      <c r="GYE58" s="1"/>
      <c r="GYF58" s="1"/>
      <c r="GYG58" s="1"/>
      <c r="GYH58" s="1"/>
      <c r="GYI58" s="1"/>
      <c r="GYJ58" s="1"/>
      <c r="GYK58" s="1"/>
      <c r="GYL58" s="1"/>
      <c r="GYM58" s="1"/>
      <c r="GYN58" s="1"/>
      <c r="GYO58" s="1"/>
      <c r="GYP58" s="1"/>
      <c r="GYQ58" s="1"/>
      <c r="GYR58" s="1"/>
      <c r="GYS58" s="1"/>
      <c r="GYT58" s="1"/>
      <c r="GYU58" s="1"/>
      <c r="GYV58" s="1"/>
      <c r="GYW58" s="1"/>
      <c r="GYX58" s="1"/>
      <c r="GYY58" s="1"/>
      <c r="GYZ58" s="1"/>
      <c r="GZA58" s="1"/>
      <c r="GZB58" s="1"/>
      <c r="GZC58" s="1"/>
      <c r="GZD58" s="1"/>
      <c r="GZE58" s="1"/>
      <c r="GZF58" s="1"/>
      <c r="GZG58" s="1"/>
      <c r="GZH58" s="1"/>
      <c r="GZI58" s="1"/>
      <c r="GZJ58" s="1"/>
      <c r="GZK58" s="1"/>
      <c r="GZL58" s="1"/>
      <c r="GZM58" s="1"/>
      <c r="GZN58" s="1"/>
      <c r="GZO58" s="1"/>
      <c r="GZP58" s="1"/>
      <c r="GZQ58" s="1"/>
      <c r="GZR58" s="1"/>
      <c r="GZS58" s="1"/>
      <c r="GZT58" s="1"/>
      <c r="GZU58" s="1"/>
      <c r="GZV58" s="1"/>
      <c r="GZW58" s="1"/>
      <c r="GZX58" s="1"/>
      <c r="GZY58" s="1"/>
      <c r="GZZ58" s="1"/>
      <c r="HAA58" s="1"/>
      <c r="HAB58" s="1"/>
      <c r="HAC58" s="1"/>
      <c r="HAD58" s="1"/>
      <c r="HAE58" s="1"/>
      <c r="HAF58" s="1"/>
      <c r="HAG58" s="1"/>
      <c r="HAH58" s="1"/>
      <c r="HAI58" s="1"/>
      <c r="HAJ58" s="1"/>
      <c r="HAK58" s="1"/>
      <c r="HAL58" s="1"/>
      <c r="HAM58" s="1"/>
      <c r="HAN58" s="1"/>
      <c r="HAO58" s="1"/>
      <c r="HAP58" s="1"/>
      <c r="HAQ58" s="1"/>
      <c r="HAR58" s="1"/>
      <c r="HAS58" s="1"/>
      <c r="HAT58" s="1"/>
      <c r="HAU58" s="1"/>
      <c r="HAV58" s="1"/>
      <c r="HAW58" s="1"/>
      <c r="HAX58" s="1"/>
      <c r="HAY58" s="1"/>
      <c r="HAZ58" s="1"/>
      <c r="HBA58" s="1"/>
      <c r="HBB58" s="1"/>
      <c r="HBC58" s="1"/>
      <c r="HBD58" s="1"/>
      <c r="HBE58" s="1"/>
      <c r="HBF58" s="1"/>
      <c r="HBG58" s="1"/>
      <c r="HBH58" s="1"/>
      <c r="HBI58" s="1"/>
      <c r="HBJ58" s="1"/>
      <c r="HBK58" s="1"/>
      <c r="HBL58" s="1"/>
      <c r="HBM58" s="1"/>
      <c r="HBN58" s="1"/>
      <c r="HBO58" s="1"/>
      <c r="HBP58" s="1"/>
      <c r="HBQ58" s="1"/>
      <c r="HBR58" s="1"/>
      <c r="HBS58" s="1"/>
      <c r="HBT58" s="1"/>
      <c r="HBU58" s="1"/>
      <c r="HBV58" s="1"/>
      <c r="HBW58" s="1"/>
      <c r="HBX58" s="1"/>
      <c r="HBY58" s="1"/>
      <c r="HBZ58" s="1"/>
      <c r="HCA58" s="1"/>
      <c r="HCB58" s="1"/>
      <c r="HCC58" s="1"/>
      <c r="HCD58" s="1"/>
      <c r="HCE58" s="1"/>
      <c r="HCF58" s="1"/>
      <c r="HCG58" s="1"/>
      <c r="HCH58" s="1"/>
      <c r="HCI58" s="1"/>
      <c r="HCJ58" s="1"/>
      <c r="HCK58" s="1"/>
      <c r="HCL58" s="1"/>
      <c r="HCM58" s="1"/>
      <c r="HCN58" s="1"/>
      <c r="HCO58" s="1"/>
      <c r="HCP58" s="1"/>
      <c r="HCQ58" s="1"/>
      <c r="HCR58" s="1"/>
      <c r="HCS58" s="1"/>
      <c r="HCT58" s="1"/>
      <c r="HCU58" s="1"/>
      <c r="HCV58" s="1"/>
      <c r="HCW58" s="1"/>
      <c r="HCX58" s="1"/>
      <c r="HCY58" s="1"/>
      <c r="HCZ58" s="1"/>
      <c r="HDA58" s="1"/>
      <c r="HDB58" s="1"/>
      <c r="HDC58" s="1"/>
      <c r="HDD58" s="1"/>
      <c r="HDE58" s="1"/>
      <c r="HDF58" s="1"/>
      <c r="HDG58" s="1"/>
      <c r="HDH58" s="1"/>
      <c r="HDI58" s="1"/>
      <c r="HDJ58" s="1"/>
      <c r="HDK58" s="1"/>
      <c r="HDL58" s="1"/>
      <c r="HDM58" s="1"/>
      <c r="HDN58" s="1"/>
      <c r="HDO58" s="1"/>
      <c r="HDP58" s="1"/>
      <c r="HDQ58" s="1"/>
      <c r="HDR58" s="1"/>
      <c r="HDS58" s="1"/>
      <c r="HDT58" s="1"/>
      <c r="HDU58" s="1"/>
      <c r="HDV58" s="1"/>
      <c r="HDW58" s="1"/>
      <c r="HDX58" s="1"/>
      <c r="HDY58" s="1"/>
      <c r="HDZ58" s="1"/>
      <c r="HEA58" s="1"/>
      <c r="HEB58" s="1"/>
      <c r="HEC58" s="1"/>
      <c r="HED58" s="1"/>
      <c r="HEE58" s="1"/>
      <c r="HEF58" s="1"/>
      <c r="HEG58" s="1"/>
      <c r="HEH58" s="1"/>
      <c r="HEI58" s="1"/>
      <c r="HEJ58" s="1"/>
      <c r="HEK58" s="1"/>
      <c r="HEL58" s="1"/>
      <c r="HEM58" s="1"/>
      <c r="HEN58" s="1"/>
      <c r="HEO58" s="1"/>
      <c r="HEP58" s="1"/>
      <c r="HEQ58" s="1"/>
      <c r="HER58" s="1"/>
      <c r="HES58" s="1"/>
      <c r="HET58" s="1"/>
      <c r="HEU58" s="1"/>
      <c r="HEV58" s="1"/>
      <c r="HEW58" s="1"/>
      <c r="HEX58" s="1"/>
      <c r="HEY58" s="1"/>
      <c r="HEZ58" s="1"/>
      <c r="HFA58" s="1"/>
      <c r="HFB58" s="1"/>
      <c r="HFC58" s="1"/>
      <c r="HFD58" s="1"/>
      <c r="HFE58" s="1"/>
      <c r="HFF58" s="1"/>
      <c r="HFG58" s="1"/>
      <c r="HFH58" s="1"/>
      <c r="HFI58" s="1"/>
      <c r="HFJ58" s="1"/>
      <c r="HFK58" s="1"/>
      <c r="HFL58" s="1"/>
      <c r="HFM58" s="1"/>
      <c r="HFN58" s="1"/>
      <c r="HFO58" s="1"/>
      <c r="HFP58" s="1"/>
      <c r="HFQ58" s="1"/>
      <c r="HFR58" s="1"/>
      <c r="HFS58" s="1"/>
      <c r="HFT58" s="1"/>
      <c r="HFU58" s="1"/>
      <c r="HFV58" s="1"/>
      <c r="HFW58" s="1"/>
      <c r="HFX58" s="1"/>
      <c r="HFY58" s="1"/>
      <c r="HFZ58" s="1"/>
      <c r="HGA58" s="1"/>
      <c r="HGB58" s="1"/>
      <c r="HGC58" s="1"/>
      <c r="HGD58" s="1"/>
      <c r="HGE58" s="1"/>
      <c r="HGF58" s="1"/>
      <c r="HGG58" s="1"/>
      <c r="HGH58" s="1"/>
      <c r="HGI58" s="1"/>
      <c r="HGJ58" s="1"/>
      <c r="HGK58" s="1"/>
      <c r="HGL58" s="1"/>
      <c r="HGM58" s="1"/>
      <c r="HGN58" s="1"/>
      <c r="HGO58" s="1"/>
      <c r="HGP58" s="1"/>
      <c r="HGQ58" s="1"/>
      <c r="HGR58" s="1"/>
      <c r="HGS58" s="1"/>
      <c r="HGT58" s="1"/>
      <c r="HGU58" s="1"/>
      <c r="HGV58" s="1"/>
      <c r="HGW58" s="1"/>
      <c r="HGX58" s="1"/>
      <c r="HGY58" s="1"/>
      <c r="HGZ58" s="1"/>
      <c r="HHA58" s="1"/>
      <c r="HHB58" s="1"/>
      <c r="HHC58" s="1"/>
      <c r="HHD58" s="1"/>
      <c r="HHE58" s="1"/>
      <c r="HHF58" s="1"/>
      <c r="HHG58" s="1"/>
      <c r="HHH58" s="1"/>
      <c r="HHI58" s="1"/>
      <c r="HHJ58" s="1"/>
      <c r="HHK58" s="1"/>
      <c r="HHL58" s="1"/>
      <c r="HHM58" s="1"/>
      <c r="HHN58" s="1"/>
      <c r="HHO58" s="1"/>
      <c r="HHP58" s="1"/>
      <c r="HHQ58" s="1"/>
      <c r="HHR58" s="1"/>
      <c r="HHS58" s="1"/>
      <c r="HHT58" s="1"/>
      <c r="HHU58" s="1"/>
      <c r="HHV58" s="1"/>
      <c r="HHW58" s="1"/>
      <c r="HHX58" s="1"/>
      <c r="HHY58" s="1"/>
      <c r="HHZ58" s="1"/>
      <c r="HIA58" s="1"/>
      <c r="HIB58" s="1"/>
      <c r="HIC58" s="1"/>
      <c r="HID58" s="1"/>
      <c r="HIE58" s="1"/>
      <c r="HIF58" s="1"/>
      <c r="HIG58" s="1"/>
      <c r="HIH58" s="1"/>
      <c r="HII58" s="1"/>
      <c r="HIJ58" s="1"/>
      <c r="HIK58" s="1"/>
      <c r="HIL58" s="1"/>
      <c r="HIM58" s="1"/>
      <c r="HIN58" s="1"/>
      <c r="HIO58" s="1"/>
      <c r="HIP58" s="1"/>
      <c r="HIQ58" s="1"/>
      <c r="HIR58" s="1"/>
      <c r="HIS58" s="1"/>
      <c r="HIT58" s="1"/>
      <c r="HIU58" s="1"/>
      <c r="HIV58" s="1"/>
      <c r="HIW58" s="1"/>
      <c r="HIX58" s="1"/>
      <c r="HIY58" s="1"/>
      <c r="HIZ58" s="1"/>
      <c r="HJA58" s="1"/>
      <c r="HJB58" s="1"/>
      <c r="HJC58" s="1"/>
      <c r="HJD58" s="1"/>
      <c r="HJE58" s="1"/>
      <c r="HJF58" s="1"/>
      <c r="HJG58" s="1"/>
      <c r="HJH58" s="1"/>
      <c r="HJI58" s="1"/>
      <c r="HJJ58" s="1"/>
      <c r="HJK58" s="1"/>
      <c r="HJL58" s="1"/>
      <c r="HJM58" s="1"/>
      <c r="HJN58" s="1"/>
      <c r="HJO58" s="1"/>
      <c r="HJP58" s="1"/>
      <c r="HJQ58" s="1"/>
      <c r="HJR58" s="1"/>
      <c r="HJS58" s="1"/>
      <c r="HJT58" s="1"/>
      <c r="HJU58" s="1"/>
      <c r="HJV58" s="1"/>
      <c r="HJW58" s="1"/>
      <c r="HJX58" s="1"/>
      <c r="HJY58" s="1"/>
      <c r="HJZ58" s="1"/>
      <c r="HKA58" s="1"/>
      <c r="HKB58" s="1"/>
      <c r="HKC58" s="1"/>
      <c r="HKD58" s="1"/>
      <c r="HKE58" s="1"/>
      <c r="HKF58" s="1"/>
      <c r="HKG58" s="1"/>
      <c r="HKH58" s="1"/>
      <c r="HKI58" s="1"/>
      <c r="HKJ58" s="1"/>
      <c r="HKK58" s="1"/>
      <c r="HKL58" s="1"/>
      <c r="HKM58" s="1"/>
      <c r="HKN58" s="1"/>
      <c r="HKO58" s="1"/>
      <c r="HKP58" s="1"/>
      <c r="HKQ58" s="1"/>
      <c r="HKR58" s="1"/>
      <c r="HKS58" s="1"/>
      <c r="HKT58" s="1"/>
      <c r="HKU58" s="1"/>
      <c r="HKV58" s="1"/>
      <c r="HKW58" s="1"/>
      <c r="HKX58" s="1"/>
      <c r="HKY58" s="1"/>
      <c r="HKZ58" s="1"/>
      <c r="HLA58" s="1"/>
      <c r="HLB58" s="1"/>
      <c r="HLC58" s="1"/>
      <c r="HLD58" s="1"/>
      <c r="HLE58" s="1"/>
      <c r="HLF58" s="1"/>
      <c r="HLG58" s="1"/>
      <c r="HLH58" s="1"/>
      <c r="HLI58" s="1"/>
      <c r="HLJ58" s="1"/>
      <c r="HLK58" s="1"/>
      <c r="HLL58" s="1"/>
      <c r="HLM58" s="1"/>
      <c r="HLN58" s="1"/>
      <c r="HLO58" s="1"/>
      <c r="HLP58" s="1"/>
      <c r="HLQ58" s="1"/>
      <c r="HLR58" s="1"/>
      <c r="HLS58" s="1"/>
      <c r="HLT58" s="1"/>
      <c r="HLU58" s="1"/>
      <c r="HLV58" s="1"/>
      <c r="HLW58" s="1"/>
      <c r="HLX58" s="1"/>
      <c r="HLY58" s="1"/>
      <c r="HLZ58" s="1"/>
      <c r="HMA58" s="1"/>
      <c r="HMB58" s="1"/>
      <c r="HMC58" s="1"/>
      <c r="HMD58" s="1"/>
      <c r="HME58" s="1"/>
      <c r="HMF58" s="1"/>
      <c r="HMG58" s="1"/>
      <c r="HMH58" s="1"/>
      <c r="HMI58" s="1"/>
      <c r="HMJ58" s="1"/>
      <c r="HMK58" s="1"/>
      <c r="HML58" s="1"/>
      <c r="HMM58" s="1"/>
      <c r="HMN58" s="1"/>
      <c r="HMO58" s="1"/>
      <c r="HMP58" s="1"/>
      <c r="HMQ58" s="1"/>
      <c r="HMR58" s="1"/>
      <c r="HMS58" s="1"/>
      <c r="HMT58" s="1"/>
      <c r="HMU58" s="1"/>
      <c r="HMV58" s="1"/>
      <c r="HMW58" s="1"/>
      <c r="HMX58" s="1"/>
      <c r="HMY58" s="1"/>
      <c r="HMZ58" s="1"/>
      <c r="HNA58" s="1"/>
      <c r="HNB58" s="1"/>
      <c r="HNC58" s="1"/>
      <c r="HND58" s="1"/>
      <c r="HNE58" s="1"/>
      <c r="HNF58" s="1"/>
      <c r="HNG58" s="1"/>
      <c r="HNH58" s="1"/>
      <c r="HNI58" s="1"/>
      <c r="HNJ58" s="1"/>
      <c r="HNK58" s="1"/>
      <c r="HNL58" s="1"/>
      <c r="HNM58" s="1"/>
      <c r="HNN58" s="1"/>
      <c r="HNO58" s="1"/>
      <c r="HNP58" s="1"/>
      <c r="HNQ58" s="1"/>
      <c r="HNR58" s="1"/>
      <c r="HNS58" s="1"/>
      <c r="HNT58" s="1"/>
      <c r="HNU58" s="1"/>
      <c r="HNV58" s="1"/>
      <c r="HNW58" s="1"/>
      <c r="HNX58" s="1"/>
      <c r="HNY58" s="1"/>
      <c r="HNZ58" s="1"/>
      <c r="HOA58" s="1"/>
      <c r="HOB58" s="1"/>
      <c r="HOC58" s="1"/>
      <c r="HOD58" s="1"/>
      <c r="HOE58" s="1"/>
      <c r="HOF58" s="1"/>
      <c r="HOG58" s="1"/>
      <c r="HOH58" s="1"/>
      <c r="HOI58" s="1"/>
      <c r="HOJ58" s="1"/>
      <c r="HOK58" s="1"/>
      <c r="HOL58" s="1"/>
      <c r="HOM58" s="1"/>
      <c r="HON58" s="1"/>
      <c r="HOO58" s="1"/>
      <c r="HOP58" s="1"/>
      <c r="HOQ58" s="1"/>
      <c r="HOR58" s="1"/>
      <c r="HOS58" s="1"/>
      <c r="HOT58" s="1"/>
      <c r="HOU58" s="1"/>
      <c r="HOV58" s="1"/>
      <c r="HOW58" s="1"/>
      <c r="HOX58" s="1"/>
      <c r="HOY58" s="1"/>
      <c r="HOZ58" s="1"/>
      <c r="HPA58" s="1"/>
      <c r="HPB58" s="1"/>
      <c r="HPC58" s="1"/>
      <c r="HPD58" s="1"/>
      <c r="HPE58" s="1"/>
      <c r="HPF58" s="1"/>
      <c r="HPG58" s="1"/>
      <c r="HPH58" s="1"/>
      <c r="HPI58" s="1"/>
      <c r="HPJ58" s="1"/>
      <c r="HPK58" s="1"/>
      <c r="HPL58" s="1"/>
      <c r="HPM58" s="1"/>
      <c r="HPN58" s="1"/>
      <c r="HPO58" s="1"/>
      <c r="HPP58" s="1"/>
      <c r="HPQ58" s="1"/>
      <c r="HPR58" s="1"/>
      <c r="HPS58" s="1"/>
      <c r="HPT58" s="1"/>
      <c r="HPU58" s="1"/>
      <c r="HPV58" s="1"/>
      <c r="HPW58" s="1"/>
      <c r="HPX58" s="1"/>
      <c r="HPY58" s="1"/>
      <c r="HPZ58" s="1"/>
      <c r="HQA58" s="1"/>
      <c r="HQB58" s="1"/>
      <c r="HQC58" s="1"/>
      <c r="HQD58" s="1"/>
      <c r="HQE58" s="1"/>
      <c r="HQF58" s="1"/>
      <c r="HQG58" s="1"/>
      <c r="HQH58" s="1"/>
      <c r="HQI58" s="1"/>
      <c r="HQJ58" s="1"/>
      <c r="HQK58" s="1"/>
      <c r="HQL58" s="1"/>
      <c r="HQM58" s="1"/>
      <c r="HQN58" s="1"/>
      <c r="HQO58" s="1"/>
      <c r="HQP58" s="1"/>
      <c r="HQQ58" s="1"/>
      <c r="HQR58" s="1"/>
      <c r="HQS58" s="1"/>
      <c r="HQT58" s="1"/>
      <c r="HQU58" s="1"/>
      <c r="HQV58" s="1"/>
      <c r="HQW58" s="1"/>
      <c r="HQX58" s="1"/>
      <c r="HQY58" s="1"/>
      <c r="HQZ58" s="1"/>
      <c r="HRA58" s="1"/>
      <c r="HRB58" s="1"/>
      <c r="HRC58" s="1"/>
      <c r="HRD58" s="1"/>
      <c r="HRE58" s="1"/>
      <c r="HRF58" s="1"/>
      <c r="HRG58" s="1"/>
      <c r="HRH58" s="1"/>
      <c r="HRI58" s="1"/>
      <c r="HRJ58" s="1"/>
      <c r="HRK58" s="1"/>
      <c r="HRL58" s="1"/>
      <c r="HRM58" s="1"/>
      <c r="HRN58" s="1"/>
      <c r="HRO58" s="1"/>
      <c r="HRP58" s="1"/>
      <c r="HRQ58" s="1"/>
      <c r="HRR58" s="1"/>
      <c r="HRS58" s="1"/>
      <c r="HRT58" s="1"/>
      <c r="HRU58" s="1"/>
      <c r="HRV58" s="1"/>
      <c r="HRW58" s="1"/>
      <c r="HRX58" s="1"/>
      <c r="HRY58" s="1"/>
      <c r="HRZ58" s="1"/>
      <c r="HSA58" s="1"/>
      <c r="HSB58" s="1"/>
      <c r="HSC58" s="1"/>
      <c r="HSD58" s="1"/>
      <c r="HSE58" s="1"/>
      <c r="HSF58" s="1"/>
      <c r="HSG58" s="1"/>
      <c r="HSH58" s="1"/>
      <c r="HSI58" s="1"/>
      <c r="HSJ58" s="1"/>
      <c r="HSK58" s="1"/>
      <c r="HSL58" s="1"/>
      <c r="HSM58" s="1"/>
      <c r="HSN58" s="1"/>
      <c r="HSO58" s="1"/>
      <c r="HSP58" s="1"/>
      <c r="HSQ58" s="1"/>
      <c r="HSR58" s="1"/>
      <c r="HSS58" s="1"/>
      <c r="HST58" s="1"/>
      <c r="HSU58" s="1"/>
      <c r="HSV58" s="1"/>
      <c r="HSW58" s="1"/>
      <c r="HSX58" s="1"/>
      <c r="HSY58" s="1"/>
      <c r="HSZ58" s="1"/>
      <c r="HTA58" s="1"/>
      <c r="HTB58" s="1"/>
      <c r="HTC58" s="1"/>
      <c r="HTD58" s="1"/>
      <c r="HTE58" s="1"/>
      <c r="HTF58" s="1"/>
      <c r="HTG58" s="1"/>
      <c r="HTH58" s="1"/>
      <c r="HTI58" s="1"/>
      <c r="HTJ58" s="1"/>
      <c r="HTK58" s="1"/>
      <c r="HTL58" s="1"/>
      <c r="HTM58" s="1"/>
      <c r="HTN58" s="1"/>
      <c r="HTO58" s="1"/>
      <c r="HTP58" s="1"/>
      <c r="HTQ58" s="1"/>
      <c r="HTR58" s="1"/>
      <c r="HTS58" s="1"/>
      <c r="HTT58" s="1"/>
      <c r="HTU58" s="1"/>
      <c r="HTV58" s="1"/>
      <c r="HTW58" s="1"/>
      <c r="HTX58" s="1"/>
      <c r="HTY58" s="1"/>
      <c r="HTZ58" s="1"/>
      <c r="HUA58" s="1"/>
      <c r="HUB58" s="1"/>
      <c r="HUC58" s="1"/>
      <c r="HUD58" s="1"/>
      <c r="HUE58" s="1"/>
      <c r="HUF58" s="1"/>
      <c r="HUG58" s="1"/>
      <c r="HUH58" s="1"/>
      <c r="HUI58" s="1"/>
      <c r="HUJ58" s="1"/>
      <c r="HUK58" s="1"/>
      <c r="HUL58" s="1"/>
      <c r="HUM58" s="1"/>
      <c r="HUN58" s="1"/>
      <c r="HUO58" s="1"/>
      <c r="HUP58" s="1"/>
      <c r="HUQ58" s="1"/>
      <c r="HUR58" s="1"/>
      <c r="HUS58" s="1"/>
      <c r="HUT58" s="1"/>
      <c r="HUU58" s="1"/>
      <c r="HUV58" s="1"/>
      <c r="HUW58" s="1"/>
      <c r="HUX58" s="1"/>
      <c r="HUY58" s="1"/>
      <c r="HUZ58" s="1"/>
      <c r="HVA58" s="1"/>
      <c r="HVB58" s="1"/>
      <c r="HVC58" s="1"/>
      <c r="HVD58" s="1"/>
      <c r="HVE58" s="1"/>
      <c r="HVF58" s="1"/>
      <c r="HVG58" s="1"/>
      <c r="HVH58" s="1"/>
      <c r="HVI58" s="1"/>
      <c r="HVJ58" s="1"/>
      <c r="HVK58" s="1"/>
      <c r="HVL58" s="1"/>
      <c r="HVM58" s="1"/>
      <c r="HVN58" s="1"/>
      <c r="HVO58" s="1"/>
      <c r="HVP58" s="1"/>
      <c r="HVQ58" s="1"/>
      <c r="HVR58" s="1"/>
      <c r="HVS58" s="1"/>
      <c r="HVT58" s="1"/>
      <c r="HVU58" s="1"/>
      <c r="HVV58" s="1"/>
      <c r="HVW58" s="1"/>
      <c r="HVX58" s="1"/>
      <c r="HVY58" s="1"/>
      <c r="HVZ58" s="1"/>
      <c r="HWA58" s="1"/>
      <c r="HWB58" s="1"/>
      <c r="HWC58" s="1"/>
      <c r="HWD58" s="1"/>
      <c r="HWE58" s="1"/>
      <c r="HWF58" s="1"/>
      <c r="HWG58" s="1"/>
      <c r="HWH58" s="1"/>
      <c r="HWI58" s="1"/>
      <c r="HWJ58" s="1"/>
      <c r="HWK58" s="1"/>
      <c r="HWL58" s="1"/>
      <c r="HWM58" s="1"/>
      <c r="HWN58" s="1"/>
      <c r="HWO58" s="1"/>
      <c r="HWP58" s="1"/>
      <c r="HWQ58" s="1"/>
      <c r="HWR58" s="1"/>
      <c r="HWS58" s="1"/>
      <c r="HWT58" s="1"/>
      <c r="HWU58" s="1"/>
      <c r="HWV58" s="1"/>
      <c r="HWW58" s="1"/>
      <c r="HWX58" s="1"/>
      <c r="HWY58" s="1"/>
      <c r="HWZ58" s="1"/>
      <c r="HXA58" s="1"/>
      <c r="HXB58" s="1"/>
      <c r="HXC58" s="1"/>
      <c r="HXD58" s="1"/>
      <c r="HXE58" s="1"/>
      <c r="HXF58" s="1"/>
      <c r="HXG58" s="1"/>
      <c r="HXH58" s="1"/>
      <c r="HXI58" s="1"/>
      <c r="HXJ58" s="1"/>
      <c r="HXK58" s="1"/>
      <c r="HXL58" s="1"/>
      <c r="HXM58" s="1"/>
      <c r="HXN58" s="1"/>
      <c r="HXO58" s="1"/>
      <c r="HXP58" s="1"/>
      <c r="HXQ58" s="1"/>
      <c r="HXR58" s="1"/>
      <c r="HXS58" s="1"/>
      <c r="HXT58" s="1"/>
      <c r="HXU58" s="1"/>
      <c r="HXV58" s="1"/>
      <c r="HXW58" s="1"/>
      <c r="HXX58" s="1"/>
      <c r="HXY58" s="1"/>
      <c r="HXZ58" s="1"/>
      <c r="HYA58" s="1"/>
      <c r="HYB58" s="1"/>
      <c r="HYC58" s="1"/>
      <c r="HYD58" s="1"/>
      <c r="HYE58" s="1"/>
      <c r="HYF58" s="1"/>
      <c r="HYG58" s="1"/>
      <c r="HYH58" s="1"/>
      <c r="HYI58" s="1"/>
      <c r="HYJ58" s="1"/>
      <c r="HYK58" s="1"/>
      <c r="HYL58" s="1"/>
      <c r="HYM58" s="1"/>
      <c r="HYN58" s="1"/>
      <c r="HYO58" s="1"/>
      <c r="HYP58" s="1"/>
      <c r="HYQ58" s="1"/>
      <c r="HYR58" s="1"/>
      <c r="HYS58" s="1"/>
      <c r="HYT58" s="1"/>
      <c r="HYU58" s="1"/>
      <c r="HYV58" s="1"/>
      <c r="HYW58" s="1"/>
      <c r="HYX58" s="1"/>
      <c r="HYY58" s="1"/>
      <c r="HYZ58" s="1"/>
      <c r="HZA58" s="1"/>
      <c r="HZB58" s="1"/>
      <c r="HZC58" s="1"/>
      <c r="HZD58" s="1"/>
      <c r="HZE58" s="1"/>
      <c r="HZF58" s="1"/>
      <c r="HZG58" s="1"/>
      <c r="HZH58" s="1"/>
      <c r="HZI58" s="1"/>
      <c r="HZJ58" s="1"/>
      <c r="HZK58" s="1"/>
      <c r="HZL58" s="1"/>
      <c r="HZM58" s="1"/>
      <c r="HZN58" s="1"/>
      <c r="HZO58" s="1"/>
      <c r="HZP58" s="1"/>
      <c r="HZQ58" s="1"/>
      <c r="HZR58" s="1"/>
      <c r="HZS58" s="1"/>
      <c r="HZT58" s="1"/>
      <c r="HZU58" s="1"/>
      <c r="HZV58" s="1"/>
      <c r="HZW58" s="1"/>
      <c r="HZX58" s="1"/>
      <c r="HZY58" s="1"/>
      <c r="HZZ58" s="1"/>
      <c r="IAA58" s="1"/>
      <c r="IAB58" s="1"/>
      <c r="IAC58" s="1"/>
      <c r="IAD58" s="1"/>
      <c r="IAE58" s="1"/>
      <c r="IAF58" s="1"/>
      <c r="IAG58" s="1"/>
      <c r="IAH58" s="1"/>
      <c r="IAI58" s="1"/>
      <c r="IAJ58" s="1"/>
      <c r="IAK58" s="1"/>
      <c r="IAL58" s="1"/>
      <c r="IAM58" s="1"/>
      <c r="IAN58" s="1"/>
      <c r="IAO58" s="1"/>
      <c r="IAP58" s="1"/>
      <c r="IAQ58" s="1"/>
      <c r="IAR58" s="1"/>
      <c r="IAS58" s="1"/>
      <c r="IAT58" s="1"/>
      <c r="IAU58" s="1"/>
      <c r="IAV58" s="1"/>
      <c r="IAW58" s="1"/>
      <c r="IAX58" s="1"/>
      <c r="IAY58" s="1"/>
      <c r="IAZ58" s="1"/>
      <c r="IBA58" s="1"/>
      <c r="IBB58" s="1"/>
      <c r="IBC58" s="1"/>
      <c r="IBD58" s="1"/>
      <c r="IBE58" s="1"/>
      <c r="IBF58" s="1"/>
      <c r="IBG58" s="1"/>
      <c r="IBH58" s="1"/>
      <c r="IBI58" s="1"/>
      <c r="IBJ58" s="1"/>
      <c r="IBK58" s="1"/>
      <c r="IBL58" s="1"/>
      <c r="IBM58" s="1"/>
      <c r="IBN58" s="1"/>
      <c r="IBO58" s="1"/>
      <c r="IBP58" s="1"/>
      <c r="IBQ58" s="1"/>
      <c r="IBR58" s="1"/>
      <c r="IBS58" s="1"/>
      <c r="IBT58" s="1"/>
      <c r="IBU58" s="1"/>
      <c r="IBV58" s="1"/>
      <c r="IBW58" s="1"/>
      <c r="IBX58" s="1"/>
      <c r="IBY58" s="1"/>
      <c r="IBZ58" s="1"/>
      <c r="ICA58" s="1"/>
      <c r="ICB58" s="1"/>
      <c r="ICC58" s="1"/>
      <c r="ICD58" s="1"/>
      <c r="ICE58" s="1"/>
      <c r="ICF58" s="1"/>
      <c r="ICG58" s="1"/>
      <c r="ICH58" s="1"/>
      <c r="ICI58" s="1"/>
      <c r="ICJ58" s="1"/>
      <c r="ICK58" s="1"/>
      <c r="ICL58" s="1"/>
      <c r="ICM58" s="1"/>
      <c r="ICN58" s="1"/>
      <c r="ICO58" s="1"/>
      <c r="ICP58" s="1"/>
      <c r="ICQ58" s="1"/>
      <c r="ICR58" s="1"/>
      <c r="ICS58" s="1"/>
      <c r="ICT58" s="1"/>
      <c r="ICU58" s="1"/>
      <c r="ICV58" s="1"/>
      <c r="ICW58" s="1"/>
      <c r="ICX58" s="1"/>
      <c r="ICY58" s="1"/>
      <c r="ICZ58" s="1"/>
      <c r="IDA58" s="1"/>
      <c r="IDB58" s="1"/>
      <c r="IDC58" s="1"/>
      <c r="IDD58" s="1"/>
      <c r="IDE58" s="1"/>
      <c r="IDF58" s="1"/>
      <c r="IDG58" s="1"/>
      <c r="IDH58" s="1"/>
      <c r="IDI58" s="1"/>
      <c r="IDJ58" s="1"/>
      <c r="IDK58" s="1"/>
      <c r="IDL58" s="1"/>
      <c r="IDM58" s="1"/>
      <c r="IDN58" s="1"/>
      <c r="IDO58" s="1"/>
      <c r="IDP58" s="1"/>
      <c r="IDQ58" s="1"/>
      <c r="IDR58" s="1"/>
      <c r="IDS58" s="1"/>
      <c r="IDT58" s="1"/>
      <c r="IDU58" s="1"/>
      <c r="IDV58" s="1"/>
      <c r="IDW58" s="1"/>
      <c r="IDX58" s="1"/>
      <c r="IDY58" s="1"/>
      <c r="IDZ58" s="1"/>
      <c r="IEA58" s="1"/>
      <c r="IEB58" s="1"/>
      <c r="IEC58" s="1"/>
      <c r="IED58" s="1"/>
      <c r="IEE58" s="1"/>
      <c r="IEF58" s="1"/>
      <c r="IEG58" s="1"/>
      <c r="IEH58" s="1"/>
      <c r="IEI58" s="1"/>
      <c r="IEJ58" s="1"/>
      <c r="IEK58" s="1"/>
      <c r="IEL58" s="1"/>
      <c r="IEM58" s="1"/>
      <c r="IEN58" s="1"/>
      <c r="IEO58" s="1"/>
      <c r="IEP58" s="1"/>
      <c r="IEQ58" s="1"/>
      <c r="IER58" s="1"/>
      <c r="IES58" s="1"/>
      <c r="IET58" s="1"/>
      <c r="IEU58" s="1"/>
      <c r="IEV58" s="1"/>
      <c r="IEW58" s="1"/>
      <c r="IEX58" s="1"/>
      <c r="IEY58" s="1"/>
      <c r="IEZ58" s="1"/>
      <c r="IFA58" s="1"/>
      <c r="IFB58" s="1"/>
      <c r="IFC58" s="1"/>
      <c r="IFD58" s="1"/>
      <c r="IFE58" s="1"/>
      <c r="IFF58" s="1"/>
      <c r="IFG58" s="1"/>
      <c r="IFH58" s="1"/>
      <c r="IFI58" s="1"/>
      <c r="IFJ58" s="1"/>
      <c r="IFK58" s="1"/>
      <c r="IFL58" s="1"/>
      <c r="IFM58" s="1"/>
      <c r="IFN58" s="1"/>
      <c r="IFO58" s="1"/>
      <c r="IFP58" s="1"/>
      <c r="IFQ58" s="1"/>
      <c r="IFR58" s="1"/>
      <c r="IFS58" s="1"/>
      <c r="IFT58" s="1"/>
      <c r="IFU58" s="1"/>
      <c r="IFV58" s="1"/>
      <c r="IFW58" s="1"/>
      <c r="IFX58" s="1"/>
      <c r="IFY58" s="1"/>
      <c r="IFZ58" s="1"/>
      <c r="IGA58" s="1"/>
      <c r="IGB58" s="1"/>
      <c r="IGC58" s="1"/>
      <c r="IGD58" s="1"/>
      <c r="IGE58" s="1"/>
      <c r="IGF58" s="1"/>
      <c r="IGG58" s="1"/>
      <c r="IGH58" s="1"/>
      <c r="IGI58" s="1"/>
      <c r="IGJ58" s="1"/>
      <c r="IGK58" s="1"/>
      <c r="IGL58" s="1"/>
      <c r="IGM58" s="1"/>
      <c r="IGN58" s="1"/>
      <c r="IGO58" s="1"/>
      <c r="IGP58" s="1"/>
      <c r="IGQ58" s="1"/>
      <c r="IGR58" s="1"/>
      <c r="IGS58" s="1"/>
      <c r="IGT58" s="1"/>
      <c r="IGU58" s="1"/>
      <c r="IGV58" s="1"/>
      <c r="IGW58" s="1"/>
      <c r="IGX58" s="1"/>
      <c r="IGY58" s="1"/>
      <c r="IGZ58" s="1"/>
      <c r="IHA58" s="1"/>
      <c r="IHB58" s="1"/>
      <c r="IHC58" s="1"/>
      <c r="IHD58" s="1"/>
      <c r="IHE58" s="1"/>
      <c r="IHF58" s="1"/>
      <c r="IHG58" s="1"/>
      <c r="IHH58" s="1"/>
      <c r="IHI58" s="1"/>
      <c r="IHJ58" s="1"/>
      <c r="IHK58" s="1"/>
      <c r="IHL58" s="1"/>
      <c r="IHM58" s="1"/>
      <c r="IHN58" s="1"/>
      <c r="IHO58" s="1"/>
      <c r="IHP58" s="1"/>
      <c r="IHQ58" s="1"/>
      <c r="IHR58" s="1"/>
      <c r="IHS58" s="1"/>
      <c r="IHT58" s="1"/>
      <c r="IHU58" s="1"/>
      <c r="IHV58" s="1"/>
      <c r="IHW58" s="1"/>
      <c r="IHX58" s="1"/>
      <c r="IHY58" s="1"/>
      <c r="IHZ58" s="1"/>
      <c r="IIA58" s="1"/>
      <c r="IIB58" s="1"/>
      <c r="IIC58" s="1"/>
      <c r="IID58" s="1"/>
      <c r="IIE58" s="1"/>
      <c r="IIF58" s="1"/>
      <c r="IIG58" s="1"/>
      <c r="IIH58" s="1"/>
      <c r="III58" s="1"/>
      <c r="IIJ58" s="1"/>
      <c r="IIK58" s="1"/>
      <c r="IIL58" s="1"/>
      <c r="IIM58" s="1"/>
      <c r="IIN58" s="1"/>
      <c r="IIO58" s="1"/>
      <c r="IIP58" s="1"/>
      <c r="IIQ58" s="1"/>
      <c r="IIR58" s="1"/>
      <c r="IIS58" s="1"/>
      <c r="IIT58" s="1"/>
      <c r="IIU58" s="1"/>
      <c r="IIV58" s="1"/>
      <c r="IIW58" s="1"/>
      <c r="IIX58" s="1"/>
      <c r="IIY58" s="1"/>
      <c r="IIZ58" s="1"/>
      <c r="IJA58" s="1"/>
      <c r="IJB58" s="1"/>
      <c r="IJC58" s="1"/>
      <c r="IJD58" s="1"/>
      <c r="IJE58" s="1"/>
      <c r="IJF58" s="1"/>
      <c r="IJG58" s="1"/>
      <c r="IJH58" s="1"/>
      <c r="IJI58" s="1"/>
      <c r="IJJ58" s="1"/>
      <c r="IJK58" s="1"/>
      <c r="IJL58" s="1"/>
      <c r="IJM58" s="1"/>
      <c r="IJN58" s="1"/>
      <c r="IJO58" s="1"/>
      <c r="IJP58" s="1"/>
      <c r="IJQ58" s="1"/>
      <c r="IJR58" s="1"/>
      <c r="IJS58" s="1"/>
      <c r="IJT58" s="1"/>
      <c r="IJU58" s="1"/>
      <c r="IJV58" s="1"/>
      <c r="IJW58" s="1"/>
      <c r="IJX58" s="1"/>
      <c r="IJY58" s="1"/>
      <c r="IJZ58" s="1"/>
      <c r="IKA58" s="1"/>
      <c r="IKB58" s="1"/>
      <c r="IKC58" s="1"/>
      <c r="IKD58" s="1"/>
      <c r="IKE58" s="1"/>
      <c r="IKF58" s="1"/>
      <c r="IKG58" s="1"/>
      <c r="IKH58" s="1"/>
      <c r="IKI58" s="1"/>
      <c r="IKJ58" s="1"/>
      <c r="IKK58" s="1"/>
      <c r="IKL58" s="1"/>
      <c r="IKM58" s="1"/>
      <c r="IKN58" s="1"/>
      <c r="IKO58" s="1"/>
      <c r="IKP58" s="1"/>
      <c r="IKQ58" s="1"/>
      <c r="IKR58" s="1"/>
      <c r="IKS58" s="1"/>
      <c r="IKT58" s="1"/>
      <c r="IKU58" s="1"/>
      <c r="IKV58" s="1"/>
      <c r="IKW58" s="1"/>
      <c r="IKX58" s="1"/>
      <c r="IKY58" s="1"/>
      <c r="IKZ58" s="1"/>
      <c r="ILA58" s="1"/>
      <c r="ILB58" s="1"/>
      <c r="ILC58" s="1"/>
      <c r="ILD58" s="1"/>
      <c r="ILE58" s="1"/>
      <c r="ILF58" s="1"/>
      <c r="ILG58" s="1"/>
      <c r="ILH58" s="1"/>
      <c r="ILI58" s="1"/>
      <c r="ILJ58" s="1"/>
      <c r="ILK58" s="1"/>
      <c r="ILL58" s="1"/>
      <c r="ILM58" s="1"/>
      <c r="ILN58" s="1"/>
      <c r="ILO58" s="1"/>
      <c r="ILP58" s="1"/>
      <c r="ILQ58" s="1"/>
      <c r="ILR58" s="1"/>
      <c r="ILS58" s="1"/>
      <c r="ILT58" s="1"/>
      <c r="ILU58" s="1"/>
      <c r="ILV58" s="1"/>
      <c r="ILW58" s="1"/>
      <c r="ILX58" s="1"/>
      <c r="ILY58" s="1"/>
      <c r="ILZ58" s="1"/>
      <c r="IMA58" s="1"/>
      <c r="IMB58" s="1"/>
      <c r="IMC58" s="1"/>
      <c r="IMD58" s="1"/>
      <c r="IME58" s="1"/>
      <c r="IMF58" s="1"/>
      <c r="IMG58" s="1"/>
      <c r="IMH58" s="1"/>
      <c r="IMI58" s="1"/>
      <c r="IMJ58" s="1"/>
      <c r="IMK58" s="1"/>
      <c r="IML58" s="1"/>
      <c r="IMM58" s="1"/>
      <c r="IMN58" s="1"/>
      <c r="IMO58" s="1"/>
      <c r="IMP58" s="1"/>
      <c r="IMQ58" s="1"/>
      <c r="IMR58" s="1"/>
      <c r="IMS58" s="1"/>
      <c r="IMT58" s="1"/>
      <c r="IMU58" s="1"/>
      <c r="IMV58" s="1"/>
      <c r="IMW58" s="1"/>
      <c r="IMX58" s="1"/>
      <c r="IMY58" s="1"/>
      <c r="IMZ58" s="1"/>
      <c r="INA58" s="1"/>
      <c r="INB58" s="1"/>
      <c r="INC58" s="1"/>
      <c r="IND58" s="1"/>
      <c r="INE58" s="1"/>
      <c r="INF58" s="1"/>
      <c r="ING58" s="1"/>
      <c r="INH58" s="1"/>
      <c r="INI58" s="1"/>
      <c r="INJ58" s="1"/>
      <c r="INK58" s="1"/>
      <c r="INL58" s="1"/>
      <c r="INM58" s="1"/>
      <c r="INN58" s="1"/>
      <c r="INO58" s="1"/>
      <c r="INP58" s="1"/>
      <c r="INQ58" s="1"/>
      <c r="INR58" s="1"/>
      <c r="INS58" s="1"/>
      <c r="INT58" s="1"/>
      <c r="INU58" s="1"/>
      <c r="INV58" s="1"/>
      <c r="INW58" s="1"/>
      <c r="INX58" s="1"/>
      <c r="INY58" s="1"/>
      <c r="INZ58" s="1"/>
      <c r="IOA58" s="1"/>
      <c r="IOB58" s="1"/>
      <c r="IOC58" s="1"/>
      <c r="IOD58" s="1"/>
      <c r="IOE58" s="1"/>
      <c r="IOF58" s="1"/>
      <c r="IOG58" s="1"/>
      <c r="IOH58" s="1"/>
      <c r="IOI58" s="1"/>
      <c r="IOJ58" s="1"/>
      <c r="IOK58" s="1"/>
      <c r="IOL58" s="1"/>
      <c r="IOM58" s="1"/>
      <c r="ION58" s="1"/>
      <c r="IOO58" s="1"/>
      <c r="IOP58" s="1"/>
      <c r="IOQ58" s="1"/>
      <c r="IOR58" s="1"/>
      <c r="IOS58" s="1"/>
      <c r="IOT58" s="1"/>
      <c r="IOU58" s="1"/>
      <c r="IOV58" s="1"/>
      <c r="IOW58" s="1"/>
      <c r="IOX58" s="1"/>
      <c r="IOY58" s="1"/>
      <c r="IOZ58" s="1"/>
      <c r="IPA58" s="1"/>
      <c r="IPB58" s="1"/>
      <c r="IPC58" s="1"/>
      <c r="IPD58" s="1"/>
      <c r="IPE58" s="1"/>
      <c r="IPF58" s="1"/>
      <c r="IPG58" s="1"/>
      <c r="IPH58" s="1"/>
      <c r="IPI58" s="1"/>
      <c r="IPJ58" s="1"/>
      <c r="IPK58" s="1"/>
      <c r="IPL58" s="1"/>
      <c r="IPM58" s="1"/>
      <c r="IPN58" s="1"/>
      <c r="IPO58" s="1"/>
      <c r="IPP58" s="1"/>
      <c r="IPQ58" s="1"/>
      <c r="IPR58" s="1"/>
      <c r="IPS58" s="1"/>
      <c r="IPT58" s="1"/>
      <c r="IPU58" s="1"/>
      <c r="IPV58" s="1"/>
      <c r="IPW58" s="1"/>
      <c r="IPX58" s="1"/>
      <c r="IPY58" s="1"/>
      <c r="IPZ58" s="1"/>
      <c r="IQA58" s="1"/>
      <c r="IQB58" s="1"/>
      <c r="IQC58" s="1"/>
      <c r="IQD58" s="1"/>
      <c r="IQE58" s="1"/>
      <c r="IQF58" s="1"/>
      <c r="IQG58" s="1"/>
      <c r="IQH58" s="1"/>
      <c r="IQI58" s="1"/>
      <c r="IQJ58" s="1"/>
      <c r="IQK58" s="1"/>
      <c r="IQL58" s="1"/>
      <c r="IQM58" s="1"/>
      <c r="IQN58" s="1"/>
      <c r="IQO58" s="1"/>
      <c r="IQP58" s="1"/>
      <c r="IQQ58" s="1"/>
      <c r="IQR58" s="1"/>
      <c r="IQS58" s="1"/>
      <c r="IQT58" s="1"/>
      <c r="IQU58" s="1"/>
      <c r="IQV58" s="1"/>
      <c r="IQW58" s="1"/>
      <c r="IQX58" s="1"/>
      <c r="IQY58" s="1"/>
      <c r="IQZ58" s="1"/>
      <c r="IRA58" s="1"/>
      <c r="IRB58" s="1"/>
      <c r="IRC58" s="1"/>
      <c r="IRD58" s="1"/>
      <c r="IRE58" s="1"/>
      <c r="IRF58" s="1"/>
      <c r="IRG58" s="1"/>
      <c r="IRH58" s="1"/>
      <c r="IRI58" s="1"/>
      <c r="IRJ58" s="1"/>
      <c r="IRK58" s="1"/>
      <c r="IRL58" s="1"/>
      <c r="IRM58" s="1"/>
      <c r="IRN58" s="1"/>
      <c r="IRO58" s="1"/>
      <c r="IRP58" s="1"/>
      <c r="IRQ58" s="1"/>
      <c r="IRR58" s="1"/>
      <c r="IRS58" s="1"/>
      <c r="IRT58" s="1"/>
      <c r="IRU58" s="1"/>
      <c r="IRV58" s="1"/>
      <c r="IRW58" s="1"/>
      <c r="IRX58" s="1"/>
      <c r="IRY58" s="1"/>
      <c r="IRZ58" s="1"/>
      <c r="ISA58" s="1"/>
      <c r="ISB58" s="1"/>
      <c r="ISC58" s="1"/>
      <c r="ISD58" s="1"/>
      <c r="ISE58" s="1"/>
      <c r="ISF58" s="1"/>
      <c r="ISG58" s="1"/>
      <c r="ISH58" s="1"/>
      <c r="ISI58" s="1"/>
      <c r="ISJ58" s="1"/>
      <c r="ISK58" s="1"/>
      <c r="ISL58" s="1"/>
      <c r="ISM58" s="1"/>
      <c r="ISN58" s="1"/>
      <c r="ISO58" s="1"/>
      <c r="ISP58" s="1"/>
      <c r="ISQ58" s="1"/>
      <c r="ISR58" s="1"/>
      <c r="ISS58" s="1"/>
      <c r="IST58" s="1"/>
      <c r="ISU58" s="1"/>
      <c r="ISV58" s="1"/>
      <c r="ISW58" s="1"/>
      <c r="ISX58" s="1"/>
      <c r="ISY58" s="1"/>
      <c r="ISZ58" s="1"/>
      <c r="ITA58" s="1"/>
      <c r="ITB58" s="1"/>
      <c r="ITC58" s="1"/>
      <c r="ITD58" s="1"/>
      <c r="ITE58" s="1"/>
      <c r="ITF58" s="1"/>
      <c r="ITG58" s="1"/>
      <c r="ITH58" s="1"/>
      <c r="ITI58" s="1"/>
      <c r="ITJ58" s="1"/>
      <c r="ITK58" s="1"/>
      <c r="ITL58" s="1"/>
      <c r="ITM58" s="1"/>
      <c r="ITN58" s="1"/>
      <c r="ITO58" s="1"/>
      <c r="ITP58" s="1"/>
      <c r="ITQ58" s="1"/>
      <c r="ITR58" s="1"/>
      <c r="ITS58" s="1"/>
      <c r="ITT58" s="1"/>
      <c r="ITU58" s="1"/>
      <c r="ITV58" s="1"/>
      <c r="ITW58" s="1"/>
      <c r="ITX58" s="1"/>
      <c r="ITY58" s="1"/>
      <c r="ITZ58" s="1"/>
      <c r="IUA58" s="1"/>
      <c r="IUB58" s="1"/>
      <c r="IUC58" s="1"/>
      <c r="IUD58" s="1"/>
      <c r="IUE58" s="1"/>
      <c r="IUF58" s="1"/>
      <c r="IUG58" s="1"/>
      <c r="IUH58" s="1"/>
      <c r="IUI58" s="1"/>
      <c r="IUJ58" s="1"/>
      <c r="IUK58" s="1"/>
      <c r="IUL58" s="1"/>
      <c r="IUM58" s="1"/>
      <c r="IUN58" s="1"/>
      <c r="IUO58" s="1"/>
      <c r="IUP58" s="1"/>
      <c r="IUQ58" s="1"/>
      <c r="IUR58" s="1"/>
      <c r="IUS58" s="1"/>
      <c r="IUT58" s="1"/>
      <c r="IUU58" s="1"/>
      <c r="IUV58" s="1"/>
      <c r="IUW58" s="1"/>
      <c r="IUX58" s="1"/>
      <c r="IUY58" s="1"/>
      <c r="IUZ58" s="1"/>
      <c r="IVA58" s="1"/>
      <c r="IVB58" s="1"/>
      <c r="IVC58" s="1"/>
      <c r="IVD58" s="1"/>
      <c r="IVE58" s="1"/>
      <c r="IVF58" s="1"/>
      <c r="IVG58" s="1"/>
      <c r="IVH58" s="1"/>
      <c r="IVI58" s="1"/>
      <c r="IVJ58" s="1"/>
      <c r="IVK58" s="1"/>
      <c r="IVL58" s="1"/>
      <c r="IVM58" s="1"/>
      <c r="IVN58" s="1"/>
      <c r="IVO58" s="1"/>
      <c r="IVP58" s="1"/>
      <c r="IVQ58" s="1"/>
      <c r="IVR58" s="1"/>
      <c r="IVS58" s="1"/>
      <c r="IVT58" s="1"/>
      <c r="IVU58" s="1"/>
      <c r="IVV58" s="1"/>
      <c r="IVW58" s="1"/>
      <c r="IVX58" s="1"/>
      <c r="IVY58" s="1"/>
      <c r="IVZ58" s="1"/>
      <c r="IWA58" s="1"/>
      <c r="IWB58" s="1"/>
      <c r="IWC58" s="1"/>
      <c r="IWD58" s="1"/>
      <c r="IWE58" s="1"/>
      <c r="IWF58" s="1"/>
      <c r="IWG58" s="1"/>
      <c r="IWH58" s="1"/>
      <c r="IWI58" s="1"/>
      <c r="IWJ58" s="1"/>
      <c r="IWK58" s="1"/>
      <c r="IWL58" s="1"/>
      <c r="IWM58" s="1"/>
      <c r="IWN58" s="1"/>
      <c r="IWO58" s="1"/>
      <c r="IWP58" s="1"/>
      <c r="IWQ58" s="1"/>
      <c r="IWR58" s="1"/>
      <c r="IWS58" s="1"/>
      <c r="IWT58" s="1"/>
      <c r="IWU58" s="1"/>
      <c r="IWV58" s="1"/>
      <c r="IWW58" s="1"/>
      <c r="IWX58" s="1"/>
      <c r="IWY58" s="1"/>
      <c r="IWZ58" s="1"/>
      <c r="IXA58" s="1"/>
      <c r="IXB58" s="1"/>
      <c r="IXC58" s="1"/>
      <c r="IXD58" s="1"/>
      <c r="IXE58" s="1"/>
      <c r="IXF58" s="1"/>
      <c r="IXG58" s="1"/>
      <c r="IXH58" s="1"/>
      <c r="IXI58" s="1"/>
      <c r="IXJ58" s="1"/>
      <c r="IXK58" s="1"/>
      <c r="IXL58" s="1"/>
      <c r="IXM58" s="1"/>
      <c r="IXN58" s="1"/>
      <c r="IXO58" s="1"/>
      <c r="IXP58" s="1"/>
      <c r="IXQ58" s="1"/>
      <c r="IXR58" s="1"/>
      <c r="IXS58" s="1"/>
      <c r="IXT58" s="1"/>
      <c r="IXU58" s="1"/>
      <c r="IXV58" s="1"/>
      <c r="IXW58" s="1"/>
      <c r="IXX58" s="1"/>
      <c r="IXY58" s="1"/>
      <c r="IXZ58" s="1"/>
      <c r="IYA58" s="1"/>
      <c r="IYB58" s="1"/>
      <c r="IYC58" s="1"/>
      <c r="IYD58" s="1"/>
      <c r="IYE58" s="1"/>
      <c r="IYF58" s="1"/>
      <c r="IYG58" s="1"/>
      <c r="IYH58" s="1"/>
      <c r="IYI58" s="1"/>
      <c r="IYJ58" s="1"/>
      <c r="IYK58" s="1"/>
      <c r="IYL58" s="1"/>
      <c r="IYM58" s="1"/>
      <c r="IYN58" s="1"/>
      <c r="IYO58" s="1"/>
      <c r="IYP58" s="1"/>
      <c r="IYQ58" s="1"/>
      <c r="IYR58" s="1"/>
      <c r="IYS58" s="1"/>
      <c r="IYT58" s="1"/>
      <c r="IYU58" s="1"/>
      <c r="IYV58" s="1"/>
      <c r="IYW58" s="1"/>
      <c r="IYX58" s="1"/>
      <c r="IYY58" s="1"/>
      <c r="IYZ58" s="1"/>
      <c r="IZA58" s="1"/>
      <c r="IZB58" s="1"/>
      <c r="IZC58" s="1"/>
      <c r="IZD58" s="1"/>
      <c r="IZE58" s="1"/>
      <c r="IZF58" s="1"/>
      <c r="IZG58" s="1"/>
      <c r="IZH58" s="1"/>
      <c r="IZI58" s="1"/>
      <c r="IZJ58" s="1"/>
      <c r="IZK58" s="1"/>
      <c r="IZL58" s="1"/>
      <c r="IZM58" s="1"/>
      <c r="IZN58" s="1"/>
      <c r="IZO58" s="1"/>
      <c r="IZP58" s="1"/>
      <c r="IZQ58" s="1"/>
      <c r="IZR58" s="1"/>
      <c r="IZS58" s="1"/>
      <c r="IZT58" s="1"/>
      <c r="IZU58" s="1"/>
      <c r="IZV58" s="1"/>
      <c r="IZW58" s="1"/>
      <c r="IZX58" s="1"/>
      <c r="IZY58" s="1"/>
      <c r="IZZ58" s="1"/>
      <c r="JAA58" s="1"/>
      <c r="JAB58" s="1"/>
      <c r="JAC58" s="1"/>
      <c r="JAD58" s="1"/>
      <c r="JAE58" s="1"/>
      <c r="JAF58" s="1"/>
      <c r="JAG58" s="1"/>
      <c r="JAH58" s="1"/>
      <c r="JAI58" s="1"/>
      <c r="JAJ58" s="1"/>
      <c r="JAK58" s="1"/>
      <c r="JAL58" s="1"/>
      <c r="JAM58" s="1"/>
      <c r="JAN58" s="1"/>
      <c r="JAO58" s="1"/>
      <c r="JAP58" s="1"/>
      <c r="JAQ58" s="1"/>
      <c r="JAR58" s="1"/>
      <c r="JAS58" s="1"/>
      <c r="JAT58" s="1"/>
      <c r="JAU58" s="1"/>
      <c r="JAV58" s="1"/>
      <c r="JAW58" s="1"/>
      <c r="JAX58" s="1"/>
      <c r="JAY58" s="1"/>
      <c r="JAZ58" s="1"/>
      <c r="JBA58" s="1"/>
      <c r="JBB58" s="1"/>
      <c r="JBC58" s="1"/>
      <c r="JBD58" s="1"/>
      <c r="JBE58" s="1"/>
      <c r="JBF58" s="1"/>
      <c r="JBG58" s="1"/>
      <c r="JBH58" s="1"/>
      <c r="JBI58" s="1"/>
      <c r="JBJ58" s="1"/>
      <c r="JBK58" s="1"/>
      <c r="JBL58" s="1"/>
      <c r="JBM58" s="1"/>
      <c r="JBN58" s="1"/>
      <c r="JBO58" s="1"/>
      <c r="JBP58" s="1"/>
      <c r="JBQ58" s="1"/>
      <c r="JBR58" s="1"/>
      <c r="JBS58" s="1"/>
      <c r="JBT58" s="1"/>
      <c r="JBU58" s="1"/>
      <c r="JBV58" s="1"/>
      <c r="JBW58" s="1"/>
      <c r="JBX58" s="1"/>
      <c r="JBY58" s="1"/>
      <c r="JBZ58" s="1"/>
      <c r="JCA58" s="1"/>
      <c r="JCB58" s="1"/>
      <c r="JCC58" s="1"/>
      <c r="JCD58" s="1"/>
      <c r="JCE58" s="1"/>
      <c r="JCF58" s="1"/>
      <c r="JCG58" s="1"/>
      <c r="JCH58" s="1"/>
      <c r="JCI58" s="1"/>
      <c r="JCJ58" s="1"/>
      <c r="JCK58" s="1"/>
      <c r="JCL58" s="1"/>
      <c r="JCM58" s="1"/>
      <c r="JCN58" s="1"/>
      <c r="JCO58" s="1"/>
      <c r="JCP58" s="1"/>
      <c r="JCQ58" s="1"/>
      <c r="JCR58" s="1"/>
      <c r="JCS58" s="1"/>
      <c r="JCT58" s="1"/>
      <c r="JCU58" s="1"/>
      <c r="JCV58" s="1"/>
      <c r="JCW58" s="1"/>
      <c r="JCX58" s="1"/>
      <c r="JCY58" s="1"/>
      <c r="JCZ58" s="1"/>
      <c r="JDA58" s="1"/>
      <c r="JDB58" s="1"/>
      <c r="JDC58" s="1"/>
      <c r="JDD58" s="1"/>
      <c r="JDE58" s="1"/>
      <c r="JDF58" s="1"/>
      <c r="JDG58" s="1"/>
      <c r="JDH58" s="1"/>
      <c r="JDI58" s="1"/>
      <c r="JDJ58" s="1"/>
      <c r="JDK58" s="1"/>
      <c r="JDL58" s="1"/>
      <c r="JDM58" s="1"/>
      <c r="JDN58" s="1"/>
      <c r="JDO58" s="1"/>
      <c r="JDP58" s="1"/>
      <c r="JDQ58" s="1"/>
      <c r="JDR58" s="1"/>
      <c r="JDS58" s="1"/>
      <c r="JDT58" s="1"/>
      <c r="JDU58" s="1"/>
      <c r="JDV58" s="1"/>
      <c r="JDW58" s="1"/>
      <c r="JDX58" s="1"/>
      <c r="JDY58" s="1"/>
      <c r="JDZ58" s="1"/>
      <c r="JEA58" s="1"/>
      <c r="JEB58" s="1"/>
      <c r="JEC58" s="1"/>
      <c r="JED58" s="1"/>
      <c r="JEE58" s="1"/>
      <c r="JEF58" s="1"/>
      <c r="JEG58" s="1"/>
      <c r="JEH58" s="1"/>
      <c r="JEI58" s="1"/>
      <c r="JEJ58" s="1"/>
      <c r="JEK58" s="1"/>
      <c r="JEL58" s="1"/>
      <c r="JEM58" s="1"/>
      <c r="JEN58" s="1"/>
      <c r="JEO58" s="1"/>
      <c r="JEP58" s="1"/>
      <c r="JEQ58" s="1"/>
      <c r="JER58" s="1"/>
      <c r="JES58" s="1"/>
      <c r="JET58" s="1"/>
      <c r="JEU58" s="1"/>
      <c r="JEV58" s="1"/>
      <c r="JEW58" s="1"/>
      <c r="JEX58" s="1"/>
      <c r="JEY58" s="1"/>
      <c r="JEZ58" s="1"/>
      <c r="JFA58" s="1"/>
      <c r="JFB58" s="1"/>
      <c r="JFC58" s="1"/>
      <c r="JFD58" s="1"/>
      <c r="JFE58" s="1"/>
      <c r="JFF58" s="1"/>
      <c r="JFG58" s="1"/>
      <c r="JFH58" s="1"/>
      <c r="JFI58" s="1"/>
      <c r="JFJ58" s="1"/>
      <c r="JFK58" s="1"/>
      <c r="JFL58" s="1"/>
      <c r="JFM58" s="1"/>
      <c r="JFN58" s="1"/>
      <c r="JFO58" s="1"/>
      <c r="JFP58" s="1"/>
      <c r="JFQ58" s="1"/>
      <c r="JFR58" s="1"/>
      <c r="JFS58" s="1"/>
      <c r="JFT58" s="1"/>
      <c r="JFU58" s="1"/>
      <c r="JFV58" s="1"/>
      <c r="JFW58" s="1"/>
      <c r="JFX58" s="1"/>
      <c r="JFY58" s="1"/>
      <c r="JFZ58" s="1"/>
      <c r="JGA58" s="1"/>
      <c r="JGB58" s="1"/>
      <c r="JGC58" s="1"/>
      <c r="JGD58" s="1"/>
      <c r="JGE58" s="1"/>
      <c r="JGF58" s="1"/>
      <c r="JGG58" s="1"/>
      <c r="JGH58" s="1"/>
      <c r="JGI58" s="1"/>
      <c r="JGJ58" s="1"/>
      <c r="JGK58" s="1"/>
      <c r="JGL58" s="1"/>
      <c r="JGM58" s="1"/>
      <c r="JGN58" s="1"/>
      <c r="JGO58" s="1"/>
      <c r="JGP58" s="1"/>
      <c r="JGQ58" s="1"/>
      <c r="JGR58" s="1"/>
      <c r="JGS58" s="1"/>
      <c r="JGT58" s="1"/>
      <c r="JGU58" s="1"/>
      <c r="JGV58" s="1"/>
      <c r="JGW58" s="1"/>
      <c r="JGX58" s="1"/>
      <c r="JGY58" s="1"/>
      <c r="JGZ58" s="1"/>
      <c r="JHA58" s="1"/>
      <c r="JHB58" s="1"/>
      <c r="JHC58" s="1"/>
      <c r="JHD58" s="1"/>
      <c r="JHE58" s="1"/>
      <c r="JHF58" s="1"/>
      <c r="JHG58" s="1"/>
      <c r="JHH58" s="1"/>
      <c r="JHI58" s="1"/>
      <c r="JHJ58" s="1"/>
      <c r="JHK58" s="1"/>
      <c r="JHL58" s="1"/>
      <c r="JHM58" s="1"/>
      <c r="JHN58" s="1"/>
      <c r="JHO58" s="1"/>
      <c r="JHP58" s="1"/>
      <c r="JHQ58" s="1"/>
      <c r="JHR58" s="1"/>
      <c r="JHS58" s="1"/>
      <c r="JHT58" s="1"/>
      <c r="JHU58" s="1"/>
      <c r="JHV58" s="1"/>
      <c r="JHW58" s="1"/>
      <c r="JHX58" s="1"/>
      <c r="JHY58" s="1"/>
      <c r="JHZ58" s="1"/>
      <c r="JIA58" s="1"/>
      <c r="JIB58" s="1"/>
      <c r="JIC58" s="1"/>
      <c r="JID58" s="1"/>
      <c r="JIE58" s="1"/>
      <c r="JIF58" s="1"/>
      <c r="JIG58" s="1"/>
      <c r="JIH58" s="1"/>
      <c r="JII58" s="1"/>
      <c r="JIJ58" s="1"/>
      <c r="JIK58" s="1"/>
      <c r="JIL58" s="1"/>
      <c r="JIM58" s="1"/>
      <c r="JIN58" s="1"/>
      <c r="JIO58" s="1"/>
      <c r="JIP58" s="1"/>
      <c r="JIQ58" s="1"/>
      <c r="JIR58" s="1"/>
      <c r="JIS58" s="1"/>
      <c r="JIT58" s="1"/>
      <c r="JIU58" s="1"/>
      <c r="JIV58" s="1"/>
      <c r="JIW58" s="1"/>
      <c r="JIX58" s="1"/>
      <c r="JIY58" s="1"/>
      <c r="JIZ58" s="1"/>
      <c r="JJA58" s="1"/>
      <c r="JJB58" s="1"/>
      <c r="JJC58" s="1"/>
      <c r="JJD58" s="1"/>
      <c r="JJE58" s="1"/>
      <c r="JJF58" s="1"/>
      <c r="JJG58" s="1"/>
      <c r="JJH58" s="1"/>
      <c r="JJI58" s="1"/>
      <c r="JJJ58" s="1"/>
      <c r="JJK58" s="1"/>
      <c r="JJL58" s="1"/>
      <c r="JJM58" s="1"/>
      <c r="JJN58" s="1"/>
      <c r="JJO58" s="1"/>
      <c r="JJP58" s="1"/>
      <c r="JJQ58" s="1"/>
      <c r="JJR58" s="1"/>
      <c r="JJS58" s="1"/>
      <c r="JJT58" s="1"/>
      <c r="JJU58" s="1"/>
      <c r="JJV58" s="1"/>
      <c r="JJW58" s="1"/>
      <c r="JJX58" s="1"/>
      <c r="JJY58" s="1"/>
      <c r="JJZ58" s="1"/>
      <c r="JKA58" s="1"/>
      <c r="JKB58" s="1"/>
      <c r="JKC58" s="1"/>
      <c r="JKD58" s="1"/>
      <c r="JKE58" s="1"/>
      <c r="JKF58" s="1"/>
      <c r="JKG58" s="1"/>
      <c r="JKH58" s="1"/>
      <c r="JKI58" s="1"/>
      <c r="JKJ58" s="1"/>
      <c r="JKK58" s="1"/>
      <c r="JKL58" s="1"/>
      <c r="JKM58" s="1"/>
      <c r="JKN58" s="1"/>
      <c r="JKO58" s="1"/>
      <c r="JKP58" s="1"/>
      <c r="JKQ58" s="1"/>
      <c r="JKR58" s="1"/>
      <c r="JKS58" s="1"/>
      <c r="JKT58" s="1"/>
      <c r="JKU58" s="1"/>
      <c r="JKV58" s="1"/>
      <c r="JKW58" s="1"/>
      <c r="JKX58" s="1"/>
      <c r="JKY58" s="1"/>
      <c r="JKZ58" s="1"/>
      <c r="JLA58" s="1"/>
      <c r="JLB58" s="1"/>
      <c r="JLC58" s="1"/>
      <c r="JLD58" s="1"/>
      <c r="JLE58" s="1"/>
      <c r="JLF58" s="1"/>
      <c r="JLG58" s="1"/>
      <c r="JLH58" s="1"/>
      <c r="JLI58" s="1"/>
      <c r="JLJ58" s="1"/>
      <c r="JLK58" s="1"/>
      <c r="JLL58" s="1"/>
      <c r="JLM58" s="1"/>
      <c r="JLN58" s="1"/>
      <c r="JLO58" s="1"/>
      <c r="JLP58" s="1"/>
      <c r="JLQ58" s="1"/>
      <c r="JLR58" s="1"/>
      <c r="JLS58" s="1"/>
      <c r="JLT58" s="1"/>
      <c r="JLU58" s="1"/>
      <c r="JLV58" s="1"/>
      <c r="JLW58" s="1"/>
      <c r="JLX58" s="1"/>
      <c r="JLY58" s="1"/>
      <c r="JLZ58" s="1"/>
      <c r="JMA58" s="1"/>
      <c r="JMB58" s="1"/>
      <c r="JMC58" s="1"/>
      <c r="JMD58" s="1"/>
      <c r="JME58" s="1"/>
      <c r="JMF58" s="1"/>
      <c r="JMG58" s="1"/>
      <c r="JMH58" s="1"/>
      <c r="JMI58" s="1"/>
      <c r="JMJ58" s="1"/>
      <c r="JMK58" s="1"/>
      <c r="JML58" s="1"/>
      <c r="JMM58" s="1"/>
      <c r="JMN58" s="1"/>
      <c r="JMO58" s="1"/>
      <c r="JMP58" s="1"/>
      <c r="JMQ58" s="1"/>
      <c r="JMR58" s="1"/>
      <c r="JMS58" s="1"/>
      <c r="JMT58" s="1"/>
      <c r="JMU58" s="1"/>
      <c r="JMV58" s="1"/>
      <c r="JMW58" s="1"/>
      <c r="JMX58" s="1"/>
      <c r="JMY58" s="1"/>
      <c r="JMZ58" s="1"/>
      <c r="JNA58" s="1"/>
      <c r="JNB58" s="1"/>
      <c r="JNC58" s="1"/>
      <c r="JND58" s="1"/>
      <c r="JNE58" s="1"/>
      <c r="JNF58" s="1"/>
      <c r="JNG58" s="1"/>
      <c r="JNH58" s="1"/>
      <c r="JNI58" s="1"/>
      <c r="JNJ58" s="1"/>
      <c r="JNK58" s="1"/>
      <c r="JNL58" s="1"/>
      <c r="JNM58" s="1"/>
      <c r="JNN58" s="1"/>
      <c r="JNO58" s="1"/>
      <c r="JNP58" s="1"/>
      <c r="JNQ58" s="1"/>
      <c r="JNR58" s="1"/>
      <c r="JNS58" s="1"/>
      <c r="JNT58" s="1"/>
      <c r="JNU58" s="1"/>
      <c r="JNV58" s="1"/>
      <c r="JNW58" s="1"/>
      <c r="JNX58" s="1"/>
      <c r="JNY58" s="1"/>
      <c r="JNZ58" s="1"/>
      <c r="JOA58" s="1"/>
      <c r="JOB58" s="1"/>
      <c r="JOC58" s="1"/>
      <c r="JOD58" s="1"/>
      <c r="JOE58" s="1"/>
      <c r="JOF58" s="1"/>
      <c r="JOG58" s="1"/>
      <c r="JOH58" s="1"/>
      <c r="JOI58" s="1"/>
      <c r="JOJ58" s="1"/>
      <c r="JOK58" s="1"/>
      <c r="JOL58" s="1"/>
      <c r="JOM58" s="1"/>
      <c r="JON58" s="1"/>
      <c r="JOO58" s="1"/>
      <c r="JOP58" s="1"/>
      <c r="JOQ58" s="1"/>
      <c r="JOR58" s="1"/>
      <c r="JOS58" s="1"/>
      <c r="JOT58" s="1"/>
      <c r="JOU58" s="1"/>
      <c r="JOV58" s="1"/>
      <c r="JOW58" s="1"/>
      <c r="JOX58" s="1"/>
      <c r="JOY58" s="1"/>
      <c r="JOZ58" s="1"/>
      <c r="JPA58" s="1"/>
      <c r="JPB58" s="1"/>
      <c r="JPC58" s="1"/>
      <c r="JPD58" s="1"/>
      <c r="JPE58" s="1"/>
      <c r="JPF58" s="1"/>
      <c r="JPG58" s="1"/>
      <c r="JPH58" s="1"/>
      <c r="JPI58" s="1"/>
      <c r="JPJ58" s="1"/>
      <c r="JPK58" s="1"/>
      <c r="JPL58" s="1"/>
      <c r="JPM58" s="1"/>
      <c r="JPN58" s="1"/>
      <c r="JPO58" s="1"/>
      <c r="JPP58" s="1"/>
      <c r="JPQ58" s="1"/>
      <c r="JPR58" s="1"/>
      <c r="JPS58" s="1"/>
      <c r="JPT58" s="1"/>
      <c r="JPU58" s="1"/>
      <c r="JPV58" s="1"/>
      <c r="JPW58" s="1"/>
      <c r="JPX58" s="1"/>
      <c r="JPY58" s="1"/>
      <c r="JPZ58" s="1"/>
      <c r="JQA58" s="1"/>
      <c r="JQB58" s="1"/>
      <c r="JQC58" s="1"/>
      <c r="JQD58" s="1"/>
      <c r="JQE58" s="1"/>
      <c r="JQF58" s="1"/>
      <c r="JQG58" s="1"/>
      <c r="JQH58" s="1"/>
      <c r="JQI58" s="1"/>
      <c r="JQJ58" s="1"/>
      <c r="JQK58" s="1"/>
      <c r="JQL58" s="1"/>
      <c r="JQM58" s="1"/>
      <c r="JQN58" s="1"/>
      <c r="JQO58" s="1"/>
      <c r="JQP58" s="1"/>
      <c r="JQQ58" s="1"/>
      <c r="JQR58" s="1"/>
      <c r="JQS58" s="1"/>
      <c r="JQT58" s="1"/>
      <c r="JQU58" s="1"/>
      <c r="JQV58" s="1"/>
      <c r="JQW58" s="1"/>
      <c r="JQX58" s="1"/>
      <c r="JQY58" s="1"/>
      <c r="JQZ58" s="1"/>
      <c r="JRA58" s="1"/>
      <c r="JRB58" s="1"/>
      <c r="JRC58" s="1"/>
      <c r="JRD58" s="1"/>
      <c r="JRE58" s="1"/>
      <c r="JRF58" s="1"/>
      <c r="JRG58" s="1"/>
      <c r="JRH58" s="1"/>
      <c r="JRI58" s="1"/>
      <c r="JRJ58" s="1"/>
      <c r="JRK58" s="1"/>
      <c r="JRL58" s="1"/>
      <c r="JRM58" s="1"/>
      <c r="JRN58" s="1"/>
      <c r="JRO58" s="1"/>
      <c r="JRP58" s="1"/>
      <c r="JRQ58" s="1"/>
      <c r="JRR58" s="1"/>
      <c r="JRS58" s="1"/>
      <c r="JRT58" s="1"/>
      <c r="JRU58" s="1"/>
      <c r="JRV58" s="1"/>
      <c r="JRW58" s="1"/>
      <c r="JRX58" s="1"/>
      <c r="JRY58" s="1"/>
      <c r="JRZ58" s="1"/>
      <c r="JSA58" s="1"/>
      <c r="JSB58" s="1"/>
      <c r="JSC58" s="1"/>
      <c r="JSD58" s="1"/>
      <c r="JSE58" s="1"/>
      <c r="JSF58" s="1"/>
      <c r="JSG58" s="1"/>
      <c r="JSH58" s="1"/>
      <c r="JSI58" s="1"/>
      <c r="JSJ58" s="1"/>
      <c r="JSK58" s="1"/>
      <c r="JSL58" s="1"/>
      <c r="JSM58" s="1"/>
      <c r="JSN58" s="1"/>
      <c r="JSO58" s="1"/>
      <c r="JSP58" s="1"/>
      <c r="JSQ58" s="1"/>
      <c r="JSR58" s="1"/>
      <c r="JSS58" s="1"/>
      <c r="JST58" s="1"/>
      <c r="JSU58" s="1"/>
      <c r="JSV58" s="1"/>
      <c r="JSW58" s="1"/>
      <c r="JSX58" s="1"/>
      <c r="JSY58" s="1"/>
      <c r="JSZ58" s="1"/>
      <c r="JTA58" s="1"/>
      <c r="JTB58" s="1"/>
      <c r="JTC58" s="1"/>
      <c r="JTD58" s="1"/>
      <c r="JTE58" s="1"/>
      <c r="JTF58" s="1"/>
      <c r="JTG58" s="1"/>
      <c r="JTH58" s="1"/>
      <c r="JTI58" s="1"/>
      <c r="JTJ58" s="1"/>
      <c r="JTK58" s="1"/>
      <c r="JTL58" s="1"/>
      <c r="JTM58" s="1"/>
      <c r="JTN58" s="1"/>
      <c r="JTO58" s="1"/>
      <c r="JTP58" s="1"/>
      <c r="JTQ58" s="1"/>
      <c r="JTR58" s="1"/>
      <c r="JTS58" s="1"/>
      <c r="JTT58" s="1"/>
      <c r="JTU58" s="1"/>
      <c r="JTV58" s="1"/>
      <c r="JTW58" s="1"/>
      <c r="JTX58" s="1"/>
      <c r="JTY58" s="1"/>
      <c r="JTZ58" s="1"/>
      <c r="JUA58" s="1"/>
      <c r="JUB58" s="1"/>
      <c r="JUC58" s="1"/>
      <c r="JUD58" s="1"/>
      <c r="JUE58" s="1"/>
      <c r="JUF58" s="1"/>
      <c r="JUG58" s="1"/>
      <c r="JUH58" s="1"/>
      <c r="JUI58" s="1"/>
      <c r="JUJ58" s="1"/>
      <c r="JUK58" s="1"/>
      <c r="JUL58" s="1"/>
      <c r="JUM58" s="1"/>
      <c r="JUN58" s="1"/>
      <c r="JUO58" s="1"/>
      <c r="JUP58" s="1"/>
      <c r="JUQ58" s="1"/>
      <c r="JUR58" s="1"/>
      <c r="JUS58" s="1"/>
      <c r="JUT58" s="1"/>
      <c r="JUU58" s="1"/>
      <c r="JUV58" s="1"/>
      <c r="JUW58" s="1"/>
      <c r="JUX58" s="1"/>
      <c r="JUY58" s="1"/>
      <c r="JUZ58" s="1"/>
      <c r="JVA58" s="1"/>
      <c r="JVB58" s="1"/>
      <c r="JVC58" s="1"/>
      <c r="JVD58" s="1"/>
      <c r="JVE58" s="1"/>
      <c r="JVF58" s="1"/>
      <c r="JVG58" s="1"/>
      <c r="JVH58" s="1"/>
      <c r="JVI58" s="1"/>
      <c r="JVJ58" s="1"/>
      <c r="JVK58" s="1"/>
      <c r="JVL58" s="1"/>
      <c r="JVM58" s="1"/>
      <c r="JVN58" s="1"/>
      <c r="JVO58" s="1"/>
      <c r="JVP58" s="1"/>
      <c r="JVQ58" s="1"/>
      <c r="JVR58" s="1"/>
      <c r="JVS58" s="1"/>
      <c r="JVT58" s="1"/>
      <c r="JVU58" s="1"/>
      <c r="JVV58" s="1"/>
      <c r="JVW58" s="1"/>
      <c r="JVX58" s="1"/>
      <c r="JVY58" s="1"/>
      <c r="JVZ58" s="1"/>
      <c r="JWA58" s="1"/>
      <c r="JWB58" s="1"/>
      <c r="JWC58" s="1"/>
      <c r="JWD58" s="1"/>
      <c r="JWE58" s="1"/>
      <c r="JWF58" s="1"/>
      <c r="JWG58" s="1"/>
      <c r="JWH58" s="1"/>
      <c r="JWI58" s="1"/>
      <c r="JWJ58" s="1"/>
      <c r="JWK58" s="1"/>
      <c r="JWL58" s="1"/>
      <c r="JWM58" s="1"/>
      <c r="JWN58" s="1"/>
      <c r="JWO58" s="1"/>
      <c r="JWP58" s="1"/>
      <c r="JWQ58" s="1"/>
      <c r="JWR58" s="1"/>
      <c r="JWS58" s="1"/>
      <c r="JWT58" s="1"/>
      <c r="JWU58" s="1"/>
      <c r="JWV58" s="1"/>
      <c r="JWW58" s="1"/>
      <c r="JWX58" s="1"/>
      <c r="JWY58" s="1"/>
      <c r="JWZ58" s="1"/>
      <c r="JXA58" s="1"/>
      <c r="JXB58" s="1"/>
      <c r="JXC58" s="1"/>
      <c r="JXD58" s="1"/>
      <c r="JXE58" s="1"/>
      <c r="JXF58" s="1"/>
      <c r="JXG58" s="1"/>
      <c r="JXH58" s="1"/>
      <c r="JXI58" s="1"/>
      <c r="JXJ58" s="1"/>
      <c r="JXK58" s="1"/>
      <c r="JXL58" s="1"/>
      <c r="JXM58" s="1"/>
      <c r="JXN58" s="1"/>
      <c r="JXO58" s="1"/>
      <c r="JXP58" s="1"/>
      <c r="JXQ58" s="1"/>
      <c r="JXR58" s="1"/>
      <c r="JXS58" s="1"/>
      <c r="JXT58" s="1"/>
      <c r="JXU58" s="1"/>
      <c r="JXV58" s="1"/>
      <c r="JXW58" s="1"/>
      <c r="JXX58" s="1"/>
      <c r="JXY58" s="1"/>
      <c r="JXZ58" s="1"/>
      <c r="JYA58" s="1"/>
      <c r="JYB58" s="1"/>
      <c r="JYC58" s="1"/>
      <c r="JYD58" s="1"/>
      <c r="JYE58" s="1"/>
      <c r="JYF58" s="1"/>
      <c r="JYG58" s="1"/>
      <c r="JYH58" s="1"/>
      <c r="JYI58" s="1"/>
      <c r="JYJ58" s="1"/>
      <c r="JYK58" s="1"/>
      <c r="JYL58" s="1"/>
      <c r="JYM58" s="1"/>
      <c r="JYN58" s="1"/>
      <c r="JYO58" s="1"/>
      <c r="JYP58" s="1"/>
      <c r="JYQ58" s="1"/>
      <c r="JYR58" s="1"/>
      <c r="JYS58" s="1"/>
      <c r="JYT58" s="1"/>
      <c r="JYU58" s="1"/>
      <c r="JYV58" s="1"/>
      <c r="JYW58" s="1"/>
      <c r="JYX58" s="1"/>
      <c r="JYY58" s="1"/>
      <c r="JYZ58" s="1"/>
      <c r="JZA58" s="1"/>
      <c r="JZB58" s="1"/>
      <c r="JZC58" s="1"/>
      <c r="JZD58" s="1"/>
      <c r="JZE58" s="1"/>
      <c r="JZF58" s="1"/>
      <c r="JZG58" s="1"/>
      <c r="JZH58" s="1"/>
      <c r="JZI58" s="1"/>
      <c r="JZJ58" s="1"/>
      <c r="JZK58" s="1"/>
      <c r="JZL58" s="1"/>
      <c r="JZM58" s="1"/>
      <c r="JZN58" s="1"/>
      <c r="JZO58" s="1"/>
      <c r="JZP58" s="1"/>
      <c r="JZQ58" s="1"/>
      <c r="JZR58" s="1"/>
      <c r="JZS58" s="1"/>
      <c r="JZT58" s="1"/>
      <c r="JZU58" s="1"/>
      <c r="JZV58" s="1"/>
      <c r="JZW58" s="1"/>
      <c r="JZX58" s="1"/>
      <c r="JZY58" s="1"/>
      <c r="JZZ58" s="1"/>
      <c r="KAA58" s="1"/>
      <c r="KAB58" s="1"/>
      <c r="KAC58" s="1"/>
      <c r="KAD58" s="1"/>
      <c r="KAE58" s="1"/>
      <c r="KAF58" s="1"/>
      <c r="KAG58" s="1"/>
      <c r="KAH58" s="1"/>
      <c r="KAI58" s="1"/>
      <c r="KAJ58" s="1"/>
      <c r="KAK58" s="1"/>
      <c r="KAL58" s="1"/>
      <c r="KAM58" s="1"/>
      <c r="KAN58" s="1"/>
      <c r="KAO58" s="1"/>
      <c r="KAP58" s="1"/>
      <c r="KAQ58" s="1"/>
      <c r="KAR58" s="1"/>
      <c r="KAS58" s="1"/>
      <c r="KAT58" s="1"/>
      <c r="KAU58" s="1"/>
      <c r="KAV58" s="1"/>
      <c r="KAW58" s="1"/>
      <c r="KAX58" s="1"/>
      <c r="KAY58" s="1"/>
      <c r="KAZ58" s="1"/>
      <c r="KBA58" s="1"/>
      <c r="KBB58" s="1"/>
      <c r="KBC58" s="1"/>
      <c r="KBD58" s="1"/>
      <c r="KBE58" s="1"/>
      <c r="KBF58" s="1"/>
      <c r="KBG58" s="1"/>
      <c r="KBH58" s="1"/>
      <c r="KBI58" s="1"/>
      <c r="KBJ58" s="1"/>
      <c r="KBK58" s="1"/>
      <c r="KBL58" s="1"/>
      <c r="KBM58" s="1"/>
      <c r="KBN58" s="1"/>
      <c r="KBO58" s="1"/>
      <c r="KBP58" s="1"/>
      <c r="KBQ58" s="1"/>
      <c r="KBR58" s="1"/>
      <c r="KBS58" s="1"/>
      <c r="KBT58" s="1"/>
      <c r="KBU58" s="1"/>
      <c r="KBV58" s="1"/>
      <c r="KBW58" s="1"/>
      <c r="KBX58" s="1"/>
      <c r="KBY58" s="1"/>
      <c r="KBZ58" s="1"/>
      <c r="KCA58" s="1"/>
      <c r="KCB58" s="1"/>
      <c r="KCC58" s="1"/>
      <c r="KCD58" s="1"/>
      <c r="KCE58" s="1"/>
      <c r="KCF58" s="1"/>
      <c r="KCG58" s="1"/>
      <c r="KCH58" s="1"/>
      <c r="KCI58" s="1"/>
      <c r="KCJ58" s="1"/>
      <c r="KCK58" s="1"/>
      <c r="KCL58" s="1"/>
      <c r="KCM58" s="1"/>
      <c r="KCN58" s="1"/>
      <c r="KCO58" s="1"/>
      <c r="KCP58" s="1"/>
      <c r="KCQ58" s="1"/>
      <c r="KCR58" s="1"/>
      <c r="KCS58" s="1"/>
      <c r="KCT58" s="1"/>
      <c r="KCU58" s="1"/>
      <c r="KCV58" s="1"/>
      <c r="KCW58" s="1"/>
      <c r="KCX58" s="1"/>
      <c r="KCY58" s="1"/>
      <c r="KCZ58" s="1"/>
      <c r="KDA58" s="1"/>
      <c r="KDB58" s="1"/>
      <c r="KDC58" s="1"/>
      <c r="KDD58" s="1"/>
      <c r="KDE58" s="1"/>
      <c r="KDF58" s="1"/>
      <c r="KDG58" s="1"/>
      <c r="KDH58" s="1"/>
      <c r="KDI58" s="1"/>
      <c r="KDJ58" s="1"/>
      <c r="KDK58" s="1"/>
      <c r="KDL58" s="1"/>
      <c r="KDM58" s="1"/>
      <c r="KDN58" s="1"/>
      <c r="KDO58" s="1"/>
      <c r="KDP58" s="1"/>
      <c r="KDQ58" s="1"/>
      <c r="KDR58" s="1"/>
      <c r="KDS58" s="1"/>
      <c r="KDT58" s="1"/>
      <c r="KDU58" s="1"/>
      <c r="KDV58" s="1"/>
      <c r="KDW58" s="1"/>
      <c r="KDX58" s="1"/>
      <c r="KDY58" s="1"/>
      <c r="KDZ58" s="1"/>
      <c r="KEA58" s="1"/>
      <c r="KEB58" s="1"/>
      <c r="KEC58" s="1"/>
      <c r="KED58" s="1"/>
      <c r="KEE58" s="1"/>
      <c r="KEF58" s="1"/>
      <c r="KEG58" s="1"/>
      <c r="KEH58" s="1"/>
      <c r="KEI58" s="1"/>
      <c r="KEJ58" s="1"/>
      <c r="KEK58" s="1"/>
      <c r="KEL58" s="1"/>
      <c r="KEM58" s="1"/>
      <c r="KEN58" s="1"/>
      <c r="KEO58" s="1"/>
      <c r="KEP58" s="1"/>
      <c r="KEQ58" s="1"/>
      <c r="KER58" s="1"/>
      <c r="KES58" s="1"/>
      <c r="KET58" s="1"/>
      <c r="KEU58" s="1"/>
      <c r="KEV58" s="1"/>
      <c r="KEW58" s="1"/>
      <c r="KEX58" s="1"/>
      <c r="KEY58" s="1"/>
      <c r="KEZ58" s="1"/>
      <c r="KFA58" s="1"/>
      <c r="KFB58" s="1"/>
      <c r="KFC58" s="1"/>
      <c r="KFD58" s="1"/>
      <c r="KFE58" s="1"/>
      <c r="KFF58" s="1"/>
      <c r="KFG58" s="1"/>
      <c r="KFH58" s="1"/>
      <c r="KFI58" s="1"/>
      <c r="KFJ58" s="1"/>
      <c r="KFK58" s="1"/>
      <c r="KFL58" s="1"/>
      <c r="KFM58" s="1"/>
      <c r="KFN58" s="1"/>
      <c r="KFO58" s="1"/>
      <c r="KFP58" s="1"/>
      <c r="KFQ58" s="1"/>
      <c r="KFR58" s="1"/>
      <c r="KFS58" s="1"/>
      <c r="KFT58" s="1"/>
      <c r="KFU58" s="1"/>
      <c r="KFV58" s="1"/>
      <c r="KFW58" s="1"/>
      <c r="KFX58" s="1"/>
      <c r="KFY58" s="1"/>
      <c r="KFZ58" s="1"/>
      <c r="KGA58" s="1"/>
      <c r="KGB58" s="1"/>
      <c r="KGC58" s="1"/>
      <c r="KGD58" s="1"/>
      <c r="KGE58" s="1"/>
      <c r="KGF58" s="1"/>
      <c r="KGG58" s="1"/>
      <c r="KGH58" s="1"/>
      <c r="KGI58" s="1"/>
      <c r="KGJ58" s="1"/>
      <c r="KGK58" s="1"/>
      <c r="KGL58" s="1"/>
      <c r="KGM58" s="1"/>
      <c r="KGN58" s="1"/>
      <c r="KGO58" s="1"/>
      <c r="KGP58" s="1"/>
      <c r="KGQ58" s="1"/>
      <c r="KGR58" s="1"/>
      <c r="KGS58" s="1"/>
      <c r="KGT58" s="1"/>
      <c r="KGU58" s="1"/>
      <c r="KGV58" s="1"/>
      <c r="KGW58" s="1"/>
      <c r="KGX58" s="1"/>
      <c r="KGY58" s="1"/>
      <c r="KGZ58" s="1"/>
      <c r="KHA58" s="1"/>
      <c r="KHB58" s="1"/>
      <c r="KHC58" s="1"/>
      <c r="KHD58" s="1"/>
      <c r="KHE58" s="1"/>
      <c r="KHF58" s="1"/>
      <c r="KHG58" s="1"/>
      <c r="KHH58" s="1"/>
      <c r="KHI58" s="1"/>
      <c r="KHJ58" s="1"/>
      <c r="KHK58" s="1"/>
      <c r="KHL58" s="1"/>
      <c r="KHM58" s="1"/>
      <c r="KHN58" s="1"/>
      <c r="KHO58" s="1"/>
      <c r="KHP58" s="1"/>
      <c r="KHQ58" s="1"/>
      <c r="KHR58" s="1"/>
      <c r="KHS58" s="1"/>
      <c r="KHT58" s="1"/>
      <c r="KHU58" s="1"/>
      <c r="KHV58" s="1"/>
      <c r="KHW58" s="1"/>
      <c r="KHX58" s="1"/>
      <c r="KHY58" s="1"/>
      <c r="KHZ58" s="1"/>
      <c r="KIA58" s="1"/>
      <c r="KIB58" s="1"/>
      <c r="KIC58" s="1"/>
      <c r="KID58" s="1"/>
      <c r="KIE58" s="1"/>
      <c r="KIF58" s="1"/>
      <c r="KIG58" s="1"/>
      <c r="KIH58" s="1"/>
      <c r="KII58" s="1"/>
      <c r="KIJ58" s="1"/>
      <c r="KIK58" s="1"/>
      <c r="KIL58" s="1"/>
      <c r="KIM58" s="1"/>
      <c r="KIN58" s="1"/>
      <c r="KIO58" s="1"/>
      <c r="KIP58" s="1"/>
      <c r="KIQ58" s="1"/>
      <c r="KIR58" s="1"/>
      <c r="KIS58" s="1"/>
      <c r="KIT58" s="1"/>
      <c r="KIU58" s="1"/>
      <c r="KIV58" s="1"/>
      <c r="KIW58" s="1"/>
      <c r="KIX58" s="1"/>
      <c r="KIY58" s="1"/>
      <c r="KIZ58" s="1"/>
      <c r="KJA58" s="1"/>
      <c r="KJB58" s="1"/>
      <c r="KJC58" s="1"/>
      <c r="KJD58" s="1"/>
      <c r="KJE58" s="1"/>
      <c r="KJF58" s="1"/>
      <c r="KJG58" s="1"/>
      <c r="KJH58" s="1"/>
      <c r="KJI58" s="1"/>
      <c r="KJJ58" s="1"/>
      <c r="KJK58" s="1"/>
      <c r="KJL58" s="1"/>
      <c r="KJM58" s="1"/>
      <c r="KJN58" s="1"/>
      <c r="KJO58" s="1"/>
      <c r="KJP58" s="1"/>
      <c r="KJQ58" s="1"/>
      <c r="KJR58" s="1"/>
      <c r="KJS58" s="1"/>
      <c r="KJT58" s="1"/>
      <c r="KJU58" s="1"/>
      <c r="KJV58" s="1"/>
      <c r="KJW58" s="1"/>
      <c r="KJX58" s="1"/>
      <c r="KJY58" s="1"/>
      <c r="KJZ58" s="1"/>
      <c r="KKA58" s="1"/>
      <c r="KKB58" s="1"/>
      <c r="KKC58" s="1"/>
      <c r="KKD58" s="1"/>
      <c r="KKE58" s="1"/>
      <c r="KKF58" s="1"/>
      <c r="KKG58" s="1"/>
      <c r="KKH58" s="1"/>
      <c r="KKI58" s="1"/>
      <c r="KKJ58" s="1"/>
      <c r="KKK58" s="1"/>
      <c r="KKL58" s="1"/>
      <c r="KKM58" s="1"/>
      <c r="KKN58" s="1"/>
      <c r="KKO58" s="1"/>
      <c r="KKP58" s="1"/>
      <c r="KKQ58" s="1"/>
      <c r="KKR58" s="1"/>
      <c r="KKS58" s="1"/>
      <c r="KKT58" s="1"/>
      <c r="KKU58" s="1"/>
      <c r="KKV58" s="1"/>
      <c r="KKW58" s="1"/>
      <c r="KKX58" s="1"/>
      <c r="KKY58" s="1"/>
      <c r="KKZ58" s="1"/>
      <c r="KLA58" s="1"/>
      <c r="KLB58" s="1"/>
      <c r="KLC58" s="1"/>
      <c r="KLD58" s="1"/>
      <c r="KLE58" s="1"/>
      <c r="KLF58" s="1"/>
      <c r="KLG58" s="1"/>
      <c r="KLH58" s="1"/>
      <c r="KLI58" s="1"/>
      <c r="KLJ58" s="1"/>
      <c r="KLK58" s="1"/>
      <c r="KLL58" s="1"/>
      <c r="KLM58" s="1"/>
      <c r="KLN58" s="1"/>
      <c r="KLO58" s="1"/>
      <c r="KLP58" s="1"/>
      <c r="KLQ58" s="1"/>
      <c r="KLR58" s="1"/>
      <c r="KLS58" s="1"/>
      <c r="KLT58" s="1"/>
      <c r="KLU58" s="1"/>
      <c r="KLV58" s="1"/>
      <c r="KLW58" s="1"/>
      <c r="KLX58" s="1"/>
      <c r="KLY58" s="1"/>
      <c r="KLZ58" s="1"/>
      <c r="KMA58" s="1"/>
      <c r="KMB58" s="1"/>
      <c r="KMC58" s="1"/>
      <c r="KMD58" s="1"/>
      <c r="KME58" s="1"/>
      <c r="KMF58" s="1"/>
      <c r="KMG58" s="1"/>
      <c r="KMH58" s="1"/>
      <c r="KMI58" s="1"/>
      <c r="KMJ58" s="1"/>
      <c r="KMK58" s="1"/>
      <c r="KML58" s="1"/>
      <c r="KMM58" s="1"/>
      <c r="KMN58" s="1"/>
      <c r="KMO58" s="1"/>
      <c r="KMP58" s="1"/>
      <c r="KMQ58" s="1"/>
      <c r="KMR58" s="1"/>
      <c r="KMS58" s="1"/>
      <c r="KMT58" s="1"/>
      <c r="KMU58" s="1"/>
      <c r="KMV58" s="1"/>
      <c r="KMW58" s="1"/>
      <c r="KMX58" s="1"/>
      <c r="KMY58" s="1"/>
      <c r="KMZ58" s="1"/>
      <c r="KNA58" s="1"/>
      <c r="KNB58" s="1"/>
      <c r="KNC58" s="1"/>
      <c r="KND58" s="1"/>
      <c r="KNE58" s="1"/>
      <c r="KNF58" s="1"/>
      <c r="KNG58" s="1"/>
      <c r="KNH58" s="1"/>
      <c r="KNI58" s="1"/>
      <c r="KNJ58" s="1"/>
      <c r="KNK58" s="1"/>
      <c r="KNL58" s="1"/>
      <c r="KNM58" s="1"/>
      <c r="KNN58" s="1"/>
      <c r="KNO58" s="1"/>
      <c r="KNP58" s="1"/>
      <c r="KNQ58" s="1"/>
      <c r="KNR58" s="1"/>
      <c r="KNS58" s="1"/>
      <c r="KNT58" s="1"/>
      <c r="KNU58" s="1"/>
      <c r="KNV58" s="1"/>
      <c r="KNW58" s="1"/>
      <c r="KNX58" s="1"/>
      <c r="KNY58" s="1"/>
      <c r="KNZ58" s="1"/>
      <c r="KOA58" s="1"/>
      <c r="KOB58" s="1"/>
      <c r="KOC58" s="1"/>
      <c r="KOD58" s="1"/>
      <c r="KOE58" s="1"/>
      <c r="KOF58" s="1"/>
      <c r="KOG58" s="1"/>
      <c r="KOH58" s="1"/>
      <c r="KOI58" s="1"/>
      <c r="KOJ58" s="1"/>
      <c r="KOK58" s="1"/>
      <c r="KOL58" s="1"/>
      <c r="KOM58" s="1"/>
      <c r="KON58" s="1"/>
      <c r="KOO58" s="1"/>
      <c r="KOP58" s="1"/>
      <c r="KOQ58" s="1"/>
      <c r="KOR58" s="1"/>
      <c r="KOS58" s="1"/>
      <c r="KOT58" s="1"/>
      <c r="KOU58" s="1"/>
      <c r="KOV58" s="1"/>
      <c r="KOW58" s="1"/>
      <c r="KOX58" s="1"/>
      <c r="KOY58" s="1"/>
      <c r="KOZ58" s="1"/>
      <c r="KPA58" s="1"/>
      <c r="KPB58" s="1"/>
      <c r="KPC58" s="1"/>
      <c r="KPD58" s="1"/>
      <c r="KPE58" s="1"/>
      <c r="KPF58" s="1"/>
      <c r="KPG58" s="1"/>
      <c r="KPH58" s="1"/>
      <c r="KPI58" s="1"/>
      <c r="KPJ58" s="1"/>
      <c r="KPK58" s="1"/>
      <c r="KPL58" s="1"/>
      <c r="KPM58" s="1"/>
      <c r="KPN58" s="1"/>
      <c r="KPO58" s="1"/>
      <c r="KPP58" s="1"/>
      <c r="KPQ58" s="1"/>
      <c r="KPR58" s="1"/>
      <c r="KPS58" s="1"/>
      <c r="KPT58" s="1"/>
      <c r="KPU58" s="1"/>
      <c r="KPV58" s="1"/>
      <c r="KPW58" s="1"/>
      <c r="KPX58" s="1"/>
      <c r="KPY58" s="1"/>
      <c r="KPZ58" s="1"/>
      <c r="KQA58" s="1"/>
      <c r="KQB58" s="1"/>
      <c r="KQC58" s="1"/>
      <c r="KQD58" s="1"/>
      <c r="KQE58" s="1"/>
      <c r="KQF58" s="1"/>
      <c r="KQG58" s="1"/>
      <c r="KQH58" s="1"/>
      <c r="KQI58" s="1"/>
      <c r="KQJ58" s="1"/>
      <c r="KQK58" s="1"/>
      <c r="KQL58" s="1"/>
      <c r="KQM58" s="1"/>
      <c r="KQN58" s="1"/>
      <c r="KQO58" s="1"/>
      <c r="KQP58" s="1"/>
      <c r="KQQ58" s="1"/>
      <c r="KQR58" s="1"/>
      <c r="KQS58" s="1"/>
      <c r="KQT58" s="1"/>
      <c r="KQU58" s="1"/>
      <c r="KQV58" s="1"/>
      <c r="KQW58" s="1"/>
      <c r="KQX58" s="1"/>
      <c r="KQY58" s="1"/>
      <c r="KQZ58" s="1"/>
      <c r="KRA58" s="1"/>
      <c r="KRB58" s="1"/>
      <c r="KRC58" s="1"/>
      <c r="KRD58" s="1"/>
      <c r="KRE58" s="1"/>
      <c r="KRF58" s="1"/>
      <c r="KRG58" s="1"/>
      <c r="KRH58" s="1"/>
      <c r="KRI58" s="1"/>
      <c r="KRJ58" s="1"/>
      <c r="KRK58" s="1"/>
      <c r="KRL58" s="1"/>
      <c r="KRM58" s="1"/>
      <c r="KRN58" s="1"/>
      <c r="KRO58" s="1"/>
      <c r="KRP58" s="1"/>
      <c r="KRQ58" s="1"/>
      <c r="KRR58" s="1"/>
      <c r="KRS58" s="1"/>
      <c r="KRT58" s="1"/>
      <c r="KRU58" s="1"/>
      <c r="KRV58" s="1"/>
      <c r="KRW58" s="1"/>
      <c r="KRX58" s="1"/>
      <c r="KRY58" s="1"/>
      <c r="KRZ58" s="1"/>
      <c r="KSA58" s="1"/>
      <c r="KSB58" s="1"/>
      <c r="KSC58" s="1"/>
      <c r="KSD58" s="1"/>
      <c r="KSE58" s="1"/>
      <c r="KSF58" s="1"/>
      <c r="KSG58" s="1"/>
      <c r="KSH58" s="1"/>
      <c r="KSI58" s="1"/>
      <c r="KSJ58" s="1"/>
      <c r="KSK58" s="1"/>
      <c r="KSL58" s="1"/>
      <c r="KSM58" s="1"/>
      <c r="KSN58" s="1"/>
      <c r="KSO58" s="1"/>
      <c r="KSP58" s="1"/>
      <c r="KSQ58" s="1"/>
      <c r="KSR58" s="1"/>
      <c r="KSS58" s="1"/>
      <c r="KST58" s="1"/>
      <c r="KSU58" s="1"/>
      <c r="KSV58" s="1"/>
      <c r="KSW58" s="1"/>
      <c r="KSX58" s="1"/>
      <c r="KSY58" s="1"/>
      <c r="KSZ58" s="1"/>
      <c r="KTA58" s="1"/>
      <c r="KTB58" s="1"/>
      <c r="KTC58" s="1"/>
      <c r="KTD58" s="1"/>
      <c r="KTE58" s="1"/>
      <c r="KTF58" s="1"/>
      <c r="KTG58" s="1"/>
      <c r="KTH58" s="1"/>
      <c r="KTI58" s="1"/>
      <c r="KTJ58" s="1"/>
      <c r="KTK58" s="1"/>
      <c r="KTL58" s="1"/>
      <c r="KTM58" s="1"/>
      <c r="KTN58" s="1"/>
      <c r="KTO58" s="1"/>
      <c r="KTP58" s="1"/>
      <c r="KTQ58" s="1"/>
      <c r="KTR58" s="1"/>
      <c r="KTS58" s="1"/>
      <c r="KTT58" s="1"/>
      <c r="KTU58" s="1"/>
      <c r="KTV58" s="1"/>
      <c r="KTW58" s="1"/>
      <c r="KTX58" s="1"/>
      <c r="KTY58" s="1"/>
      <c r="KTZ58" s="1"/>
      <c r="KUA58" s="1"/>
      <c r="KUB58" s="1"/>
      <c r="KUC58" s="1"/>
      <c r="KUD58" s="1"/>
      <c r="KUE58" s="1"/>
      <c r="KUF58" s="1"/>
      <c r="KUG58" s="1"/>
      <c r="KUH58" s="1"/>
      <c r="KUI58" s="1"/>
      <c r="KUJ58" s="1"/>
      <c r="KUK58" s="1"/>
      <c r="KUL58" s="1"/>
      <c r="KUM58" s="1"/>
      <c r="KUN58" s="1"/>
      <c r="KUO58" s="1"/>
      <c r="KUP58" s="1"/>
      <c r="KUQ58" s="1"/>
      <c r="KUR58" s="1"/>
      <c r="KUS58" s="1"/>
      <c r="KUT58" s="1"/>
      <c r="KUU58" s="1"/>
      <c r="KUV58" s="1"/>
      <c r="KUW58" s="1"/>
      <c r="KUX58" s="1"/>
      <c r="KUY58" s="1"/>
      <c r="KUZ58" s="1"/>
      <c r="KVA58" s="1"/>
      <c r="KVB58" s="1"/>
      <c r="KVC58" s="1"/>
      <c r="KVD58" s="1"/>
      <c r="KVE58" s="1"/>
      <c r="KVF58" s="1"/>
      <c r="KVG58" s="1"/>
      <c r="KVH58" s="1"/>
      <c r="KVI58" s="1"/>
      <c r="KVJ58" s="1"/>
      <c r="KVK58" s="1"/>
      <c r="KVL58" s="1"/>
      <c r="KVM58" s="1"/>
      <c r="KVN58" s="1"/>
      <c r="KVO58" s="1"/>
      <c r="KVP58" s="1"/>
      <c r="KVQ58" s="1"/>
      <c r="KVR58" s="1"/>
      <c r="KVS58" s="1"/>
      <c r="KVT58" s="1"/>
      <c r="KVU58" s="1"/>
      <c r="KVV58" s="1"/>
      <c r="KVW58" s="1"/>
      <c r="KVX58" s="1"/>
      <c r="KVY58" s="1"/>
      <c r="KVZ58" s="1"/>
      <c r="KWA58" s="1"/>
      <c r="KWB58" s="1"/>
      <c r="KWC58" s="1"/>
      <c r="KWD58" s="1"/>
      <c r="KWE58" s="1"/>
      <c r="KWF58" s="1"/>
      <c r="KWG58" s="1"/>
      <c r="KWH58" s="1"/>
      <c r="KWI58" s="1"/>
      <c r="KWJ58" s="1"/>
      <c r="KWK58" s="1"/>
      <c r="KWL58" s="1"/>
      <c r="KWM58" s="1"/>
      <c r="KWN58" s="1"/>
      <c r="KWO58" s="1"/>
      <c r="KWP58" s="1"/>
      <c r="KWQ58" s="1"/>
      <c r="KWR58" s="1"/>
      <c r="KWS58" s="1"/>
      <c r="KWT58" s="1"/>
      <c r="KWU58" s="1"/>
      <c r="KWV58" s="1"/>
      <c r="KWW58" s="1"/>
      <c r="KWX58" s="1"/>
      <c r="KWY58" s="1"/>
      <c r="KWZ58" s="1"/>
      <c r="KXA58" s="1"/>
      <c r="KXB58" s="1"/>
      <c r="KXC58" s="1"/>
      <c r="KXD58" s="1"/>
      <c r="KXE58" s="1"/>
      <c r="KXF58" s="1"/>
      <c r="KXG58" s="1"/>
      <c r="KXH58" s="1"/>
      <c r="KXI58" s="1"/>
      <c r="KXJ58" s="1"/>
      <c r="KXK58" s="1"/>
      <c r="KXL58" s="1"/>
      <c r="KXM58" s="1"/>
      <c r="KXN58" s="1"/>
      <c r="KXO58" s="1"/>
      <c r="KXP58" s="1"/>
      <c r="KXQ58" s="1"/>
      <c r="KXR58" s="1"/>
      <c r="KXS58" s="1"/>
      <c r="KXT58" s="1"/>
      <c r="KXU58" s="1"/>
      <c r="KXV58" s="1"/>
      <c r="KXW58" s="1"/>
      <c r="KXX58" s="1"/>
      <c r="KXY58" s="1"/>
      <c r="KXZ58" s="1"/>
      <c r="KYA58" s="1"/>
      <c r="KYB58" s="1"/>
      <c r="KYC58" s="1"/>
      <c r="KYD58" s="1"/>
      <c r="KYE58" s="1"/>
      <c r="KYF58" s="1"/>
      <c r="KYG58" s="1"/>
      <c r="KYH58" s="1"/>
      <c r="KYI58" s="1"/>
      <c r="KYJ58" s="1"/>
      <c r="KYK58" s="1"/>
      <c r="KYL58" s="1"/>
      <c r="KYM58" s="1"/>
      <c r="KYN58" s="1"/>
      <c r="KYO58" s="1"/>
      <c r="KYP58" s="1"/>
      <c r="KYQ58" s="1"/>
      <c r="KYR58" s="1"/>
      <c r="KYS58" s="1"/>
      <c r="KYT58" s="1"/>
      <c r="KYU58" s="1"/>
      <c r="KYV58" s="1"/>
      <c r="KYW58" s="1"/>
      <c r="KYX58" s="1"/>
      <c r="KYY58" s="1"/>
      <c r="KYZ58" s="1"/>
      <c r="KZA58" s="1"/>
      <c r="KZB58" s="1"/>
      <c r="KZC58" s="1"/>
      <c r="KZD58" s="1"/>
      <c r="KZE58" s="1"/>
      <c r="KZF58" s="1"/>
      <c r="KZG58" s="1"/>
      <c r="KZH58" s="1"/>
      <c r="KZI58" s="1"/>
      <c r="KZJ58" s="1"/>
      <c r="KZK58" s="1"/>
      <c r="KZL58" s="1"/>
      <c r="KZM58" s="1"/>
      <c r="KZN58" s="1"/>
      <c r="KZO58" s="1"/>
      <c r="KZP58" s="1"/>
      <c r="KZQ58" s="1"/>
      <c r="KZR58" s="1"/>
      <c r="KZS58" s="1"/>
      <c r="KZT58" s="1"/>
      <c r="KZU58" s="1"/>
      <c r="KZV58" s="1"/>
      <c r="KZW58" s="1"/>
      <c r="KZX58" s="1"/>
      <c r="KZY58" s="1"/>
      <c r="KZZ58" s="1"/>
      <c r="LAA58" s="1"/>
      <c r="LAB58" s="1"/>
      <c r="LAC58" s="1"/>
      <c r="LAD58" s="1"/>
      <c r="LAE58" s="1"/>
      <c r="LAF58" s="1"/>
      <c r="LAG58" s="1"/>
      <c r="LAH58" s="1"/>
      <c r="LAI58" s="1"/>
      <c r="LAJ58" s="1"/>
      <c r="LAK58" s="1"/>
      <c r="LAL58" s="1"/>
      <c r="LAM58" s="1"/>
      <c r="LAN58" s="1"/>
      <c r="LAO58" s="1"/>
      <c r="LAP58" s="1"/>
      <c r="LAQ58" s="1"/>
      <c r="LAR58" s="1"/>
      <c r="LAS58" s="1"/>
      <c r="LAT58" s="1"/>
      <c r="LAU58" s="1"/>
      <c r="LAV58" s="1"/>
      <c r="LAW58" s="1"/>
      <c r="LAX58" s="1"/>
      <c r="LAY58" s="1"/>
      <c r="LAZ58" s="1"/>
      <c r="LBA58" s="1"/>
      <c r="LBB58" s="1"/>
      <c r="LBC58" s="1"/>
      <c r="LBD58" s="1"/>
      <c r="LBE58" s="1"/>
      <c r="LBF58" s="1"/>
      <c r="LBG58" s="1"/>
      <c r="LBH58" s="1"/>
      <c r="LBI58" s="1"/>
      <c r="LBJ58" s="1"/>
      <c r="LBK58" s="1"/>
      <c r="LBL58" s="1"/>
      <c r="LBM58" s="1"/>
      <c r="LBN58" s="1"/>
      <c r="LBO58" s="1"/>
      <c r="LBP58" s="1"/>
      <c r="LBQ58" s="1"/>
      <c r="LBR58" s="1"/>
      <c r="LBS58" s="1"/>
      <c r="LBT58" s="1"/>
      <c r="LBU58" s="1"/>
      <c r="LBV58" s="1"/>
      <c r="LBW58" s="1"/>
      <c r="LBX58" s="1"/>
      <c r="LBY58" s="1"/>
      <c r="LBZ58" s="1"/>
      <c r="LCA58" s="1"/>
      <c r="LCB58" s="1"/>
      <c r="LCC58" s="1"/>
      <c r="LCD58" s="1"/>
      <c r="LCE58" s="1"/>
      <c r="LCF58" s="1"/>
      <c r="LCG58" s="1"/>
      <c r="LCH58" s="1"/>
      <c r="LCI58" s="1"/>
      <c r="LCJ58" s="1"/>
      <c r="LCK58" s="1"/>
      <c r="LCL58" s="1"/>
      <c r="LCM58" s="1"/>
      <c r="LCN58" s="1"/>
      <c r="LCO58" s="1"/>
      <c r="LCP58" s="1"/>
      <c r="LCQ58" s="1"/>
      <c r="LCR58" s="1"/>
      <c r="LCS58" s="1"/>
      <c r="LCT58" s="1"/>
      <c r="LCU58" s="1"/>
      <c r="LCV58" s="1"/>
      <c r="LCW58" s="1"/>
      <c r="LCX58" s="1"/>
      <c r="LCY58" s="1"/>
      <c r="LCZ58" s="1"/>
      <c r="LDA58" s="1"/>
      <c r="LDB58" s="1"/>
      <c r="LDC58" s="1"/>
      <c r="LDD58" s="1"/>
      <c r="LDE58" s="1"/>
      <c r="LDF58" s="1"/>
      <c r="LDG58" s="1"/>
      <c r="LDH58" s="1"/>
      <c r="LDI58" s="1"/>
      <c r="LDJ58" s="1"/>
      <c r="LDK58" s="1"/>
      <c r="LDL58" s="1"/>
      <c r="LDM58" s="1"/>
      <c r="LDN58" s="1"/>
      <c r="LDO58" s="1"/>
      <c r="LDP58" s="1"/>
      <c r="LDQ58" s="1"/>
      <c r="LDR58" s="1"/>
      <c r="LDS58" s="1"/>
      <c r="LDT58" s="1"/>
      <c r="LDU58" s="1"/>
      <c r="LDV58" s="1"/>
      <c r="LDW58" s="1"/>
      <c r="LDX58" s="1"/>
      <c r="LDY58" s="1"/>
      <c r="LDZ58" s="1"/>
      <c r="LEA58" s="1"/>
      <c r="LEB58" s="1"/>
      <c r="LEC58" s="1"/>
      <c r="LED58" s="1"/>
      <c r="LEE58" s="1"/>
      <c r="LEF58" s="1"/>
      <c r="LEG58" s="1"/>
      <c r="LEH58" s="1"/>
      <c r="LEI58" s="1"/>
      <c r="LEJ58" s="1"/>
      <c r="LEK58" s="1"/>
      <c r="LEL58" s="1"/>
      <c r="LEM58" s="1"/>
      <c r="LEN58" s="1"/>
      <c r="LEO58" s="1"/>
      <c r="LEP58" s="1"/>
      <c r="LEQ58" s="1"/>
      <c r="LER58" s="1"/>
      <c r="LES58" s="1"/>
      <c r="LET58" s="1"/>
      <c r="LEU58" s="1"/>
      <c r="LEV58" s="1"/>
      <c r="LEW58" s="1"/>
      <c r="LEX58" s="1"/>
      <c r="LEY58" s="1"/>
      <c r="LEZ58" s="1"/>
      <c r="LFA58" s="1"/>
      <c r="LFB58" s="1"/>
      <c r="LFC58" s="1"/>
      <c r="LFD58" s="1"/>
      <c r="LFE58" s="1"/>
      <c r="LFF58" s="1"/>
      <c r="LFG58" s="1"/>
      <c r="LFH58" s="1"/>
      <c r="LFI58" s="1"/>
      <c r="LFJ58" s="1"/>
      <c r="LFK58" s="1"/>
      <c r="LFL58" s="1"/>
      <c r="LFM58" s="1"/>
      <c r="LFN58" s="1"/>
      <c r="LFO58" s="1"/>
      <c r="LFP58" s="1"/>
      <c r="LFQ58" s="1"/>
      <c r="LFR58" s="1"/>
      <c r="LFS58" s="1"/>
      <c r="LFT58" s="1"/>
      <c r="LFU58" s="1"/>
      <c r="LFV58" s="1"/>
      <c r="LFW58" s="1"/>
      <c r="LFX58" s="1"/>
      <c r="LFY58" s="1"/>
      <c r="LFZ58" s="1"/>
      <c r="LGA58" s="1"/>
      <c r="LGB58" s="1"/>
      <c r="LGC58" s="1"/>
      <c r="LGD58" s="1"/>
      <c r="LGE58" s="1"/>
      <c r="LGF58" s="1"/>
      <c r="LGG58" s="1"/>
      <c r="LGH58" s="1"/>
      <c r="LGI58" s="1"/>
      <c r="LGJ58" s="1"/>
      <c r="LGK58" s="1"/>
      <c r="LGL58" s="1"/>
      <c r="LGM58" s="1"/>
      <c r="LGN58" s="1"/>
      <c r="LGO58" s="1"/>
      <c r="LGP58" s="1"/>
      <c r="LGQ58" s="1"/>
      <c r="LGR58" s="1"/>
      <c r="LGS58" s="1"/>
      <c r="LGT58" s="1"/>
      <c r="LGU58" s="1"/>
      <c r="LGV58" s="1"/>
      <c r="LGW58" s="1"/>
      <c r="LGX58" s="1"/>
      <c r="LGY58" s="1"/>
      <c r="LGZ58" s="1"/>
      <c r="LHA58" s="1"/>
      <c r="LHB58" s="1"/>
      <c r="LHC58" s="1"/>
      <c r="LHD58" s="1"/>
      <c r="LHE58" s="1"/>
      <c r="LHF58" s="1"/>
      <c r="LHG58" s="1"/>
      <c r="LHH58" s="1"/>
      <c r="LHI58" s="1"/>
      <c r="LHJ58" s="1"/>
      <c r="LHK58" s="1"/>
      <c r="LHL58" s="1"/>
      <c r="LHM58" s="1"/>
      <c r="LHN58" s="1"/>
      <c r="LHO58" s="1"/>
      <c r="LHP58" s="1"/>
      <c r="LHQ58" s="1"/>
      <c r="LHR58" s="1"/>
      <c r="LHS58" s="1"/>
      <c r="LHT58" s="1"/>
      <c r="LHU58" s="1"/>
      <c r="LHV58" s="1"/>
      <c r="LHW58" s="1"/>
      <c r="LHX58" s="1"/>
      <c r="LHY58" s="1"/>
      <c r="LHZ58" s="1"/>
      <c r="LIA58" s="1"/>
      <c r="LIB58" s="1"/>
      <c r="LIC58" s="1"/>
      <c r="LID58" s="1"/>
      <c r="LIE58" s="1"/>
      <c r="LIF58" s="1"/>
      <c r="LIG58" s="1"/>
      <c r="LIH58" s="1"/>
      <c r="LII58" s="1"/>
      <c r="LIJ58" s="1"/>
      <c r="LIK58" s="1"/>
      <c r="LIL58" s="1"/>
      <c r="LIM58" s="1"/>
      <c r="LIN58" s="1"/>
      <c r="LIO58" s="1"/>
      <c r="LIP58" s="1"/>
      <c r="LIQ58" s="1"/>
      <c r="LIR58" s="1"/>
      <c r="LIS58" s="1"/>
      <c r="LIT58" s="1"/>
      <c r="LIU58" s="1"/>
      <c r="LIV58" s="1"/>
      <c r="LIW58" s="1"/>
      <c r="LIX58" s="1"/>
      <c r="LIY58" s="1"/>
      <c r="LIZ58" s="1"/>
      <c r="LJA58" s="1"/>
      <c r="LJB58" s="1"/>
      <c r="LJC58" s="1"/>
      <c r="LJD58" s="1"/>
      <c r="LJE58" s="1"/>
      <c r="LJF58" s="1"/>
      <c r="LJG58" s="1"/>
      <c r="LJH58" s="1"/>
      <c r="LJI58" s="1"/>
      <c r="LJJ58" s="1"/>
      <c r="LJK58" s="1"/>
      <c r="LJL58" s="1"/>
      <c r="LJM58" s="1"/>
      <c r="LJN58" s="1"/>
      <c r="LJO58" s="1"/>
      <c r="LJP58" s="1"/>
      <c r="LJQ58" s="1"/>
      <c r="LJR58" s="1"/>
      <c r="LJS58" s="1"/>
      <c r="LJT58" s="1"/>
      <c r="LJU58" s="1"/>
      <c r="LJV58" s="1"/>
      <c r="LJW58" s="1"/>
      <c r="LJX58" s="1"/>
      <c r="LJY58" s="1"/>
      <c r="LJZ58" s="1"/>
      <c r="LKA58" s="1"/>
      <c r="LKB58" s="1"/>
      <c r="LKC58" s="1"/>
      <c r="LKD58" s="1"/>
      <c r="LKE58" s="1"/>
      <c r="LKF58" s="1"/>
      <c r="LKG58" s="1"/>
      <c r="LKH58" s="1"/>
      <c r="LKI58" s="1"/>
      <c r="LKJ58" s="1"/>
      <c r="LKK58" s="1"/>
      <c r="LKL58" s="1"/>
      <c r="LKM58" s="1"/>
      <c r="LKN58" s="1"/>
      <c r="LKO58" s="1"/>
      <c r="LKP58" s="1"/>
      <c r="LKQ58" s="1"/>
      <c r="LKR58" s="1"/>
      <c r="LKS58" s="1"/>
      <c r="LKT58" s="1"/>
      <c r="LKU58" s="1"/>
      <c r="LKV58" s="1"/>
      <c r="LKW58" s="1"/>
      <c r="LKX58" s="1"/>
      <c r="LKY58" s="1"/>
      <c r="LKZ58" s="1"/>
      <c r="LLA58" s="1"/>
      <c r="LLB58" s="1"/>
      <c r="LLC58" s="1"/>
      <c r="LLD58" s="1"/>
      <c r="LLE58" s="1"/>
      <c r="LLF58" s="1"/>
      <c r="LLG58" s="1"/>
      <c r="LLH58" s="1"/>
      <c r="LLI58" s="1"/>
      <c r="LLJ58" s="1"/>
      <c r="LLK58" s="1"/>
      <c r="LLL58" s="1"/>
      <c r="LLM58" s="1"/>
      <c r="LLN58" s="1"/>
      <c r="LLO58" s="1"/>
      <c r="LLP58" s="1"/>
      <c r="LLQ58" s="1"/>
      <c r="LLR58" s="1"/>
      <c r="LLS58" s="1"/>
      <c r="LLT58" s="1"/>
      <c r="LLU58" s="1"/>
      <c r="LLV58" s="1"/>
      <c r="LLW58" s="1"/>
      <c r="LLX58" s="1"/>
      <c r="LLY58" s="1"/>
      <c r="LLZ58" s="1"/>
      <c r="LMA58" s="1"/>
      <c r="LMB58" s="1"/>
      <c r="LMC58" s="1"/>
      <c r="LMD58" s="1"/>
      <c r="LME58" s="1"/>
      <c r="LMF58" s="1"/>
      <c r="LMG58" s="1"/>
      <c r="LMH58" s="1"/>
      <c r="LMI58" s="1"/>
      <c r="LMJ58" s="1"/>
      <c r="LMK58" s="1"/>
      <c r="LML58" s="1"/>
      <c r="LMM58" s="1"/>
      <c r="LMN58" s="1"/>
      <c r="LMO58" s="1"/>
      <c r="LMP58" s="1"/>
      <c r="LMQ58" s="1"/>
      <c r="LMR58" s="1"/>
      <c r="LMS58" s="1"/>
      <c r="LMT58" s="1"/>
      <c r="LMU58" s="1"/>
      <c r="LMV58" s="1"/>
      <c r="LMW58" s="1"/>
      <c r="LMX58" s="1"/>
      <c r="LMY58" s="1"/>
      <c r="LMZ58" s="1"/>
      <c r="LNA58" s="1"/>
      <c r="LNB58" s="1"/>
      <c r="LNC58" s="1"/>
      <c r="LND58" s="1"/>
      <c r="LNE58" s="1"/>
      <c r="LNF58" s="1"/>
      <c r="LNG58" s="1"/>
      <c r="LNH58" s="1"/>
      <c r="LNI58" s="1"/>
      <c r="LNJ58" s="1"/>
      <c r="LNK58" s="1"/>
      <c r="LNL58" s="1"/>
      <c r="LNM58" s="1"/>
      <c r="LNN58" s="1"/>
      <c r="LNO58" s="1"/>
      <c r="LNP58" s="1"/>
      <c r="LNQ58" s="1"/>
      <c r="LNR58" s="1"/>
      <c r="LNS58" s="1"/>
      <c r="LNT58" s="1"/>
      <c r="LNU58" s="1"/>
      <c r="LNV58" s="1"/>
      <c r="LNW58" s="1"/>
      <c r="LNX58" s="1"/>
      <c r="LNY58" s="1"/>
      <c r="LNZ58" s="1"/>
      <c r="LOA58" s="1"/>
      <c r="LOB58" s="1"/>
      <c r="LOC58" s="1"/>
      <c r="LOD58" s="1"/>
      <c r="LOE58" s="1"/>
      <c r="LOF58" s="1"/>
      <c r="LOG58" s="1"/>
      <c r="LOH58" s="1"/>
      <c r="LOI58" s="1"/>
      <c r="LOJ58" s="1"/>
      <c r="LOK58" s="1"/>
      <c r="LOL58" s="1"/>
      <c r="LOM58" s="1"/>
      <c r="LON58" s="1"/>
      <c r="LOO58" s="1"/>
      <c r="LOP58" s="1"/>
      <c r="LOQ58" s="1"/>
      <c r="LOR58" s="1"/>
      <c r="LOS58" s="1"/>
      <c r="LOT58" s="1"/>
      <c r="LOU58" s="1"/>
      <c r="LOV58" s="1"/>
      <c r="LOW58" s="1"/>
      <c r="LOX58" s="1"/>
      <c r="LOY58" s="1"/>
      <c r="LOZ58" s="1"/>
      <c r="LPA58" s="1"/>
      <c r="LPB58" s="1"/>
      <c r="LPC58" s="1"/>
      <c r="LPD58" s="1"/>
      <c r="LPE58" s="1"/>
      <c r="LPF58" s="1"/>
      <c r="LPG58" s="1"/>
      <c r="LPH58" s="1"/>
      <c r="LPI58" s="1"/>
      <c r="LPJ58" s="1"/>
      <c r="LPK58" s="1"/>
      <c r="LPL58" s="1"/>
      <c r="LPM58" s="1"/>
      <c r="LPN58" s="1"/>
      <c r="LPO58" s="1"/>
      <c r="LPP58" s="1"/>
      <c r="LPQ58" s="1"/>
      <c r="LPR58" s="1"/>
      <c r="LPS58" s="1"/>
      <c r="LPT58" s="1"/>
      <c r="LPU58" s="1"/>
      <c r="LPV58" s="1"/>
      <c r="LPW58" s="1"/>
      <c r="LPX58" s="1"/>
      <c r="LPY58" s="1"/>
      <c r="LPZ58" s="1"/>
      <c r="LQA58" s="1"/>
      <c r="LQB58" s="1"/>
      <c r="LQC58" s="1"/>
      <c r="LQD58" s="1"/>
      <c r="LQE58" s="1"/>
      <c r="LQF58" s="1"/>
      <c r="LQG58" s="1"/>
      <c r="LQH58" s="1"/>
      <c r="LQI58" s="1"/>
      <c r="LQJ58" s="1"/>
      <c r="LQK58" s="1"/>
      <c r="LQL58" s="1"/>
      <c r="LQM58" s="1"/>
      <c r="LQN58" s="1"/>
      <c r="LQO58" s="1"/>
      <c r="LQP58" s="1"/>
      <c r="LQQ58" s="1"/>
      <c r="LQR58" s="1"/>
      <c r="LQS58" s="1"/>
      <c r="LQT58" s="1"/>
      <c r="LQU58" s="1"/>
      <c r="LQV58" s="1"/>
      <c r="LQW58" s="1"/>
      <c r="LQX58" s="1"/>
      <c r="LQY58" s="1"/>
      <c r="LQZ58" s="1"/>
      <c r="LRA58" s="1"/>
      <c r="LRB58" s="1"/>
      <c r="LRC58" s="1"/>
      <c r="LRD58" s="1"/>
      <c r="LRE58" s="1"/>
      <c r="LRF58" s="1"/>
      <c r="LRG58" s="1"/>
      <c r="LRH58" s="1"/>
      <c r="LRI58" s="1"/>
      <c r="LRJ58" s="1"/>
      <c r="LRK58" s="1"/>
      <c r="LRL58" s="1"/>
      <c r="LRM58" s="1"/>
      <c r="LRN58" s="1"/>
      <c r="LRO58" s="1"/>
      <c r="LRP58" s="1"/>
      <c r="LRQ58" s="1"/>
      <c r="LRR58" s="1"/>
      <c r="LRS58" s="1"/>
      <c r="LRT58" s="1"/>
      <c r="LRU58" s="1"/>
      <c r="LRV58" s="1"/>
      <c r="LRW58" s="1"/>
      <c r="LRX58" s="1"/>
      <c r="LRY58" s="1"/>
      <c r="LRZ58" s="1"/>
      <c r="LSA58" s="1"/>
      <c r="LSB58" s="1"/>
      <c r="LSC58" s="1"/>
      <c r="LSD58" s="1"/>
      <c r="LSE58" s="1"/>
      <c r="LSF58" s="1"/>
      <c r="LSG58" s="1"/>
      <c r="LSH58" s="1"/>
      <c r="LSI58" s="1"/>
      <c r="LSJ58" s="1"/>
      <c r="LSK58" s="1"/>
      <c r="LSL58" s="1"/>
      <c r="LSM58" s="1"/>
      <c r="LSN58" s="1"/>
      <c r="LSO58" s="1"/>
      <c r="LSP58" s="1"/>
      <c r="LSQ58" s="1"/>
      <c r="LSR58" s="1"/>
      <c r="LSS58" s="1"/>
      <c r="LST58" s="1"/>
      <c r="LSU58" s="1"/>
      <c r="LSV58" s="1"/>
      <c r="LSW58" s="1"/>
      <c r="LSX58" s="1"/>
      <c r="LSY58" s="1"/>
      <c r="LSZ58" s="1"/>
      <c r="LTA58" s="1"/>
      <c r="LTB58" s="1"/>
      <c r="LTC58" s="1"/>
      <c r="LTD58" s="1"/>
      <c r="LTE58" s="1"/>
      <c r="LTF58" s="1"/>
      <c r="LTG58" s="1"/>
      <c r="LTH58" s="1"/>
      <c r="LTI58" s="1"/>
      <c r="LTJ58" s="1"/>
      <c r="LTK58" s="1"/>
      <c r="LTL58" s="1"/>
      <c r="LTM58" s="1"/>
      <c r="LTN58" s="1"/>
      <c r="LTO58" s="1"/>
      <c r="LTP58" s="1"/>
      <c r="LTQ58" s="1"/>
      <c r="LTR58" s="1"/>
      <c r="LTS58" s="1"/>
      <c r="LTT58" s="1"/>
      <c r="LTU58" s="1"/>
      <c r="LTV58" s="1"/>
      <c r="LTW58" s="1"/>
      <c r="LTX58" s="1"/>
      <c r="LTY58" s="1"/>
      <c r="LTZ58" s="1"/>
      <c r="LUA58" s="1"/>
      <c r="LUB58" s="1"/>
      <c r="LUC58" s="1"/>
      <c r="LUD58" s="1"/>
      <c r="LUE58" s="1"/>
      <c r="LUF58" s="1"/>
      <c r="LUG58" s="1"/>
      <c r="LUH58" s="1"/>
      <c r="LUI58" s="1"/>
      <c r="LUJ58" s="1"/>
      <c r="LUK58" s="1"/>
      <c r="LUL58" s="1"/>
      <c r="LUM58" s="1"/>
      <c r="LUN58" s="1"/>
      <c r="LUO58" s="1"/>
      <c r="LUP58" s="1"/>
      <c r="LUQ58" s="1"/>
      <c r="LUR58" s="1"/>
      <c r="LUS58" s="1"/>
      <c r="LUT58" s="1"/>
      <c r="LUU58" s="1"/>
      <c r="LUV58" s="1"/>
      <c r="LUW58" s="1"/>
      <c r="LUX58" s="1"/>
      <c r="LUY58" s="1"/>
      <c r="LUZ58" s="1"/>
      <c r="LVA58" s="1"/>
      <c r="LVB58" s="1"/>
      <c r="LVC58" s="1"/>
      <c r="LVD58" s="1"/>
      <c r="LVE58" s="1"/>
      <c r="LVF58" s="1"/>
      <c r="LVG58" s="1"/>
      <c r="LVH58" s="1"/>
      <c r="LVI58" s="1"/>
      <c r="LVJ58" s="1"/>
      <c r="LVK58" s="1"/>
      <c r="LVL58" s="1"/>
      <c r="LVM58" s="1"/>
      <c r="LVN58" s="1"/>
      <c r="LVO58" s="1"/>
      <c r="LVP58" s="1"/>
      <c r="LVQ58" s="1"/>
      <c r="LVR58" s="1"/>
      <c r="LVS58" s="1"/>
      <c r="LVT58" s="1"/>
      <c r="LVU58" s="1"/>
      <c r="LVV58" s="1"/>
      <c r="LVW58" s="1"/>
      <c r="LVX58" s="1"/>
      <c r="LVY58" s="1"/>
      <c r="LVZ58" s="1"/>
      <c r="LWA58" s="1"/>
      <c r="LWB58" s="1"/>
      <c r="LWC58" s="1"/>
      <c r="LWD58" s="1"/>
      <c r="LWE58" s="1"/>
      <c r="LWF58" s="1"/>
      <c r="LWG58" s="1"/>
      <c r="LWH58" s="1"/>
      <c r="LWI58" s="1"/>
      <c r="LWJ58" s="1"/>
      <c r="LWK58" s="1"/>
      <c r="LWL58" s="1"/>
      <c r="LWM58" s="1"/>
      <c r="LWN58" s="1"/>
      <c r="LWO58" s="1"/>
      <c r="LWP58" s="1"/>
      <c r="LWQ58" s="1"/>
      <c r="LWR58" s="1"/>
      <c r="LWS58" s="1"/>
      <c r="LWT58" s="1"/>
      <c r="LWU58" s="1"/>
      <c r="LWV58" s="1"/>
      <c r="LWW58" s="1"/>
      <c r="LWX58" s="1"/>
      <c r="LWY58" s="1"/>
      <c r="LWZ58" s="1"/>
      <c r="LXA58" s="1"/>
      <c r="LXB58" s="1"/>
      <c r="LXC58" s="1"/>
      <c r="LXD58" s="1"/>
      <c r="LXE58" s="1"/>
      <c r="LXF58" s="1"/>
      <c r="LXG58" s="1"/>
      <c r="LXH58" s="1"/>
      <c r="LXI58" s="1"/>
      <c r="LXJ58" s="1"/>
      <c r="LXK58" s="1"/>
      <c r="LXL58" s="1"/>
      <c r="LXM58" s="1"/>
      <c r="LXN58" s="1"/>
      <c r="LXO58" s="1"/>
      <c r="LXP58" s="1"/>
      <c r="LXQ58" s="1"/>
      <c r="LXR58" s="1"/>
      <c r="LXS58" s="1"/>
      <c r="LXT58" s="1"/>
      <c r="LXU58" s="1"/>
      <c r="LXV58" s="1"/>
      <c r="LXW58" s="1"/>
      <c r="LXX58" s="1"/>
      <c r="LXY58" s="1"/>
      <c r="LXZ58" s="1"/>
      <c r="LYA58" s="1"/>
      <c r="LYB58" s="1"/>
      <c r="LYC58" s="1"/>
      <c r="LYD58" s="1"/>
      <c r="LYE58" s="1"/>
      <c r="LYF58" s="1"/>
      <c r="LYG58" s="1"/>
      <c r="LYH58" s="1"/>
      <c r="LYI58" s="1"/>
      <c r="LYJ58" s="1"/>
      <c r="LYK58" s="1"/>
      <c r="LYL58" s="1"/>
      <c r="LYM58" s="1"/>
      <c r="LYN58" s="1"/>
      <c r="LYO58" s="1"/>
      <c r="LYP58" s="1"/>
      <c r="LYQ58" s="1"/>
      <c r="LYR58" s="1"/>
      <c r="LYS58" s="1"/>
      <c r="LYT58" s="1"/>
      <c r="LYU58" s="1"/>
      <c r="LYV58" s="1"/>
      <c r="LYW58" s="1"/>
      <c r="LYX58" s="1"/>
      <c r="LYY58" s="1"/>
      <c r="LYZ58" s="1"/>
      <c r="LZA58" s="1"/>
      <c r="LZB58" s="1"/>
      <c r="LZC58" s="1"/>
      <c r="LZD58" s="1"/>
      <c r="LZE58" s="1"/>
      <c r="LZF58" s="1"/>
      <c r="LZG58" s="1"/>
      <c r="LZH58" s="1"/>
      <c r="LZI58" s="1"/>
      <c r="LZJ58" s="1"/>
      <c r="LZK58" s="1"/>
      <c r="LZL58" s="1"/>
      <c r="LZM58" s="1"/>
      <c r="LZN58" s="1"/>
      <c r="LZO58" s="1"/>
      <c r="LZP58" s="1"/>
      <c r="LZQ58" s="1"/>
      <c r="LZR58" s="1"/>
      <c r="LZS58" s="1"/>
      <c r="LZT58" s="1"/>
      <c r="LZU58" s="1"/>
      <c r="LZV58" s="1"/>
      <c r="LZW58" s="1"/>
      <c r="LZX58" s="1"/>
      <c r="LZY58" s="1"/>
      <c r="LZZ58" s="1"/>
      <c r="MAA58" s="1"/>
      <c r="MAB58" s="1"/>
      <c r="MAC58" s="1"/>
      <c r="MAD58" s="1"/>
      <c r="MAE58" s="1"/>
      <c r="MAF58" s="1"/>
      <c r="MAG58" s="1"/>
      <c r="MAH58" s="1"/>
      <c r="MAI58" s="1"/>
      <c r="MAJ58" s="1"/>
      <c r="MAK58" s="1"/>
      <c r="MAL58" s="1"/>
      <c r="MAM58" s="1"/>
      <c r="MAN58" s="1"/>
      <c r="MAO58" s="1"/>
      <c r="MAP58" s="1"/>
      <c r="MAQ58" s="1"/>
      <c r="MAR58" s="1"/>
      <c r="MAS58" s="1"/>
      <c r="MAT58" s="1"/>
      <c r="MAU58" s="1"/>
      <c r="MAV58" s="1"/>
      <c r="MAW58" s="1"/>
      <c r="MAX58" s="1"/>
      <c r="MAY58" s="1"/>
      <c r="MAZ58" s="1"/>
      <c r="MBA58" s="1"/>
      <c r="MBB58" s="1"/>
      <c r="MBC58" s="1"/>
      <c r="MBD58" s="1"/>
      <c r="MBE58" s="1"/>
      <c r="MBF58" s="1"/>
      <c r="MBG58" s="1"/>
      <c r="MBH58" s="1"/>
      <c r="MBI58" s="1"/>
      <c r="MBJ58" s="1"/>
      <c r="MBK58" s="1"/>
      <c r="MBL58" s="1"/>
      <c r="MBM58" s="1"/>
      <c r="MBN58" s="1"/>
      <c r="MBO58" s="1"/>
      <c r="MBP58" s="1"/>
      <c r="MBQ58" s="1"/>
      <c r="MBR58" s="1"/>
      <c r="MBS58" s="1"/>
      <c r="MBT58" s="1"/>
      <c r="MBU58" s="1"/>
      <c r="MBV58" s="1"/>
      <c r="MBW58" s="1"/>
      <c r="MBX58" s="1"/>
      <c r="MBY58" s="1"/>
      <c r="MBZ58" s="1"/>
      <c r="MCA58" s="1"/>
      <c r="MCB58" s="1"/>
      <c r="MCC58" s="1"/>
      <c r="MCD58" s="1"/>
      <c r="MCE58" s="1"/>
      <c r="MCF58" s="1"/>
      <c r="MCG58" s="1"/>
      <c r="MCH58" s="1"/>
      <c r="MCI58" s="1"/>
      <c r="MCJ58" s="1"/>
      <c r="MCK58" s="1"/>
      <c r="MCL58" s="1"/>
      <c r="MCM58" s="1"/>
      <c r="MCN58" s="1"/>
      <c r="MCO58" s="1"/>
      <c r="MCP58" s="1"/>
      <c r="MCQ58" s="1"/>
      <c r="MCR58" s="1"/>
      <c r="MCS58" s="1"/>
      <c r="MCT58" s="1"/>
      <c r="MCU58" s="1"/>
      <c r="MCV58" s="1"/>
      <c r="MCW58" s="1"/>
      <c r="MCX58" s="1"/>
      <c r="MCY58" s="1"/>
      <c r="MCZ58" s="1"/>
      <c r="MDA58" s="1"/>
      <c r="MDB58" s="1"/>
      <c r="MDC58" s="1"/>
      <c r="MDD58" s="1"/>
      <c r="MDE58" s="1"/>
      <c r="MDF58" s="1"/>
      <c r="MDG58" s="1"/>
      <c r="MDH58" s="1"/>
      <c r="MDI58" s="1"/>
      <c r="MDJ58" s="1"/>
      <c r="MDK58" s="1"/>
      <c r="MDL58" s="1"/>
      <c r="MDM58" s="1"/>
      <c r="MDN58" s="1"/>
      <c r="MDO58" s="1"/>
      <c r="MDP58" s="1"/>
      <c r="MDQ58" s="1"/>
      <c r="MDR58" s="1"/>
      <c r="MDS58" s="1"/>
      <c r="MDT58" s="1"/>
      <c r="MDU58" s="1"/>
      <c r="MDV58" s="1"/>
      <c r="MDW58" s="1"/>
      <c r="MDX58" s="1"/>
      <c r="MDY58" s="1"/>
      <c r="MDZ58" s="1"/>
      <c r="MEA58" s="1"/>
      <c r="MEB58" s="1"/>
      <c r="MEC58" s="1"/>
      <c r="MED58" s="1"/>
      <c r="MEE58" s="1"/>
      <c r="MEF58" s="1"/>
      <c r="MEG58" s="1"/>
      <c r="MEH58" s="1"/>
      <c r="MEI58" s="1"/>
      <c r="MEJ58" s="1"/>
      <c r="MEK58" s="1"/>
      <c r="MEL58" s="1"/>
      <c r="MEM58" s="1"/>
      <c r="MEN58" s="1"/>
      <c r="MEO58" s="1"/>
      <c r="MEP58" s="1"/>
      <c r="MEQ58" s="1"/>
      <c r="MER58" s="1"/>
      <c r="MES58" s="1"/>
      <c r="MET58" s="1"/>
      <c r="MEU58" s="1"/>
      <c r="MEV58" s="1"/>
      <c r="MEW58" s="1"/>
      <c r="MEX58" s="1"/>
      <c r="MEY58" s="1"/>
      <c r="MEZ58" s="1"/>
      <c r="MFA58" s="1"/>
      <c r="MFB58" s="1"/>
      <c r="MFC58" s="1"/>
      <c r="MFD58" s="1"/>
      <c r="MFE58" s="1"/>
      <c r="MFF58" s="1"/>
      <c r="MFG58" s="1"/>
      <c r="MFH58" s="1"/>
      <c r="MFI58" s="1"/>
      <c r="MFJ58" s="1"/>
      <c r="MFK58" s="1"/>
      <c r="MFL58" s="1"/>
      <c r="MFM58" s="1"/>
      <c r="MFN58" s="1"/>
      <c r="MFO58" s="1"/>
      <c r="MFP58" s="1"/>
      <c r="MFQ58" s="1"/>
      <c r="MFR58" s="1"/>
      <c r="MFS58" s="1"/>
      <c r="MFT58" s="1"/>
      <c r="MFU58" s="1"/>
      <c r="MFV58" s="1"/>
      <c r="MFW58" s="1"/>
      <c r="MFX58" s="1"/>
      <c r="MFY58" s="1"/>
      <c r="MFZ58" s="1"/>
      <c r="MGA58" s="1"/>
      <c r="MGB58" s="1"/>
      <c r="MGC58" s="1"/>
      <c r="MGD58" s="1"/>
      <c r="MGE58" s="1"/>
      <c r="MGF58" s="1"/>
      <c r="MGG58" s="1"/>
      <c r="MGH58" s="1"/>
      <c r="MGI58" s="1"/>
      <c r="MGJ58" s="1"/>
      <c r="MGK58" s="1"/>
      <c r="MGL58" s="1"/>
      <c r="MGM58" s="1"/>
      <c r="MGN58" s="1"/>
      <c r="MGO58" s="1"/>
      <c r="MGP58" s="1"/>
      <c r="MGQ58" s="1"/>
      <c r="MGR58" s="1"/>
      <c r="MGS58" s="1"/>
      <c r="MGT58" s="1"/>
      <c r="MGU58" s="1"/>
      <c r="MGV58" s="1"/>
      <c r="MGW58" s="1"/>
      <c r="MGX58" s="1"/>
      <c r="MGY58" s="1"/>
      <c r="MGZ58" s="1"/>
      <c r="MHA58" s="1"/>
      <c r="MHB58" s="1"/>
      <c r="MHC58" s="1"/>
      <c r="MHD58" s="1"/>
      <c r="MHE58" s="1"/>
      <c r="MHF58" s="1"/>
      <c r="MHG58" s="1"/>
      <c r="MHH58" s="1"/>
      <c r="MHI58" s="1"/>
      <c r="MHJ58" s="1"/>
      <c r="MHK58" s="1"/>
      <c r="MHL58" s="1"/>
      <c r="MHM58" s="1"/>
      <c r="MHN58" s="1"/>
      <c r="MHO58" s="1"/>
      <c r="MHP58" s="1"/>
      <c r="MHQ58" s="1"/>
      <c r="MHR58" s="1"/>
      <c r="MHS58" s="1"/>
      <c r="MHT58" s="1"/>
      <c r="MHU58" s="1"/>
      <c r="MHV58" s="1"/>
      <c r="MHW58" s="1"/>
      <c r="MHX58" s="1"/>
      <c r="MHY58" s="1"/>
      <c r="MHZ58" s="1"/>
      <c r="MIA58" s="1"/>
      <c r="MIB58" s="1"/>
      <c r="MIC58" s="1"/>
      <c r="MID58" s="1"/>
      <c r="MIE58" s="1"/>
      <c r="MIF58" s="1"/>
      <c r="MIG58" s="1"/>
      <c r="MIH58" s="1"/>
      <c r="MII58" s="1"/>
      <c r="MIJ58" s="1"/>
      <c r="MIK58" s="1"/>
      <c r="MIL58" s="1"/>
      <c r="MIM58" s="1"/>
      <c r="MIN58" s="1"/>
      <c r="MIO58" s="1"/>
      <c r="MIP58" s="1"/>
      <c r="MIQ58" s="1"/>
      <c r="MIR58" s="1"/>
      <c r="MIS58" s="1"/>
      <c r="MIT58" s="1"/>
      <c r="MIU58" s="1"/>
      <c r="MIV58" s="1"/>
      <c r="MIW58" s="1"/>
      <c r="MIX58" s="1"/>
      <c r="MIY58" s="1"/>
      <c r="MIZ58" s="1"/>
      <c r="MJA58" s="1"/>
      <c r="MJB58" s="1"/>
      <c r="MJC58" s="1"/>
      <c r="MJD58" s="1"/>
      <c r="MJE58" s="1"/>
      <c r="MJF58" s="1"/>
      <c r="MJG58" s="1"/>
      <c r="MJH58" s="1"/>
      <c r="MJI58" s="1"/>
      <c r="MJJ58" s="1"/>
      <c r="MJK58" s="1"/>
      <c r="MJL58" s="1"/>
      <c r="MJM58" s="1"/>
      <c r="MJN58" s="1"/>
      <c r="MJO58" s="1"/>
      <c r="MJP58" s="1"/>
      <c r="MJQ58" s="1"/>
      <c r="MJR58" s="1"/>
      <c r="MJS58" s="1"/>
      <c r="MJT58" s="1"/>
      <c r="MJU58" s="1"/>
      <c r="MJV58" s="1"/>
      <c r="MJW58" s="1"/>
      <c r="MJX58" s="1"/>
      <c r="MJY58" s="1"/>
      <c r="MJZ58" s="1"/>
      <c r="MKA58" s="1"/>
      <c r="MKB58" s="1"/>
      <c r="MKC58" s="1"/>
      <c r="MKD58" s="1"/>
      <c r="MKE58" s="1"/>
      <c r="MKF58" s="1"/>
      <c r="MKG58" s="1"/>
      <c r="MKH58" s="1"/>
      <c r="MKI58" s="1"/>
      <c r="MKJ58" s="1"/>
      <c r="MKK58" s="1"/>
      <c r="MKL58" s="1"/>
      <c r="MKM58" s="1"/>
      <c r="MKN58" s="1"/>
      <c r="MKO58" s="1"/>
      <c r="MKP58" s="1"/>
      <c r="MKQ58" s="1"/>
      <c r="MKR58" s="1"/>
      <c r="MKS58" s="1"/>
      <c r="MKT58" s="1"/>
      <c r="MKU58" s="1"/>
      <c r="MKV58" s="1"/>
      <c r="MKW58" s="1"/>
      <c r="MKX58" s="1"/>
      <c r="MKY58" s="1"/>
      <c r="MKZ58" s="1"/>
      <c r="MLA58" s="1"/>
      <c r="MLB58" s="1"/>
      <c r="MLC58" s="1"/>
      <c r="MLD58" s="1"/>
      <c r="MLE58" s="1"/>
      <c r="MLF58" s="1"/>
      <c r="MLG58" s="1"/>
      <c r="MLH58" s="1"/>
      <c r="MLI58" s="1"/>
      <c r="MLJ58" s="1"/>
      <c r="MLK58" s="1"/>
      <c r="MLL58" s="1"/>
      <c r="MLM58" s="1"/>
      <c r="MLN58" s="1"/>
      <c r="MLO58" s="1"/>
      <c r="MLP58" s="1"/>
      <c r="MLQ58" s="1"/>
      <c r="MLR58" s="1"/>
      <c r="MLS58" s="1"/>
      <c r="MLT58" s="1"/>
      <c r="MLU58" s="1"/>
      <c r="MLV58" s="1"/>
      <c r="MLW58" s="1"/>
      <c r="MLX58" s="1"/>
      <c r="MLY58" s="1"/>
      <c r="MLZ58" s="1"/>
      <c r="MMA58" s="1"/>
      <c r="MMB58" s="1"/>
      <c r="MMC58" s="1"/>
      <c r="MMD58" s="1"/>
      <c r="MME58" s="1"/>
      <c r="MMF58" s="1"/>
      <c r="MMG58" s="1"/>
      <c r="MMH58" s="1"/>
      <c r="MMI58" s="1"/>
      <c r="MMJ58" s="1"/>
      <c r="MMK58" s="1"/>
      <c r="MML58" s="1"/>
      <c r="MMM58" s="1"/>
      <c r="MMN58" s="1"/>
      <c r="MMO58" s="1"/>
      <c r="MMP58" s="1"/>
      <c r="MMQ58" s="1"/>
      <c r="MMR58" s="1"/>
      <c r="MMS58" s="1"/>
      <c r="MMT58" s="1"/>
      <c r="MMU58" s="1"/>
      <c r="MMV58" s="1"/>
      <c r="MMW58" s="1"/>
      <c r="MMX58" s="1"/>
      <c r="MMY58" s="1"/>
      <c r="MMZ58" s="1"/>
      <c r="MNA58" s="1"/>
      <c r="MNB58" s="1"/>
      <c r="MNC58" s="1"/>
      <c r="MND58" s="1"/>
      <c r="MNE58" s="1"/>
      <c r="MNF58" s="1"/>
      <c r="MNG58" s="1"/>
      <c r="MNH58" s="1"/>
      <c r="MNI58" s="1"/>
      <c r="MNJ58" s="1"/>
      <c r="MNK58" s="1"/>
      <c r="MNL58" s="1"/>
      <c r="MNM58" s="1"/>
      <c r="MNN58" s="1"/>
      <c r="MNO58" s="1"/>
      <c r="MNP58" s="1"/>
      <c r="MNQ58" s="1"/>
      <c r="MNR58" s="1"/>
      <c r="MNS58" s="1"/>
      <c r="MNT58" s="1"/>
      <c r="MNU58" s="1"/>
      <c r="MNV58" s="1"/>
      <c r="MNW58" s="1"/>
      <c r="MNX58" s="1"/>
      <c r="MNY58" s="1"/>
      <c r="MNZ58" s="1"/>
      <c r="MOA58" s="1"/>
      <c r="MOB58" s="1"/>
      <c r="MOC58" s="1"/>
      <c r="MOD58" s="1"/>
      <c r="MOE58" s="1"/>
      <c r="MOF58" s="1"/>
      <c r="MOG58" s="1"/>
      <c r="MOH58" s="1"/>
      <c r="MOI58" s="1"/>
      <c r="MOJ58" s="1"/>
      <c r="MOK58" s="1"/>
      <c r="MOL58" s="1"/>
      <c r="MOM58" s="1"/>
      <c r="MON58" s="1"/>
      <c r="MOO58" s="1"/>
      <c r="MOP58" s="1"/>
      <c r="MOQ58" s="1"/>
      <c r="MOR58" s="1"/>
      <c r="MOS58" s="1"/>
      <c r="MOT58" s="1"/>
      <c r="MOU58" s="1"/>
      <c r="MOV58" s="1"/>
      <c r="MOW58" s="1"/>
      <c r="MOX58" s="1"/>
      <c r="MOY58" s="1"/>
      <c r="MOZ58" s="1"/>
      <c r="MPA58" s="1"/>
      <c r="MPB58" s="1"/>
      <c r="MPC58" s="1"/>
      <c r="MPD58" s="1"/>
      <c r="MPE58" s="1"/>
      <c r="MPF58" s="1"/>
      <c r="MPG58" s="1"/>
      <c r="MPH58" s="1"/>
      <c r="MPI58" s="1"/>
      <c r="MPJ58" s="1"/>
      <c r="MPK58" s="1"/>
      <c r="MPL58" s="1"/>
      <c r="MPM58" s="1"/>
      <c r="MPN58" s="1"/>
      <c r="MPO58" s="1"/>
      <c r="MPP58" s="1"/>
      <c r="MPQ58" s="1"/>
      <c r="MPR58" s="1"/>
      <c r="MPS58" s="1"/>
      <c r="MPT58" s="1"/>
      <c r="MPU58" s="1"/>
      <c r="MPV58" s="1"/>
      <c r="MPW58" s="1"/>
      <c r="MPX58" s="1"/>
      <c r="MPY58" s="1"/>
      <c r="MPZ58" s="1"/>
      <c r="MQA58" s="1"/>
      <c r="MQB58" s="1"/>
      <c r="MQC58" s="1"/>
      <c r="MQD58" s="1"/>
      <c r="MQE58" s="1"/>
      <c r="MQF58" s="1"/>
      <c r="MQG58" s="1"/>
      <c r="MQH58" s="1"/>
      <c r="MQI58" s="1"/>
      <c r="MQJ58" s="1"/>
      <c r="MQK58" s="1"/>
      <c r="MQL58" s="1"/>
      <c r="MQM58" s="1"/>
      <c r="MQN58" s="1"/>
      <c r="MQO58" s="1"/>
      <c r="MQP58" s="1"/>
      <c r="MQQ58" s="1"/>
      <c r="MQR58" s="1"/>
      <c r="MQS58" s="1"/>
      <c r="MQT58" s="1"/>
      <c r="MQU58" s="1"/>
      <c r="MQV58" s="1"/>
      <c r="MQW58" s="1"/>
      <c r="MQX58" s="1"/>
      <c r="MQY58" s="1"/>
      <c r="MQZ58" s="1"/>
      <c r="MRA58" s="1"/>
      <c r="MRB58" s="1"/>
      <c r="MRC58" s="1"/>
      <c r="MRD58" s="1"/>
      <c r="MRE58" s="1"/>
      <c r="MRF58" s="1"/>
      <c r="MRG58" s="1"/>
      <c r="MRH58" s="1"/>
      <c r="MRI58" s="1"/>
      <c r="MRJ58" s="1"/>
      <c r="MRK58" s="1"/>
      <c r="MRL58" s="1"/>
      <c r="MRM58" s="1"/>
      <c r="MRN58" s="1"/>
      <c r="MRO58" s="1"/>
      <c r="MRP58" s="1"/>
      <c r="MRQ58" s="1"/>
      <c r="MRR58" s="1"/>
      <c r="MRS58" s="1"/>
      <c r="MRT58" s="1"/>
      <c r="MRU58" s="1"/>
      <c r="MRV58" s="1"/>
      <c r="MRW58" s="1"/>
      <c r="MRX58" s="1"/>
      <c r="MRY58" s="1"/>
      <c r="MRZ58" s="1"/>
      <c r="MSA58" s="1"/>
      <c r="MSB58" s="1"/>
      <c r="MSC58" s="1"/>
      <c r="MSD58" s="1"/>
      <c r="MSE58" s="1"/>
      <c r="MSF58" s="1"/>
      <c r="MSG58" s="1"/>
      <c r="MSH58" s="1"/>
      <c r="MSI58" s="1"/>
      <c r="MSJ58" s="1"/>
      <c r="MSK58" s="1"/>
      <c r="MSL58" s="1"/>
      <c r="MSM58" s="1"/>
      <c r="MSN58" s="1"/>
      <c r="MSO58" s="1"/>
      <c r="MSP58" s="1"/>
      <c r="MSQ58" s="1"/>
      <c r="MSR58" s="1"/>
      <c r="MSS58" s="1"/>
      <c r="MST58" s="1"/>
      <c r="MSU58" s="1"/>
      <c r="MSV58" s="1"/>
      <c r="MSW58" s="1"/>
      <c r="MSX58" s="1"/>
      <c r="MSY58" s="1"/>
      <c r="MSZ58" s="1"/>
      <c r="MTA58" s="1"/>
      <c r="MTB58" s="1"/>
      <c r="MTC58" s="1"/>
      <c r="MTD58" s="1"/>
      <c r="MTE58" s="1"/>
      <c r="MTF58" s="1"/>
      <c r="MTG58" s="1"/>
      <c r="MTH58" s="1"/>
      <c r="MTI58" s="1"/>
      <c r="MTJ58" s="1"/>
      <c r="MTK58" s="1"/>
      <c r="MTL58" s="1"/>
      <c r="MTM58" s="1"/>
      <c r="MTN58" s="1"/>
      <c r="MTO58" s="1"/>
      <c r="MTP58" s="1"/>
      <c r="MTQ58" s="1"/>
      <c r="MTR58" s="1"/>
      <c r="MTS58" s="1"/>
      <c r="MTT58" s="1"/>
      <c r="MTU58" s="1"/>
      <c r="MTV58" s="1"/>
      <c r="MTW58" s="1"/>
      <c r="MTX58" s="1"/>
      <c r="MTY58" s="1"/>
      <c r="MTZ58" s="1"/>
      <c r="MUA58" s="1"/>
      <c r="MUB58" s="1"/>
      <c r="MUC58" s="1"/>
      <c r="MUD58" s="1"/>
      <c r="MUE58" s="1"/>
      <c r="MUF58" s="1"/>
      <c r="MUG58" s="1"/>
      <c r="MUH58" s="1"/>
      <c r="MUI58" s="1"/>
      <c r="MUJ58" s="1"/>
      <c r="MUK58" s="1"/>
      <c r="MUL58" s="1"/>
      <c r="MUM58" s="1"/>
      <c r="MUN58" s="1"/>
      <c r="MUO58" s="1"/>
      <c r="MUP58" s="1"/>
      <c r="MUQ58" s="1"/>
      <c r="MUR58" s="1"/>
      <c r="MUS58" s="1"/>
      <c r="MUT58" s="1"/>
      <c r="MUU58" s="1"/>
      <c r="MUV58" s="1"/>
      <c r="MUW58" s="1"/>
      <c r="MUX58" s="1"/>
      <c r="MUY58" s="1"/>
      <c r="MUZ58" s="1"/>
      <c r="MVA58" s="1"/>
      <c r="MVB58" s="1"/>
      <c r="MVC58" s="1"/>
      <c r="MVD58" s="1"/>
      <c r="MVE58" s="1"/>
      <c r="MVF58" s="1"/>
      <c r="MVG58" s="1"/>
      <c r="MVH58" s="1"/>
      <c r="MVI58" s="1"/>
      <c r="MVJ58" s="1"/>
      <c r="MVK58" s="1"/>
      <c r="MVL58" s="1"/>
      <c r="MVM58" s="1"/>
      <c r="MVN58" s="1"/>
      <c r="MVO58" s="1"/>
      <c r="MVP58" s="1"/>
      <c r="MVQ58" s="1"/>
      <c r="MVR58" s="1"/>
      <c r="MVS58" s="1"/>
      <c r="MVT58" s="1"/>
      <c r="MVU58" s="1"/>
      <c r="MVV58" s="1"/>
      <c r="MVW58" s="1"/>
      <c r="MVX58" s="1"/>
      <c r="MVY58" s="1"/>
      <c r="MVZ58" s="1"/>
      <c r="MWA58" s="1"/>
      <c r="MWB58" s="1"/>
      <c r="MWC58" s="1"/>
      <c r="MWD58" s="1"/>
      <c r="MWE58" s="1"/>
      <c r="MWF58" s="1"/>
      <c r="MWG58" s="1"/>
      <c r="MWH58" s="1"/>
      <c r="MWI58" s="1"/>
      <c r="MWJ58" s="1"/>
      <c r="MWK58" s="1"/>
      <c r="MWL58" s="1"/>
      <c r="MWM58" s="1"/>
      <c r="MWN58" s="1"/>
      <c r="MWO58" s="1"/>
      <c r="MWP58" s="1"/>
      <c r="MWQ58" s="1"/>
      <c r="MWR58" s="1"/>
      <c r="MWS58" s="1"/>
      <c r="MWT58" s="1"/>
      <c r="MWU58" s="1"/>
      <c r="MWV58" s="1"/>
      <c r="MWW58" s="1"/>
      <c r="MWX58" s="1"/>
      <c r="MWY58" s="1"/>
      <c r="MWZ58" s="1"/>
      <c r="MXA58" s="1"/>
      <c r="MXB58" s="1"/>
      <c r="MXC58" s="1"/>
      <c r="MXD58" s="1"/>
      <c r="MXE58" s="1"/>
      <c r="MXF58" s="1"/>
      <c r="MXG58" s="1"/>
      <c r="MXH58" s="1"/>
      <c r="MXI58" s="1"/>
      <c r="MXJ58" s="1"/>
      <c r="MXK58" s="1"/>
      <c r="MXL58" s="1"/>
      <c r="MXM58" s="1"/>
      <c r="MXN58" s="1"/>
      <c r="MXO58" s="1"/>
      <c r="MXP58" s="1"/>
      <c r="MXQ58" s="1"/>
      <c r="MXR58" s="1"/>
      <c r="MXS58" s="1"/>
      <c r="MXT58" s="1"/>
      <c r="MXU58" s="1"/>
      <c r="MXV58" s="1"/>
      <c r="MXW58" s="1"/>
      <c r="MXX58" s="1"/>
      <c r="MXY58" s="1"/>
      <c r="MXZ58" s="1"/>
      <c r="MYA58" s="1"/>
      <c r="MYB58" s="1"/>
      <c r="MYC58" s="1"/>
      <c r="MYD58" s="1"/>
      <c r="MYE58" s="1"/>
      <c r="MYF58" s="1"/>
      <c r="MYG58" s="1"/>
      <c r="MYH58" s="1"/>
      <c r="MYI58" s="1"/>
      <c r="MYJ58" s="1"/>
      <c r="MYK58" s="1"/>
      <c r="MYL58" s="1"/>
      <c r="MYM58" s="1"/>
      <c r="MYN58" s="1"/>
      <c r="MYO58" s="1"/>
      <c r="MYP58" s="1"/>
      <c r="MYQ58" s="1"/>
      <c r="MYR58" s="1"/>
      <c r="MYS58" s="1"/>
      <c r="MYT58" s="1"/>
      <c r="MYU58" s="1"/>
      <c r="MYV58" s="1"/>
      <c r="MYW58" s="1"/>
      <c r="MYX58" s="1"/>
      <c r="MYY58" s="1"/>
      <c r="MYZ58" s="1"/>
      <c r="MZA58" s="1"/>
      <c r="MZB58" s="1"/>
      <c r="MZC58" s="1"/>
      <c r="MZD58" s="1"/>
      <c r="MZE58" s="1"/>
      <c r="MZF58" s="1"/>
      <c r="MZG58" s="1"/>
      <c r="MZH58" s="1"/>
      <c r="MZI58" s="1"/>
      <c r="MZJ58" s="1"/>
      <c r="MZK58" s="1"/>
      <c r="MZL58" s="1"/>
      <c r="MZM58" s="1"/>
      <c r="MZN58" s="1"/>
      <c r="MZO58" s="1"/>
      <c r="MZP58" s="1"/>
      <c r="MZQ58" s="1"/>
      <c r="MZR58" s="1"/>
      <c r="MZS58" s="1"/>
      <c r="MZT58" s="1"/>
      <c r="MZU58" s="1"/>
      <c r="MZV58" s="1"/>
      <c r="MZW58" s="1"/>
      <c r="MZX58" s="1"/>
      <c r="MZY58" s="1"/>
      <c r="MZZ58" s="1"/>
      <c r="NAA58" s="1"/>
      <c r="NAB58" s="1"/>
      <c r="NAC58" s="1"/>
      <c r="NAD58" s="1"/>
      <c r="NAE58" s="1"/>
      <c r="NAF58" s="1"/>
      <c r="NAG58" s="1"/>
      <c r="NAH58" s="1"/>
      <c r="NAI58" s="1"/>
      <c r="NAJ58" s="1"/>
      <c r="NAK58" s="1"/>
      <c r="NAL58" s="1"/>
      <c r="NAM58" s="1"/>
      <c r="NAN58" s="1"/>
      <c r="NAO58" s="1"/>
      <c r="NAP58" s="1"/>
      <c r="NAQ58" s="1"/>
      <c r="NAR58" s="1"/>
      <c r="NAS58" s="1"/>
      <c r="NAT58" s="1"/>
      <c r="NAU58" s="1"/>
      <c r="NAV58" s="1"/>
      <c r="NAW58" s="1"/>
      <c r="NAX58" s="1"/>
      <c r="NAY58" s="1"/>
      <c r="NAZ58" s="1"/>
      <c r="NBA58" s="1"/>
      <c r="NBB58" s="1"/>
      <c r="NBC58" s="1"/>
      <c r="NBD58" s="1"/>
      <c r="NBE58" s="1"/>
      <c r="NBF58" s="1"/>
      <c r="NBG58" s="1"/>
      <c r="NBH58" s="1"/>
      <c r="NBI58" s="1"/>
      <c r="NBJ58" s="1"/>
      <c r="NBK58" s="1"/>
      <c r="NBL58" s="1"/>
      <c r="NBM58" s="1"/>
      <c r="NBN58" s="1"/>
      <c r="NBO58" s="1"/>
      <c r="NBP58" s="1"/>
      <c r="NBQ58" s="1"/>
      <c r="NBR58" s="1"/>
      <c r="NBS58" s="1"/>
      <c r="NBT58" s="1"/>
      <c r="NBU58" s="1"/>
      <c r="NBV58" s="1"/>
      <c r="NBW58" s="1"/>
      <c r="NBX58" s="1"/>
      <c r="NBY58" s="1"/>
      <c r="NBZ58" s="1"/>
      <c r="NCA58" s="1"/>
      <c r="NCB58" s="1"/>
      <c r="NCC58" s="1"/>
      <c r="NCD58" s="1"/>
      <c r="NCE58" s="1"/>
      <c r="NCF58" s="1"/>
      <c r="NCG58" s="1"/>
      <c r="NCH58" s="1"/>
      <c r="NCI58" s="1"/>
      <c r="NCJ58" s="1"/>
      <c r="NCK58" s="1"/>
      <c r="NCL58" s="1"/>
      <c r="NCM58" s="1"/>
      <c r="NCN58" s="1"/>
      <c r="NCO58" s="1"/>
      <c r="NCP58" s="1"/>
      <c r="NCQ58" s="1"/>
      <c r="NCR58" s="1"/>
      <c r="NCS58" s="1"/>
      <c r="NCT58" s="1"/>
      <c r="NCU58" s="1"/>
      <c r="NCV58" s="1"/>
      <c r="NCW58" s="1"/>
      <c r="NCX58" s="1"/>
      <c r="NCY58" s="1"/>
      <c r="NCZ58" s="1"/>
      <c r="NDA58" s="1"/>
      <c r="NDB58" s="1"/>
      <c r="NDC58" s="1"/>
      <c r="NDD58" s="1"/>
      <c r="NDE58" s="1"/>
      <c r="NDF58" s="1"/>
      <c r="NDG58" s="1"/>
      <c r="NDH58" s="1"/>
      <c r="NDI58" s="1"/>
      <c r="NDJ58" s="1"/>
      <c r="NDK58" s="1"/>
      <c r="NDL58" s="1"/>
      <c r="NDM58" s="1"/>
      <c r="NDN58" s="1"/>
      <c r="NDO58" s="1"/>
      <c r="NDP58" s="1"/>
      <c r="NDQ58" s="1"/>
      <c r="NDR58" s="1"/>
      <c r="NDS58" s="1"/>
      <c r="NDT58" s="1"/>
      <c r="NDU58" s="1"/>
      <c r="NDV58" s="1"/>
      <c r="NDW58" s="1"/>
      <c r="NDX58" s="1"/>
      <c r="NDY58" s="1"/>
      <c r="NDZ58" s="1"/>
      <c r="NEA58" s="1"/>
      <c r="NEB58" s="1"/>
      <c r="NEC58" s="1"/>
      <c r="NED58" s="1"/>
      <c r="NEE58" s="1"/>
      <c r="NEF58" s="1"/>
      <c r="NEG58" s="1"/>
      <c r="NEH58" s="1"/>
      <c r="NEI58" s="1"/>
      <c r="NEJ58" s="1"/>
      <c r="NEK58" s="1"/>
      <c r="NEL58" s="1"/>
      <c r="NEM58" s="1"/>
      <c r="NEN58" s="1"/>
      <c r="NEO58" s="1"/>
      <c r="NEP58" s="1"/>
      <c r="NEQ58" s="1"/>
      <c r="NER58" s="1"/>
      <c r="NES58" s="1"/>
      <c r="NET58" s="1"/>
      <c r="NEU58" s="1"/>
      <c r="NEV58" s="1"/>
      <c r="NEW58" s="1"/>
      <c r="NEX58" s="1"/>
      <c r="NEY58" s="1"/>
      <c r="NEZ58" s="1"/>
      <c r="NFA58" s="1"/>
      <c r="NFB58" s="1"/>
      <c r="NFC58" s="1"/>
      <c r="NFD58" s="1"/>
      <c r="NFE58" s="1"/>
      <c r="NFF58" s="1"/>
      <c r="NFG58" s="1"/>
      <c r="NFH58" s="1"/>
      <c r="NFI58" s="1"/>
      <c r="NFJ58" s="1"/>
      <c r="NFK58" s="1"/>
      <c r="NFL58" s="1"/>
      <c r="NFM58" s="1"/>
      <c r="NFN58" s="1"/>
      <c r="NFO58" s="1"/>
      <c r="NFP58" s="1"/>
      <c r="NFQ58" s="1"/>
      <c r="NFR58" s="1"/>
      <c r="NFS58" s="1"/>
      <c r="NFT58" s="1"/>
      <c r="NFU58" s="1"/>
      <c r="NFV58" s="1"/>
      <c r="NFW58" s="1"/>
      <c r="NFX58" s="1"/>
      <c r="NFY58" s="1"/>
      <c r="NFZ58" s="1"/>
      <c r="NGA58" s="1"/>
      <c r="NGB58" s="1"/>
      <c r="NGC58" s="1"/>
      <c r="NGD58" s="1"/>
      <c r="NGE58" s="1"/>
      <c r="NGF58" s="1"/>
      <c r="NGG58" s="1"/>
      <c r="NGH58" s="1"/>
      <c r="NGI58" s="1"/>
      <c r="NGJ58" s="1"/>
      <c r="NGK58" s="1"/>
      <c r="NGL58" s="1"/>
      <c r="NGM58" s="1"/>
      <c r="NGN58" s="1"/>
      <c r="NGO58" s="1"/>
      <c r="NGP58" s="1"/>
      <c r="NGQ58" s="1"/>
      <c r="NGR58" s="1"/>
      <c r="NGS58" s="1"/>
      <c r="NGT58" s="1"/>
      <c r="NGU58" s="1"/>
      <c r="NGV58" s="1"/>
      <c r="NGW58" s="1"/>
      <c r="NGX58" s="1"/>
      <c r="NGY58" s="1"/>
      <c r="NGZ58" s="1"/>
      <c r="NHA58" s="1"/>
      <c r="NHB58" s="1"/>
      <c r="NHC58" s="1"/>
      <c r="NHD58" s="1"/>
      <c r="NHE58" s="1"/>
      <c r="NHF58" s="1"/>
      <c r="NHG58" s="1"/>
      <c r="NHH58" s="1"/>
      <c r="NHI58" s="1"/>
      <c r="NHJ58" s="1"/>
      <c r="NHK58" s="1"/>
      <c r="NHL58" s="1"/>
      <c r="NHM58" s="1"/>
      <c r="NHN58" s="1"/>
      <c r="NHO58" s="1"/>
      <c r="NHP58" s="1"/>
      <c r="NHQ58" s="1"/>
      <c r="NHR58" s="1"/>
      <c r="NHS58" s="1"/>
      <c r="NHT58" s="1"/>
      <c r="NHU58" s="1"/>
      <c r="NHV58" s="1"/>
      <c r="NHW58" s="1"/>
      <c r="NHX58" s="1"/>
      <c r="NHY58" s="1"/>
      <c r="NHZ58" s="1"/>
      <c r="NIA58" s="1"/>
      <c r="NIB58" s="1"/>
      <c r="NIC58" s="1"/>
      <c r="NID58" s="1"/>
      <c r="NIE58" s="1"/>
      <c r="NIF58" s="1"/>
      <c r="NIG58" s="1"/>
      <c r="NIH58" s="1"/>
      <c r="NII58" s="1"/>
      <c r="NIJ58" s="1"/>
      <c r="NIK58" s="1"/>
      <c r="NIL58" s="1"/>
      <c r="NIM58" s="1"/>
      <c r="NIN58" s="1"/>
      <c r="NIO58" s="1"/>
      <c r="NIP58" s="1"/>
      <c r="NIQ58" s="1"/>
      <c r="NIR58" s="1"/>
      <c r="NIS58" s="1"/>
      <c r="NIT58" s="1"/>
      <c r="NIU58" s="1"/>
      <c r="NIV58" s="1"/>
      <c r="NIW58" s="1"/>
      <c r="NIX58" s="1"/>
      <c r="NIY58" s="1"/>
      <c r="NIZ58" s="1"/>
      <c r="NJA58" s="1"/>
      <c r="NJB58" s="1"/>
      <c r="NJC58" s="1"/>
      <c r="NJD58" s="1"/>
      <c r="NJE58" s="1"/>
      <c r="NJF58" s="1"/>
      <c r="NJG58" s="1"/>
      <c r="NJH58" s="1"/>
      <c r="NJI58" s="1"/>
      <c r="NJJ58" s="1"/>
      <c r="NJK58" s="1"/>
      <c r="NJL58" s="1"/>
      <c r="NJM58" s="1"/>
      <c r="NJN58" s="1"/>
      <c r="NJO58" s="1"/>
      <c r="NJP58" s="1"/>
      <c r="NJQ58" s="1"/>
      <c r="NJR58" s="1"/>
      <c r="NJS58" s="1"/>
      <c r="NJT58" s="1"/>
      <c r="NJU58" s="1"/>
      <c r="NJV58" s="1"/>
      <c r="NJW58" s="1"/>
      <c r="NJX58" s="1"/>
      <c r="NJY58" s="1"/>
      <c r="NJZ58" s="1"/>
      <c r="NKA58" s="1"/>
      <c r="NKB58" s="1"/>
      <c r="NKC58" s="1"/>
      <c r="NKD58" s="1"/>
      <c r="NKE58" s="1"/>
      <c r="NKF58" s="1"/>
      <c r="NKG58" s="1"/>
      <c r="NKH58" s="1"/>
      <c r="NKI58" s="1"/>
      <c r="NKJ58" s="1"/>
      <c r="NKK58" s="1"/>
      <c r="NKL58" s="1"/>
      <c r="NKM58" s="1"/>
      <c r="NKN58" s="1"/>
      <c r="NKO58" s="1"/>
      <c r="NKP58" s="1"/>
      <c r="NKQ58" s="1"/>
      <c r="NKR58" s="1"/>
      <c r="NKS58" s="1"/>
      <c r="NKT58" s="1"/>
      <c r="NKU58" s="1"/>
      <c r="NKV58" s="1"/>
      <c r="NKW58" s="1"/>
      <c r="NKX58" s="1"/>
      <c r="NKY58" s="1"/>
      <c r="NKZ58" s="1"/>
      <c r="NLA58" s="1"/>
      <c r="NLB58" s="1"/>
      <c r="NLC58" s="1"/>
      <c r="NLD58" s="1"/>
      <c r="NLE58" s="1"/>
      <c r="NLF58" s="1"/>
      <c r="NLG58" s="1"/>
      <c r="NLH58" s="1"/>
      <c r="NLI58" s="1"/>
      <c r="NLJ58" s="1"/>
      <c r="NLK58" s="1"/>
      <c r="NLL58" s="1"/>
      <c r="NLM58" s="1"/>
      <c r="NLN58" s="1"/>
      <c r="NLO58" s="1"/>
      <c r="NLP58" s="1"/>
      <c r="NLQ58" s="1"/>
      <c r="NLR58" s="1"/>
      <c r="NLS58" s="1"/>
      <c r="NLT58" s="1"/>
      <c r="NLU58" s="1"/>
      <c r="NLV58" s="1"/>
      <c r="NLW58" s="1"/>
      <c r="NLX58" s="1"/>
      <c r="NLY58" s="1"/>
      <c r="NLZ58" s="1"/>
      <c r="NMA58" s="1"/>
      <c r="NMB58" s="1"/>
      <c r="NMC58" s="1"/>
      <c r="NMD58" s="1"/>
      <c r="NME58" s="1"/>
      <c r="NMF58" s="1"/>
      <c r="NMG58" s="1"/>
      <c r="NMH58" s="1"/>
      <c r="NMI58" s="1"/>
      <c r="NMJ58" s="1"/>
      <c r="NMK58" s="1"/>
      <c r="NML58" s="1"/>
      <c r="NMM58" s="1"/>
      <c r="NMN58" s="1"/>
      <c r="NMO58" s="1"/>
      <c r="NMP58" s="1"/>
      <c r="NMQ58" s="1"/>
      <c r="NMR58" s="1"/>
      <c r="NMS58" s="1"/>
      <c r="NMT58" s="1"/>
      <c r="NMU58" s="1"/>
      <c r="NMV58" s="1"/>
      <c r="NMW58" s="1"/>
      <c r="NMX58" s="1"/>
      <c r="NMY58" s="1"/>
      <c r="NMZ58" s="1"/>
      <c r="NNA58" s="1"/>
      <c r="NNB58" s="1"/>
      <c r="NNC58" s="1"/>
      <c r="NND58" s="1"/>
      <c r="NNE58" s="1"/>
      <c r="NNF58" s="1"/>
      <c r="NNG58" s="1"/>
      <c r="NNH58" s="1"/>
      <c r="NNI58" s="1"/>
      <c r="NNJ58" s="1"/>
      <c r="NNK58" s="1"/>
      <c r="NNL58" s="1"/>
      <c r="NNM58" s="1"/>
      <c r="NNN58" s="1"/>
      <c r="NNO58" s="1"/>
      <c r="NNP58" s="1"/>
      <c r="NNQ58" s="1"/>
      <c r="NNR58" s="1"/>
      <c r="NNS58" s="1"/>
      <c r="NNT58" s="1"/>
      <c r="NNU58" s="1"/>
      <c r="NNV58" s="1"/>
      <c r="NNW58" s="1"/>
      <c r="NNX58" s="1"/>
      <c r="NNY58" s="1"/>
      <c r="NNZ58" s="1"/>
      <c r="NOA58" s="1"/>
      <c r="NOB58" s="1"/>
      <c r="NOC58" s="1"/>
      <c r="NOD58" s="1"/>
      <c r="NOE58" s="1"/>
      <c r="NOF58" s="1"/>
      <c r="NOG58" s="1"/>
      <c r="NOH58" s="1"/>
      <c r="NOI58" s="1"/>
      <c r="NOJ58" s="1"/>
      <c r="NOK58" s="1"/>
      <c r="NOL58" s="1"/>
      <c r="NOM58" s="1"/>
      <c r="NON58" s="1"/>
      <c r="NOO58" s="1"/>
      <c r="NOP58" s="1"/>
      <c r="NOQ58" s="1"/>
      <c r="NOR58" s="1"/>
      <c r="NOS58" s="1"/>
      <c r="NOT58" s="1"/>
      <c r="NOU58" s="1"/>
      <c r="NOV58" s="1"/>
      <c r="NOW58" s="1"/>
      <c r="NOX58" s="1"/>
      <c r="NOY58" s="1"/>
      <c r="NOZ58" s="1"/>
      <c r="NPA58" s="1"/>
      <c r="NPB58" s="1"/>
      <c r="NPC58" s="1"/>
      <c r="NPD58" s="1"/>
      <c r="NPE58" s="1"/>
      <c r="NPF58" s="1"/>
      <c r="NPG58" s="1"/>
      <c r="NPH58" s="1"/>
      <c r="NPI58" s="1"/>
      <c r="NPJ58" s="1"/>
      <c r="NPK58" s="1"/>
      <c r="NPL58" s="1"/>
      <c r="NPM58" s="1"/>
      <c r="NPN58" s="1"/>
      <c r="NPO58" s="1"/>
      <c r="NPP58" s="1"/>
      <c r="NPQ58" s="1"/>
      <c r="NPR58" s="1"/>
      <c r="NPS58" s="1"/>
      <c r="NPT58" s="1"/>
      <c r="NPU58" s="1"/>
      <c r="NPV58" s="1"/>
      <c r="NPW58" s="1"/>
      <c r="NPX58" s="1"/>
      <c r="NPY58" s="1"/>
      <c r="NPZ58" s="1"/>
      <c r="NQA58" s="1"/>
      <c r="NQB58" s="1"/>
      <c r="NQC58" s="1"/>
      <c r="NQD58" s="1"/>
      <c r="NQE58" s="1"/>
      <c r="NQF58" s="1"/>
      <c r="NQG58" s="1"/>
      <c r="NQH58" s="1"/>
      <c r="NQI58" s="1"/>
      <c r="NQJ58" s="1"/>
      <c r="NQK58" s="1"/>
      <c r="NQL58" s="1"/>
      <c r="NQM58" s="1"/>
      <c r="NQN58" s="1"/>
      <c r="NQO58" s="1"/>
      <c r="NQP58" s="1"/>
      <c r="NQQ58" s="1"/>
      <c r="NQR58" s="1"/>
      <c r="NQS58" s="1"/>
      <c r="NQT58" s="1"/>
      <c r="NQU58" s="1"/>
      <c r="NQV58" s="1"/>
      <c r="NQW58" s="1"/>
      <c r="NQX58" s="1"/>
      <c r="NQY58" s="1"/>
      <c r="NQZ58" s="1"/>
      <c r="NRA58" s="1"/>
      <c r="NRB58" s="1"/>
      <c r="NRC58" s="1"/>
      <c r="NRD58" s="1"/>
      <c r="NRE58" s="1"/>
      <c r="NRF58" s="1"/>
      <c r="NRG58" s="1"/>
      <c r="NRH58" s="1"/>
      <c r="NRI58" s="1"/>
      <c r="NRJ58" s="1"/>
      <c r="NRK58" s="1"/>
      <c r="NRL58" s="1"/>
      <c r="NRM58" s="1"/>
      <c r="NRN58" s="1"/>
      <c r="NRO58" s="1"/>
      <c r="NRP58" s="1"/>
      <c r="NRQ58" s="1"/>
      <c r="NRR58" s="1"/>
      <c r="NRS58" s="1"/>
      <c r="NRT58" s="1"/>
      <c r="NRU58" s="1"/>
      <c r="NRV58" s="1"/>
      <c r="NRW58" s="1"/>
      <c r="NRX58" s="1"/>
      <c r="NRY58" s="1"/>
      <c r="NRZ58" s="1"/>
      <c r="NSA58" s="1"/>
      <c r="NSB58" s="1"/>
      <c r="NSC58" s="1"/>
      <c r="NSD58" s="1"/>
      <c r="NSE58" s="1"/>
      <c r="NSF58" s="1"/>
      <c r="NSG58" s="1"/>
      <c r="NSH58" s="1"/>
      <c r="NSI58" s="1"/>
      <c r="NSJ58" s="1"/>
      <c r="NSK58" s="1"/>
      <c r="NSL58" s="1"/>
      <c r="NSM58" s="1"/>
      <c r="NSN58" s="1"/>
      <c r="NSO58" s="1"/>
      <c r="NSP58" s="1"/>
      <c r="NSQ58" s="1"/>
      <c r="NSR58" s="1"/>
      <c r="NSS58" s="1"/>
      <c r="NST58" s="1"/>
      <c r="NSU58" s="1"/>
      <c r="NSV58" s="1"/>
      <c r="NSW58" s="1"/>
      <c r="NSX58" s="1"/>
      <c r="NSY58" s="1"/>
      <c r="NSZ58" s="1"/>
      <c r="NTA58" s="1"/>
      <c r="NTB58" s="1"/>
      <c r="NTC58" s="1"/>
      <c r="NTD58" s="1"/>
      <c r="NTE58" s="1"/>
      <c r="NTF58" s="1"/>
      <c r="NTG58" s="1"/>
      <c r="NTH58" s="1"/>
      <c r="NTI58" s="1"/>
      <c r="NTJ58" s="1"/>
      <c r="NTK58" s="1"/>
      <c r="NTL58" s="1"/>
      <c r="NTM58" s="1"/>
      <c r="NTN58" s="1"/>
      <c r="NTO58" s="1"/>
      <c r="NTP58" s="1"/>
      <c r="NTQ58" s="1"/>
      <c r="NTR58" s="1"/>
      <c r="NTS58" s="1"/>
      <c r="NTT58" s="1"/>
      <c r="NTU58" s="1"/>
      <c r="NTV58" s="1"/>
      <c r="NTW58" s="1"/>
      <c r="NTX58" s="1"/>
      <c r="NTY58" s="1"/>
      <c r="NTZ58" s="1"/>
      <c r="NUA58" s="1"/>
      <c r="NUB58" s="1"/>
      <c r="NUC58" s="1"/>
      <c r="NUD58" s="1"/>
      <c r="NUE58" s="1"/>
      <c r="NUF58" s="1"/>
      <c r="NUG58" s="1"/>
      <c r="NUH58" s="1"/>
      <c r="NUI58" s="1"/>
      <c r="NUJ58" s="1"/>
      <c r="NUK58" s="1"/>
      <c r="NUL58" s="1"/>
      <c r="NUM58" s="1"/>
      <c r="NUN58" s="1"/>
      <c r="NUO58" s="1"/>
      <c r="NUP58" s="1"/>
      <c r="NUQ58" s="1"/>
      <c r="NUR58" s="1"/>
      <c r="NUS58" s="1"/>
      <c r="NUT58" s="1"/>
      <c r="NUU58" s="1"/>
      <c r="NUV58" s="1"/>
      <c r="NUW58" s="1"/>
      <c r="NUX58" s="1"/>
      <c r="NUY58" s="1"/>
      <c r="NUZ58" s="1"/>
      <c r="NVA58" s="1"/>
      <c r="NVB58" s="1"/>
      <c r="NVC58" s="1"/>
      <c r="NVD58" s="1"/>
      <c r="NVE58" s="1"/>
      <c r="NVF58" s="1"/>
      <c r="NVG58" s="1"/>
      <c r="NVH58" s="1"/>
      <c r="NVI58" s="1"/>
      <c r="NVJ58" s="1"/>
      <c r="NVK58" s="1"/>
      <c r="NVL58" s="1"/>
      <c r="NVM58" s="1"/>
      <c r="NVN58" s="1"/>
      <c r="NVO58" s="1"/>
      <c r="NVP58" s="1"/>
      <c r="NVQ58" s="1"/>
      <c r="NVR58" s="1"/>
      <c r="NVS58" s="1"/>
      <c r="NVT58" s="1"/>
      <c r="NVU58" s="1"/>
      <c r="NVV58" s="1"/>
      <c r="NVW58" s="1"/>
      <c r="NVX58" s="1"/>
      <c r="NVY58" s="1"/>
      <c r="NVZ58" s="1"/>
      <c r="NWA58" s="1"/>
      <c r="NWB58" s="1"/>
      <c r="NWC58" s="1"/>
      <c r="NWD58" s="1"/>
      <c r="NWE58" s="1"/>
      <c r="NWF58" s="1"/>
      <c r="NWG58" s="1"/>
      <c r="NWH58" s="1"/>
      <c r="NWI58" s="1"/>
      <c r="NWJ58" s="1"/>
      <c r="NWK58" s="1"/>
      <c r="NWL58" s="1"/>
      <c r="NWM58" s="1"/>
      <c r="NWN58" s="1"/>
      <c r="NWO58" s="1"/>
      <c r="NWP58" s="1"/>
      <c r="NWQ58" s="1"/>
      <c r="NWR58" s="1"/>
      <c r="NWS58" s="1"/>
      <c r="NWT58" s="1"/>
      <c r="NWU58" s="1"/>
      <c r="NWV58" s="1"/>
      <c r="NWW58" s="1"/>
      <c r="NWX58" s="1"/>
      <c r="NWY58" s="1"/>
      <c r="NWZ58" s="1"/>
      <c r="NXA58" s="1"/>
      <c r="NXB58" s="1"/>
      <c r="NXC58" s="1"/>
      <c r="NXD58" s="1"/>
      <c r="NXE58" s="1"/>
      <c r="NXF58" s="1"/>
      <c r="NXG58" s="1"/>
      <c r="NXH58" s="1"/>
      <c r="NXI58" s="1"/>
      <c r="NXJ58" s="1"/>
      <c r="NXK58" s="1"/>
      <c r="NXL58" s="1"/>
      <c r="NXM58" s="1"/>
      <c r="NXN58" s="1"/>
      <c r="NXO58" s="1"/>
      <c r="NXP58" s="1"/>
      <c r="NXQ58" s="1"/>
      <c r="NXR58" s="1"/>
      <c r="NXS58" s="1"/>
      <c r="NXT58" s="1"/>
      <c r="NXU58" s="1"/>
      <c r="NXV58" s="1"/>
      <c r="NXW58" s="1"/>
      <c r="NXX58" s="1"/>
      <c r="NXY58" s="1"/>
      <c r="NXZ58" s="1"/>
      <c r="NYA58" s="1"/>
      <c r="NYB58" s="1"/>
      <c r="NYC58" s="1"/>
      <c r="NYD58" s="1"/>
      <c r="NYE58" s="1"/>
      <c r="NYF58" s="1"/>
      <c r="NYG58" s="1"/>
      <c r="NYH58" s="1"/>
      <c r="NYI58" s="1"/>
      <c r="NYJ58" s="1"/>
      <c r="NYK58" s="1"/>
      <c r="NYL58" s="1"/>
      <c r="NYM58" s="1"/>
      <c r="NYN58" s="1"/>
      <c r="NYO58" s="1"/>
      <c r="NYP58" s="1"/>
      <c r="NYQ58" s="1"/>
      <c r="NYR58" s="1"/>
      <c r="NYS58" s="1"/>
      <c r="NYT58" s="1"/>
      <c r="NYU58" s="1"/>
      <c r="NYV58" s="1"/>
      <c r="NYW58" s="1"/>
      <c r="NYX58" s="1"/>
      <c r="NYY58" s="1"/>
      <c r="NYZ58" s="1"/>
      <c r="NZA58" s="1"/>
      <c r="NZB58" s="1"/>
      <c r="NZC58" s="1"/>
      <c r="NZD58" s="1"/>
      <c r="NZE58" s="1"/>
      <c r="NZF58" s="1"/>
      <c r="NZG58" s="1"/>
      <c r="NZH58" s="1"/>
      <c r="NZI58" s="1"/>
      <c r="NZJ58" s="1"/>
      <c r="NZK58" s="1"/>
      <c r="NZL58" s="1"/>
      <c r="NZM58" s="1"/>
      <c r="NZN58" s="1"/>
      <c r="NZO58" s="1"/>
      <c r="NZP58" s="1"/>
      <c r="NZQ58" s="1"/>
      <c r="NZR58" s="1"/>
      <c r="NZS58" s="1"/>
      <c r="NZT58" s="1"/>
      <c r="NZU58" s="1"/>
      <c r="NZV58" s="1"/>
      <c r="NZW58" s="1"/>
      <c r="NZX58" s="1"/>
      <c r="NZY58" s="1"/>
      <c r="NZZ58" s="1"/>
      <c r="OAA58" s="1"/>
      <c r="OAB58" s="1"/>
      <c r="OAC58" s="1"/>
      <c r="OAD58" s="1"/>
      <c r="OAE58" s="1"/>
      <c r="OAF58" s="1"/>
      <c r="OAG58" s="1"/>
      <c r="OAH58" s="1"/>
      <c r="OAI58" s="1"/>
      <c r="OAJ58" s="1"/>
      <c r="OAK58" s="1"/>
      <c r="OAL58" s="1"/>
      <c r="OAM58" s="1"/>
      <c r="OAN58" s="1"/>
      <c r="OAO58" s="1"/>
      <c r="OAP58" s="1"/>
      <c r="OAQ58" s="1"/>
      <c r="OAR58" s="1"/>
      <c r="OAS58" s="1"/>
      <c r="OAT58" s="1"/>
      <c r="OAU58" s="1"/>
      <c r="OAV58" s="1"/>
      <c r="OAW58" s="1"/>
      <c r="OAX58" s="1"/>
      <c r="OAY58" s="1"/>
      <c r="OAZ58" s="1"/>
      <c r="OBA58" s="1"/>
      <c r="OBB58" s="1"/>
      <c r="OBC58" s="1"/>
      <c r="OBD58" s="1"/>
      <c r="OBE58" s="1"/>
      <c r="OBF58" s="1"/>
      <c r="OBG58" s="1"/>
      <c r="OBH58" s="1"/>
      <c r="OBI58" s="1"/>
      <c r="OBJ58" s="1"/>
      <c r="OBK58" s="1"/>
      <c r="OBL58" s="1"/>
      <c r="OBM58" s="1"/>
      <c r="OBN58" s="1"/>
      <c r="OBO58" s="1"/>
      <c r="OBP58" s="1"/>
      <c r="OBQ58" s="1"/>
      <c r="OBR58" s="1"/>
      <c r="OBS58" s="1"/>
      <c r="OBT58" s="1"/>
      <c r="OBU58" s="1"/>
      <c r="OBV58" s="1"/>
      <c r="OBW58" s="1"/>
      <c r="OBX58" s="1"/>
      <c r="OBY58" s="1"/>
      <c r="OBZ58" s="1"/>
      <c r="OCA58" s="1"/>
      <c r="OCB58" s="1"/>
      <c r="OCC58" s="1"/>
      <c r="OCD58" s="1"/>
      <c r="OCE58" s="1"/>
      <c r="OCF58" s="1"/>
      <c r="OCG58" s="1"/>
      <c r="OCH58" s="1"/>
      <c r="OCI58" s="1"/>
      <c r="OCJ58" s="1"/>
      <c r="OCK58" s="1"/>
      <c r="OCL58" s="1"/>
      <c r="OCM58" s="1"/>
      <c r="OCN58" s="1"/>
      <c r="OCO58" s="1"/>
      <c r="OCP58" s="1"/>
      <c r="OCQ58" s="1"/>
      <c r="OCR58" s="1"/>
      <c r="OCS58" s="1"/>
      <c r="OCT58" s="1"/>
      <c r="OCU58" s="1"/>
      <c r="OCV58" s="1"/>
      <c r="OCW58" s="1"/>
      <c r="OCX58" s="1"/>
      <c r="OCY58" s="1"/>
      <c r="OCZ58" s="1"/>
      <c r="ODA58" s="1"/>
      <c r="ODB58" s="1"/>
      <c r="ODC58" s="1"/>
      <c r="ODD58" s="1"/>
      <c r="ODE58" s="1"/>
      <c r="ODF58" s="1"/>
      <c r="ODG58" s="1"/>
      <c r="ODH58" s="1"/>
      <c r="ODI58" s="1"/>
      <c r="ODJ58" s="1"/>
      <c r="ODK58" s="1"/>
      <c r="ODL58" s="1"/>
      <c r="ODM58" s="1"/>
      <c r="ODN58" s="1"/>
      <c r="ODO58" s="1"/>
      <c r="ODP58" s="1"/>
      <c r="ODQ58" s="1"/>
      <c r="ODR58" s="1"/>
      <c r="ODS58" s="1"/>
      <c r="ODT58" s="1"/>
      <c r="ODU58" s="1"/>
      <c r="ODV58" s="1"/>
      <c r="ODW58" s="1"/>
      <c r="ODX58" s="1"/>
      <c r="ODY58" s="1"/>
      <c r="ODZ58" s="1"/>
      <c r="OEA58" s="1"/>
      <c r="OEB58" s="1"/>
      <c r="OEC58" s="1"/>
      <c r="OED58" s="1"/>
      <c r="OEE58" s="1"/>
      <c r="OEF58" s="1"/>
      <c r="OEG58" s="1"/>
      <c r="OEH58" s="1"/>
      <c r="OEI58" s="1"/>
      <c r="OEJ58" s="1"/>
      <c r="OEK58" s="1"/>
      <c r="OEL58" s="1"/>
      <c r="OEM58" s="1"/>
      <c r="OEN58" s="1"/>
      <c r="OEO58" s="1"/>
      <c r="OEP58" s="1"/>
      <c r="OEQ58" s="1"/>
      <c r="OER58" s="1"/>
      <c r="OES58" s="1"/>
      <c r="OET58" s="1"/>
      <c r="OEU58" s="1"/>
      <c r="OEV58" s="1"/>
      <c r="OEW58" s="1"/>
      <c r="OEX58" s="1"/>
      <c r="OEY58" s="1"/>
      <c r="OEZ58" s="1"/>
      <c r="OFA58" s="1"/>
      <c r="OFB58" s="1"/>
      <c r="OFC58" s="1"/>
      <c r="OFD58" s="1"/>
      <c r="OFE58" s="1"/>
      <c r="OFF58" s="1"/>
      <c r="OFG58" s="1"/>
      <c r="OFH58" s="1"/>
      <c r="OFI58" s="1"/>
      <c r="OFJ58" s="1"/>
      <c r="OFK58" s="1"/>
      <c r="OFL58" s="1"/>
      <c r="OFM58" s="1"/>
      <c r="OFN58" s="1"/>
      <c r="OFO58" s="1"/>
      <c r="OFP58" s="1"/>
      <c r="OFQ58" s="1"/>
      <c r="OFR58" s="1"/>
      <c r="OFS58" s="1"/>
      <c r="OFT58" s="1"/>
      <c r="OFU58" s="1"/>
      <c r="OFV58" s="1"/>
      <c r="OFW58" s="1"/>
      <c r="OFX58" s="1"/>
      <c r="OFY58" s="1"/>
      <c r="OFZ58" s="1"/>
      <c r="OGA58" s="1"/>
      <c r="OGB58" s="1"/>
      <c r="OGC58" s="1"/>
      <c r="OGD58" s="1"/>
      <c r="OGE58" s="1"/>
      <c r="OGF58" s="1"/>
      <c r="OGG58" s="1"/>
      <c r="OGH58" s="1"/>
      <c r="OGI58" s="1"/>
      <c r="OGJ58" s="1"/>
      <c r="OGK58" s="1"/>
      <c r="OGL58" s="1"/>
      <c r="OGM58" s="1"/>
      <c r="OGN58" s="1"/>
      <c r="OGO58" s="1"/>
      <c r="OGP58" s="1"/>
      <c r="OGQ58" s="1"/>
      <c r="OGR58" s="1"/>
      <c r="OGS58" s="1"/>
      <c r="OGT58" s="1"/>
      <c r="OGU58" s="1"/>
      <c r="OGV58" s="1"/>
      <c r="OGW58" s="1"/>
      <c r="OGX58" s="1"/>
      <c r="OGY58" s="1"/>
      <c r="OGZ58" s="1"/>
      <c r="OHA58" s="1"/>
      <c r="OHB58" s="1"/>
      <c r="OHC58" s="1"/>
      <c r="OHD58" s="1"/>
      <c r="OHE58" s="1"/>
      <c r="OHF58" s="1"/>
      <c r="OHG58" s="1"/>
      <c r="OHH58" s="1"/>
      <c r="OHI58" s="1"/>
      <c r="OHJ58" s="1"/>
      <c r="OHK58" s="1"/>
      <c r="OHL58" s="1"/>
      <c r="OHM58" s="1"/>
      <c r="OHN58" s="1"/>
      <c r="OHO58" s="1"/>
      <c r="OHP58" s="1"/>
      <c r="OHQ58" s="1"/>
      <c r="OHR58" s="1"/>
      <c r="OHS58" s="1"/>
      <c r="OHT58" s="1"/>
      <c r="OHU58" s="1"/>
      <c r="OHV58" s="1"/>
      <c r="OHW58" s="1"/>
      <c r="OHX58" s="1"/>
      <c r="OHY58" s="1"/>
      <c r="OHZ58" s="1"/>
      <c r="OIA58" s="1"/>
      <c r="OIB58" s="1"/>
      <c r="OIC58" s="1"/>
      <c r="OID58" s="1"/>
      <c r="OIE58" s="1"/>
      <c r="OIF58" s="1"/>
      <c r="OIG58" s="1"/>
      <c r="OIH58" s="1"/>
      <c r="OII58" s="1"/>
      <c r="OIJ58" s="1"/>
      <c r="OIK58" s="1"/>
      <c r="OIL58" s="1"/>
      <c r="OIM58" s="1"/>
      <c r="OIN58" s="1"/>
      <c r="OIO58" s="1"/>
      <c r="OIP58" s="1"/>
      <c r="OIQ58" s="1"/>
      <c r="OIR58" s="1"/>
      <c r="OIS58" s="1"/>
      <c r="OIT58" s="1"/>
      <c r="OIU58" s="1"/>
      <c r="OIV58" s="1"/>
      <c r="OIW58" s="1"/>
      <c r="OIX58" s="1"/>
      <c r="OIY58" s="1"/>
      <c r="OIZ58" s="1"/>
      <c r="OJA58" s="1"/>
      <c r="OJB58" s="1"/>
      <c r="OJC58" s="1"/>
      <c r="OJD58" s="1"/>
      <c r="OJE58" s="1"/>
      <c r="OJF58" s="1"/>
      <c r="OJG58" s="1"/>
      <c r="OJH58" s="1"/>
      <c r="OJI58" s="1"/>
      <c r="OJJ58" s="1"/>
      <c r="OJK58" s="1"/>
      <c r="OJL58" s="1"/>
      <c r="OJM58" s="1"/>
      <c r="OJN58" s="1"/>
      <c r="OJO58" s="1"/>
      <c r="OJP58" s="1"/>
      <c r="OJQ58" s="1"/>
      <c r="OJR58" s="1"/>
      <c r="OJS58" s="1"/>
      <c r="OJT58" s="1"/>
      <c r="OJU58" s="1"/>
      <c r="OJV58" s="1"/>
      <c r="OJW58" s="1"/>
      <c r="OJX58" s="1"/>
      <c r="OJY58" s="1"/>
      <c r="OJZ58" s="1"/>
      <c r="OKA58" s="1"/>
      <c r="OKB58" s="1"/>
      <c r="OKC58" s="1"/>
      <c r="OKD58" s="1"/>
      <c r="OKE58" s="1"/>
      <c r="OKF58" s="1"/>
      <c r="OKG58" s="1"/>
      <c r="OKH58" s="1"/>
      <c r="OKI58" s="1"/>
      <c r="OKJ58" s="1"/>
      <c r="OKK58" s="1"/>
      <c r="OKL58" s="1"/>
      <c r="OKM58" s="1"/>
      <c r="OKN58" s="1"/>
      <c r="OKO58" s="1"/>
      <c r="OKP58" s="1"/>
      <c r="OKQ58" s="1"/>
      <c r="OKR58" s="1"/>
      <c r="OKS58" s="1"/>
      <c r="OKT58" s="1"/>
      <c r="OKU58" s="1"/>
      <c r="OKV58" s="1"/>
      <c r="OKW58" s="1"/>
      <c r="OKX58" s="1"/>
      <c r="OKY58" s="1"/>
      <c r="OKZ58" s="1"/>
      <c r="OLA58" s="1"/>
      <c r="OLB58" s="1"/>
      <c r="OLC58" s="1"/>
      <c r="OLD58" s="1"/>
      <c r="OLE58" s="1"/>
      <c r="OLF58" s="1"/>
      <c r="OLG58" s="1"/>
      <c r="OLH58" s="1"/>
      <c r="OLI58" s="1"/>
      <c r="OLJ58" s="1"/>
      <c r="OLK58" s="1"/>
      <c r="OLL58" s="1"/>
      <c r="OLM58" s="1"/>
      <c r="OLN58" s="1"/>
      <c r="OLO58" s="1"/>
      <c r="OLP58" s="1"/>
      <c r="OLQ58" s="1"/>
      <c r="OLR58" s="1"/>
      <c r="OLS58" s="1"/>
      <c r="OLT58" s="1"/>
      <c r="OLU58" s="1"/>
      <c r="OLV58" s="1"/>
      <c r="OLW58" s="1"/>
      <c r="OLX58" s="1"/>
      <c r="OLY58" s="1"/>
      <c r="OLZ58" s="1"/>
      <c r="OMA58" s="1"/>
      <c r="OMB58" s="1"/>
      <c r="OMC58" s="1"/>
      <c r="OMD58" s="1"/>
      <c r="OME58" s="1"/>
      <c r="OMF58" s="1"/>
      <c r="OMG58" s="1"/>
      <c r="OMH58" s="1"/>
      <c r="OMI58" s="1"/>
      <c r="OMJ58" s="1"/>
      <c r="OMK58" s="1"/>
      <c r="OML58" s="1"/>
      <c r="OMM58" s="1"/>
      <c r="OMN58" s="1"/>
      <c r="OMO58" s="1"/>
      <c r="OMP58" s="1"/>
      <c r="OMQ58" s="1"/>
      <c r="OMR58" s="1"/>
      <c r="OMS58" s="1"/>
      <c r="OMT58" s="1"/>
      <c r="OMU58" s="1"/>
      <c r="OMV58" s="1"/>
      <c r="OMW58" s="1"/>
      <c r="OMX58" s="1"/>
      <c r="OMY58" s="1"/>
      <c r="OMZ58" s="1"/>
      <c r="ONA58" s="1"/>
      <c r="ONB58" s="1"/>
      <c r="ONC58" s="1"/>
      <c r="OND58" s="1"/>
      <c r="ONE58" s="1"/>
      <c r="ONF58" s="1"/>
      <c r="ONG58" s="1"/>
      <c r="ONH58" s="1"/>
      <c r="ONI58" s="1"/>
      <c r="ONJ58" s="1"/>
      <c r="ONK58" s="1"/>
      <c r="ONL58" s="1"/>
      <c r="ONM58" s="1"/>
      <c r="ONN58" s="1"/>
      <c r="ONO58" s="1"/>
      <c r="ONP58" s="1"/>
      <c r="ONQ58" s="1"/>
      <c r="ONR58" s="1"/>
      <c r="ONS58" s="1"/>
      <c r="ONT58" s="1"/>
      <c r="ONU58" s="1"/>
      <c r="ONV58" s="1"/>
      <c r="ONW58" s="1"/>
      <c r="ONX58" s="1"/>
      <c r="ONY58" s="1"/>
      <c r="ONZ58" s="1"/>
      <c r="OOA58" s="1"/>
      <c r="OOB58" s="1"/>
      <c r="OOC58" s="1"/>
      <c r="OOD58" s="1"/>
      <c r="OOE58" s="1"/>
      <c r="OOF58" s="1"/>
      <c r="OOG58" s="1"/>
      <c r="OOH58" s="1"/>
      <c r="OOI58" s="1"/>
      <c r="OOJ58" s="1"/>
      <c r="OOK58" s="1"/>
      <c r="OOL58" s="1"/>
      <c r="OOM58" s="1"/>
      <c r="OON58" s="1"/>
      <c r="OOO58" s="1"/>
      <c r="OOP58" s="1"/>
      <c r="OOQ58" s="1"/>
      <c r="OOR58" s="1"/>
      <c r="OOS58" s="1"/>
      <c r="OOT58" s="1"/>
      <c r="OOU58" s="1"/>
      <c r="OOV58" s="1"/>
      <c r="OOW58" s="1"/>
      <c r="OOX58" s="1"/>
      <c r="OOY58" s="1"/>
      <c r="OOZ58" s="1"/>
      <c r="OPA58" s="1"/>
      <c r="OPB58" s="1"/>
      <c r="OPC58" s="1"/>
      <c r="OPD58" s="1"/>
      <c r="OPE58" s="1"/>
      <c r="OPF58" s="1"/>
      <c r="OPG58" s="1"/>
      <c r="OPH58" s="1"/>
      <c r="OPI58" s="1"/>
      <c r="OPJ58" s="1"/>
      <c r="OPK58" s="1"/>
      <c r="OPL58" s="1"/>
      <c r="OPM58" s="1"/>
      <c r="OPN58" s="1"/>
      <c r="OPO58" s="1"/>
      <c r="OPP58" s="1"/>
      <c r="OPQ58" s="1"/>
      <c r="OPR58" s="1"/>
      <c r="OPS58" s="1"/>
      <c r="OPT58" s="1"/>
      <c r="OPU58" s="1"/>
      <c r="OPV58" s="1"/>
      <c r="OPW58" s="1"/>
      <c r="OPX58" s="1"/>
      <c r="OPY58" s="1"/>
      <c r="OPZ58" s="1"/>
      <c r="OQA58" s="1"/>
      <c r="OQB58" s="1"/>
      <c r="OQC58" s="1"/>
      <c r="OQD58" s="1"/>
      <c r="OQE58" s="1"/>
      <c r="OQF58" s="1"/>
      <c r="OQG58" s="1"/>
      <c r="OQH58" s="1"/>
      <c r="OQI58" s="1"/>
      <c r="OQJ58" s="1"/>
      <c r="OQK58" s="1"/>
      <c r="OQL58" s="1"/>
      <c r="OQM58" s="1"/>
      <c r="OQN58" s="1"/>
      <c r="OQO58" s="1"/>
      <c r="OQP58" s="1"/>
      <c r="OQQ58" s="1"/>
      <c r="OQR58" s="1"/>
      <c r="OQS58" s="1"/>
      <c r="OQT58" s="1"/>
      <c r="OQU58" s="1"/>
      <c r="OQV58" s="1"/>
      <c r="OQW58" s="1"/>
      <c r="OQX58" s="1"/>
      <c r="OQY58" s="1"/>
      <c r="OQZ58" s="1"/>
      <c r="ORA58" s="1"/>
      <c r="ORB58" s="1"/>
      <c r="ORC58" s="1"/>
      <c r="ORD58" s="1"/>
      <c r="ORE58" s="1"/>
      <c r="ORF58" s="1"/>
      <c r="ORG58" s="1"/>
      <c r="ORH58" s="1"/>
      <c r="ORI58" s="1"/>
      <c r="ORJ58" s="1"/>
      <c r="ORK58" s="1"/>
      <c r="ORL58" s="1"/>
      <c r="ORM58" s="1"/>
      <c r="ORN58" s="1"/>
      <c r="ORO58" s="1"/>
      <c r="ORP58" s="1"/>
      <c r="ORQ58" s="1"/>
      <c r="ORR58" s="1"/>
      <c r="ORS58" s="1"/>
      <c r="ORT58" s="1"/>
      <c r="ORU58" s="1"/>
      <c r="ORV58" s="1"/>
      <c r="ORW58" s="1"/>
      <c r="ORX58" s="1"/>
      <c r="ORY58" s="1"/>
      <c r="ORZ58" s="1"/>
      <c r="OSA58" s="1"/>
      <c r="OSB58" s="1"/>
      <c r="OSC58" s="1"/>
      <c r="OSD58" s="1"/>
      <c r="OSE58" s="1"/>
      <c r="OSF58" s="1"/>
      <c r="OSG58" s="1"/>
      <c r="OSH58" s="1"/>
      <c r="OSI58" s="1"/>
      <c r="OSJ58" s="1"/>
      <c r="OSK58" s="1"/>
      <c r="OSL58" s="1"/>
      <c r="OSM58" s="1"/>
      <c r="OSN58" s="1"/>
      <c r="OSO58" s="1"/>
      <c r="OSP58" s="1"/>
      <c r="OSQ58" s="1"/>
      <c r="OSR58" s="1"/>
      <c r="OSS58" s="1"/>
      <c r="OST58" s="1"/>
      <c r="OSU58" s="1"/>
      <c r="OSV58" s="1"/>
      <c r="OSW58" s="1"/>
      <c r="OSX58" s="1"/>
      <c r="OSY58" s="1"/>
      <c r="OSZ58" s="1"/>
      <c r="OTA58" s="1"/>
      <c r="OTB58" s="1"/>
      <c r="OTC58" s="1"/>
      <c r="OTD58" s="1"/>
      <c r="OTE58" s="1"/>
      <c r="OTF58" s="1"/>
      <c r="OTG58" s="1"/>
      <c r="OTH58" s="1"/>
      <c r="OTI58" s="1"/>
      <c r="OTJ58" s="1"/>
      <c r="OTK58" s="1"/>
      <c r="OTL58" s="1"/>
      <c r="OTM58" s="1"/>
      <c r="OTN58" s="1"/>
      <c r="OTO58" s="1"/>
      <c r="OTP58" s="1"/>
      <c r="OTQ58" s="1"/>
      <c r="OTR58" s="1"/>
      <c r="OTS58" s="1"/>
      <c r="OTT58" s="1"/>
      <c r="OTU58" s="1"/>
      <c r="OTV58" s="1"/>
      <c r="OTW58" s="1"/>
      <c r="OTX58" s="1"/>
      <c r="OTY58" s="1"/>
      <c r="OTZ58" s="1"/>
      <c r="OUA58" s="1"/>
      <c r="OUB58" s="1"/>
      <c r="OUC58" s="1"/>
      <c r="OUD58" s="1"/>
      <c r="OUE58" s="1"/>
      <c r="OUF58" s="1"/>
      <c r="OUG58" s="1"/>
      <c r="OUH58" s="1"/>
      <c r="OUI58" s="1"/>
      <c r="OUJ58" s="1"/>
      <c r="OUK58" s="1"/>
      <c r="OUL58" s="1"/>
      <c r="OUM58" s="1"/>
      <c r="OUN58" s="1"/>
      <c r="OUO58" s="1"/>
      <c r="OUP58" s="1"/>
      <c r="OUQ58" s="1"/>
      <c r="OUR58" s="1"/>
      <c r="OUS58" s="1"/>
      <c r="OUT58" s="1"/>
      <c r="OUU58" s="1"/>
      <c r="OUV58" s="1"/>
      <c r="OUW58" s="1"/>
      <c r="OUX58" s="1"/>
      <c r="OUY58" s="1"/>
      <c r="OUZ58" s="1"/>
      <c r="OVA58" s="1"/>
      <c r="OVB58" s="1"/>
      <c r="OVC58" s="1"/>
      <c r="OVD58" s="1"/>
      <c r="OVE58" s="1"/>
      <c r="OVF58" s="1"/>
      <c r="OVG58" s="1"/>
      <c r="OVH58" s="1"/>
      <c r="OVI58" s="1"/>
      <c r="OVJ58" s="1"/>
      <c r="OVK58" s="1"/>
      <c r="OVL58" s="1"/>
      <c r="OVM58" s="1"/>
      <c r="OVN58" s="1"/>
      <c r="OVO58" s="1"/>
      <c r="OVP58" s="1"/>
      <c r="OVQ58" s="1"/>
      <c r="OVR58" s="1"/>
      <c r="OVS58" s="1"/>
      <c r="OVT58" s="1"/>
      <c r="OVU58" s="1"/>
      <c r="OVV58" s="1"/>
      <c r="OVW58" s="1"/>
      <c r="OVX58" s="1"/>
      <c r="OVY58" s="1"/>
      <c r="OVZ58" s="1"/>
      <c r="OWA58" s="1"/>
      <c r="OWB58" s="1"/>
      <c r="OWC58" s="1"/>
      <c r="OWD58" s="1"/>
      <c r="OWE58" s="1"/>
      <c r="OWF58" s="1"/>
      <c r="OWG58" s="1"/>
      <c r="OWH58" s="1"/>
      <c r="OWI58" s="1"/>
      <c r="OWJ58" s="1"/>
      <c r="OWK58" s="1"/>
      <c r="OWL58" s="1"/>
      <c r="OWM58" s="1"/>
      <c r="OWN58" s="1"/>
      <c r="OWO58" s="1"/>
      <c r="OWP58" s="1"/>
      <c r="OWQ58" s="1"/>
      <c r="OWR58" s="1"/>
      <c r="OWS58" s="1"/>
      <c r="OWT58" s="1"/>
      <c r="OWU58" s="1"/>
      <c r="OWV58" s="1"/>
      <c r="OWW58" s="1"/>
      <c r="OWX58" s="1"/>
      <c r="OWY58" s="1"/>
      <c r="OWZ58" s="1"/>
      <c r="OXA58" s="1"/>
      <c r="OXB58" s="1"/>
      <c r="OXC58" s="1"/>
      <c r="OXD58" s="1"/>
      <c r="OXE58" s="1"/>
      <c r="OXF58" s="1"/>
      <c r="OXG58" s="1"/>
      <c r="OXH58" s="1"/>
      <c r="OXI58" s="1"/>
      <c r="OXJ58" s="1"/>
      <c r="OXK58" s="1"/>
      <c r="OXL58" s="1"/>
      <c r="OXM58" s="1"/>
      <c r="OXN58" s="1"/>
      <c r="OXO58" s="1"/>
      <c r="OXP58" s="1"/>
      <c r="OXQ58" s="1"/>
      <c r="OXR58" s="1"/>
      <c r="OXS58" s="1"/>
      <c r="OXT58" s="1"/>
      <c r="OXU58" s="1"/>
      <c r="OXV58" s="1"/>
      <c r="OXW58" s="1"/>
      <c r="OXX58" s="1"/>
      <c r="OXY58" s="1"/>
      <c r="OXZ58" s="1"/>
      <c r="OYA58" s="1"/>
      <c r="OYB58" s="1"/>
      <c r="OYC58" s="1"/>
      <c r="OYD58" s="1"/>
      <c r="OYE58" s="1"/>
      <c r="OYF58" s="1"/>
      <c r="OYG58" s="1"/>
      <c r="OYH58" s="1"/>
      <c r="OYI58" s="1"/>
      <c r="OYJ58" s="1"/>
      <c r="OYK58" s="1"/>
      <c r="OYL58" s="1"/>
      <c r="OYM58" s="1"/>
      <c r="OYN58" s="1"/>
      <c r="OYO58" s="1"/>
      <c r="OYP58" s="1"/>
      <c r="OYQ58" s="1"/>
      <c r="OYR58" s="1"/>
      <c r="OYS58" s="1"/>
      <c r="OYT58" s="1"/>
      <c r="OYU58" s="1"/>
      <c r="OYV58" s="1"/>
      <c r="OYW58" s="1"/>
      <c r="OYX58" s="1"/>
      <c r="OYY58" s="1"/>
      <c r="OYZ58" s="1"/>
      <c r="OZA58" s="1"/>
      <c r="OZB58" s="1"/>
      <c r="OZC58" s="1"/>
      <c r="OZD58" s="1"/>
      <c r="OZE58" s="1"/>
      <c r="OZF58" s="1"/>
      <c r="OZG58" s="1"/>
      <c r="OZH58" s="1"/>
      <c r="OZI58" s="1"/>
      <c r="OZJ58" s="1"/>
      <c r="OZK58" s="1"/>
      <c r="OZL58" s="1"/>
      <c r="OZM58" s="1"/>
      <c r="OZN58" s="1"/>
      <c r="OZO58" s="1"/>
      <c r="OZP58" s="1"/>
      <c r="OZQ58" s="1"/>
      <c r="OZR58" s="1"/>
      <c r="OZS58" s="1"/>
      <c r="OZT58" s="1"/>
      <c r="OZU58" s="1"/>
      <c r="OZV58" s="1"/>
      <c r="OZW58" s="1"/>
      <c r="OZX58" s="1"/>
      <c r="OZY58" s="1"/>
      <c r="OZZ58" s="1"/>
      <c r="PAA58" s="1"/>
      <c r="PAB58" s="1"/>
      <c r="PAC58" s="1"/>
      <c r="PAD58" s="1"/>
      <c r="PAE58" s="1"/>
      <c r="PAF58" s="1"/>
      <c r="PAG58" s="1"/>
      <c r="PAH58" s="1"/>
      <c r="PAI58" s="1"/>
      <c r="PAJ58" s="1"/>
      <c r="PAK58" s="1"/>
      <c r="PAL58" s="1"/>
      <c r="PAM58" s="1"/>
      <c r="PAN58" s="1"/>
      <c r="PAO58" s="1"/>
      <c r="PAP58" s="1"/>
      <c r="PAQ58" s="1"/>
      <c r="PAR58" s="1"/>
      <c r="PAS58" s="1"/>
      <c r="PAT58" s="1"/>
      <c r="PAU58" s="1"/>
      <c r="PAV58" s="1"/>
      <c r="PAW58" s="1"/>
      <c r="PAX58" s="1"/>
      <c r="PAY58" s="1"/>
      <c r="PAZ58" s="1"/>
      <c r="PBA58" s="1"/>
      <c r="PBB58" s="1"/>
      <c r="PBC58" s="1"/>
      <c r="PBD58" s="1"/>
      <c r="PBE58" s="1"/>
      <c r="PBF58" s="1"/>
      <c r="PBG58" s="1"/>
      <c r="PBH58" s="1"/>
      <c r="PBI58" s="1"/>
      <c r="PBJ58" s="1"/>
      <c r="PBK58" s="1"/>
      <c r="PBL58" s="1"/>
      <c r="PBM58" s="1"/>
      <c r="PBN58" s="1"/>
      <c r="PBO58" s="1"/>
      <c r="PBP58" s="1"/>
      <c r="PBQ58" s="1"/>
      <c r="PBR58" s="1"/>
      <c r="PBS58" s="1"/>
      <c r="PBT58" s="1"/>
      <c r="PBU58" s="1"/>
      <c r="PBV58" s="1"/>
      <c r="PBW58" s="1"/>
      <c r="PBX58" s="1"/>
      <c r="PBY58" s="1"/>
      <c r="PBZ58" s="1"/>
      <c r="PCA58" s="1"/>
      <c r="PCB58" s="1"/>
      <c r="PCC58" s="1"/>
      <c r="PCD58" s="1"/>
      <c r="PCE58" s="1"/>
      <c r="PCF58" s="1"/>
      <c r="PCG58" s="1"/>
      <c r="PCH58" s="1"/>
      <c r="PCI58" s="1"/>
      <c r="PCJ58" s="1"/>
      <c r="PCK58" s="1"/>
      <c r="PCL58" s="1"/>
      <c r="PCM58" s="1"/>
      <c r="PCN58" s="1"/>
      <c r="PCO58" s="1"/>
      <c r="PCP58" s="1"/>
      <c r="PCQ58" s="1"/>
      <c r="PCR58" s="1"/>
      <c r="PCS58" s="1"/>
      <c r="PCT58" s="1"/>
      <c r="PCU58" s="1"/>
      <c r="PCV58" s="1"/>
      <c r="PCW58" s="1"/>
      <c r="PCX58" s="1"/>
      <c r="PCY58" s="1"/>
      <c r="PCZ58" s="1"/>
      <c r="PDA58" s="1"/>
      <c r="PDB58" s="1"/>
      <c r="PDC58" s="1"/>
      <c r="PDD58" s="1"/>
      <c r="PDE58" s="1"/>
      <c r="PDF58" s="1"/>
      <c r="PDG58" s="1"/>
      <c r="PDH58" s="1"/>
      <c r="PDI58" s="1"/>
      <c r="PDJ58" s="1"/>
      <c r="PDK58" s="1"/>
      <c r="PDL58" s="1"/>
      <c r="PDM58" s="1"/>
      <c r="PDN58" s="1"/>
      <c r="PDO58" s="1"/>
      <c r="PDP58" s="1"/>
      <c r="PDQ58" s="1"/>
      <c r="PDR58" s="1"/>
      <c r="PDS58" s="1"/>
      <c r="PDT58" s="1"/>
      <c r="PDU58" s="1"/>
      <c r="PDV58" s="1"/>
      <c r="PDW58" s="1"/>
      <c r="PDX58" s="1"/>
      <c r="PDY58" s="1"/>
      <c r="PDZ58" s="1"/>
      <c r="PEA58" s="1"/>
      <c r="PEB58" s="1"/>
      <c r="PEC58" s="1"/>
      <c r="PED58" s="1"/>
      <c r="PEE58" s="1"/>
      <c r="PEF58" s="1"/>
      <c r="PEG58" s="1"/>
      <c r="PEH58" s="1"/>
      <c r="PEI58" s="1"/>
      <c r="PEJ58" s="1"/>
      <c r="PEK58" s="1"/>
      <c r="PEL58" s="1"/>
      <c r="PEM58" s="1"/>
      <c r="PEN58" s="1"/>
      <c r="PEO58" s="1"/>
      <c r="PEP58" s="1"/>
      <c r="PEQ58" s="1"/>
      <c r="PER58" s="1"/>
      <c r="PES58" s="1"/>
      <c r="PET58" s="1"/>
      <c r="PEU58" s="1"/>
      <c r="PEV58" s="1"/>
      <c r="PEW58" s="1"/>
      <c r="PEX58" s="1"/>
      <c r="PEY58" s="1"/>
      <c r="PEZ58" s="1"/>
      <c r="PFA58" s="1"/>
      <c r="PFB58" s="1"/>
      <c r="PFC58" s="1"/>
      <c r="PFD58" s="1"/>
      <c r="PFE58" s="1"/>
      <c r="PFF58" s="1"/>
      <c r="PFG58" s="1"/>
      <c r="PFH58" s="1"/>
      <c r="PFI58" s="1"/>
      <c r="PFJ58" s="1"/>
      <c r="PFK58" s="1"/>
      <c r="PFL58" s="1"/>
      <c r="PFM58" s="1"/>
      <c r="PFN58" s="1"/>
      <c r="PFO58" s="1"/>
      <c r="PFP58" s="1"/>
      <c r="PFQ58" s="1"/>
      <c r="PFR58" s="1"/>
      <c r="PFS58" s="1"/>
      <c r="PFT58" s="1"/>
      <c r="PFU58" s="1"/>
      <c r="PFV58" s="1"/>
      <c r="PFW58" s="1"/>
      <c r="PFX58" s="1"/>
      <c r="PFY58" s="1"/>
      <c r="PFZ58" s="1"/>
      <c r="PGA58" s="1"/>
      <c r="PGB58" s="1"/>
      <c r="PGC58" s="1"/>
      <c r="PGD58" s="1"/>
      <c r="PGE58" s="1"/>
      <c r="PGF58" s="1"/>
      <c r="PGG58" s="1"/>
      <c r="PGH58" s="1"/>
      <c r="PGI58" s="1"/>
      <c r="PGJ58" s="1"/>
      <c r="PGK58" s="1"/>
      <c r="PGL58" s="1"/>
      <c r="PGM58" s="1"/>
      <c r="PGN58" s="1"/>
      <c r="PGO58" s="1"/>
      <c r="PGP58" s="1"/>
      <c r="PGQ58" s="1"/>
      <c r="PGR58" s="1"/>
      <c r="PGS58" s="1"/>
      <c r="PGT58" s="1"/>
      <c r="PGU58" s="1"/>
      <c r="PGV58" s="1"/>
      <c r="PGW58" s="1"/>
      <c r="PGX58" s="1"/>
      <c r="PGY58" s="1"/>
      <c r="PGZ58" s="1"/>
      <c r="PHA58" s="1"/>
      <c r="PHB58" s="1"/>
      <c r="PHC58" s="1"/>
      <c r="PHD58" s="1"/>
      <c r="PHE58" s="1"/>
      <c r="PHF58" s="1"/>
      <c r="PHG58" s="1"/>
      <c r="PHH58" s="1"/>
      <c r="PHI58" s="1"/>
      <c r="PHJ58" s="1"/>
      <c r="PHK58" s="1"/>
      <c r="PHL58" s="1"/>
      <c r="PHM58" s="1"/>
      <c r="PHN58" s="1"/>
      <c r="PHO58" s="1"/>
      <c r="PHP58" s="1"/>
      <c r="PHQ58" s="1"/>
      <c r="PHR58" s="1"/>
      <c r="PHS58" s="1"/>
      <c r="PHT58" s="1"/>
      <c r="PHU58" s="1"/>
      <c r="PHV58" s="1"/>
      <c r="PHW58" s="1"/>
      <c r="PHX58" s="1"/>
      <c r="PHY58" s="1"/>
      <c r="PHZ58" s="1"/>
      <c r="PIA58" s="1"/>
      <c r="PIB58" s="1"/>
      <c r="PIC58" s="1"/>
      <c r="PID58" s="1"/>
      <c r="PIE58" s="1"/>
      <c r="PIF58" s="1"/>
      <c r="PIG58" s="1"/>
      <c r="PIH58" s="1"/>
      <c r="PII58" s="1"/>
      <c r="PIJ58" s="1"/>
      <c r="PIK58" s="1"/>
      <c r="PIL58" s="1"/>
      <c r="PIM58" s="1"/>
      <c r="PIN58" s="1"/>
      <c r="PIO58" s="1"/>
      <c r="PIP58" s="1"/>
      <c r="PIQ58" s="1"/>
      <c r="PIR58" s="1"/>
      <c r="PIS58" s="1"/>
      <c r="PIT58" s="1"/>
      <c r="PIU58" s="1"/>
      <c r="PIV58" s="1"/>
      <c r="PIW58" s="1"/>
      <c r="PIX58" s="1"/>
      <c r="PIY58" s="1"/>
      <c r="PIZ58" s="1"/>
      <c r="PJA58" s="1"/>
      <c r="PJB58" s="1"/>
      <c r="PJC58" s="1"/>
      <c r="PJD58" s="1"/>
      <c r="PJE58" s="1"/>
      <c r="PJF58" s="1"/>
      <c r="PJG58" s="1"/>
      <c r="PJH58" s="1"/>
      <c r="PJI58" s="1"/>
      <c r="PJJ58" s="1"/>
      <c r="PJK58" s="1"/>
      <c r="PJL58" s="1"/>
      <c r="PJM58" s="1"/>
      <c r="PJN58" s="1"/>
      <c r="PJO58" s="1"/>
      <c r="PJP58" s="1"/>
      <c r="PJQ58" s="1"/>
      <c r="PJR58" s="1"/>
      <c r="PJS58" s="1"/>
      <c r="PJT58" s="1"/>
      <c r="PJU58" s="1"/>
      <c r="PJV58" s="1"/>
      <c r="PJW58" s="1"/>
      <c r="PJX58" s="1"/>
      <c r="PJY58" s="1"/>
      <c r="PJZ58" s="1"/>
      <c r="PKA58" s="1"/>
      <c r="PKB58" s="1"/>
      <c r="PKC58" s="1"/>
      <c r="PKD58" s="1"/>
      <c r="PKE58" s="1"/>
      <c r="PKF58" s="1"/>
      <c r="PKG58" s="1"/>
      <c r="PKH58" s="1"/>
      <c r="PKI58" s="1"/>
      <c r="PKJ58" s="1"/>
      <c r="PKK58" s="1"/>
      <c r="PKL58" s="1"/>
      <c r="PKM58" s="1"/>
      <c r="PKN58" s="1"/>
      <c r="PKO58" s="1"/>
      <c r="PKP58" s="1"/>
      <c r="PKQ58" s="1"/>
      <c r="PKR58" s="1"/>
      <c r="PKS58" s="1"/>
      <c r="PKT58" s="1"/>
      <c r="PKU58" s="1"/>
      <c r="PKV58" s="1"/>
      <c r="PKW58" s="1"/>
      <c r="PKX58" s="1"/>
      <c r="PKY58" s="1"/>
      <c r="PKZ58" s="1"/>
      <c r="PLA58" s="1"/>
      <c r="PLB58" s="1"/>
      <c r="PLC58" s="1"/>
      <c r="PLD58" s="1"/>
      <c r="PLE58" s="1"/>
      <c r="PLF58" s="1"/>
      <c r="PLG58" s="1"/>
      <c r="PLH58" s="1"/>
      <c r="PLI58" s="1"/>
      <c r="PLJ58" s="1"/>
      <c r="PLK58" s="1"/>
      <c r="PLL58" s="1"/>
      <c r="PLM58" s="1"/>
      <c r="PLN58" s="1"/>
      <c r="PLO58" s="1"/>
      <c r="PLP58" s="1"/>
      <c r="PLQ58" s="1"/>
      <c r="PLR58" s="1"/>
      <c r="PLS58" s="1"/>
      <c r="PLT58" s="1"/>
      <c r="PLU58" s="1"/>
      <c r="PLV58" s="1"/>
      <c r="PLW58" s="1"/>
      <c r="PLX58" s="1"/>
      <c r="PLY58" s="1"/>
      <c r="PLZ58" s="1"/>
      <c r="PMA58" s="1"/>
      <c r="PMB58" s="1"/>
      <c r="PMC58" s="1"/>
      <c r="PMD58" s="1"/>
      <c r="PME58" s="1"/>
      <c r="PMF58" s="1"/>
      <c r="PMG58" s="1"/>
      <c r="PMH58" s="1"/>
      <c r="PMI58" s="1"/>
      <c r="PMJ58" s="1"/>
      <c r="PMK58" s="1"/>
      <c r="PML58" s="1"/>
      <c r="PMM58" s="1"/>
      <c r="PMN58" s="1"/>
      <c r="PMO58" s="1"/>
      <c r="PMP58" s="1"/>
      <c r="PMQ58" s="1"/>
      <c r="PMR58" s="1"/>
      <c r="PMS58" s="1"/>
      <c r="PMT58" s="1"/>
      <c r="PMU58" s="1"/>
      <c r="PMV58" s="1"/>
      <c r="PMW58" s="1"/>
      <c r="PMX58" s="1"/>
      <c r="PMY58" s="1"/>
      <c r="PMZ58" s="1"/>
      <c r="PNA58" s="1"/>
      <c r="PNB58" s="1"/>
      <c r="PNC58" s="1"/>
      <c r="PND58" s="1"/>
      <c r="PNE58" s="1"/>
      <c r="PNF58" s="1"/>
      <c r="PNG58" s="1"/>
      <c r="PNH58" s="1"/>
      <c r="PNI58" s="1"/>
      <c r="PNJ58" s="1"/>
      <c r="PNK58" s="1"/>
      <c r="PNL58" s="1"/>
      <c r="PNM58" s="1"/>
      <c r="PNN58" s="1"/>
      <c r="PNO58" s="1"/>
      <c r="PNP58" s="1"/>
      <c r="PNQ58" s="1"/>
      <c r="PNR58" s="1"/>
      <c r="PNS58" s="1"/>
      <c r="PNT58" s="1"/>
      <c r="PNU58" s="1"/>
      <c r="PNV58" s="1"/>
      <c r="PNW58" s="1"/>
      <c r="PNX58" s="1"/>
      <c r="PNY58" s="1"/>
      <c r="PNZ58" s="1"/>
      <c r="POA58" s="1"/>
      <c r="POB58" s="1"/>
      <c r="POC58" s="1"/>
      <c r="POD58" s="1"/>
      <c r="POE58" s="1"/>
      <c r="POF58" s="1"/>
      <c r="POG58" s="1"/>
      <c r="POH58" s="1"/>
      <c r="POI58" s="1"/>
      <c r="POJ58" s="1"/>
      <c r="POK58" s="1"/>
      <c r="POL58" s="1"/>
      <c r="POM58" s="1"/>
      <c r="PON58" s="1"/>
      <c r="POO58" s="1"/>
      <c r="POP58" s="1"/>
      <c r="POQ58" s="1"/>
      <c r="POR58" s="1"/>
      <c r="POS58" s="1"/>
      <c r="POT58" s="1"/>
      <c r="POU58" s="1"/>
      <c r="POV58" s="1"/>
      <c r="POW58" s="1"/>
      <c r="POX58" s="1"/>
      <c r="POY58" s="1"/>
      <c r="POZ58" s="1"/>
      <c r="PPA58" s="1"/>
      <c r="PPB58" s="1"/>
      <c r="PPC58" s="1"/>
      <c r="PPD58" s="1"/>
      <c r="PPE58" s="1"/>
      <c r="PPF58" s="1"/>
      <c r="PPG58" s="1"/>
      <c r="PPH58" s="1"/>
      <c r="PPI58" s="1"/>
      <c r="PPJ58" s="1"/>
      <c r="PPK58" s="1"/>
      <c r="PPL58" s="1"/>
      <c r="PPM58" s="1"/>
      <c r="PPN58" s="1"/>
      <c r="PPO58" s="1"/>
      <c r="PPP58" s="1"/>
      <c r="PPQ58" s="1"/>
      <c r="PPR58" s="1"/>
      <c r="PPS58" s="1"/>
      <c r="PPT58" s="1"/>
      <c r="PPU58" s="1"/>
      <c r="PPV58" s="1"/>
      <c r="PPW58" s="1"/>
      <c r="PPX58" s="1"/>
      <c r="PPY58" s="1"/>
      <c r="PPZ58" s="1"/>
      <c r="PQA58" s="1"/>
      <c r="PQB58" s="1"/>
      <c r="PQC58" s="1"/>
      <c r="PQD58" s="1"/>
      <c r="PQE58" s="1"/>
      <c r="PQF58" s="1"/>
      <c r="PQG58" s="1"/>
      <c r="PQH58" s="1"/>
      <c r="PQI58" s="1"/>
      <c r="PQJ58" s="1"/>
      <c r="PQK58" s="1"/>
      <c r="PQL58" s="1"/>
      <c r="PQM58" s="1"/>
      <c r="PQN58" s="1"/>
      <c r="PQO58" s="1"/>
      <c r="PQP58" s="1"/>
      <c r="PQQ58" s="1"/>
      <c r="PQR58" s="1"/>
      <c r="PQS58" s="1"/>
      <c r="PQT58" s="1"/>
      <c r="PQU58" s="1"/>
      <c r="PQV58" s="1"/>
      <c r="PQW58" s="1"/>
      <c r="PQX58" s="1"/>
      <c r="PQY58" s="1"/>
      <c r="PQZ58" s="1"/>
      <c r="PRA58" s="1"/>
      <c r="PRB58" s="1"/>
      <c r="PRC58" s="1"/>
      <c r="PRD58" s="1"/>
      <c r="PRE58" s="1"/>
      <c r="PRF58" s="1"/>
      <c r="PRG58" s="1"/>
      <c r="PRH58" s="1"/>
      <c r="PRI58" s="1"/>
      <c r="PRJ58" s="1"/>
      <c r="PRK58" s="1"/>
      <c r="PRL58" s="1"/>
      <c r="PRM58" s="1"/>
      <c r="PRN58" s="1"/>
      <c r="PRO58" s="1"/>
      <c r="PRP58" s="1"/>
      <c r="PRQ58" s="1"/>
      <c r="PRR58" s="1"/>
      <c r="PRS58" s="1"/>
      <c r="PRT58" s="1"/>
      <c r="PRU58" s="1"/>
      <c r="PRV58" s="1"/>
      <c r="PRW58" s="1"/>
      <c r="PRX58" s="1"/>
      <c r="PRY58" s="1"/>
      <c r="PRZ58" s="1"/>
      <c r="PSA58" s="1"/>
      <c r="PSB58" s="1"/>
      <c r="PSC58" s="1"/>
      <c r="PSD58" s="1"/>
      <c r="PSE58" s="1"/>
      <c r="PSF58" s="1"/>
      <c r="PSG58" s="1"/>
      <c r="PSH58" s="1"/>
      <c r="PSI58" s="1"/>
      <c r="PSJ58" s="1"/>
      <c r="PSK58" s="1"/>
      <c r="PSL58" s="1"/>
      <c r="PSM58" s="1"/>
      <c r="PSN58" s="1"/>
      <c r="PSO58" s="1"/>
      <c r="PSP58" s="1"/>
      <c r="PSQ58" s="1"/>
      <c r="PSR58" s="1"/>
      <c r="PSS58" s="1"/>
      <c r="PST58" s="1"/>
      <c r="PSU58" s="1"/>
      <c r="PSV58" s="1"/>
      <c r="PSW58" s="1"/>
      <c r="PSX58" s="1"/>
      <c r="PSY58" s="1"/>
      <c r="PSZ58" s="1"/>
      <c r="PTA58" s="1"/>
      <c r="PTB58" s="1"/>
      <c r="PTC58" s="1"/>
      <c r="PTD58" s="1"/>
      <c r="PTE58" s="1"/>
      <c r="PTF58" s="1"/>
      <c r="PTG58" s="1"/>
      <c r="PTH58" s="1"/>
      <c r="PTI58" s="1"/>
      <c r="PTJ58" s="1"/>
      <c r="PTK58" s="1"/>
      <c r="PTL58" s="1"/>
      <c r="PTM58" s="1"/>
      <c r="PTN58" s="1"/>
      <c r="PTO58" s="1"/>
      <c r="PTP58" s="1"/>
      <c r="PTQ58" s="1"/>
      <c r="PTR58" s="1"/>
      <c r="PTS58" s="1"/>
      <c r="PTT58" s="1"/>
      <c r="PTU58" s="1"/>
      <c r="PTV58" s="1"/>
      <c r="PTW58" s="1"/>
      <c r="PTX58" s="1"/>
      <c r="PTY58" s="1"/>
      <c r="PTZ58" s="1"/>
      <c r="PUA58" s="1"/>
      <c r="PUB58" s="1"/>
      <c r="PUC58" s="1"/>
      <c r="PUD58" s="1"/>
      <c r="PUE58" s="1"/>
      <c r="PUF58" s="1"/>
      <c r="PUG58" s="1"/>
      <c r="PUH58" s="1"/>
      <c r="PUI58" s="1"/>
      <c r="PUJ58" s="1"/>
      <c r="PUK58" s="1"/>
      <c r="PUL58" s="1"/>
      <c r="PUM58" s="1"/>
      <c r="PUN58" s="1"/>
      <c r="PUO58" s="1"/>
      <c r="PUP58" s="1"/>
      <c r="PUQ58" s="1"/>
      <c r="PUR58" s="1"/>
      <c r="PUS58" s="1"/>
      <c r="PUT58" s="1"/>
      <c r="PUU58" s="1"/>
      <c r="PUV58" s="1"/>
      <c r="PUW58" s="1"/>
      <c r="PUX58" s="1"/>
      <c r="PUY58" s="1"/>
      <c r="PUZ58" s="1"/>
      <c r="PVA58" s="1"/>
      <c r="PVB58" s="1"/>
      <c r="PVC58" s="1"/>
      <c r="PVD58" s="1"/>
      <c r="PVE58" s="1"/>
      <c r="PVF58" s="1"/>
      <c r="PVG58" s="1"/>
      <c r="PVH58" s="1"/>
      <c r="PVI58" s="1"/>
      <c r="PVJ58" s="1"/>
      <c r="PVK58" s="1"/>
      <c r="PVL58" s="1"/>
      <c r="PVM58" s="1"/>
      <c r="PVN58" s="1"/>
      <c r="PVO58" s="1"/>
      <c r="PVP58" s="1"/>
      <c r="PVQ58" s="1"/>
      <c r="PVR58" s="1"/>
      <c r="PVS58" s="1"/>
      <c r="PVT58" s="1"/>
      <c r="PVU58" s="1"/>
      <c r="PVV58" s="1"/>
      <c r="PVW58" s="1"/>
      <c r="PVX58" s="1"/>
      <c r="PVY58" s="1"/>
      <c r="PVZ58" s="1"/>
      <c r="PWA58" s="1"/>
      <c r="PWB58" s="1"/>
      <c r="PWC58" s="1"/>
      <c r="PWD58" s="1"/>
      <c r="PWE58" s="1"/>
      <c r="PWF58" s="1"/>
      <c r="PWG58" s="1"/>
      <c r="PWH58" s="1"/>
      <c r="PWI58" s="1"/>
      <c r="PWJ58" s="1"/>
      <c r="PWK58" s="1"/>
      <c r="PWL58" s="1"/>
      <c r="PWM58" s="1"/>
      <c r="PWN58" s="1"/>
      <c r="PWO58" s="1"/>
      <c r="PWP58" s="1"/>
      <c r="PWQ58" s="1"/>
      <c r="PWR58" s="1"/>
      <c r="PWS58" s="1"/>
      <c r="PWT58" s="1"/>
      <c r="PWU58" s="1"/>
      <c r="PWV58" s="1"/>
      <c r="PWW58" s="1"/>
      <c r="PWX58" s="1"/>
      <c r="PWY58" s="1"/>
      <c r="PWZ58" s="1"/>
      <c r="PXA58" s="1"/>
      <c r="PXB58" s="1"/>
      <c r="PXC58" s="1"/>
      <c r="PXD58" s="1"/>
      <c r="PXE58" s="1"/>
      <c r="PXF58" s="1"/>
      <c r="PXG58" s="1"/>
      <c r="PXH58" s="1"/>
      <c r="PXI58" s="1"/>
      <c r="PXJ58" s="1"/>
      <c r="PXK58" s="1"/>
      <c r="PXL58" s="1"/>
      <c r="PXM58" s="1"/>
      <c r="PXN58" s="1"/>
      <c r="PXO58" s="1"/>
      <c r="PXP58" s="1"/>
      <c r="PXQ58" s="1"/>
      <c r="PXR58" s="1"/>
      <c r="PXS58" s="1"/>
      <c r="PXT58" s="1"/>
      <c r="PXU58" s="1"/>
      <c r="PXV58" s="1"/>
      <c r="PXW58" s="1"/>
      <c r="PXX58" s="1"/>
      <c r="PXY58" s="1"/>
      <c r="PXZ58" s="1"/>
      <c r="PYA58" s="1"/>
      <c r="PYB58" s="1"/>
      <c r="PYC58" s="1"/>
      <c r="PYD58" s="1"/>
      <c r="PYE58" s="1"/>
      <c r="PYF58" s="1"/>
      <c r="PYG58" s="1"/>
      <c r="PYH58" s="1"/>
      <c r="PYI58" s="1"/>
      <c r="PYJ58" s="1"/>
      <c r="PYK58" s="1"/>
      <c r="PYL58" s="1"/>
      <c r="PYM58" s="1"/>
      <c r="PYN58" s="1"/>
      <c r="PYO58" s="1"/>
      <c r="PYP58" s="1"/>
      <c r="PYQ58" s="1"/>
      <c r="PYR58" s="1"/>
      <c r="PYS58" s="1"/>
      <c r="PYT58" s="1"/>
      <c r="PYU58" s="1"/>
      <c r="PYV58" s="1"/>
      <c r="PYW58" s="1"/>
      <c r="PYX58" s="1"/>
      <c r="PYY58" s="1"/>
      <c r="PYZ58" s="1"/>
      <c r="PZA58" s="1"/>
      <c r="PZB58" s="1"/>
      <c r="PZC58" s="1"/>
      <c r="PZD58" s="1"/>
      <c r="PZE58" s="1"/>
      <c r="PZF58" s="1"/>
      <c r="PZG58" s="1"/>
      <c r="PZH58" s="1"/>
      <c r="PZI58" s="1"/>
      <c r="PZJ58" s="1"/>
      <c r="PZK58" s="1"/>
      <c r="PZL58" s="1"/>
      <c r="PZM58" s="1"/>
      <c r="PZN58" s="1"/>
      <c r="PZO58" s="1"/>
      <c r="PZP58" s="1"/>
      <c r="PZQ58" s="1"/>
      <c r="PZR58" s="1"/>
      <c r="PZS58" s="1"/>
      <c r="PZT58" s="1"/>
      <c r="PZU58" s="1"/>
      <c r="PZV58" s="1"/>
      <c r="PZW58" s="1"/>
      <c r="PZX58" s="1"/>
      <c r="PZY58" s="1"/>
      <c r="PZZ58" s="1"/>
      <c r="QAA58" s="1"/>
      <c r="QAB58" s="1"/>
      <c r="QAC58" s="1"/>
      <c r="QAD58" s="1"/>
      <c r="QAE58" s="1"/>
      <c r="QAF58" s="1"/>
      <c r="QAG58" s="1"/>
      <c r="QAH58" s="1"/>
      <c r="QAI58" s="1"/>
      <c r="QAJ58" s="1"/>
      <c r="QAK58" s="1"/>
      <c r="QAL58" s="1"/>
      <c r="QAM58" s="1"/>
      <c r="QAN58" s="1"/>
      <c r="QAO58" s="1"/>
      <c r="QAP58" s="1"/>
      <c r="QAQ58" s="1"/>
      <c r="QAR58" s="1"/>
      <c r="QAS58" s="1"/>
      <c r="QAT58" s="1"/>
      <c r="QAU58" s="1"/>
      <c r="QAV58" s="1"/>
      <c r="QAW58" s="1"/>
      <c r="QAX58" s="1"/>
      <c r="QAY58" s="1"/>
      <c r="QAZ58" s="1"/>
      <c r="QBA58" s="1"/>
      <c r="QBB58" s="1"/>
      <c r="QBC58" s="1"/>
      <c r="QBD58" s="1"/>
      <c r="QBE58" s="1"/>
      <c r="QBF58" s="1"/>
      <c r="QBG58" s="1"/>
      <c r="QBH58" s="1"/>
      <c r="QBI58" s="1"/>
      <c r="QBJ58" s="1"/>
      <c r="QBK58" s="1"/>
      <c r="QBL58" s="1"/>
      <c r="QBM58" s="1"/>
      <c r="QBN58" s="1"/>
      <c r="QBO58" s="1"/>
      <c r="QBP58" s="1"/>
      <c r="QBQ58" s="1"/>
      <c r="QBR58" s="1"/>
      <c r="QBS58" s="1"/>
      <c r="QBT58" s="1"/>
      <c r="QBU58" s="1"/>
      <c r="QBV58" s="1"/>
      <c r="QBW58" s="1"/>
      <c r="QBX58" s="1"/>
      <c r="QBY58" s="1"/>
      <c r="QBZ58" s="1"/>
      <c r="QCA58" s="1"/>
      <c r="QCB58" s="1"/>
      <c r="QCC58" s="1"/>
      <c r="QCD58" s="1"/>
      <c r="QCE58" s="1"/>
      <c r="QCF58" s="1"/>
      <c r="QCG58" s="1"/>
      <c r="QCH58" s="1"/>
      <c r="QCI58" s="1"/>
      <c r="QCJ58" s="1"/>
      <c r="QCK58" s="1"/>
      <c r="QCL58" s="1"/>
      <c r="QCM58" s="1"/>
      <c r="QCN58" s="1"/>
      <c r="QCO58" s="1"/>
      <c r="QCP58" s="1"/>
      <c r="QCQ58" s="1"/>
      <c r="QCR58" s="1"/>
      <c r="QCS58" s="1"/>
      <c r="QCT58" s="1"/>
      <c r="QCU58" s="1"/>
      <c r="QCV58" s="1"/>
      <c r="QCW58" s="1"/>
      <c r="QCX58" s="1"/>
      <c r="QCY58" s="1"/>
      <c r="QCZ58" s="1"/>
      <c r="QDA58" s="1"/>
      <c r="QDB58" s="1"/>
      <c r="QDC58" s="1"/>
      <c r="QDD58" s="1"/>
      <c r="QDE58" s="1"/>
      <c r="QDF58" s="1"/>
      <c r="QDG58" s="1"/>
      <c r="QDH58" s="1"/>
      <c r="QDI58" s="1"/>
      <c r="QDJ58" s="1"/>
      <c r="QDK58" s="1"/>
      <c r="QDL58" s="1"/>
      <c r="QDM58" s="1"/>
      <c r="QDN58" s="1"/>
      <c r="QDO58" s="1"/>
      <c r="QDP58" s="1"/>
      <c r="QDQ58" s="1"/>
      <c r="QDR58" s="1"/>
      <c r="QDS58" s="1"/>
      <c r="QDT58" s="1"/>
      <c r="QDU58" s="1"/>
      <c r="QDV58" s="1"/>
      <c r="QDW58" s="1"/>
      <c r="QDX58" s="1"/>
      <c r="QDY58" s="1"/>
      <c r="QDZ58" s="1"/>
      <c r="QEA58" s="1"/>
      <c r="QEB58" s="1"/>
      <c r="QEC58" s="1"/>
      <c r="QED58" s="1"/>
      <c r="QEE58" s="1"/>
      <c r="QEF58" s="1"/>
      <c r="QEG58" s="1"/>
      <c r="QEH58" s="1"/>
      <c r="QEI58" s="1"/>
      <c r="QEJ58" s="1"/>
      <c r="QEK58" s="1"/>
      <c r="QEL58" s="1"/>
      <c r="QEM58" s="1"/>
      <c r="QEN58" s="1"/>
      <c r="QEO58" s="1"/>
      <c r="QEP58" s="1"/>
      <c r="QEQ58" s="1"/>
      <c r="QER58" s="1"/>
      <c r="QES58" s="1"/>
      <c r="QET58" s="1"/>
      <c r="QEU58" s="1"/>
      <c r="QEV58" s="1"/>
      <c r="QEW58" s="1"/>
      <c r="QEX58" s="1"/>
      <c r="QEY58" s="1"/>
      <c r="QEZ58" s="1"/>
      <c r="QFA58" s="1"/>
      <c r="QFB58" s="1"/>
      <c r="QFC58" s="1"/>
      <c r="QFD58" s="1"/>
      <c r="QFE58" s="1"/>
      <c r="QFF58" s="1"/>
      <c r="QFG58" s="1"/>
      <c r="QFH58" s="1"/>
      <c r="QFI58" s="1"/>
      <c r="QFJ58" s="1"/>
      <c r="QFK58" s="1"/>
      <c r="QFL58" s="1"/>
      <c r="QFM58" s="1"/>
      <c r="QFN58" s="1"/>
      <c r="QFO58" s="1"/>
      <c r="QFP58" s="1"/>
      <c r="QFQ58" s="1"/>
      <c r="QFR58" s="1"/>
      <c r="QFS58" s="1"/>
      <c r="QFT58" s="1"/>
      <c r="QFU58" s="1"/>
      <c r="QFV58" s="1"/>
      <c r="QFW58" s="1"/>
      <c r="QFX58" s="1"/>
      <c r="QFY58" s="1"/>
      <c r="QFZ58" s="1"/>
      <c r="QGA58" s="1"/>
      <c r="QGB58" s="1"/>
      <c r="QGC58" s="1"/>
      <c r="QGD58" s="1"/>
      <c r="QGE58" s="1"/>
      <c r="QGF58" s="1"/>
      <c r="QGG58" s="1"/>
      <c r="QGH58" s="1"/>
      <c r="QGI58" s="1"/>
      <c r="QGJ58" s="1"/>
      <c r="QGK58" s="1"/>
      <c r="QGL58" s="1"/>
      <c r="QGM58" s="1"/>
      <c r="QGN58" s="1"/>
      <c r="QGO58" s="1"/>
      <c r="QGP58" s="1"/>
      <c r="QGQ58" s="1"/>
      <c r="QGR58" s="1"/>
      <c r="QGS58" s="1"/>
      <c r="QGT58" s="1"/>
      <c r="QGU58" s="1"/>
      <c r="QGV58" s="1"/>
      <c r="QGW58" s="1"/>
      <c r="QGX58" s="1"/>
      <c r="QGY58" s="1"/>
      <c r="QGZ58" s="1"/>
      <c r="QHA58" s="1"/>
      <c r="QHB58" s="1"/>
      <c r="QHC58" s="1"/>
      <c r="QHD58" s="1"/>
      <c r="QHE58" s="1"/>
      <c r="QHF58" s="1"/>
      <c r="QHG58" s="1"/>
      <c r="QHH58" s="1"/>
      <c r="QHI58" s="1"/>
      <c r="QHJ58" s="1"/>
      <c r="QHK58" s="1"/>
      <c r="QHL58" s="1"/>
      <c r="QHM58" s="1"/>
      <c r="QHN58" s="1"/>
      <c r="QHO58" s="1"/>
      <c r="QHP58" s="1"/>
      <c r="QHQ58" s="1"/>
      <c r="QHR58" s="1"/>
      <c r="QHS58" s="1"/>
      <c r="QHT58" s="1"/>
      <c r="QHU58" s="1"/>
      <c r="QHV58" s="1"/>
      <c r="QHW58" s="1"/>
      <c r="QHX58" s="1"/>
      <c r="QHY58" s="1"/>
      <c r="QHZ58" s="1"/>
      <c r="QIA58" s="1"/>
      <c r="QIB58" s="1"/>
      <c r="QIC58" s="1"/>
      <c r="QID58" s="1"/>
      <c r="QIE58" s="1"/>
      <c r="QIF58" s="1"/>
      <c r="QIG58" s="1"/>
      <c r="QIH58" s="1"/>
      <c r="QII58" s="1"/>
      <c r="QIJ58" s="1"/>
      <c r="QIK58" s="1"/>
      <c r="QIL58" s="1"/>
      <c r="QIM58" s="1"/>
      <c r="QIN58" s="1"/>
      <c r="QIO58" s="1"/>
      <c r="QIP58" s="1"/>
      <c r="QIQ58" s="1"/>
      <c r="QIR58" s="1"/>
      <c r="QIS58" s="1"/>
      <c r="QIT58" s="1"/>
      <c r="QIU58" s="1"/>
      <c r="QIV58" s="1"/>
      <c r="QIW58" s="1"/>
      <c r="QIX58" s="1"/>
      <c r="QIY58" s="1"/>
      <c r="QIZ58" s="1"/>
      <c r="QJA58" s="1"/>
      <c r="QJB58" s="1"/>
      <c r="QJC58" s="1"/>
      <c r="QJD58" s="1"/>
      <c r="QJE58" s="1"/>
      <c r="QJF58" s="1"/>
      <c r="QJG58" s="1"/>
      <c r="QJH58" s="1"/>
      <c r="QJI58" s="1"/>
      <c r="QJJ58" s="1"/>
      <c r="QJK58" s="1"/>
      <c r="QJL58" s="1"/>
      <c r="QJM58" s="1"/>
      <c r="QJN58" s="1"/>
      <c r="QJO58" s="1"/>
      <c r="QJP58" s="1"/>
      <c r="QJQ58" s="1"/>
      <c r="QJR58" s="1"/>
      <c r="QJS58" s="1"/>
      <c r="QJT58" s="1"/>
      <c r="QJU58" s="1"/>
      <c r="QJV58" s="1"/>
      <c r="QJW58" s="1"/>
      <c r="QJX58" s="1"/>
      <c r="QJY58" s="1"/>
      <c r="QJZ58" s="1"/>
      <c r="QKA58" s="1"/>
      <c r="QKB58" s="1"/>
      <c r="QKC58" s="1"/>
      <c r="QKD58" s="1"/>
      <c r="QKE58" s="1"/>
      <c r="QKF58" s="1"/>
      <c r="QKG58" s="1"/>
      <c r="QKH58" s="1"/>
      <c r="QKI58" s="1"/>
      <c r="QKJ58" s="1"/>
      <c r="QKK58" s="1"/>
      <c r="QKL58" s="1"/>
      <c r="QKM58" s="1"/>
      <c r="QKN58" s="1"/>
      <c r="QKO58" s="1"/>
      <c r="QKP58" s="1"/>
      <c r="QKQ58" s="1"/>
      <c r="QKR58" s="1"/>
      <c r="QKS58" s="1"/>
      <c r="QKT58" s="1"/>
      <c r="QKU58" s="1"/>
      <c r="QKV58" s="1"/>
      <c r="QKW58" s="1"/>
      <c r="QKX58" s="1"/>
      <c r="QKY58" s="1"/>
      <c r="QKZ58" s="1"/>
      <c r="QLA58" s="1"/>
      <c r="QLB58" s="1"/>
      <c r="QLC58" s="1"/>
      <c r="QLD58" s="1"/>
      <c r="QLE58" s="1"/>
      <c r="QLF58" s="1"/>
      <c r="QLG58" s="1"/>
      <c r="QLH58" s="1"/>
      <c r="QLI58" s="1"/>
      <c r="QLJ58" s="1"/>
      <c r="QLK58" s="1"/>
      <c r="QLL58" s="1"/>
      <c r="QLM58" s="1"/>
      <c r="QLN58" s="1"/>
      <c r="QLO58" s="1"/>
      <c r="QLP58" s="1"/>
      <c r="QLQ58" s="1"/>
      <c r="QLR58" s="1"/>
      <c r="QLS58" s="1"/>
      <c r="QLT58" s="1"/>
      <c r="QLU58" s="1"/>
      <c r="QLV58" s="1"/>
      <c r="QLW58" s="1"/>
      <c r="QLX58" s="1"/>
      <c r="QLY58" s="1"/>
      <c r="QLZ58" s="1"/>
      <c r="QMA58" s="1"/>
      <c r="QMB58" s="1"/>
      <c r="QMC58" s="1"/>
      <c r="QMD58" s="1"/>
      <c r="QME58" s="1"/>
      <c r="QMF58" s="1"/>
      <c r="QMG58" s="1"/>
      <c r="QMH58" s="1"/>
      <c r="QMI58" s="1"/>
      <c r="QMJ58" s="1"/>
      <c r="QMK58" s="1"/>
      <c r="QML58" s="1"/>
      <c r="QMM58" s="1"/>
      <c r="QMN58" s="1"/>
      <c r="QMO58" s="1"/>
      <c r="QMP58" s="1"/>
      <c r="QMQ58" s="1"/>
      <c r="QMR58" s="1"/>
      <c r="QMS58" s="1"/>
      <c r="QMT58" s="1"/>
      <c r="QMU58" s="1"/>
      <c r="QMV58" s="1"/>
      <c r="QMW58" s="1"/>
      <c r="QMX58" s="1"/>
      <c r="QMY58" s="1"/>
      <c r="QMZ58" s="1"/>
      <c r="QNA58" s="1"/>
      <c r="QNB58" s="1"/>
      <c r="QNC58" s="1"/>
      <c r="QND58" s="1"/>
      <c r="QNE58" s="1"/>
      <c r="QNF58" s="1"/>
      <c r="QNG58" s="1"/>
      <c r="QNH58" s="1"/>
      <c r="QNI58" s="1"/>
      <c r="QNJ58" s="1"/>
      <c r="QNK58" s="1"/>
      <c r="QNL58" s="1"/>
      <c r="QNM58" s="1"/>
      <c r="QNN58" s="1"/>
      <c r="QNO58" s="1"/>
      <c r="QNP58" s="1"/>
      <c r="QNQ58" s="1"/>
      <c r="QNR58" s="1"/>
      <c r="QNS58" s="1"/>
      <c r="QNT58" s="1"/>
      <c r="QNU58" s="1"/>
      <c r="QNV58" s="1"/>
      <c r="QNW58" s="1"/>
      <c r="QNX58" s="1"/>
      <c r="QNY58" s="1"/>
      <c r="QNZ58" s="1"/>
      <c r="QOA58" s="1"/>
      <c r="QOB58" s="1"/>
      <c r="QOC58" s="1"/>
      <c r="QOD58" s="1"/>
      <c r="QOE58" s="1"/>
      <c r="QOF58" s="1"/>
      <c r="QOG58" s="1"/>
      <c r="QOH58" s="1"/>
      <c r="QOI58" s="1"/>
      <c r="QOJ58" s="1"/>
      <c r="QOK58" s="1"/>
      <c r="QOL58" s="1"/>
      <c r="QOM58" s="1"/>
      <c r="QON58" s="1"/>
      <c r="QOO58" s="1"/>
      <c r="QOP58" s="1"/>
      <c r="QOQ58" s="1"/>
      <c r="QOR58" s="1"/>
      <c r="QOS58" s="1"/>
      <c r="QOT58" s="1"/>
      <c r="QOU58" s="1"/>
      <c r="QOV58" s="1"/>
      <c r="QOW58" s="1"/>
      <c r="QOX58" s="1"/>
      <c r="QOY58" s="1"/>
      <c r="QOZ58" s="1"/>
      <c r="QPA58" s="1"/>
      <c r="QPB58" s="1"/>
      <c r="QPC58" s="1"/>
      <c r="QPD58" s="1"/>
      <c r="QPE58" s="1"/>
      <c r="QPF58" s="1"/>
      <c r="QPG58" s="1"/>
      <c r="QPH58" s="1"/>
      <c r="QPI58" s="1"/>
      <c r="QPJ58" s="1"/>
      <c r="QPK58" s="1"/>
      <c r="QPL58" s="1"/>
      <c r="QPM58" s="1"/>
      <c r="QPN58" s="1"/>
      <c r="QPO58" s="1"/>
      <c r="QPP58" s="1"/>
      <c r="QPQ58" s="1"/>
      <c r="QPR58" s="1"/>
      <c r="QPS58" s="1"/>
      <c r="QPT58" s="1"/>
      <c r="QPU58" s="1"/>
      <c r="QPV58" s="1"/>
      <c r="QPW58" s="1"/>
      <c r="QPX58" s="1"/>
      <c r="QPY58" s="1"/>
      <c r="QPZ58" s="1"/>
      <c r="QQA58" s="1"/>
      <c r="QQB58" s="1"/>
      <c r="QQC58" s="1"/>
      <c r="QQD58" s="1"/>
      <c r="QQE58" s="1"/>
      <c r="QQF58" s="1"/>
      <c r="QQG58" s="1"/>
      <c r="QQH58" s="1"/>
      <c r="QQI58" s="1"/>
      <c r="QQJ58" s="1"/>
      <c r="QQK58" s="1"/>
      <c r="QQL58" s="1"/>
      <c r="QQM58" s="1"/>
      <c r="QQN58" s="1"/>
      <c r="QQO58" s="1"/>
      <c r="QQP58" s="1"/>
      <c r="QQQ58" s="1"/>
      <c r="QQR58" s="1"/>
      <c r="QQS58" s="1"/>
      <c r="QQT58" s="1"/>
      <c r="QQU58" s="1"/>
      <c r="QQV58" s="1"/>
      <c r="QQW58" s="1"/>
      <c r="QQX58" s="1"/>
      <c r="QQY58" s="1"/>
      <c r="QQZ58" s="1"/>
      <c r="QRA58" s="1"/>
      <c r="QRB58" s="1"/>
      <c r="QRC58" s="1"/>
      <c r="QRD58" s="1"/>
      <c r="QRE58" s="1"/>
      <c r="QRF58" s="1"/>
      <c r="QRG58" s="1"/>
      <c r="QRH58" s="1"/>
      <c r="QRI58" s="1"/>
      <c r="QRJ58" s="1"/>
      <c r="QRK58" s="1"/>
      <c r="QRL58" s="1"/>
      <c r="QRM58" s="1"/>
      <c r="QRN58" s="1"/>
      <c r="QRO58" s="1"/>
      <c r="QRP58" s="1"/>
      <c r="QRQ58" s="1"/>
      <c r="QRR58" s="1"/>
      <c r="QRS58" s="1"/>
      <c r="QRT58" s="1"/>
      <c r="QRU58" s="1"/>
      <c r="QRV58" s="1"/>
      <c r="QRW58" s="1"/>
      <c r="QRX58" s="1"/>
      <c r="QRY58" s="1"/>
      <c r="QRZ58" s="1"/>
      <c r="QSA58" s="1"/>
      <c r="QSB58" s="1"/>
      <c r="QSC58" s="1"/>
      <c r="QSD58" s="1"/>
      <c r="QSE58" s="1"/>
      <c r="QSF58" s="1"/>
      <c r="QSG58" s="1"/>
      <c r="QSH58" s="1"/>
      <c r="QSI58" s="1"/>
      <c r="QSJ58" s="1"/>
      <c r="QSK58" s="1"/>
      <c r="QSL58" s="1"/>
      <c r="QSM58" s="1"/>
      <c r="QSN58" s="1"/>
      <c r="QSO58" s="1"/>
      <c r="QSP58" s="1"/>
      <c r="QSQ58" s="1"/>
      <c r="QSR58" s="1"/>
      <c r="QSS58" s="1"/>
      <c r="QST58" s="1"/>
      <c r="QSU58" s="1"/>
      <c r="QSV58" s="1"/>
      <c r="QSW58" s="1"/>
      <c r="QSX58" s="1"/>
      <c r="QSY58" s="1"/>
      <c r="QSZ58" s="1"/>
      <c r="QTA58" s="1"/>
      <c r="QTB58" s="1"/>
      <c r="QTC58" s="1"/>
      <c r="QTD58" s="1"/>
      <c r="QTE58" s="1"/>
      <c r="QTF58" s="1"/>
      <c r="QTG58" s="1"/>
      <c r="QTH58" s="1"/>
      <c r="QTI58" s="1"/>
      <c r="QTJ58" s="1"/>
      <c r="QTK58" s="1"/>
      <c r="QTL58" s="1"/>
      <c r="QTM58" s="1"/>
      <c r="QTN58" s="1"/>
      <c r="QTO58" s="1"/>
      <c r="QTP58" s="1"/>
      <c r="QTQ58" s="1"/>
      <c r="QTR58" s="1"/>
      <c r="QTS58" s="1"/>
      <c r="QTT58" s="1"/>
      <c r="QTU58" s="1"/>
      <c r="QTV58" s="1"/>
      <c r="QTW58" s="1"/>
      <c r="QTX58" s="1"/>
      <c r="QTY58" s="1"/>
      <c r="QTZ58" s="1"/>
      <c r="QUA58" s="1"/>
      <c r="QUB58" s="1"/>
      <c r="QUC58" s="1"/>
      <c r="QUD58" s="1"/>
      <c r="QUE58" s="1"/>
      <c r="QUF58" s="1"/>
      <c r="QUG58" s="1"/>
      <c r="QUH58" s="1"/>
      <c r="QUI58" s="1"/>
      <c r="QUJ58" s="1"/>
      <c r="QUK58" s="1"/>
      <c r="QUL58" s="1"/>
      <c r="QUM58" s="1"/>
      <c r="QUN58" s="1"/>
      <c r="QUO58" s="1"/>
      <c r="QUP58" s="1"/>
      <c r="QUQ58" s="1"/>
      <c r="QUR58" s="1"/>
      <c r="QUS58" s="1"/>
      <c r="QUT58" s="1"/>
      <c r="QUU58" s="1"/>
      <c r="QUV58" s="1"/>
      <c r="QUW58" s="1"/>
      <c r="QUX58" s="1"/>
      <c r="QUY58" s="1"/>
      <c r="QUZ58" s="1"/>
      <c r="QVA58" s="1"/>
      <c r="QVB58" s="1"/>
      <c r="QVC58" s="1"/>
      <c r="QVD58" s="1"/>
      <c r="QVE58" s="1"/>
      <c r="QVF58" s="1"/>
      <c r="QVG58" s="1"/>
      <c r="QVH58" s="1"/>
      <c r="QVI58" s="1"/>
      <c r="QVJ58" s="1"/>
      <c r="QVK58" s="1"/>
      <c r="QVL58" s="1"/>
      <c r="QVM58" s="1"/>
      <c r="QVN58" s="1"/>
      <c r="QVO58" s="1"/>
      <c r="QVP58" s="1"/>
      <c r="QVQ58" s="1"/>
      <c r="QVR58" s="1"/>
      <c r="QVS58" s="1"/>
      <c r="QVT58" s="1"/>
      <c r="QVU58" s="1"/>
      <c r="QVV58" s="1"/>
      <c r="QVW58" s="1"/>
      <c r="QVX58" s="1"/>
      <c r="QVY58" s="1"/>
      <c r="QVZ58" s="1"/>
      <c r="QWA58" s="1"/>
      <c r="QWB58" s="1"/>
      <c r="QWC58" s="1"/>
      <c r="QWD58" s="1"/>
      <c r="QWE58" s="1"/>
      <c r="QWF58" s="1"/>
      <c r="QWG58" s="1"/>
      <c r="QWH58" s="1"/>
      <c r="QWI58" s="1"/>
      <c r="QWJ58" s="1"/>
      <c r="QWK58" s="1"/>
      <c r="QWL58" s="1"/>
      <c r="QWM58" s="1"/>
      <c r="QWN58" s="1"/>
      <c r="QWO58" s="1"/>
      <c r="QWP58" s="1"/>
      <c r="QWQ58" s="1"/>
      <c r="QWR58" s="1"/>
      <c r="QWS58" s="1"/>
      <c r="QWT58" s="1"/>
      <c r="QWU58" s="1"/>
      <c r="QWV58" s="1"/>
      <c r="QWW58" s="1"/>
      <c r="QWX58" s="1"/>
      <c r="QWY58" s="1"/>
      <c r="QWZ58" s="1"/>
      <c r="QXA58" s="1"/>
      <c r="QXB58" s="1"/>
      <c r="QXC58" s="1"/>
      <c r="QXD58" s="1"/>
      <c r="QXE58" s="1"/>
      <c r="QXF58" s="1"/>
      <c r="QXG58" s="1"/>
      <c r="QXH58" s="1"/>
      <c r="QXI58" s="1"/>
      <c r="QXJ58" s="1"/>
      <c r="QXK58" s="1"/>
      <c r="QXL58" s="1"/>
      <c r="QXM58" s="1"/>
      <c r="QXN58" s="1"/>
      <c r="QXO58" s="1"/>
      <c r="QXP58" s="1"/>
      <c r="QXQ58" s="1"/>
      <c r="QXR58" s="1"/>
      <c r="QXS58" s="1"/>
      <c r="QXT58" s="1"/>
      <c r="QXU58" s="1"/>
      <c r="QXV58" s="1"/>
      <c r="QXW58" s="1"/>
      <c r="QXX58" s="1"/>
      <c r="QXY58" s="1"/>
      <c r="QXZ58" s="1"/>
      <c r="QYA58" s="1"/>
      <c r="QYB58" s="1"/>
      <c r="QYC58" s="1"/>
      <c r="QYD58" s="1"/>
      <c r="QYE58" s="1"/>
      <c r="QYF58" s="1"/>
      <c r="QYG58" s="1"/>
      <c r="QYH58" s="1"/>
      <c r="QYI58" s="1"/>
      <c r="QYJ58" s="1"/>
      <c r="QYK58" s="1"/>
      <c r="QYL58" s="1"/>
      <c r="QYM58" s="1"/>
      <c r="QYN58" s="1"/>
      <c r="QYO58" s="1"/>
      <c r="QYP58" s="1"/>
      <c r="QYQ58" s="1"/>
      <c r="QYR58" s="1"/>
      <c r="QYS58" s="1"/>
      <c r="QYT58" s="1"/>
      <c r="QYU58" s="1"/>
      <c r="QYV58" s="1"/>
      <c r="QYW58" s="1"/>
      <c r="QYX58" s="1"/>
      <c r="QYY58" s="1"/>
      <c r="QYZ58" s="1"/>
      <c r="QZA58" s="1"/>
      <c r="QZB58" s="1"/>
      <c r="QZC58" s="1"/>
      <c r="QZD58" s="1"/>
      <c r="QZE58" s="1"/>
      <c r="QZF58" s="1"/>
      <c r="QZG58" s="1"/>
      <c r="QZH58" s="1"/>
      <c r="QZI58" s="1"/>
      <c r="QZJ58" s="1"/>
      <c r="QZK58" s="1"/>
      <c r="QZL58" s="1"/>
      <c r="QZM58" s="1"/>
      <c r="QZN58" s="1"/>
      <c r="QZO58" s="1"/>
      <c r="QZP58" s="1"/>
      <c r="QZQ58" s="1"/>
      <c r="QZR58" s="1"/>
      <c r="QZS58" s="1"/>
      <c r="QZT58" s="1"/>
      <c r="QZU58" s="1"/>
      <c r="QZV58" s="1"/>
      <c r="QZW58" s="1"/>
      <c r="QZX58" s="1"/>
      <c r="QZY58" s="1"/>
      <c r="QZZ58" s="1"/>
      <c r="RAA58" s="1"/>
      <c r="RAB58" s="1"/>
      <c r="RAC58" s="1"/>
      <c r="RAD58" s="1"/>
      <c r="RAE58" s="1"/>
      <c r="RAF58" s="1"/>
      <c r="RAG58" s="1"/>
      <c r="RAH58" s="1"/>
      <c r="RAI58" s="1"/>
      <c r="RAJ58" s="1"/>
      <c r="RAK58" s="1"/>
      <c r="RAL58" s="1"/>
      <c r="RAM58" s="1"/>
      <c r="RAN58" s="1"/>
      <c r="RAO58" s="1"/>
      <c r="RAP58" s="1"/>
      <c r="RAQ58" s="1"/>
      <c r="RAR58" s="1"/>
      <c r="RAS58" s="1"/>
      <c r="RAT58" s="1"/>
      <c r="RAU58" s="1"/>
      <c r="RAV58" s="1"/>
      <c r="RAW58" s="1"/>
      <c r="RAX58" s="1"/>
      <c r="RAY58" s="1"/>
      <c r="RAZ58" s="1"/>
      <c r="RBA58" s="1"/>
      <c r="RBB58" s="1"/>
      <c r="RBC58" s="1"/>
      <c r="RBD58" s="1"/>
      <c r="RBE58" s="1"/>
      <c r="RBF58" s="1"/>
      <c r="RBG58" s="1"/>
      <c r="RBH58" s="1"/>
      <c r="RBI58" s="1"/>
      <c r="RBJ58" s="1"/>
      <c r="RBK58" s="1"/>
      <c r="RBL58" s="1"/>
      <c r="RBM58" s="1"/>
      <c r="RBN58" s="1"/>
      <c r="RBO58" s="1"/>
      <c r="RBP58" s="1"/>
      <c r="RBQ58" s="1"/>
      <c r="RBR58" s="1"/>
      <c r="RBS58" s="1"/>
      <c r="RBT58" s="1"/>
      <c r="RBU58" s="1"/>
      <c r="RBV58" s="1"/>
      <c r="RBW58" s="1"/>
      <c r="RBX58" s="1"/>
      <c r="RBY58" s="1"/>
      <c r="RBZ58" s="1"/>
      <c r="RCA58" s="1"/>
      <c r="RCB58" s="1"/>
      <c r="RCC58" s="1"/>
      <c r="RCD58" s="1"/>
      <c r="RCE58" s="1"/>
      <c r="RCF58" s="1"/>
      <c r="RCG58" s="1"/>
      <c r="RCH58" s="1"/>
      <c r="RCI58" s="1"/>
      <c r="RCJ58" s="1"/>
      <c r="RCK58" s="1"/>
      <c r="RCL58" s="1"/>
      <c r="RCM58" s="1"/>
      <c r="RCN58" s="1"/>
      <c r="RCO58" s="1"/>
      <c r="RCP58" s="1"/>
      <c r="RCQ58" s="1"/>
      <c r="RCR58" s="1"/>
      <c r="RCS58" s="1"/>
      <c r="RCT58" s="1"/>
      <c r="RCU58" s="1"/>
      <c r="RCV58" s="1"/>
      <c r="RCW58" s="1"/>
      <c r="RCX58" s="1"/>
      <c r="RCY58" s="1"/>
      <c r="RCZ58" s="1"/>
      <c r="RDA58" s="1"/>
      <c r="RDB58" s="1"/>
      <c r="RDC58" s="1"/>
      <c r="RDD58" s="1"/>
      <c r="RDE58" s="1"/>
      <c r="RDF58" s="1"/>
      <c r="RDG58" s="1"/>
      <c r="RDH58" s="1"/>
      <c r="RDI58" s="1"/>
      <c r="RDJ58" s="1"/>
      <c r="RDK58" s="1"/>
      <c r="RDL58" s="1"/>
      <c r="RDM58" s="1"/>
      <c r="RDN58" s="1"/>
      <c r="RDO58" s="1"/>
      <c r="RDP58" s="1"/>
      <c r="RDQ58" s="1"/>
      <c r="RDR58" s="1"/>
      <c r="RDS58" s="1"/>
      <c r="RDT58" s="1"/>
      <c r="RDU58" s="1"/>
      <c r="RDV58" s="1"/>
      <c r="RDW58" s="1"/>
      <c r="RDX58" s="1"/>
      <c r="RDY58" s="1"/>
      <c r="RDZ58" s="1"/>
      <c r="REA58" s="1"/>
      <c r="REB58" s="1"/>
      <c r="REC58" s="1"/>
      <c r="RED58" s="1"/>
      <c r="REE58" s="1"/>
      <c r="REF58" s="1"/>
      <c r="REG58" s="1"/>
      <c r="REH58" s="1"/>
      <c r="REI58" s="1"/>
      <c r="REJ58" s="1"/>
      <c r="REK58" s="1"/>
      <c r="REL58" s="1"/>
      <c r="REM58" s="1"/>
      <c r="REN58" s="1"/>
      <c r="REO58" s="1"/>
      <c r="REP58" s="1"/>
      <c r="REQ58" s="1"/>
      <c r="RER58" s="1"/>
      <c r="RES58" s="1"/>
      <c r="RET58" s="1"/>
      <c r="REU58" s="1"/>
      <c r="REV58" s="1"/>
      <c r="REW58" s="1"/>
      <c r="REX58" s="1"/>
      <c r="REY58" s="1"/>
      <c r="REZ58" s="1"/>
      <c r="RFA58" s="1"/>
      <c r="RFB58" s="1"/>
      <c r="RFC58" s="1"/>
      <c r="RFD58" s="1"/>
      <c r="RFE58" s="1"/>
      <c r="RFF58" s="1"/>
      <c r="RFG58" s="1"/>
      <c r="RFH58" s="1"/>
      <c r="RFI58" s="1"/>
      <c r="RFJ58" s="1"/>
      <c r="RFK58" s="1"/>
      <c r="RFL58" s="1"/>
      <c r="RFM58" s="1"/>
      <c r="RFN58" s="1"/>
      <c r="RFO58" s="1"/>
      <c r="RFP58" s="1"/>
      <c r="RFQ58" s="1"/>
      <c r="RFR58" s="1"/>
      <c r="RFS58" s="1"/>
      <c r="RFT58" s="1"/>
      <c r="RFU58" s="1"/>
      <c r="RFV58" s="1"/>
      <c r="RFW58" s="1"/>
      <c r="RFX58" s="1"/>
      <c r="RFY58" s="1"/>
      <c r="RFZ58" s="1"/>
      <c r="RGA58" s="1"/>
      <c r="RGB58" s="1"/>
      <c r="RGC58" s="1"/>
      <c r="RGD58" s="1"/>
      <c r="RGE58" s="1"/>
      <c r="RGF58" s="1"/>
      <c r="RGG58" s="1"/>
      <c r="RGH58" s="1"/>
      <c r="RGI58" s="1"/>
      <c r="RGJ58" s="1"/>
      <c r="RGK58" s="1"/>
      <c r="RGL58" s="1"/>
      <c r="RGM58" s="1"/>
      <c r="RGN58" s="1"/>
      <c r="RGO58" s="1"/>
      <c r="RGP58" s="1"/>
      <c r="RGQ58" s="1"/>
      <c r="RGR58" s="1"/>
      <c r="RGS58" s="1"/>
      <c r="RGT58" s="1"/>
      <c r="RGU58" s="1"/>
      <c r="RGV58" s="1"/>
      <c r="RGW58" s="1"/>
      <c r="RGX58" s="1"/>
      <c r="RGY58" s="1"/>
      <c r="RGZ58" s="1"/>
      <c r="RHA58" s="1"/>
      <c r="RHB58" s="1"/>
      <c r="RHC58" s="1"/>
      <c r="RHD58" s="1"/>
      <c r="RHE58" s="1"/>
      <c r="RHF58" s="1"/>
      <c r="RHG58" s="1"/>
      <c r="RHH58" s="1"/>
      <c r="RHI58" s="1"/>
      <c r="RHJ58" s="1"/>
      <c r="RHK58" s="1"/>
      <c r="RHL58" s="1"/>
      <c r="RHM58" s="1"/>
      <c r="RHN58" s="1"/>
      <c r="RHO58" s="1"/>
      <c r="RHP58" s="1"/>
      <c r="RHQ58" s="1"/>
      <c r="RHR58" s="1"/>
      <c r="RHS58" s="1"/>
      <c r="RHT58" s="1"/>
      <c r="RHU58" s="1"/>
      <c r="RHV58" s="1"/>
      <c r="RHW58" s="1"/>
      <c r="RHX58" s="1"/>
      <c r="RHY58" s="1"/>
      <c r="RHZ58" s="1"/>
      <c r="RIA58" s="1"/>
      <c r="RIB58" s="1"/>
      <c r="RIC58" s="1"/>
      <c r="RID58" s="1"/>
      <c r="RIE58" s="1"/>
      <c r="RIF58" s="1"/>
      <c r="RIG58" s="1"/>
      <c r="RIH58" s="1"/>
      <c r="RII58" s="1"/>
      <c r="RIJ58" s="1"/>
      <c r="RIK58" s="1"/>
      <c r="RIL58" s="1"/>
      <c r="RIM58" s="1"/>
      <c r="RIN58" s="1"/>
      <c r="RIO58" s="1"/>
      <c r="RIP58" s="1"/>
      <c r="RIQ58" s="1"/>
      <c r="RIR58" s="1"/>
      <c r="RIS58" s="1"/>
      <c r="RIT58" s="1"/>
      <c r="RIU58" s="1"/>
      <c r="RIV58" s="1"/>
      <c r="RIW58" s="1"/>
      <c r="RIX58" s="1"/>
      <c r="RIY58" s="1"/>
      <c r="RIZ58" s="1"/>
      <c r="RJA58" s="1"/>
      <c r="RJB58" s="1"/>
      <c r="RJC58" s="1"/>
      <c r="RJD58" s="1"/>
      <c r="RJE58" s="1"/>
      <c r="RJF58" s="1"/>
      <c r="RJG58" s="1"/>
      <c r="RJH58" s="1"/>
      <c r="RJI58" s="1"/>
      <c r="RJJ58" s="1"/>
      <c r="RJK58" s="1"/>
      <c r="RJL58" s="1"/>
      <c r="RJM58" s="1"/>
      <c r="RJN58" s="1"/>
      <c r="RJO58" s="1"/>
      <c r="RJP58" s="1"/>
      <c r="RJQ58" s="1"/>
      <c r="RJR58" s="1"/>
      <c r="RJS58" s="1"/>
      <c r="RJT58" s="1"/>
      <c r="RJU58" s="1"/>
      <c r="RJV58" s="1"/>
      <c r="RJW58" s="1"/>
      <c r="RJX58" s="1"/>
      <c r="RJY58" s="1"/>
      <c r="RJZ58" s="1"/>
      <c r="RKA58" s="1"/>
      <c r="RKB58" s="1"/>
      <c r="RKC58" s="1"/>
      <c r="RKD58" s="1"/>
      <c r="RKE58" s="1"/>
      <c r="RKF58" s="1"/>
      <c r="RKG58" s="1"/>
      <c r="RKH58" s="1"/>
      <c r="RKI58" s="1"/>
      <c r="RKJ58" s="1"/>
      <c r="RKK58" s="1"/>
      <c r="RKL58" s="1"/>
      <c r="RKM58" s="1"/>
      <c r="RKN58" s="1"/>
      <c r="RKO58" s="1"/>
      <c r="RKP58" s="1"/>
      <c r="RKQ58" s="1"/>
      <c r="RKR58" s="1"/>
      <c r="RKS58" s="1"/>
      <c r="RKT58" s="1"/>
      <c r="RKU58" s="1"/>
      <c r="RKV58" s="1"/>
      <c r="RKW58" s="1"/>
      <c r="RKX58" s="1"/>
      <c r="RKY58" s="1"/>
      <c r="RKZ58" s="1"/>
      <c r="RLA58" s="1"/>
      <c r="RLB58" s="1"/>
      <c r="RLC58" s="1"/>
      <c r="RLD58" s="1"/>
      <c r="RLE58" s="1"/>
      <c r="RLF58" s="1"/>
      <c r="RLG58" s="1"/>
      <c r="RLH58" s="1"/>
      <c r="RLI58" s="1"/>
      <c r="RLJ58" s="1"/>
      <c r="RLK58" s="1"/>
      <c r="RLL58" s="1"/>
      <c r="RLM58" s="1"/>
      <c r="RLN58" s="1"/>
      <c r="RLO58" s="1"/>
      <c r="RLP58" s="1"/>
      <c r="RLQ58" s="1"/>
      <c r="RLR58" s="1"/>
      <c r="RLS58" s="1"/>
      <c r="RLT58" s="1"/>
      <c r="RLU58" s="1"/>
      <c r="RLV58" s="1"/>
      <c r="RLW58" s="1"/>
      <c r="RLX58" s="1"/>
      <c r="RLY58" s="1"/>
      <c r="RLZ58" s="1"/>
      <c r="RMA58" s="1"/>
      <c r="RMB58" s="1"/>
      <c r="RMC58" s="1"/>
      <c r="RMD58" s="1"/>
      <c r="RME58" s="1"/>
      <c r="RMF58" s="1"/>
      <c r="RMG58" s="1"/>
      <c r="RMH58" s="1"/>
      <c r="RMI58" s="1"/>
      <c r="RMJ58" s="1"/>
      <c r="RMK58" s="1"/>
      <c r="RML58" s="1"/>
      <c r="RMM58" s="1"/>
      <c r="RMN58" s="1"/>
      <c r="RMO58" s="1"/>
      <c r="RMP58" s="1"/>
      <c r="RMQ58" s="1"/>
      <c r="RMR58" s="1"/>
      <c r="RMS58" s="1"/>
      <c r="RMT58" s="1"/>
      <c r="RMU58" s="1"/>
      <c r="RMV58" s="1"/>
      <c r="RMW58" s="1"/>
      <c r="RMX58" s="1"/>
      <c r="RMY58" s="1"/>
      <c r="RMZ58" s="1"/>
      <c r="RNA58" s="1"/>
      <c r="RNB58" s="1"/>
      <c r="RNC58" s="1"/>
      <c r="RND58" s="1"/>
      <c r="RNE58" s="1"/>
      <c r="RNF58" s="1"/>
      <c r="RNG58" s="1"/>
      <c r="RNH58" s="1"/>
      <c r="RNI58" s="1"/>
      <c r="RNJ58" s="1"/>
      <c r="RNK58" s="1"/>
      <c r="RNL58" s="1"/>
      <c r="RNM58" s="1"/>
      <c r="RNN58" s="1"/>
      <c r="RNO58" s="1"/>
      <c r="RNP58" s="1"/>
      <c r="RNQ58" s="1"/>
      <c r="RNR58" s="1"/>
      <c r="RNS58" s="1"/>
      <c r="RNT58" s="1"/>
      <c r="RNU58" s="1"/>
      <c r="RNV58" s="1"/>
      <c r="RNW58" s="1"/>
      <c r="RNX58" s="1"/>
      <c r="RNY58" s="1"/>
      <c r="RNZ58" s="1"/>
      <c r="ROA58" s="1"/>
      <c r="ROB58" s="1"/>
      <c r="ROC58" s="1"/>
      <c r="ROD58" s="1"/>
      <c r="ROE58" s="1"/>
      <c r="ROF58" s="1"/>
      <c r="ROG58" s="1"/>
      <c r="ROH58" s="1"/>
      <c r="ROI58" s="1"/>
      <c r="ROJ58" s="1"/>
      <c r="ROK58" s="1"/>
      <c r="ROL58" s="1"/>
      <c r="ROM58" s="1"/>
      <c r="RON58" s="1"/>
      <c r="ROO58" s="1"/>
      <c r="ROP58" s="1"/>
      <c r="ROQ58" s="1"/>
      <c r="ROR58" s="1"/>
      <c r="ROS58" s="1"/>
      <c r="ROT58" s="1"/>
      <c r="ROU58" s="1"/>
      <c r="ROV58" s="1"/>
      <c r="ROW58" s="1"/>
      <c r="ROX58" s="1"/>
      <c r="ROY58" s="1"/>
      <c r="ROZ58" s="1"/>
      <c r="RPA58" s="1"/>
      <c r="RPB58" s="1"/>
      <c r="RPC58" s="1"/>
      <c r="RPD58" s="1"/>
      <c r="RPE58" s="1"/>
      <c r="RPF58" s="1"/>
      <c r="RPG58" s="1"/>
      <c r="RPH58" s="1"/>
      <c r="RPI58" s="1"/>
      <c r="RPJ58" s="1"/>
      <c r="RPK58" s="1"/>
      <c r="RPL58" s="1"/>
      <c r="RPM58" s="1"/>
      <c r="RPN58" s="1"/>
      <c r="RPO58" s="1"/>
      <c r="RPP58" s="1"/>
      <c r="RPQ58" s="1"/>
      <c r="RPR58" s="1"/>
      <c r="RPS58" s="1"/>
      <c r="RPT58" s="1"/>
      <c r="RPU58" s="1"/>
      <c r="RPV58" s="1"/>
      <c r="RPW58" s="1"/>
      <c r="RPX58" s="1"/>
      <c r="RPY58" s="1"/>
      <c r="RPZ58" s="1"/>
      <c r="RQA58" s="1"/>
      <c r="RQB58" s="1"/>
      <c r="RQC58" s="1"/>
      <c r="RQD58" s="1"/>
      <c r="RQE58" s="1"/>
      <c r="RQF58" s="1"/>
      <c r="RQG58" s="1"/>
      <c r="RQH58" s="1"/>
      <c r="RQI58" s="1"/>
      <c r="RQJ58" s="1"/>
      <c r="RQK58" s="1"/>
      <c r="RQL58" s="1"/>
      <c r="RQM58" s="1"/>
      <c r="RQN58" s="1"/>
      <c r="RQO58" s="1"/>
      <c r="RQP58" s="1"/>
      <c r="RQQ58" s="1"/>
      <c r="RQR58" s="1"/>
      <c r="RQS58" s="1"/>
      <c r="RQT58" s="1"/>
      <c r="RQU58" s="1"/>
      <c r="RQV58" s="1"/>
      <c r="RQW58" s="1"/>
      <c r="RQX58" s="1"/>
      <c r="RQY58" s="1"/>
      <c r="RQZ58" s="1"/>
      <c r="RRA58" s="1"/>
      <c r="RRB58" s="1"/>
      <c r="RRC58" s="1"/>
      <c r="RRD58" s="1"/>
      <c r="RRE58" s="1"/>
      <c r="RRF58" s="1"/>
      <c r="RRG58" s="1"/>
      <c r="RRH58" s="1"/>
      <c r="RRI58" s="1"/>
      <c r="RRJ58" s="1"/>
      <c r="RRK58" s="1"/>
      <c r="RRL58" s="1"/>
      <c r="RRM58" s="1"/>
      <c r="RRN58" s="1"/>
      <c r="RRO58" s="1"/>
      <c r="RRP58" s="1"/>
      <c r="RRQ58" s="1"/>
      <c r="RRR58" s="1"/>
      <c r="RRS58" s="1"/>
      <c r="RRT58" s="1"/>
      <c r="RRU58" s="1"/>
      <c r="RRV58" s="1"/>
      <c r="RRW58" s="1"/>
      <c r="RRX58" s="1"/>
      <c r="RRY58" s="1"/>
      <c r="RRZ58" s="1"/>
      <c r="RSA58" s="1"/>
      <c r="RSB58" s="1"/>
      <c r="RSC58" s="1"/>
      <c r="RSD58" s="1"/>
      <c r="RSE58" s="1"/>
      <c r="RSF58" s="1"/>
      <c r="RSG58" s="1"/>
      <c r="RSH58" s="1"/>
      <c r="RSI58" s="1"/>
      <c r="RSJ58" s="1"/>
      <c r="RSK58" s="1"/>
      <c r="RSL58" s="1"/>
      <c r="RSM58" s="1"/>
      <c r="RSN58" s="1"/>
      <c r="RSO58" s="1"/>
      <c r="RSP58" s="1"/>
      <c r="RSQ58" s="1"/>
      <c r="RSR58" s="1"/>
      <c r="RSS58" s="1"/>
      <c r="RST58" s="1"/>
      <c r="RSU58" s="1"/>
      <c r="RSV58" s="1"/>
      <c r="RSW58" s="1"/>
      <c r="RSX58" s="1"/>
      <c r="RSY58" s="1"/>
      <c r="RSZ58" s="1"/>
      <c r="RTA58" s="1"/>
      <c r="RTB58" s="1"/>
      <c r="RTC58" s="1"/>
      <c r="RTD58" s="1"/>
      <c r="RTE58" s="1"/>
      <c r="RTF58" s="1"/>
      <c r="RTG58" s="1"/>
      <c r="RTH58" s="1"/>
      <c r="RTI58" s="1"/>
      <c r="RTJ58" s="1"/>
      <c r="RTK58" s="1"/>
      <c r="RTL58" s="1"/>
      <c r="RTM58" s="1"/>
      <c r="RTN58" s="1"/>
      <c r="RTO58" s="1"/>
      <c r="RTP58" s="1"/>
      <c r="RTQ58" s="1"/>
      <c r="RTR58" s="1"/>
      <c r="RTS58" s="1"/>
      <c r="RTT58" s="1"/>
      <c r="RTU58" s="1"/>
      <c r="RTV58" s="1"/>
      <c r="RTW58" s="1"/>
      <c r="RTX58" s="1"/>
      <c r="RTY58" s="1"/>
      <c r="RTZ58" s="1"/>
      <c r="RUA58" s="1"/>
      <c r="RUB58" s="1"/>
      <c r="RUC58" s="1"/>
      <c r="RUD58" s="1"/>
      <c r="RUE58" s="1"/>
      <c r="RUF58" s="1"/>
      <c r="RUG58" s="1"/>
      <c r="RUH58" s="1"/>
      <c r="RUI58" s="1"/>
      <c r="RUJ58" s="1"/>
      <c r="RUK58" s="1"/>
      <c r="RUL58" s="1"/>
      <c r="RUM58" s="1"/>
      <c r="RUN58" s="1"/>
      <c r="RUO58" s="1"/>
      <c r="RUP58" s="1"/>
      <c r="RUQ58" s="1"/>
      <c r="RUR58" s="1"/>
      <c r="RUS58" s="1"/>
      <c r="RUT58" s="1"/>
      <c r="RUU58" s="1"/>
      <c r="RUV58" s="1"/>
      <c r="RUW58" s="1"/>
      <c r="RUX58" s="1"/>
      <c r="RUY58" s="1"/>
      <c r="RUZ58" s="1"/>
      <c r="RVA58" s="1"/>
      <c r="RVB58" s="1"/>
      <c r="RVC58" s="1"/>
      <c r="RVD58" s="1"/>
      <c r="RVE58" s="1"/>
      <c r="RVF58" s="1"/>
      <c r="RVG58" s="1"/>
      <c r="RVH58" s="1"/>
      <c r="RVI58" s="1"/>
      <c r="RVJ58" s="1"/>
      <c r="RVK58" s="1"/>
      <c r="RVL58" s="1"/>
      <c r="RVM58" s="1"/>
      <c r="RVN58" s="1"/>
      <c r="RVO58" s="1"/>
      <c r="RVP58" s="1"/>
      <c r="RVQ58" s="1"/>
      <c r="RVR58" s="1"/>
      <c r="RVS58" s="1"/>
      <c r="RVT58" s="1"/>
      <c r="RVU58" s="1"/>
      <c r="RVV58" s="1"/>
      <c r="RVW58" s="1"/>
      <c r="RVX58" s="1"/>
      <c r="RVY58" s="1"/>
      <c r="RVZ58" s="1"/>
      <c r="RWA58" s="1"/>
      <c r="RWB58" s="1"/>
      <c r="RWC58" s="1"/>
      <c r="RWD58" s="1"/>
      <c r="RWE58" s="1"/>
      <c r="RWF58" s="1"/>
      <c r="RWG58" s="1"/>
      <c r="RWH58" s="1"/>
      <c r="RWI58" s="1"/>
      <c r="RWJ58" s="1"/>
      <c r="RWK58" s="1"/>
      <c r="RWL58" s="1"/>
      <c r="RWM58" s="1"/>
      <c r="RWN58" s="1"/>
      <c r="RWO58" s="1"/>
      <c r="RWP58" s="1"/>
      <c r="RWQ58" s="1"/>
      <c r="RWR58" s="1"/>
      <c r="RWS58" s="1"/>
      <c r="RWT58" s="1"/>
      <c r="RWU58" s="1"/>
      <c r="RWV58" s="1"/>
      <c r="RWW58" s="1"/>
      <c r="RWX58" s="1"/>
      <c r="RWY58" s="1"/>
      <c r="RWZ58" s="1"/>
      <c r="RXA58" s="1"/>
      <c r="RXB58" s="1"/>
      <c r="RXC58" s="1"/>
      <c r="RXD58" s="1"/>
      <c r="RXE58" s="1"/>
      <c r="RXF58" s="1"/>
      <c r="RXG58" s="1"/>
      <c r="RXH58" s="1"/>
      <c r="RXI58" s="1"/>
      <c r="RXJ58" s="1"/>
      <c r="RXK58" s="1"/>
      <c r="RXL58" s="1"/>
      <c r="RXM58" s="1"/>
      <c r="RXN58" s="1"/>
      <c r="RXO58" s="1"/>
      <c r="RXP58" s="1"/>
      <c r="RXQ58" s="1"/>
      <c r="RXR58" s="1"/>
      <c r="RXS58" s="1"/>
      <c r="RXT58" s="1"/>
      <c r="RXU58" s="1"/>
      <c r="RXV58" s="1"/>
      <c r="RXW58" s="1"/>
      <c r="RXX58" s="1"/>
      <c r="RXY58" s="1"/>
      <c r="RXZ58" s="1"/>
      <c r="RYA58" s="1"/>
      <c r="RYB58" s="1"/>
      <c r="RYC58" s="1"/>
      <c r="RYD58" s="1"/>
      <c r="RYE58" s="1"/>
      <c r="RYF58" s="1"/>
      <c r="RYG58" s="1"/>
      <c r="RYH58" s="1"/>
      <c r="RYI58" s="1"/>
      <c r="RYJ58" s="1"/>
      <c r="RYK58" s="1"/>
      <c r="RYL58" s="1"/>
      <c r="RYM58" s="1"/>
      <c r="RYN58" s="1"/>
      <c r="RYO58" s="1"/>
      <c r="RYP58" s="1"/>
      <c r="RYQ58" s="1"/>
      <c r="RYR58" s="1"/>
      <c r="RYS58" s="1"/>
      <c r="RYT58" s="1"/>
      <c r="RYU58" s="1"/>
      <c r="RYV58" s="1"/>
      <c r="RYW58" s="1"/>
      <c r="RYX58" s="1"/>
      <c r="RYY58" s="1"/>
      <c r="RYZ58" s="1"/>
      <c r="RZA58" s="1"/>
      <c r="RZB58" s="1"/>
      <c r="RZC58" s="1"/>
      <c r="RZD58" s="1"/>
      <c r="RZE58" s="1"/>
      <c r="RZF58" s="1"/>
      <c r="RZG58" s="1"/>
      <c r="RZH58" s="1"/>
      <c r="RZI58" s="1"/>
      <c r="RZJ58" s="1"/>
      <c r="RZK58" s="1"/>
      <c r="RZL58" s="1"/>
      <c r="RZM58" s="1"/>
      <c r="RZN58" s="1"/>
      <c r="RZO58" s="1"/>
      <c r="RZP58" s="1"/>
      <c r="RZQ58" s="1"/>
      <c r="RZR58" s="1"/>
      <c r="RZS58" s="1"/>
      <c r="RZT58" s="1"/>
      <c r="RZU58" s="1"/>
      <c r="RZV58" s="1"/>
      <c r="RZW58" s="1"/>
      <c r="RZX58" s="1"/>
      <c r="RZY58" s="1"/>
      <c r="RZZ58" s="1"/>
      <c r="SAA58" s="1"/>
      <c r="SAB58" s="1"/>
      <c r="SAC58" s="1"/>
      <c r="SAD58" s="1"/>
      <c r="SAE58" s="1"/>
      <c r="SAF58" s="1"/>
      <c r="SAG58" s="1"/>
      <c r="SAH58" s="1"/>
      <c r="SAI58" s="1"/>
      <c r="SAJ58" s="1"/>
      <c r="SAK58" s="1"/>
      <c r="SAL58" s="1"/>
      <c r="SAM58" s="1"/>
      <c r="SAN58" s="1"/>
      <c r="SAO58" s="1"/>
      <c r="SAP58" s="1"/>
      <c r="SAQ58" s="1"/>
      <c r="SAR58" s="1"/>
      <c r="SAS58" s="1"/>
      <c r="SAT58" s="1"/>
      <c r="SAU58" s="1"/>
      <c r="SAV58" s="1"/>
      <c r="SAW58" s="1"/>
      <c r="SAX58" s="1"/>
      <c r="SAY58" s="1"/>
      <c r="SAZ58" s="1"/>
      <c r="SBA58" s="1"/>
      <c r="SBB58" s="1"/>
      <c r="SBC58" s="1"/>
      <c r="SBD58" s="1"/>
      <c r="SBE58" s="1"/>
      <c r="SBF58" s="1"/>
      <c r="SBG58" s="1"/>
      <c r="SBH58" s="1"/>
      <c r="SBI58" s="1"/>
      <c r="SBJ58" s="1"/>
      <c r="SBK58" s="1"/>
      <c r="SBL58" s="1"/>
      <c r="SBM58" s="1"/>
      <c r="SBN58" s="1"/>
      <c r="SBO58" s="1"/>
      <c r="SBP58" s="1"/>
      <c r="SBQ58" s="1"/>
      <c r="SBR58" s="1"/>
      <c r="SBS58" s="1"/>
      <c r="SBT58" s="1"/>
      <c r="SBU58" s="1"/>
      <c r="SBV58" s="1"/>
      <c r="SBW58" s="1"/>
      <c r="SBX58" s="1"/>
      <c r="SBY58" s="1"/>
      <c r="SBZ58" s="1"/>
      <c r="SCA58" s="1"/>
      <c r="SCB58" s="1"/>
      <c r="SCC58" s="1"/>
      <c r="SCD58" s="1"/>
      <c r="SCE58" s="1"/>
      <c r="SCF58" s="1"/>
      <c r="SCG58" s="1"/>
      <c r="SCH58" s="1"/>
      <c r="SCI58" s="1"/>
      <c r="SCJ58" s="1"/>
      <c r="SCK58" s="1"/>
      <c r="SCL58" s="1"/>
      <c r="SCM58" s="1"/>
      <c r="SCN58" s="1"/>
      <c r="SCO58" s="1"/>
      <c r="SCP58" s="1"/>
      <c r="SCQ58" s="1"/>
      <c r="SCR58" s="1"/>
      <c r="SCS58" s="1"/>
      <c r="SCT58" s="1"/>
      <c r="SCU58" s="1"/>
      <c r="SCV58" s="1"/>
      <c r="SCW58" s="1"/>
      <c r="SCX58" s="1"/>
      <c r="SCY58" s="1"/>
      <c r="SCZ58" s="1"/>
      <c r="SDA58" s="1"/>
      <c r="SDB58" s="1"/>
      <c r="SDC58" s="1"/>
      <c r="SDD58" s="1"/>
      <c r="SDE58" s="1"/>
      <c r="SDF58" s="1"/>
      <c r="SDG58" s="1"/>
      <c r="SDH58" s="1"/>
      <c r="SDI58" s="1"/>
      <c r="SDJ58" s="1"/>
      <c r="SDK58" s="1"/>
      <c r="SDL58" s="1"/>
      <c r="SDM58" s="1"/>
      <c r="SDN58" s="1"/>
      <c r="SDO58" s="1"/>
      <c r="SDP58" s="1"/>
      <c r="SDQ58" s="1"/>
      <c r="SDR58" s="1"/>
      <c r="SDS58" s="1"/>
      <c r="SDT58" s="1"/>
      <c r="SDU58" s="1"/>
      <c r="SDV58" s="1"/>
      <c r="SDW58" s="1"/>
      <c r="SDX58" s="1"/>
      <c r="SDY58" s="1"/>
      <c r="SDZ58" s="1"/>
      <c r="SEA58" s="1"/>
      <c r="SEB58" s="1"/>
      <c r="SEC58" s="1"/>
      <c r="SED58" s="1"/>
      <c r="SEE58" s="1"/>
      <c r="SEF58" s="1"/>
      <c r="SEG58" s="1"/>
      <c r="SEH58" s="1"/>
      <c r="SEI58" s="1"/>
      <c r="SEJ58" s="1"/>
      <c r="SEK58" s="1"/>
      <c r="SEL58" s="1"/>
      <c r="SEM58" s="1"/>
      <c r="SEN58" s="1"/>
      <c r="SEO58" s="1"/>
      <c r="SEP58" s="1"/>
      <c r="SEQ58" s="1"/>
      <c r="SER58" s="1"/>
      <c r="SES58" s="1"/>
      <c r="SET58" s="1"/>
      <c r="SEU58" s="1"/>
      <c r="SEV58" s="1"/>
      <c r="SEW58" s="1"/>
      <c r="SEX58" s="1"/>
      <c r="SEY58" s="1"/>
      <c r="SEZ58" s="1"/>
      <c r="SFA58" s="1"/>
      <c r="SFB58" s="1"/>
      <c r="SFC58" s="1"/>
      <c r="SFD58" s="1"/>
      <c r="SFE58" s="1"/>
      <c r="SFF58" s="1"/>
      <c r="SFG58" s="1"/>
      <c r="SFH58" s="1"/>
      <c r="SFI58" s="1"/>
      <c r="SFJ58" s="1"/>
      <c r="SFK58" s="1"/>
      <c r="SFL58" s="1"/>
      <c r="SFM58" s="1"/>
      <c r="SFN58" s="1"/>
      <c r="SFO58" s="1"/>
      <c r="SFP58" s="1"/>
      <c r="SFQ58" s="1"/>
      <c r="SFR58" s="1"/>
      <c r="SFS58" s="1"/>
      <c r="SFT58" s="1"/>
      <c r="SFU58" s="1"/>
      <c r="SFV58" s="1"/>
      <c r="SFW58" s="1"/>
      <c r="SFX58" s="1"/>
      <c r="SFY58" s="1"/>
      <c r="SFZ58" s="1"/>
      <c r="SGA58" s="1"/>
      <c r="SGB58" s="1"/>
      <c r="SGC58" s="1"/>
      <c r="SGD58" s="1"/>
      <c r="SGE58" s="1"/>
      <c r="SGF58" s="1"/>
      <c r="SGG58" s="1"/>
      <c r="SGH58" s="1"/>
      <c r="SGI58" s="1"/>
      <c r="SGJ58" s="1"/>
      <c r="SGK58" s="1"/>
      <c r="SGL58" s="1"/>
      <c r="SGM58" s="1"/>
      <c r="SGN58" s="1"/>
      <c r="SGO58" s="1"/>
      <c r="SGP58" s="1"/>
      <c r="SGQ58" s="1"/>
      <c r="SGR58" s="1"/>
      <c r="SGS58" s="1"/>
      <c r="SGT58" s="1"/>
      <c r="SGU58" s="1"/>
      <c r="SGV58" s="1"/>
      <c r="SGW58" s="1"/>
      <c r="SGX58" s="1"/>
      <c r="SGY58" s="1"/>
      <c r="SGZ58" s="1"/>
      <c r="SHA58" s="1"/>
      <c r="SHB58" s="1"/>
      <c r="SHC58" s="1"/>
      <c r="SHD58" s="1"/>
      <c r="SHE58" s="1"/>
      <c r="SHF58" s="1"/>
      <c r="SHG58" s="1"/>
      <c r="SHH58" s="1"/>
      <c r="SHI58" s="1"/>
      <c r="SHJ58" s="1"/>
      <c r="SHK58" s="1"/>
      <c r="SHL58" s="1"/>
      <c r="SHM58" s="1"/>
      <c r="SHN58" s="1"/>
      <c r="SHO58" s="1"/>
      <c r="SHP58" s="1"/>
      <c r="SHQ58" s="1"/>
      <c r="SHR58" s="1"/>
      <c r="SHS58" s="1"/>
      <c r="SHT58" s="1"/>
      <c r="SHU58" s="1"/>
      <c r="SHV58" s="1"/>
      <c r="SHW58" s="1"/>
      <c r="SHX58" s="1"/>
      <c r="SHY58" s="1"/>
      <c r="SHZ58" s="1"/>
      <c r="SIA58" s="1"/>
      <c r="SIB58" s="1"/>
      <c r="SIC58" s="1"/>
      <c r="SID58" s="1"/>
      <c r="SIE58" s="1"/>
      <c r="SIF58" s="1"/>
      <c r="SIG58" s="1"/>
      <c r="SIH58" s="1"/>
      <c r="SII58" s="1"/>
      <c r="SIJ58" s="1"/>
      <c r="SIK58" s="1"/>
      <c r="SIL58" s="1"/>
      <c r="SIM58" s="1"/>
      <c r="SIN58" s="1"/>
      <c r="SIO58" s="1"/>
      <c r="SIP58" s="1"/>
      <c r="SIQ58" s="1"/>
      <c r="SIR58" s="1"/>
      <c r="SIS58" s="1"/>
      <c r="SIT58" s="1"/>
      <c r="SIU58" s="1"/>
      <c r="SIV58" s="1"/>
      <c r="SIW58" s="1"/>
      <c r="SIX58" s="1"/>
      <c r="SIY58" s="1"/>
      <c r="SIZ58" s="1"/>
      <c r="SJA58" s="1"/>
      <c r="SJB58" s="1"/>
      <c r="SJC58" s="1"/>
      <c r="SJD58" s="1"/>
      <c r="SJE58" s="1"/>
      <c r="SJF58" s="1"/>
      <c r="SJG58" s="1"/>
      <c r="SJH58" s="1"/>
      <c r="SJI58" s="1"/>
      <c r="SJJ58" s="1"/>
      <c r="SJK58" s="1"/>
      <c r="SJL58" s="1"/>
      <c r="SJM58" s="1"/>
      <c r="SJN58" s="1"/>
      <c r="SJO58" s="1"/>
      <c r="SJP58" s="1"/>
      <c r="SJQ58" s="1"/>
      <c r="SJR58" s="1"/>
      <c r="SJS58" s="1"/>
      <c r="SJT58" s="1"/>
      <c r="SJU58" s="1"/>
      <c r="SJV58" s="1"/>
      <c r="SJW58" s="1"/>
      <c r="SJX58" s="1"/>
      <c r="SJY58" s="1"/>
      <c r="SJZ58" s="1"/>
      <c r="SKA58" s="1"/>
      <c r="SKB58" s="1"/>
      <c r="SKC58" s="1"/>
      <c r="SKD58" s="1"/>
      <c r="SKE58" s="1"/>
      <c r="SKF58" s="1"/>
      <c r="SKG58" s="1"/>
      <c r="SKH58" s="1"/>
      <c r="SKI58" s="1"/>
      <c r="SKJ58" s="1"/>
      <c r="SKK58" s="1"/>
      <c r="SKL58" s="1"/>
      <c r="SKM58" s="1"/>
      <c r="SKN58" s="1"/>
      <c r="SKO58" s="1"/>
      <c r="SKP58" s="1"/>
      <c r="SKQ58" s="1"/>
      <c r="SKR58" s="1"/>
      <c r="SKS58" s="1"/>
      <c r="SKT58" s="1"/>
      <c r="SKU58" s="1"/>
      <c r="SKV58" s="1"/>
      <c r="SKW58" s="1"/>
      <c r="SKX58" s="1"/>
      <c r="SKY58" s="1"/>
      <c r="SKZ58" s="1"/>
      <c r="SLA58" s="1"/>
      <c r="SLB58" s="1"/>
      <c r="SLC58" s="1"/>
      <c r="SLD58" s="1"/>
      <c r="SLE58" s="1"/>
      <c r="SLF58" s="1"/>
      <c r="SLG58" s="1"/>
      <c r="SLH58" s="1"/>
      <c r="SLI58" s="1"/>
      <c r="SLJ58" s="1"/>
      <c r="SLK58" s="1"/>
      <c r="SLL58" s="1"/>
      <c r="SLM58" s="1"/>
      <c r="SLN58" s="1"/>
      <c r="SLO58" s="1"/>
      <c r="SLP58" s="1"/>
      <c r="SLQ58" s="1"/>
      <c r="SLR58" s="1"/>
      <c r="SLS58" s="1"/>
      <c r="SLT58" s="1"/>
      <c r="SLU58" s="1"/>
      <c r="SLV58" s="1"/>
      <c r="SLW58" s="1"/>
      <c r="SLX58" s="1"/>
      <c r="SLY58" s="1"/>
      <c r="SLZ58" s="1"/>
      <c r="SMA58" s="1"/>
      <c r="SMB58" s="1"/>
      <c r="SMC58" s="1"/>
      <c r="SMD58" s="1"/>
      <c r="SME58" s="1"/>
      <c r="SMF58" s="1"/>
      <c r="SMG58" s="1"/>
      <c r="SMH58" s="1"/>
      <c r="SMI58" s="1"/>
      <c r="SMJ58" s="1"/>
      <c r="SMK58" s="1"/>
      <c r="SML58" s="1"/>
      <c r="SMM58" s="1"/>
      <c r="SMN58" s="1"/>
      <c r="SMO58" s="1"/>
      <c r="SMP58" s="1"/>
      <c r="SMQ58" s="1"/>
      <c r="SMR58" s="1"/>
      <c r="SMS58" s="1"/>
      <c r="SMT58" s="1"/>
      <c r="SMU58" s="1"/>
      <c r="SMV58" s="1"/>
      <c r="SMW58" s="1"/>
      <c r="SMX58" s="1"/>
      <c r="SMY58" s="1"/>
      <c r="SMZ58" s="1"/>
      <c r="SNA58" s="1"/>
      <c r="SNB58" s="1"/>
      <c r="SNC58" s="1"/>
      <c r="SND58" s="1"/>
      <c r="SNE58" s="1"/>
      <c r="SNF58" s="1"/>
      <c r="SNG58" s="1"/>
      <c r="SNH58" s="1"/>
      <c r="SNI58" s="1"/>
      <c r="SNJ58" s="1"/>
      <c r="SNK58" s="1"/>
      <c r="SNL58" s="1"/>
      <c r="SNM58" s="1"/>
      <c r="SNN58" s="1"/>
      <c r="SNO58" s="1"/>
      <c r="SNP58" s="1"/>
      <c r="SNQ58" s="1"/>
      <c r="SNR58" s="1"/>
      <c r="SNS58" s="1"/>
      <c r="SNT58" s="1"/>
      <c r="SNU58" s="1"/>
      <c r="SNV58" s="1"/>
      <c r="SNW58" s="1"/>
      <c r="SNX58" s="1"/>
      <c r="SNY58" s="1"/>
      <c r="SNZ58" s="1"/>
      <c r="SOA58" s="1"/>
      <c r="SOB58" s="1"/>
      <c r="SOC58" s="1"/>
      <c r="SOD58" s="1"/>
      <c r="SOE58" s="1"/>
      <c r="SOF58" s="1"/>
      <c r="SOG58" s="1"/>
      <c r="SOH58" s="1"/>
      <c r="SOI58" s="1"/>
      <c r="SOJ58" s="1"/>
      <c r="SOK58" s="1"/>
      <c r="SOL58" s="1"/>
      <c r="SOM58" s="1"/>
      <c r="SON58" s="1"/>
      <c r="SOO58" s="1"/>
      <c r="SOP58" s="1"/>
      <c r="SOQ58" s="1"/>
      <c r="SOR58" s="1"/>
      <c r="SOS58" s="1"/>
      <c r="SOT58" s="1"/>
      <c r="SOU58" s="1"/>
      <c r="SOV58" s="1"/>
      <c r="SOW58" s="1"/>
      <c r="SOX58" s="1"/>
      <c r="SOY58" s="1"/>
      <c r="SOZ58" s="1"/>
      <c r="SPA58" s="1"/>
      <c r="SPB58" s="1"/>
      <c r="SPC58" s="1"/>
      <c r="SPD58" s="1"/>
      <c r="SPE58" s="1"/>
      <c r="SPF58" s="1"/>
      <c r="SPG58" s="1"/>
      <c r="SPH58" s="1"/>
      <c r="SPI58" s="1"/>
      <c r="SPJ58" s="1"/>
      <c r="SPK58" s="1"/>
      <c r="SPL58" s="1"/>
      <c r="SPM58" s="1"/>
      <c r="SPN58" s="1"/>
      <c r="SPO58" s="1"/>
      <c r="SPP58" s="1"/>
      <c r="SPQ58" s="1"/>
      <c r="SPR58" s="1"/>
      <c r="SPS58" s="1"/>
      <c r="SPT58" s="1"/>
      <c r="SPU58" s="1"/>
      <c r="SPV58" s="1"/>
      <c r="SPW58" s="1"/>
      <c r="SPX58" s="1"/>
      <c r="SPY58" s="1"/>
      <c r="SPZ58" s="1"/>
      <c r="SQA58" s="1"/>
      <c r="SQB58" s="1"/>
      <c r="SQC58" s="1"/>
      <c r="SQD58" s="1"/>
      <c r="SQE58" s="1"/>
      <c r="SQF58" s="1"/>
      <c r="SQG58" s="1"/>
      <c r="SQH58" s="1"/>
      <c r="SQI58" s="1"/>
      <c r="SQJ58" s="1"/>
      <c r="SQK58" s="1"/>
      <c r="SQL58" s="1"/>
      <c r="SQM58" s="1"/>
      <c r="SQN58" s="1"/>
      <c r="SQO58" s="1"/>
      <c r="SQP58" s="1"/>
      <c r="SQQ58" s="1"/>
      <c r="SQR58" s="1"/>
      <c r="SQS58" s="1"/>
      <c r="SQT58" s="1"/>
      <c r="SQU58" s="1"/>
      <c r="SQV58" s="1"/>
      <c r="SQW58" s="1"/>
      <c r="SQX58" s="1"/>
      <c r="SQY58" s="1"/>
      <c r="SQZ58" s="1"/>
      <c r="SRA58" s="1"/>
      <c r="SRB58" s="1"/>
      <c r="SRC58" s="1"/>
      <c r="SRD58" s="1"/>
      <c r="SRE58" s="1"/>
      <c r="SRF58" s="1"/>
      <c r="SRG58" s="1"/>
      <c r="SRH58" s="1"/>
      <c r="SRI58" s="1"/>
      <c r="SRJ58" s="1"/>
      <c r="SRK58" s="1"/>
      <c r="SRL58" s="1"/>
      <c r="SRM58" s="1"/>
      <c r="SRN58" s="1"/>
      <c r="SRO58" s="1"/>
      <c r="SRP58" s="1"/>
      <c r="SRQ58" s="1"/>
      <c r="SRR58" s="1"/>
      <c r="SRS58" s="1"/>
      <c r="SRT58" s="1"/>
      <c r="SRU58" s="1"/>
      <c r="SRV58" s="1"/>
      <c r="SRW58" s="1"/>
      <c r="SRX58" s="1"/>
      <c r="SRY58" s="1"/>
      <c r="SRZ58" s="1"/>
      <c r="SSA58" s="1"/>
      <c r="SSB58" s="1"/>
      <c r="SSC58" s="1"/>
      <c r="SSD58" s="1"/>
      <c r="SSE58" s="1"/>
      <c r="SSF58" s="1"/>
      <c r="SSG58" s="1"/>
      <c r="SSH58" s="1"/>
      <c r="SSI58" s="1"/>
      <c r="SSJ58" s="1"/>
      <c r="SSK58" s="1"/>
      <c r="SSL58" s="1"/>
      <c r="SSM58" s="1"/>
      <c r="SSN58" s="1"/>
      <c r="SSO58" s="1"/>
      <c r="SSP58" s="1"/>
      <c r="SSQ58" s="1"/>
      <c r="SSR58" s="1"/>
      <c r="SSS58" s="1"/>
      <c r="SST58" s="1"/>
      <c r="SSU58" s="1"/>
      <c r="SSV58" s="1"/>
      <c r="SSW58" s="1"/>
      <c r="SSX58" s="1"/>
      <c r="SSY58" s="1"/>
      <c r="SSZ58" s="1"/>
      <c r="STA58" s="1"/>
      <c r="STB58" s="1"/>
      <c r="STC58" s="1"/>
      <c r="STD58" s="1"/>
      <c r="STE58" s="1"/>
      <c r="STF58" s="1"/>
      <c r="STG58" s="1"/>
      <c r="STH58" s="1"/>
      <c r="STI58" s="1"/>
      <c r="STJ58" s="1"/>
      <c r="STK58" s="1"/>
      <c r="STL58" s="1"/>
      <c r="STM58" s="1"/>
      <c r="STN58" s="1"/>
      <c r="STO58" s="1"/>
      <c r="STP58" s="1"/>
      <c r="STQ58" s="1"/>
      <c r="STR58" s="1"/>
      <c r="STS58" s="1"/>
      <c r="STT58" s="1"/>
      <c r="STU58" s="1"/>
      <c r="STV58" s="1"/>
      <c r="STW58" s="1"/>
      <c r="STX58" s="1"/>
      <c r="STY58" s="1"/>
      <c r="STZ58" s="1"/>
      <c r="SUA58" s="1"/>
      <c r="SUB58" s="1"/>
      <c r="SUC58" s="1"/>
      <c r="SUD58" s="1"/>
      <c r="SUE58" s="1"/>
      <c r="SUF58" s="1"/>
      <c r="SUG58" s="1"/>
      <c r="SUH58" s="1"/>
      <c r="SUI58" s="1"/>
      <c r="SUJ58" s="1"/>
      <c r="SUK58" s="1"/>
      <c r="SUL58" s="1"/>
      <c r="SUM58" s="1"/>
      <c r="SUN58" s="1"/>
      <c r="SUO58" s="1"/>
      <c r="SUP58" s="1"/>
      <c r="SUQ58" s="1"/>
      <c r="SUR58" s="1"/>
      <c r="SUS58" s="1"/>
      <c r="SUT58" s="1"/>
      <c r="SUU58" s="1"/>
      <c r="SUV58" s="1"/>
      <c r="SUW58" s="1"/>
      <c r="SUX58" s="1"/>
      <c r="SUY58" s="1"/>
      <c r="SUZ58" s="1"/>
      <c r="SVA58" s="1"/>
      <c r="SVB58" s="1"/>
      <c r="SVC58" s="1"/>
      <c r="SVD58" s="1"/>
      <c r="SVE58" s="1"/>
      <c r="SVF58" s="1"/>
      <c r="SVG58" s="1"/>
      <c r="SVH58" s="1"/>
      <c r="SVI58" s="1"/>
      <c r="SVJ58" s="1"/>
      <c r="SVK58" s="1"/>
      <c r="SVL58" s="1"/>
      <c r="SVM58" s="1"/>
      <c r="SVN58" s="1"/>
      <c r="SVO58" s="1"/>
      <c r="SVP58" s="1"/>
      <c r="SVQ58" s="1"/>
      <c r="SVR58" s="1"/>
      <c r="SVS58" s="1"/>
      <c r="SVT58" s="1"/>
      <c r="SVU58" s="1"/>
      <c r="SVV58" s="1"/>
      <c r="SVW58" s="1"/>
      <c r="SVX58" s="1"/>
      <c r="SVY58" s="1"/>
      <c r="SVZ58" s="1"/>
      <c r="SWA58" s="1"/>
      <c r="SWB58" s="1"/>
      <c r="SWC58" s="1"/>
      <c r="SWD58" s="1"/>
      <c r="SWE58" s="1"/>
      <c r="SWF58" s="1"/>
      <c r="SWG58" s="1"/>
      <c r="SWH58" s="1"/>
      <c r="SWI58" s="1"/>
      <c r="SWJ58" s="1"/>
      <c r="SWK58" s="1"/>
      <c r="SWL58" s="1"/>
      <c r="SWM58" s="1"/>
      <c r="SWN58" s="1"/>
      <c r="SWO58" s="1"/>
      <c r="SWP58" s="1"/>
      <c r="SWQ58" s="1"/>
      <c r="SWR58" s="1"/>
      <c r="SWS58" s="1"/>
      <c r="SWT58" s="1"/>
      <c r="SWU58" s="1"/>
      <c r="SWV58" s="1"/>
      <c r="SWW58" s="1"/>
      <c r="SWX58" s="1"/>
      <c r="SWY58" s="1"/>
      <c r="SWZ58" s="1"/>
      <c r="SXA58" s="1"/>
      <c r="SXB58" s="1"/>
      <c r="SXC58" s="1"/>
      <c r="SXD58" s="1"/>
      <c r="SXE58" s="1"/>
      <c r="SXF58" s="1"/>
      <c r="SXG58" s="1"/>
      <c r="SXH58" s="1"/>
      <c r="SXI58" s="1"/>
      <c r="SXJ58" s="1"/>
      <c r="SXK58" s="1"/>
      <c r="SXL58" s="1"/>
      <c r="SXM58" s="1"/>
      <c r="SXN58" s="1"/>
      <c r="SXO58" s="1"/>
      <c r="SXP58" s="1"/>
      <c r="SXQ58" s="1"/>
      <c r="SXR58" s="1"/>
      <c r="SXS58" s="1"/>
      <c r="SXT58" s="1"/>
      <c r="SXU58" s="1"/>
      <c r="SXV58" s="1"/>
      <c r="SXW58" s="1"/>
      <c r="SXX58" s="1"/>
      <c r="SXY58" s="1"/>
      <c r="SXZ58" s="1"/>
      <c r="SYA58" s="1"/>
      <c r="SYB58" s="1"/>
      <c r="SYC58" s="1"/>
      <c r="SYD58" s="1"/>
      <c r="SYE58" s="1"/>
      <c r="SYF58" s="1"/>
      <c r="SYG58" s="1"/>
      <c r="SYH58" s="1"/>
      <c r="SYI58" s="1"/>
      <c r="SYJ58" s="1"/>
      <c r="SYK58" s="1"/>
      <c r="SYL58" s="1"/>
      <c r="SYM58" s="1"/>
      <c r="SYN58" s="1"/>
      <c r="SYO58" s="1"/>
      <c r="SYP58" s="1"/>
      <c r="SYQ58" s="1"/>
      <c r="SYR58" s="1"/>
      <c r="SYS58" s="1"/>
      <c r="SYT58" s="1"/>
      <c r="SYU58" s="1"/>
      <c r="SYV58" s="1"/>
      <c r="SYW58" s="1"/>
      <c r="SYX58" s="1"/>
      <c r="SYY58" s="1"/>
      <c r="SYZ58" s="1"/>
      <c r="SZA58" s="1"/>
      <c r="SZB58" s="1"/>
      <c r="SZC58" s="1"/>
      <c r="SZD58" s="1"/>
      <c r="SZE58" s="1"/>
      <c r="SZF58" s="1"/>
      <c r="SZG58" s="1"/>
      <c r="SZH58" s="1"/>
      <c r="SZI58" s="1"/>
      <c r="SZJ58" s="1"/>
      <c r="SZK58" s="1"/>
      <c r="SZL58" s="1"/>
      <c r="SZM58" s="1"/>
      <c r="SZN58" s="1"/>
      <c r="SZO58" s="1"/>
      <c r="SZP58" s="1"/>
      <c r="SZQ58" s="1"/>
      <c r="SZR58" s="1"/>
      <c r="SZS58" s="1"/>
      <c r="SZT58" s="1"/>
      <c r="SZU58" s="1"/>
      <c r="SZV58" s="1"/>
      <c r="SZW58" s="1"/>
      <c r="SZX58" s="1"/>
      <c r="SZY58" s="1"/>
      <c r="SZZ58" s="1"/>
      <c r="TAA58" s="1"/>
      <c r="TAB58" s="1"/>
      <c r="TAC58" s="1"/>
      <c r="TAD58" s="1"/>
      <c r="TAE58" s="1"/>
      <c r="TAF58" s="1"/>
      <c r="TAG58" s="1"/>
      <c r="TAH58" s="1"/>
      <c r="TAI58" s="1"/>
      <c r="TAJ58" s="1"/>
      <c r="TAK58" s="1"/>
      <c r="TAL58" s="1"/>
      <c r="TAM58" s="1"/>
      <c r="TAN58" s="1"/>
      <c r="TAO58" s="1"/>
      <c r="TAP58" s="1"/>
      <c r="TAQ58" s="1"/>
      <c r="TAR58" s="1"/>
      <c r="TAS58" s="1"/>
      <c r="TAT58" s="1"/>
      <c r="TAU58" s="1"/>
      <c r="TAV58" s="1"/>
      <c r="TAW58" s="1"/>
      <c r="TAX58" s="1"/>
      <c r="TAY58" s="1"/>
      <c r="TAZ58" s="1"/>
      <c r="TBA58" s="1"/>
      <c r="TBB58" s="1"/>
      <c r="TBC58" s="1"/>
      <c r="TBD58" s="1"/>
      <c r="TBE58" s="1"/>
      <c r="TBF58" s="1"/>
      <c r="TBG58" s="1"/>
      <c r="TBH58" s="1"/>
      <c r="TBI58" s="1"/>
      <c r="TBJ58" s="1"/>
      <c r="TBK58" s="1"/>
      <c r="TBL58" s="1"/>
      <c r="TBM58" s="1"/>
      <c r="TBN58" s="1"/>
      <c r="TBO58" s="1"/>
      <c r="TBP58" s="1"/>
      <c r="TBQ58" s="1"/>
      <c r="TBR58" s="1"/>
      <c r="TBS58" s="1"/>
      <c r="TBT58" s="1"/>
      <c r="TBU58" s="1"/>
      <c r="TBV58" s="1"/>
      <c r="TBW58" s="1"/>
      <c r="TBX58" s="1"/>
      <c r="TBY58" s="1"/>
      <c r="TBZ58" s="1"/>
      <c r="TCA58" s="1"/>
      <c r="TCB58" s="1"/>
      <c r="TCC58" s="1"/>
      <c r="TCD58" s="1"/>
      <c r="TCE58" s="1"/>
      <c r="TCF58" s="1"/>
      <c r="TCG58" s="1"/>
      <c r="TCH58" s="1"/>
      <c r="TCI58" s="1"/>
      <c r="TCJ58" s="1"/>
      <c r="TCK58" s="1"/>
      <c r="TCL58" s="1"/>
      <c r="TCM58" s="1"/>
      <c r="TCN58" s="1"/>
      <c r="TCO58" s="1"/>
      <c r="TCP58" s="1"/>
      <c r="TCQ58" s="1"/>
      <c r="TCR58" s="1"/>
      <c r="TCS58" s="1"/>
      <c r="TCT58" s="1"/>
      <c r="TCU58" s="1"/>
      <c r="TCV58" s="1"/>
      <c r="TCW58" s="1"/>
      <c r="TCX58" s="1"/>
      <c r="TCY58" s="1"/>
      <c r="TCZ58" s="1"/>
      <c r="TDA58" s="1"/>
      <c r="TDB58" s="1"/>
      <c r="TDC58" s="1"/>
      <c r="TDD58" s="1"/>
      <c r="TDE58" s="1"/>
      <c r="TDF58" s="1"/>
      <c r="TDG58" s="1"/>
      <c r="TDH58" s="1"/>
      <c r="TDI58" s="1"/>
      <c r="TDJ58" s="1"/>
      <c r="TDK58" s="1"/>
      <c r="TDL58" s="1"/>
      <c r="TDM58" s="1"/>
      <c r="TDN58" s="1"/>
      <c r="TDO58" s="1"/>
      <c r="TDP58" s="1"/>
      <c r="TDQ58" s="1"/>
      <c r="TDR58" s="1"/>
      <c r="TDS58" s="1"/>
      <c r="TDT58" s="1"/>
      <c r="TDU58" s="1"/>
      <c r="TDV58" s="1"/>
      <c r="TDW58" s="1"/>
      <c r="TDX58" s="1"/>
      <c r="TDY58" s="1"/>
      <c r="TDZ58" s="1"/>
      <c r="TEA58" s="1"/>
      <c r="TEB58" s="1"/>
      <c r="TEC58" s="1"/>
      <c r="TED58" s="1"/>
      <c r="TEE58" s="1"/>
      <c r="TEF58" s="1"/>
      <c r="TEG58" s="1"/>
      <c r="TEH58" s="1"/>
      <c r="TEI58" s="1"/>
      <c r="TEJ58" s="1"/>
      <c r="TEK58" s="1"/>
      <c r="TEL58" s="1"/>
      <c r="TEM58" s="1"/>
      <c r="TEN58" s="1"/>
      <c r="TEO58" s="1"/>
      <c r="TEP58" s="1"/>
      <c r="TEQ58" s="1"/>
      <c r="TER58" s="1"/>
      <c r="TES58" s="1"/>
      <c r="TET58" s="1"/>
      <c r="TEU58" s="1"/>
      <c r="TEV58" s="1"/>
      <c r="TEW58" s="1"/>
      <c r="TEX58" s="1"/>
      <c r="TEY58" s="1"/>
      <c r="TEZ58" s="1"/>
      <c r="TFA58" s="1"/>
      <c r="TFB58" s="1"/>
      <c r="TFC58" s="1"/>
      <c r="TFD58" s="1"/>
      <c r="TFE58" s="1"/>
      <c r="TFF58" s="1"/>
      <c r="TFG58" s="1"/>
      <c r="TFH58" s="1"/>
      <c r="TFI58" s="1"/>
      <c r="TFJ58" s="1"/>
      <c r="TFK58" s="1"/>
      <c r="TFL58" s="1"/>
      <c r="TFM58" s="1"/>
      <c r="TFN58" s="1"/>
      <c r="TFO58" s="1"/>
      <c r="TFP58" s="1"/>
      <c r="TFQ58" s="1"/>
      <c r="TFR58" s="1"/>
      <c r="TFS58" s="1"/>
      <c r="TFT58" s="1"/>
      <c r="TFU58" s="1"/>
      <c r="TFV58" s="1"/>
      <c r="TFW58" s="1"/>
      <c r="TFX58" s="1"/>
      <c r="TFY58" s="1"/>
      <c r="TFZ58" s="1"/>
      <c r="TGA58" s="1"/>
      <c r="TGB58" s="1"/>
      <c r="TGC58" s="1"/>
      <c r="TGD58" s="1"/>
      <c r="TGE58" s="1"/>
      <c r="TGF58" s="1"/>
      <c r="TGG58" s="1"/>
      <c r="TGH58" s="1"/>
      <c r="TGI58" s="1"/>
      <c r="TGJ58" s="1"/>
      <c r="TGK58" s="1"/>
      <c r="TGL58" s="1"/>
      <c r="TGM58" s="1"/>
      <c r="TGN58" s="1"/>
      <c r="TGO58" s="1"/>
      <c r="TGP58" s="1"/>
      <c r="TGQ58" s="1"/>
      <c r="TGR58" s="1"/>
      <c r="TGS58" s="1"/>
      <c r="TGT58" s="1"/>
      <c r="TGU58" s="1"/>
      <c r="TGV58" s="1"/>
      <c r="TGW58" s="1"/>
      <c r="TGX58" s="1"/>
      <c r="TGY58" s="1"/>
      <c r="TGZ58" s="1"/>
      <c r="THA58" s="1"/>
      <c r="THB58" s="1"/>
      <c r="THC58" s="1"/>
      <c r="THD58" s="1"/>
      <c r="THE58" s="1"/>
      <c r="THF58" s="1"/>
      <c r="THG58" s="1"/>
      <c r="THH58" s="1"/>
      <c r="THI58" s="1"/>
      <c r="THJ58" s="1"/>
      <c r="THK58" s="1"/>
      <c r="THL58" s="1"/>
      <c r="THM58" s="1"/>
      <c r="THN58" s="1"/>
      <c r="THO58" s="1"/>
      <c r="THP58" s="1"/>
      <c r="THQ58" s="1"/>
      <c r="THR58" s="1"/>
      <c r="THS58" s="1"/>
      <c r="THT58" s="1"/>
      <c r="THU58" s="1"/>
      <c r="THV58" s="1"/>
      <c r="THW58" s="1"/>
      <c r="THX58" s="1"/>
      <c r="THY58" s="1"/>
      <c r="THZ58" s="1"/>
      <c r="TIA58" s="1"/>
      <c r="TIB58" s="1"/>
      <c r="TIC58" s="1"/>
      <c r="TID58" s="1"/>
      <c r="TIE58" s="1"/>
      <c r="TIF58" s="1"/>
      <c r="TIG58" s="1"/>
      <c r="TIH58" s="1"/>
      <c r="TII58" s="1"/>
      <c r="TIJ58" s="1"/>
      <c r="TIK58" s="1"/>
      <c r="TIL58" s="1"/>
      <c r="TIM58" s="1"/>
      <c r="TIN58" s="1"/>
      <c r="TIO58" s="1"/>
      <c r="TIP58" s="1"/>
      <c r="TIQ58" s="1"/>
      <c r="TIR58" s="1"/>
      <c r="TIS58" s="1"/>
      <c r="TIT58" s="1"/>
      <c r="TIU58" s="1"/>
      <c r="TIV58" s="1"/>
      <c r="TIW58" s="1"/>
      <c r="TIX58" s="1"/>
      <c r="TIY58" s="1"/>
      <c r="TIZ58" s="1"/>
      <c r="TJA58" s="1"/>
      <c r="TJB58" s="1"/>
      <c r="TJC58" s="1"/>
      <c r="TJD58" s="1"/>
      <c r="TJE58" s="1"/>
      <c r="TJF58" s="1"/>
      <c r="TJG58" s="1"/>
      <c r="TJH58" s="1"/>
      <c r="TJI58" s="1"/>
      <c r="TJJ58" s="1"/>
      <c r="TJK58" s="1"/>
      <c r="TJL58" s="1"/>
      <c r="TJM58" s="1"/>
      <c r="TJN58" s="1"/>
      <c r="TJO58" s="1"/>
      <c r="TJP58" s="1"/>
      <c r="TJQ58" s="1"/>
      <c r="TJR58" s="1"/>
      <c r="TJS58" s="1"/>
      <c r="TJT58" s="1"/>
      <c r="TJU58" s="1"/>
      <c r="TJV58" s="1"/>
      <c r="TJW58" s="1"/>
      <c r="TJX58" s="1"/>
      <c r="TJY58" s="1"/>
      <c r="TJZ58" s="1"/>
      <c r="TKA58" s="1"/>
      <c r="TKB58" s="1"/>
      <c r="TKC58" s="1"/>
      <c r="TKD58" s="1"/>
      <c r="TKE58" s="1"/>
      <c r="TKF58" s="1"/>
      <c r="TKG58" s="1"/>
      <c r="TKH58" s="1"/>
      <c r="TKI58" s="1"/>
      <c r="TKJ58" s="1"/>
      <c r="TKK58" s="1"/>
      <c r="TKL58" s="1"/>
      <c r="TKM58" s="1"/>
      <c r="TKN58" s="1"/>
      <c r="TKO58" s="1"/>
      <c r="TKP58" s="1"/>
      <c r="TKQ58" s="1"/>
      <c r="TKR58" s="1"/>
      <c r="TKS58" s="1"/>
      <c r="TKT58" s="1"/>
      <c r="TKU58" s="1"/>
      <c r="TKV58" s="1"/>
      <c r="TKW58" s="1"/>
      <c r="TKX58" s="1"/>
      <c r="TKY58" s="1"/>
      <c r="TKZ58" s="1"/>
      <c r="TLA58" s="1"/>
      <c r="TLB58" s="1"/>
      <c r="TLC58" s="1"/>
      <c r="TLD58" s="1"/>
      <c r="TLE58" s="1"/>
      <c r="TLF58" s="1"/>
      <c r="TLG58" s="1"/>
      <c r="TLH58" s="1"/>
      <c r="TLI58" s="1"/>
      <c r="TLJ58" s="1"/>
      <c r="TLK58" s="1"/>
      <c r="TLL58" s="1"/>
      <c r="TLM58" s="1"/>
      <c r="TLN58" s="1"/>
      <c r="TLO58" s="1"/>
      <c r="TLP58" s="1"/>
      <c r="TLQ58" s="1"/>
      <c r="TLR58" s="1"/>
      <c r="TLS58" s="1"/>
      <c r="TLT58" s="1"/>
      <c r="TLU58" s="1"/>
      <c r="TLV58" s="1"/>
      <c r="TLW58" s="1"/>
      <c r="TLX58" s="1"/>
      <c r="TLY58" s="1"/>
      <c r="TLZ58" s="1"/>
      <c r="TMA58" s="1"/>
      <c r="TMB58" s="1"/>
      <c r="TMC58" s="1"/>
      <c r="TMD58" s="1"/>
      <c r="TME58" s="1"/>
      <c r="TMF58" s="1"/>
      <c r="TMG58" s="1"/>
      <c r="TMH58" s="1"/>
      <c r="TMI58" s="1"/>
      <c r="TMJ58" s="1"/>
      <c r="TMK58" s="1"/>
      <c r="TML58" s="1"/>
      <c r="TMM58" s="1"/>
      <c r="TMN58" s="1"/>
      <c r="TMO58" s="1"/>
      <c r="TMP58" s="1"/>
      <c r="TMQ58" s="1"/>
      <c r="TMR58" s="1"/>
      <c r="TMS58" s="1"/>
      <c r="TMT58" s="1"/>
      <c r="TMU58" s="1"/>
      <c r="TMV58" s="1"/>
      <c r="TMW58" s="1"/>
      <c r="TMX58" s="1"/>
      <c r="TMY58" s="1"/>
      <c r="TMZ58" s="1"/>
      <c r="TNA58" s="1"/>
      <c r="TNB58" s="1"/>
      <c r="TNC58" s="1"/>
      <c r="TND58" s="1"/>
      <c r="TNE58" s="1"/>
      <c r="TNF58" s="1"/>
      <c r="TNG58" s="1"/>
      <c r="TNH58" s="1"/>
      <c r="TNI58" s="1"/>
      <c r="TNJ58" s="1"/>
      <c r="TNK58" s="1"/>
      <c r="TNL58" s="1"/>
      <c r="TNM58" s="1"/>
      <c r="TNN58" s="1"/>
      <c r="TNO58" s="1"/>
      <c r="TNP58" s="1"/>
      <c r="TNQ58" s="1"/>
      <c r="TNR58" s="1"/>
      <c r="TNS58" s="1"/>
      <c r="TNT58" s="1"/>
      <c r="TNU58" s="1"/>
      <c r="TNV58" s="1"/>
      <c r="TNW58" s="1"/>
      <c r="TNX58" s="1"/>
      <c r="TNY58" s="1"/>
      <c r="TNZ58" s="1"/>
      <c r="TOA58" s="1"/>
      <c r="TOB58" s="1"/>
      <c r="TOC58" s="1"/>
      <c r="TOD58" s="1"/>
      <c r="TOE58" s="1"/>
      <c r="TOF58" s="1"/>
      <c r="TOG58" s="1"/>
      <c r="TOH58" s="1"/>
      <c r="TOI58" s="1"/>
      <c r="TOJ58" s="1"/>
      <c r="TOK58" s="1"/>
      <c r="TOL58" s="1"/>
      <c r="TOM58" s="1"/>
      <c r="TON58" s="1"/>
      <c r="TOO58" s="1"/>
      <c r="TOP58" s="1"/>
      <c r="TOQ58" s="1"/>
      <c r="TOR58" s="1"/>
      <c r="TOS58" s="1"/>
      <c r="TOT58" s="1"/>
      <c r="TOU58" s="1"/>
      <c r="TOV58" s="1"/>
      <c r="TOW58" s="1"/>
      <c r="TOX58" s="1"/>
      <c r="TOY58" s="1"/>
      <c r="TOZ58" s="1"/>
      <c r="TPA58" s="1"/>
      <c r="TPB58" s="1"/>
      <c r="TPC58" s="1"/>
      <c r="TPD58" s="1"/>
      <c r="TPE58" s="1"/>
      <c r="TPF58" s="1"/>
      <c r="TPG58" s="1"/>
      <c r="TPH58" s="1"/>
      <c r="TPI58" s="1"/>
      <c r="TPJ58" s="1"/>
      <c r="TPK58" s="1"/>
      <c r="TPL58" s="1"/>
      <c r="TPM58" s="1"/>
      <c r="TPN58" s="1"/>
      <c r="TPO58" s="1"/>
      <c r="TPP58" s="1"/>
      <c r="TPQ58" s="1"/>
      <c r="TPR58" s="1"/>
      <c r="TPS58" s="1"/>
      <c r="TPT58" s="1"/>
      <c r="TPU58" s="1"/>
      <c r="TPV58" s="1"/>
      <c r="TPW58" s="1"/>
      <c r="TPX58" s="1"/>
      <c r="TPY58" s="1"/>
      <c r="TPZ58" s="1"/>
      <c r="TQA58" s="1"/>
      <c r="TQB58" s="1"/>
      <c r="TQC58" s="1"/>
      <c r="TQD58" s="1"/>
      <c r="TQE58" s="1"/>
      <c r="TQF58" s="1"/>
      <c r="TQG58" s="1"/>
      <c r="TQH58" s="1"/>
      <c r="TQI58" s="1"/>
      <c r="TQJ58" s="1"/>
      <c r="TQK58" s="1"/>
      <c r="TQL58" s="1"/>
      <c r="TQM58" s="1"/>
      <c r="TQN58" s="1"/>
      <c r="TQO58" s="1"/>
      <c r="TQP58" s="1"/>
      <c r="TQQ58" s="1"/>
      <c r="TQR58" s="1"/>
      <c r="TQS58" s="1"/>
      <c r="TQT58" s="1"/>
      <c r="TQU58" s="1"/>
      <c r="TQV58" s="1"/>
      <c r="TQW58" s="1"/>
      <c r="TQX58" s="1"/>
      <c r="TQY58" s="1"/>
      <c r="TQZ58" s="1"/>
      <c r="TRA58" s="1"/>
      <c r="TRB58" s="1"/>
      <c r="TRC58" s="1"/>
      <c r="TRD58" s="1"/>
      <c r="TRE58" s="1"/>
      <c r="TRF58" s="1"/>
      <c r="TRG58" s="1"/>
      <c r="TRH58" s="1"/>
      <c r="TRI58" s="1"/>
      <c r="TRJ58" s="1"/>
      <c r="TRK58" s="1"/>
      <c r="TRL58" s="1"/>
      <c r="TRM58" s="1"/>
      <c r="TRN58" s="1"/>
      <c r="TRO58" s="1"/>
      <c r="TRP58" s="1"/>
      <c r="TRQ58" s="1"/>
      <c r="TRR58" s="1"/>
      <c r="TRS58" s="1"/>
      <c r="TRT58" s="1"/>
      <c r="TRU58" s="1"/>
      <c r="TRV58" s="1"/>
      <c r="TRW58" s="1"/>
      <c r="TRX58" s="1"/>
      <c r="TRY58" s="1"/>
      <c r="TRZ58" s="1"/>
      <c r="TSA58" s="1"/>
      <c r="TSB58" s="1"/>
      <c r="TSC58" s="1"/>
      <c r="TSD58" s="1"/>
      <c r="TSE58" s="1"/>
      <c r="TSF58" s="1"/>
      <c r="TSG58" s="1"/>
      <c r="TSH58" s="1"/>
      <c r="TSI58" s="1"/>
      <c r="TSJ58" s="1"/>
      <c r="TSK58" s="1"/>
      <c r="TSL58" s="1"/>
      <c r="TSM58" s="1"/>
      <c r="TSN58" s="1"/>
      <c r="TSO58" s="1"/>
      <c r="TSP58" s="1"/>
      <c r="TSQ58" s="1"/>
      <c r="TSR58" s="1"/>
      <c r="TSS58" s="1"/>
      <c r="TST58" s="1"/>
      <c r="TSU58" s="1"/>
      <c r="TSV58" s="1"/>
      <c r="TSW58" s="1"/>
      <c r="TSX58" s="1"/>
      <c r="TSY58" s="1"/>
      <c r="TSZ58" s="1"/>
      <c r="TTA58" s="1"/>
      <c r="TTB58" s="1"/>
      <c r="TTC58" s="1"/>
      <c r="TTD58" s="1"/>
      <c r="TTE58" s="1"/>
      <c r="TTF58" s="1"/>
      <c r="TTG58" s="1"/>
      <c r="TTH58" s="1"/>
      <c r="TTI58" s="1"/>
      <c r="TTJ58" s="1"/>
      <c r="TTK58" s="1"/>
      <c r="TTL58" s="1"/>
      <c r="TTM58" s="1"/>
      <c r="TTN58" s="1"/>
      <c r="TTO58" s="1"/>
      <c r="TTP58" s="1"/>
      <c r="TTQ58" s="1"/>
      <c r="TTR58" s="1"/>
      <c r="TTS58" s="1"/>
      <c r="TTT58" s="1"/>
      <c r="TTU58" s="1"/>
      <c r="TTV58" s="1"/>
      <c r="TTW58" s="1"/>
      <c r="TTX58" s="1"/>
      <c r="TTY58" s="1"/>
      <c r="TTZ58" s="1"/>
      <c r="TUA58" s="1"/>
      <c r="TUB58" s="1"/>
      <c r="TUC58" s="1"/>
      <c r="TUD58" s="1"/>
      <c r="TUE58" s="1"/>
      <c r="TUF58" s="1"/>
      <c r="TUG58" s="1"/>
      <c r="TUH58" s="1"/>
      <c r="TUI58" s="1"/>
      <c r="TUJ58" s="1"/>
      <c r="TUK58" s="1"/>
      <c r="TUL58" s="1"/>
      <c r="TUM58" s="1"/>
      <c r="TUN58" s="1"/>
      <c r="TUO58" s="1"/>
      <c r="TUP58" s="1"/>
      <c r="TUQ58" s="1"/>
      <c r="TUR58" s="1"/>
      <c r="TUS58" s="1"/>
      <c r="TUT58" s="1"/>
      <c r="TUU58" s="1"/>
      <c r="TUV58" s="1"/>
      <c r="TUW58" s="1"/>
      <c r="TUX58" s="1"/>
      <c r="TUY58" s="1"/>
      <c r="TUZ58" s="1"/>
      <c r="TVA58" s="1"/>
      <c r="TVB58" s="1"/>
      <c r="TVC58" s="1"/>
      <c r="TVD58" s="1"/>
      <c r="TVE58" s="1"/>
      <c r="TVF58" s="1"/>
      <c r="TVG58" s="1"/>
      <c r="TVH58" s="1"/>
      <c r="TVI58" s="1"/>
      <c r="TVJ58" s="1"/>
      <c r="TVK58" s="1"/>
      <c r="TVL58" s="1"/>
      <c r="TVM58" s="1"/>
      <c r="TVN58" s="1"/>
      <c r="TVO58" s="1"/>
      <c r="TVP58" s="1"/>
      <c r="TVQ58" s="1"/>
      <c r="TVR58" s="1"/>
      <c r="TVS58" s="1"/>
      <c r="TVT58" s="1"/>
      <c r="TVU58" s="1"/>
      <c r="TVV58" s="1"/>
      <c r="TVW58" s="1"/>
      <c r="TVX58" s="1"/>
      <c r="TVY58" s="1"/>
      <c r="TVZ58" s="1"/>
      <c r="TWA58" s="1"/>
      <c r="TWB58" s="1"/>
      <c r="TWC58" s="1"/>
      <c r="TWD58" s="1"/>
      <c r="TWE58" s="1"/>
      <c r="TWF58" s="1"/>
      <c r="TWG58" s="1"/>
      <c r="TWH58" s="1"/>
      <c r="TWI58" s="1"/>
      <c r="TWJ58" s="1"/>
      <c r="TWK58" s="1"/>
      <c r="TWL58" s="1"/>
      <c r="TWM58" s="1"/>
      <c r="TWN58" s="1"/>
      <c r="TWO58" s="1"/>
      <c r="TWP58" s="1"/>
      <c r="TWQ58" s="1"/>
      <c r="TWR58" s="1"/>
      <c r="TWS58" s="1"/>
      <c r="TWT58" s="1"/>
      <c r="TWU58" s="1"/>
      <c r="TWV58" s="1"/>
      <c r="TWW58" s="1"/>
      <c r="TWX58" s="1"/>
      <c r="TWY58" s="1"/>
      <c r="TWZ58" s="1"/>
      <c r="TXA58" s="1"/>
      <c r="TXB58" s="1"/>
      <c r="TXC58" s="1"/>
      <c r="TXD58" s="1"/>
      <c r="TXE58" s="1"/>
      <c r="TXF58" s="1"/>
      <c r="TXG58" s="1"/>
      <c r="TXH58" s="1"/>
      <c r="TXI58" s="1"/>
      <c r="TXJ58" s="1"/>
      <c r="TXK58" s="1"/>
      <c r="TXL58" s="1"/>
      <c r="TXM58" s="1"/>
      <c r="TXN58" s="1"/>
      <c r="TXO58" s="1"/>
      <c r="TXP58" s="1"/>
      <c r="TXQ58" s="1"/>
      <c r="TXR58" s="1"/>
      <c r="TXS58" s="1"/>
      <c r="TXT58" s="1"/>
      <c r="TXU58" s="1"/>
      <c r="TXV58" s="1"/>
      <c r="TXW58" s="1"/>
      <c r="TXX58" s="1"/>
      <c r="TXY58" s="1"/>
      <c r="TXZ58" s="1"/>
      <c r="TYA58" s="1"/>
      <c r="TYB58" s="1"/>
      <c r="TYC58" s="1"/>
      <c r="TYD58" s="1"/>
      <c r="TYE58" s="1"/>
      <c r="TYF58" s="1"/>
      <c r="TYG58" s="1"/>
      <c r="TYH58" s="1"/>
      <c r="TYI58" s="1"/>
      <c r="TYJ58" s="1"/>
      <c r="TYK58" s="1"/>
      <c r="TYL58" s="1"/>
      <c r="TYM58" s="1"/>
      <c r="TYN58" s="1"/>
      <c r="TYO58" s="1"/>
      <c r="TYP58" s="1"/>
      <c r="TYQ58" s="1"/>
      <c r="TYR58" s="1"/>
      <c r="TYS58" s="1"/>
      <c r="TYT58" s="1"/>
      <c r="TYU58" s="1"/>
      <c r="TYV58" s="1"/>
      <c r="TYW58" s="1"/>
      <c r="TYX58" s="1"/>
      <c r="TYY58" s="1"/>
      <c r="TYZ58" s="1"/>
      <c r="TZA58" s="1"/>
      <c r="TZB58" s="1"/>
      <c r="TZC58" s="1"/>
      <c r="TZD58" s="1"/>
      <c r="TZE58" s="1"/>
      <c r="TZF58" s="1"/>
      <c r="TZG58" s="1"/>
      <c r="TZH58" s="1"/>
      <c r="TZI58" s="1"/>
      <c r="TZJ58" s="1"/>
      <c r="TZK58" s="1"/>
      <c r="TZL58" s="1"/>
      <c r="TZM58" s="1"/>
      <c r="TZN58" s="1"/>
      <c r="TZO58" s="1"/>
      <c r="TZP58" s="1"/>
      <c r="TZQ58" s="1"/>
      <c r="TZR58" s="1"/>
      <c r="TZS58" s="1"/>
      <c r="TZT58" s="1"/>
      <c r="TZU58" s="1"/>
      <c r="TZV58" s="1"/>
      <c r="TZW58" s="1"/>
      <c r="TZX58" s="1"/>
      <c r="TZY58" s="1"/>
      <c r="TZZ58" s="1"/>
      <c r="UAA58" s="1"/>
      <c r="UAB58" s="1"/>
      <c r="UAC58" s="1"/>
      <c r="UAD58" s="1"/>
      <c r="UAE58" s="1"/>
      <c r="UAF58" s="1"/>
      <c r="UAG58" s="1"/>
      <c r="UAH58" s="1"/>
      <c r="UAI58" s="1"/>
      <c r="UAJ58" s="1"/>
      <c r="UAK58" s="1"/>
      <c r="UAL58" s="1"/>
      <c r="UAM58" s="1"/>
      <c r="UAN58" s="1"/>
      <c r="UAO58" s="1"/>
      <c r="UAP58" s="1"/>
      <c r="UAQ58" s="1"/>
      <c r="UAR58" s="1"/>
      <c r="UAS58" s="1"/>
      <c r="UAT58" s="1"/>
      <c r="UAU58" s="1"/>
      <c r="UAV58" s="1"/>
      <c r="UAW58" s="1"/>
      <c r="UAX58" s="1"/>
      <c r="UAY58" s="1"/>
      <c r="UAZ58" s="1"/>
      <c r="UBA58" s="1"/>
      <c r="UBB58" s="1"/>
      <c r="UBC58" s="1"/>
      <c r="UBD58" s="1"/>
      <c r="UBE58" s="1"/>
      <c r="UBF58" s="1"/>
      <c r="UBG58" s="1"/>
      <c r="UBH58" s="1"/>
      <c r="UBI58" s="1"/>
      <c r="UBJ58" s="1"/>
      <c r="UBK58" s="1"/>
      <c r="UBL58" s="1"/>
      <c r="UBM58" s="1"/>
      <c r="UBN58" s="1"/>
      <c r="UBO58" s="1"/>
      <c r="UBP58" s="1"/>
      <c r="UBQ58" s="1"/>
      <c r="UBR58" s="1"/>
      <c r="UBS58" s="1"/>
      <c r="UBT58" s="1"/>
      <c r="UBU58" s="1"/>
      <c r="UBV58" s="1"/>
      <c r="UBW58" s="1"/>
      <c r="UBX58" s="1"/>
      <c r="UBY58" s="1"/>
      <c r="UBZ58" s="1"/>
      <c r="UCA58" s="1"/>
      <c r="UCB58" s="1"/>
      <c r="UCC58" s="1"/>
      <c r="UCD58" s="1"/>
      <c r="UCE58" s="1"/>
      <c r="UCF58" s="1"/>
      <c r="UCG58" s="1"/>
      <c r="UCH58" s="1"/>
      <c r="UCI58" s="1"/>
      <c r="UCJ58" s="1"/>
      <c r="UCK58" s="1"/>
      <c r="UCL58" s="1"/>
      <c r="UCM58" s="1"/>
      <c r="UCN58" s="1"/>
      <c r="UCO58" s="1"/>
      <c r="UCP58" s="1"/>
      <c r="UCQ58" s="1"/>
      <c r="UCR58" s="1"/>
      <c r="UCS58" s="1"/>
      <c r="UCT58" s="1"/>
      <c r="UCU58" s="1"/>
      <c r="UCV58" s="1"/>
      <c r="UCW58" s="1"/>
      <c r="UCX58" s="1"/>
      <c r="UCY58" s="1"/>
      <c r="UCZ58" s="1"/>
      <c r="UDA58" s="1"/>
      <c r="UDB58" s="1"/>
      <c r="UDC58" s="1"/>
      <c r="UDD58" s="1"/>
      <c r="UDE58" s="1"/>
      <c r="UDF58" s="1"/>
      <c r="UDG58" s="1"/>
      <c r="UDH58" s="1"/>
      <c r="UDI58" s="1"/>
      <c r="UDJ58" s="1"/>
      <c r="UDK58" s="1"/>
      <c r="UDL58" s="1"/>
      <c r="UDM58" s="1"/>
      <c r="UDN58" s="1"/>
      <c r="UDO58" s="1"/>
      <c r="UDP58" s="1"/>
      <c r="UDQ58" s="1"/>
      <c r="UDR58" s="1"/>
      <c r="UDS58" s="1"/>
      <c r="UDT58" s="1"/>
      <c r="UDU58" s="1"/>
      <c r="UDV58" s="1"/>
      <c r="UDW58" s="1"/>
      <c r="UDX58" s="1"/>
      <c r="UDY58" s="1"/>
      <c r="UDZ58" s="1"/>
      <c r="UEA58" s="1"/>
      <c r="UEB58" s="1"/>
      <c r="UEC58" s="1"/>
      <c r="UED58" s="1"/>
      <c r="UEE58" s="1"/>
      <c r="UEF58" s="1"/>
      <c r="UEG58" s="1"/>
      <c r="UEH58" s="1"/>
      <c r="UEI58" s="1"/>
      <c r="UEJ58" s="1"/>
      <c r="UEK58" s="1"/>
      <c r="UEL58" s="1"/>
      <c r="UEM58" s="1"/>
      <c r="UEN58" s="1"/>
      <c r="UEO58" s="1"/>
      <c r="UEP58" s="1"/>
      <c r="UEQ58" s="1"/>
      <c r="UER58" s="1"/>
      <c r="UES58" s="1"/>
      <c r="UET58" s="1"/>
      <c r="UEU58" s="1"/>
      <c r="UEV58" s="1"/>
      <c r="UEW58" s="1"/>
      <c r="UEX58" s="1"/>
      <c r="UEY58" s="1"/>
      <c r="UEZ58" s="1"/>
      <c r="UFA58" s="1"/>
      <c r="UFB58" s="1"/>
      <c r="UFC58" s="1"/>
      <c r="UFD58" s="1"/>
      <c r="UFE58" s="1"/>
      <c r="UFF58" s="1"/>
      <c r="UFG58" s="1"/>
      <c r="UFH58" s="1"/>
      <c r="UFI58" s="1"/>
      <c r="UFJ58" s="1"/>
      <c r="UFK58" s="1"/>
      <c r="UFL58" s="1"/>
      <c r="UFM58" s="1"/>
      <c r="UFN58" s="1"/>
      <c r="UFO58" s="1"/>
      <c r="UFP58" s="1"/>
      <c r="UFQ58" s="1"/>
      <c r="UFR58" s="1"/>
      <c r="UFS58" s="1"/>
      <c r="UFT58" s="1"/>
      <c r="UFU58" s="1"/>
      <c r="UFV58" s="1"/>
      <c r="UFW58" s="1"/>
      <c r="UFX58" s="1"/>
      <c r="UFY58" s="1"/>
      <c r="UFZ58" s="1"/>
      <c r="UGA58" s="1"/>
      <c r="UGB58" s="1"/>
      <c r="UGC58" s="1"/>
      <c r="UGD58" s="1"/>
      <c r="UGE58" s="1"/>
      <c r="UGF58" s="1"/>
      <c r="UGG58" s="1"/>
      <c r="UGH58" s="1"/>
      <c r="UGI58" s="1"/>
      <c r="UGJ58" s="1"/>
      <c r="UGK58" s="1"/>
      <c r="UGL58" s="1"/>
      <c r="UGM58" s="1"/>
      <c r="UGN58" s="1"/>
      <c r="UGO58" s="1"/>
      <c r="UGP58" s="1"/>
      <c r="UGQ58" s="1"/>
      <c r="UGR58" s="1"/>
      <c r="UGS58" s="1"/>
      <c r="UGT58" s="1"/>
      <c r="UGU58" s="1"/>
      <c r="UGV58" s="1"/>
      <c r="UGW58" s="1"/>
      <c r="UGX58" s="1"/>
      <c r="UGY58" s="1"/>
      <c r="UGZ58" s="1"/>
      <c r="UHA58" s="1"/>
      <c r="UHB58" s="1"/>
      <c r="UHC58" s="1"/>
      <c r="UHD58" s="1"/>
      <c r="UHE58" s="1"/>
      <c r="UHF58" s="1"/>
      <c r="UHG58" s="1"/>
      <c r="UHH58" s="1"/>
      <c r="UHI58" s="1"/>
      <c r="UHJ58" s="1"/>
      <c r="UHK58" s="1"/>
      <c r="UHL58" s="1"/>
      <c r="UHM58" s="1"/>
      <c r="UHN58" s="1"/>
      <c r="UHO58" s="1"/>
      <c r="UHP58" s="1"/>
      <c r="UHQ58" s="1"/>
      <c r="UHR58" s="1"/>
      <c r="UHS58" s="1"/>
      <c r="UHT58" s="1"/>
      <c r="UHU58" s="1"/>
      <c r="UHV58" s="1"/>
      <c r="UHW58" s="1"/>
      <c r="UHX58" s="1"/>
      <c r="UHY58" s="1"/>
      <c r="UHZ58" s="1"/>
      <c r="UIA58" s="1"/>
      <c r="UIB58" s="1"/>
      <c r="UIC58" s="1"/>
      <c r="UID58" s="1"/>
      <c r="UIE58" s="1"/>
      <c r="UIF58" s="1"/>
      <c r="UIG58" s="1"/>
      <c r="UIH58" s="1"/>
      <c r="UII58" s="1"/>
      <c r="UIJ58" s="1"/>
      <c r="UIK58" s="1"/>
      <c r="UIL58" s="1"/>
      <c r="UIM58" s="1"/>
      <c r="UIN58" s="1"/>
      <c r="UIO58" s="1"/>
      <c r="UIP58" s="1"/>
      <c r="UIQ58" s="1"/>
      <c r="UIR58" s="1"/>
      <c r="UIS58" s="1"/>
      <c r="UIT58" s="1"/>
      <c r="UIU58" s="1"/>
      <c r="UIV58" s="1"/>
      <c r="UIW58" s="1"/>
      <c r="UIX58" s="1"/>
      <c r="UIY58" s="1"/>
      <c r="UIZ58" s="1"/>
      <c r="UJA58" s="1"/>
      <c r="UJB58" s="1"/>
      <c r="UJC58" s="1"/>
      <c r="UJD58" s="1"/>
      <c r="UJE58" s="1"/>
      <c r="UJF58" s="1"/>
      <c r="UJG58" s="1"/>
      <c r="UJH58" s="1"/>
      <c r="UJI58" s="1"/>
      <c r="UJJ58" s="1"/>
      <c r="UJK58" s="1"/>
      <c r="UJL58" s="1"/>
      <c r="UJM58" s="1"/>
      <c r="UJN58" s="1"/>
      <c r="UJO58" s="1"/>
      <c r="UJP58" s="1"/>
      <c r="UJQ58" s="1"/>
      <c r="UJR58" s="1"/>
      <c r="UJS58" s="1"/>
      <c r="UJT58" s="1"/>
      <c r="UJU58" s="1"/>
      <c r="UJV58" s="1"/>
      <c r="UJW58" s="1"/>
      <c r="UJX58" s="1"/>
      <c r="UJY58" s="1"/>
      <c r="UJZ58" s="1"/>
      <c r="UKA58" s="1"/>
      <c r="UKB58" s="1"/>
      <c r="UKC58" s="1"/>
      <c r="UKD58" s="1"/>
      <c r="UKE58" s="1"/>
      <c r="UKF58" s="1"/>
      <c r="UKG58" s="1"/>
      <c r="UKH58" s="1"/>
      <c r="UKI58" s="1"/>
      <c r="UKJ58" s="1"/>
      <c r="UKK58" s="1"/>
      <c r="UKL58" s="1"/>
      <c r="UKM58" s="1"/>
      <c r="UKN58" s="1"/>
      <c r="UKO58" s="1"/>
      <c r="UKP58" s="1"/>
      <c r="UKQ58" s="1"/>
      <c r="UKR58" s="1"/>
      <c r="UKS58" s="1"/>
      <c r="UKT58" s="1"/>
      <c r="UKU58" s="1"/>
      <c r="UKV58" s="1"/>
      <c r="UKW58" s="1"/>
      <c r="UKX58" s="1"/>
      <c r="UKY58" s="1"/>
      <c r="UKZ58" s="1"/>
      <c r="ULA58" s="1"/>
      <c r="ULB58" s="1"/>
      <c r="ULC58" s="1"/>
      <c r="ULD58" s="1"/>
      <c r="ULE58" s="1"/>
      <c r="ULF58" s="1"/>
      <c r="ULG58" s="1"/>
      <c r="ULH58" s="1"/>
      <c r="ULI58" s="1"/>
      <c r="ULJ58" s="1"/>
      <c r="ULK58" s="1"/>
      <c r="ULL58" s="1"/>
      <c r="ULM58" s="1"/>
      <c r="ULN58" s="1"/>
      <c r="ULO58" s="1"/>
      <c r="ULP58" s="1"/>
      <c r="ULQ58" s="1"/>
      <c r="ULR58" s="1"/>
      <c r="ULS58" s="1"/>
      <c r="ULT58" s="1"/>
      <c r="ULU58" s="1"/>
      <c r="ULV58" s="1"/>
      <c r="ULW58" s="1"/>
      <c r="ULX58" s="1"/>
      <c r="ULY58" s="1"/>
      <c r="ULZ58" s="1"/>
      <c r="UMA58" s="1"/>
      <c r="UMB58" s="1"/>
      <c r="UMC58" s="1"/>
      <c r="UMD58" s="1"/>
      <c r="UME58" s="1"/>
      <c r="UMF58" s="1"/>
      <c r="UMG58" s="1"/>
      <c r="UMH58" s="1"/>
      <c r="UMI58" s="1"/>
      <c r="UMJ58" s="1"/>
      <c r="UMK58" s="1"/>
      <c r="UML58" s="1"/>
      <c r="UMM58" s="1"/>
      <c r="UMN58" s="1"/>
      <c r="UMO58" s="1"/>
      <c r="UMP58" s="1"/>
      <c r="UMQ58" s="1"/>
      <c r="UMR58" s="1"/>
      <c r="UMS58" s="1"/>
      <c r="UMT58" s="1"/>
      <c r="UMU58" s="1"/>
      <c r="UMV58" s="1"/>
      <c r="UMW58" s="1"/>
      <c r="UMX58" s="1"/>
      <c r="UMY58" s="1"/>
      <c r="UMZ58" s="1"/>
      <c r="UNA58" s="1"/>
      <c r="UNB58" s="1"/>
      <c r="UNC58" s="1"/>
      <c r="UND58" s="1"/>
      <c r="UNE58" s="1"/>
      <c r="UNF58" s="1"/>
      <c r="UNG58" s="1"/>
      <c r="UNH58" s="1"/>
      <c r="UNI58" s="1"/>
      <c r="UNJ58" s="1"/>
      <c r="UNK58" s="1"/>
      <c r="UNL58" s="1"/>
      <c r="UNM58" s="1"/>
      <c r="UNN58" s="1"/>
      <c r="UNO58" s="1"/>
      <c r="UNP58" s="1"/>
      <c r="UNQ58" s="1"/>
      <c r="UNR58" s="1"/>
      <c r="UNS58" s="1"/>
      <c r="UNT58" s="1"/>
      <c r="UNU58" s="1"/>
      <c r="UNV58" s="1"/>
      <c r="UNW58" s="1"/>
      <c r="UNX58" s="1"/>
      <c r="UNY58" s="1"/>
      <c r="UNZ58" s="1"/>
      <c r="UOA58" s="1"/>
      <c r="UOB58" s="1"/>
      <c r="UOC58" s="1"/>
      <c r="UOD58" s="1"/>
      <c r="UOE58" s="1"/>
      <c r="UOF58" s="1"/>
      <c r="UOG58" s="1"/>
      <c r="UOH58" s="1"/>
      <c r="UOI58" s="1"/>
      <c r="UOJ58" s="1"/>
      <c r="UOK58" s="1"/>
      <c r="UOL58" s="1"/>
      <c r="UOM58" s="1"/>
      <c r="UON58" s="1"/>
      <c r="UOO58" s="1"/>
      <c r="UOP58" s="1"/>
      <c r="UOQ58" s="1"/>
      <c r="UOR58" s="1"/>
      <c r="UOS58" s="1"/>
      <c r="UOT58" s="1"/>
      <c r="UOU58" s="1"/>
      <c r="UOV58" s="1"/>
      <c r="UOW58" s="1"/>
      <c r="UOX58" s="1"/>
      <c r="UOY58" s="1"/>
      <c r="UOZ58" s="1"/>
      <c r="UPA58" s="1"/>
      <c r="UPB58" s="1"/>
      <c r="UPC58" s="1"/>
      <c r="UPD58" s="1"/>
      <c r="UPE58" s="1"/>
      <c r="UPF58" s="1"/>
      <c r="UPG58" s="1"/>
      <c r="UPH58" s="1"/>
      <c r="UPI58" s="1"/>
      <c r="UPJ58" s="1"/>
      <c r="UPK58" s="1"/>
      <c r="UPL58" s="1"/>
      <c r="UPM58" s="1"/>
      <c r="UPN58" s="1"/>
      <c r="UPO58" s="1"/>
      <c r="UPP58" s="1"/>
      <c r="UPQ58" s="1"/>
      <c r="UPR58" s="1"/>
      <c r="UPS58" s="1"/>
      <c r="UPT58" s="1"/>
      <c r="UPU58" s="1"/>
      <c r="UPV58" s="1"/>
      <c r="UPW58" s="1"/>
      <c r="UPX58" s="1"/>
      <c r="UPY58" s="1"/>
      <c r="UPZ58" s="1"/>
      <c r="UQA58" s="1"/>
      <c r="UQB58" s="1"/>
      <c r="UQC58" s="1"/>
      <c r="UQD58" s="1"/>
      <c r="UQE58" s="1"/>
      <c r="UQF58" s="1"/>
      <c r="UQG58" s="1"/>
      <c r="UQH58" s="1"/>
      <c r="UQI58" s="1"/>
      <c r="UQJ58" s="1"/>
      <c r="UQK58" s="1"/>
      <c r="UQL58" s="1"/>
      <c r="UQM58" s="1"/>
      <c r="UQN58" s="1"/>
      <c r="UQO58" s="1"/>
      <c r="UQP58" s="1"/>
      <c r="UQQ58" s="1"/>
      <c r="UQR58" s="1"/>
      <c r="UQS58" s="1"/>
      <c r="UQT58" s="1"/>
      <c r="UQU58" s="1"/>
      <c r="UQV58" s="1"/>
      <c r="UQW58" s="1"/>
      <c r="UQX58" s="1"/>
      <c r="UQY58" s="1"/>
      <c r="UQZ58" s="1"/>
      <c r="URA58" s="1"/>
      <c r="URB58" s="1"/>
      <c r="URC58" s="1"/>
      <c r="URD58" s="1"/>
      <c r="URE58" s="1"/>
      <c r="URF58" s="1"/>
      <c r="URG58" s="1"/>
      <c r="URH58" s="1"/>
      <c r="URI58" s="1"/>
      <c r="URJ58" s="1"/>
      <c r="URK58" s="1"/>
      <c r="URL58" s="1"/>
      <c r="URM58" s="1"/>
      <c r="URN58" s="1"/>
      <c r="URO58" s="1"/>
      <c r="URP58" s="1"/>
      <c r="URQ58" s="1"/>
      <c r="URR58" s="1"/>
      <c r="URS58" s="1"/>
      <c r="URT58" s="1"/>
      <c r="URU58" s="1"/>
      <c r="URV58" s="1"/>
      <c r="URW58" s="1"/>
      <c r="URX58" s="1"/>
      <c r="URY58" s="1"/>
      <c r="URZ58" s="1"/>
      <c r="USA58" s="1"/>
      <c r="USB58" s="1"/>
      <c r="USC58" s="1"/>
      <c r="USD58" s="1"/>
      <c r="USE58" s="1"/>
      <c r="USF58" s="1"/>
      <c r="USG58" s="1"/>
      <c r="USH58" s="1"/>
      <c r="USI58" s="1"/>
      <c r="USJ58" s="1"/>
      <c r="USK58" s="1"/>
      <c r="USL58" s="1"/>
      <c r="USM58" s="1"/>
      <c r="USN58" s="1"/>
      <c r="USO58" s="1"/>
      <c r="USP58" s="1"/>
      <c r="USQ58" s="1"/>
      <c r="USR58" s="1"/>
      <c r="USS58" s="1"/>
      <c r="UST58" s="1"/>
      <c r="USU58" s="1"/>
      <c r="USV58" s="1"/>
      <c r="USW58" s="1"/>
      <c r="USX58" s="1"/>
      <c r="USY58" s="1"/>
      <c r="USZ58" s="1"/>
      <c r="UTA58" s="1"/>
      <c r="UTB58" s="1"/>
      <c r="UTC58" s="1"/>
      <c r="UTD58" s="1"/>
      <c r="UTE58" s="1"/>
      <c r="UTF58" s="1"/>
      <c r="UTG58" s="1"/>
      <c r="UTH58" s="1"/>
      <c r="UTI58" s="1"/>
      <c r="UTJ58" s="1"/>
      <c r="UTK58" s="1"/>
      <c r="UTL58" s="1"/>
      <c r="UTM58" s="1"/>
      <c r="UTN58" s="1"/>
      <c r="UTO58" s="1"/>
      <c r="UTP58" s="1"/>
      <c r="UTQ58" s="1"/>
      <c r="UTR58" s="1"/>
      <c r="UTS58" s="1"/>
      <c r="UTT58" s="1"/>
      <c r="UTU58" s="1"/>
      <c r="UTV58" s="1"/>
      <c r="UTW58" s="1"/>
      <c r="UTX58" s="1"/>
      <c r="UTY58" s="1"/>
      <c r="UTZ58" s="1"/>
      <c r="UUA58" s="1"/>
      <c r="UUB58" s="1"/>
      <c r="UUC58" s="1"/>
      <c r="UUD58" s="1"/>
      <c r="UUE58" s="1"/>
      <c r="UUF58" s="1"/>
      <c r="UUG58" s="1"/>
      <c r="UUH58" s="1"/>
      <c r="UUI58" s="1"/>
      <c r="UUJ58" s="1"/>
      <c r="UUK58" s="1"/>
      <c r="UUL58" s="1"/>
      <c r="UUM58" s="1"/>
      <c r="UUN58" s="1"/>
      <c r="UUO58" s="1"/>
      <c r="UUP58" s="1"/>
      <c r="UUQ58" s="1"/>
      <c r="UUR58" s="1"/>
      <c r="UUS58" s="1"/>
      <c r="UUT58" s="1"/>
      <c r="UUU58" s="1"/>
      <c r="UUV58" s="1"/>
      <c r="UUW58" s="1"/>
      <c r="UUX58" s="1"/>
      <c r="UUY58" s="1"/>
      <c r="UUZ58" s="1"/>
      <c r="UVA58" s="1"/>
      <c r="UVB58" s="1"/>
      <c r="UVC58" s="1"/>
      <c r="UVD58" s="1"/>
      <c r="UVE58" s="1"/>
      <c r="UVF58" s="1"/>
      <c r="UVG58" s="1"/>
      <c r="UVH58" s="1"/>
      <c r="UVI58" s="1"/>
      <c r="UVJ58" s="1"/>
      <c r="UVK58" s="1"/>
      <c r="UVL58" s="1"/>
      <c r="UVM58" s="1"/>
      <c r="UVN58" s="1"/>
      <c r="UVO58" s="1"/>
      <c r="UVP58" s="1"/>
      <c r="UVQ58" s="1"/>
      <c r="UVR58" s="1"/>
      <c r="UVS58" s="1"/>
      <c r="UVT58" s="1"/>
      <c r="UVU58" s="1"/>
      <c r="UVV58" s="1"/>
      <c r="UVW58" s="1"/>
      <c r="UVX58" s="1"/>
      <c r="UVY58" s="1"/>
      <c r="UVZ58" s="1"/>
      <c r="UWA58" s="1"/>
      <c r="UWB58" s="1"/>
      <c r="UWC58" s="1"/>
      <c r="UWD58" s="1"/>
      <c r="UWE58" s="1"/>
      <c r="UWF58" s="1"/>
      <c r="UWG58" s="1"/>
      <c r="UWH58" s="1"/>
      <c r="UWI58" s="1"/>
      <c r="UWJ58" s="1"/>
      <c r="UWK58" s="1"/>
      <c r="UWL58" s="1"/>
      <c r="UWM58" s="1"/>
      <c r="UWN58" s="1"/>
      <c r="UWO58" s="1"/>
      <c r="UWP58" s="1"/>
      <c r="UWQ58" s="1"/>
      <c r="UWR58" s="1"/>
      <c r="UWS58" s="1"/>
      <c r="UWT58" s="1"/>
      <c r="UWU58" s="1"/>
      <c r="UWV58" s="1"/>
      <c r="UWW58" s="1"/>
      <c r="UWX58" s="1"/>
      <c r="UWY58" s="1"/>
      <c r="UWZ58" s="1"/>
      <c r="UXA58" s="1"/>
      <c r="UXB58" s="1"/>
      <c r="UXC58" s="1"/>
      <c r="UXD58" s="1"/>
      <c r="UXE58" s="1"/>
      <c r="UXF58" s="1"/>
      <c r="UXG58" s="1"/>
      <c r="UXH58" s="1"/>
      <c r="UXI58" s="1"/>
      <c r="UXJ58" s="1"/>
      <c r="UXK58" s="1"/>
      <c r="UXL58" s="1"/>
      <c r="UXM58" s="1"/>
      <c r="UXN58" s="1"/>
      <c r="UXO58" s="1"/>
      <c r="UXP58" s="1"/>
      <c r="UXQ58" s="1"/>
      <c r="UXR58" s="1"/>
      <c r="UXS58" s="1"/>
      <c r="UXT58" s="1"/>
      <c r="UXU58" s="1"/>
      <c r="UXV58" s="1"/>
      <c r="UXW58" s="1"/>
      <c r="UXX58" s="1"/>
      <c r="UXY58" s="1"/>
      <c r="UXZ58" s="1"/>
      <c r="UYA58" s="1"/>
      <c r="UYB58" s="1"/>
      <c r="UYC58" s="1"/>
      <c r="UYD58" s="1"/>
      <c r="UYE58" s="1"/>
      <c r="UYF58" s="1"/>
      <c r="UYG58" s="1"/>
      <c r="UYH58" s="1"/>
      <c r="UYI58" s="1"/>
      <c r="UYJ58" s="1"/>
      <c r="UYK58" s="1"/>
      <c r="UYL58" s="1"/>
      <c r="UYM58" s="1"/>
      <c r="UYN58" s="1"/>
      <c r="UYO58" s="1"/>
      <c r="UYP58" s="1"/>
      <c r="UYQ58" s="1"/>
      <c r="UYR58" s="1"/>
      <c r="UYS58" s="1"/>
      <c r="UYT58" s="1"/>
      <c r="UYU58" s="1"/>
      <c r="UYV58" s="1"/>
      <c r="UYW58" s="1"/>
      <c r="UYX58" s="1"/>
      <c r="UYY58" s="1"/>
      <c r="UYZ58" s="1"/>
      <c r="UZA58" s="1"/>
      <c r="UZB58" s="1"/>
      <c r="UZC58" s="1"/>
      <c r="UZD58" s="1"/>
      <c r="UZE58" s="1"/>
      <c r="UZF58" s="1"/>
      <c r="UZG58" s="1"/>
      <c r="UZH58" s="1"/>
      <c r="UZI58" s="1"/>
      <c r="UZJ58" s="1"/>
      <c r="UZK58" s="1"/>
      <c r="UZL58" s="1"/>
      <c r="UZM58" s="1"/>
      <c r="UZN58" s="1"/>
      <c r="UZO58" s="1"/>
      <c r="UZP58" s="1"/>
      <c r="UZQ58" s="1"/>
      <c r="UZR58" s="1"/>
      <c r="UZS58" s="1"/>
      <c r="UZT58" s="1"/>
      <c r="UZU58" s="1"/>
      <c r="UZV58" s="1"/>
      <c r="UZW58" s="1"/>
      <c r="UZX58" s="1"/>
      <c r="UZY58" s="1"/>
      <c r="UZZ58" s="1"/>
      <c r="VAA58" s="1"/>
      <c r="VAB58" s="1"/>
      <c r="VAC58" s="1"/>
      <c r="VAD58" s="1"/>
      <c r="VAE58" s="1"/>
      <c r="VAF58" s="1"/>
      <c r="VAG58" s="1"/>
      <c r="VAH58" s="1"/>
      <c r="VAI58" s="1"/>
      <c r="VAJ58" s="1"/>
      <c r="VAK58" s="1"/>
      <c r="VAL58" s="1"/>
      <c r="VAM58" s="1"/>
      <c r="VAN58" s="1"/>
      <c r="VAO58" s="1"/>
      <c r="VAP58" s="1"/>
      <c r="VAQ58" s="1"/>
      <c r="VAR58" s="1"/>
      <c r="VAS58" s="1"/>
      <c r="VAT58" s="1"/>
      <c r="VAU58" s="1"/>
      <c r="VAV58" s="1"/>
      <c r="VAW58" s="1"/>
      <c r="VAX58" s="1"/>
      <c r="VAY58" s="1"/>
      <c r="VAZ58" s="1"/>
      <c r="VBA58" s="1"/>
      <c r="VBB58" s="1"/>
      <c r="VBC58" s="1"/>
      <c r="VBD58" s="1"/>
      <c r="VBE58" s="1"/>
      <c r="VBF58" s="1"/>
      <c r="VBG58" s="1"/>
      <c r="VBH58" s="1"/>
      <c r="VBI58" s="1"/>
      <c r="VBJ58" s="1"/>
      <c r="VBK58" s="1"/>
      <c r="VBL58" s="1"/>
      <c r="VBM58" s="1"/>
      <c r="VBN58" s="1"/>
      <c r="VBO58" s="1"/>
      <c r="VBP58" s="1"/>
      <c r="VBQ58" s="1"/>
      <c r="VBR58" s="1"/>
      <c r="VBS58" s="1"/>
      <c r="VBT58" s="1"/>
      <c r="VBU58" s="1"/>
      <c r="VBV58" s="1"/>
      <c r="VBW58" s="1"/>
      <c r="VBX58" s="1"/>
      <c r="VBY58" s="1"/>
      <c r="VBZ58" s="1"/>
      <c r="VCA58" s="1"/>
      <c r="VCB58" s="1"/>
      <c r="VCC58" s="1"/>
      <c r="VCD58" s="1"/>
      <c r="VCE58" s="1"/>
      <c r="VCF58" s="1"/>
      <c r="VCG58" s="1"/>
      <c r="VCH58" s="1"/>
      <c r="VCI58" s="1"/>
      <c r="VCJ58" s="1"/>
      <c r="VCK58" s="1"/>
      <c r="VCL58" s="1"/>
      <c r="VCM58" s="1"/>
      <c r="VCN58" s="1"/>
      <c r="VCO58" s="1"/>
      <c r="VCP58" s="1"/>
      <c r="VCQ58" s="1"/>
      <c r="VCR58" s="1"/>
      <c r="VCS58" s="1"/>
      <c r="VCT58" s="1"/>
      <c r="VCU58" s="1"/>
      <c r="VCV58" s="1"/>
      <c r="VCW58" s="1"/>
      <c r="VCX58" s="1"/>
      <c r="VCY58" s="1"/>
      <c r="VCZ58" s="1"/>
      <c r="VDA58" s="1"/>
      <c r="VDB58" s="1"/>
      <c r="VDC58" s="1"/>
      <c r="VDD58" s="1"/>
      <c r="VDE58" s="1"/>
      <c r="VDF58" s="1"/>
      <c r="VDG58" s="1"/>
      <c r="VDH58" s="1"/>
      <c r="VDI58" s="1"/>
      <c r="VDJ58" s="1"/>
      <c r="VDK58" s="1"/>
      <c r="VDL58" s="1"/>
      <c r="VDM58" s="1"/>
      <c r="VDN58" s="1"/>
      <c r="VDO58" s="1"/>
      <c r="VDP58" s="1"/>
      <c r="VDQ58" s="1"/>
      <c r="VDR58" s="1"/>
      <c r="VDS58" s="1"/>
      <c r="VDT58" s="1"/>
      <c r="VDU58" s="1"/>
      <c r="VDV58" s="1"/>
      <c r="VDW58" s="1"/>
      <c r="VDX58" s="1"/>
      <c r="VDY58" s="1"/>
      <c r="VDZ58" s="1"/>
      <c r="VEA58" s="1"/>
      <c r="VEB58" s="1"/>
      <c r="VEC58" s="1"/>
      <c r="VED58" s="1"/>
      <c r="VEE58" s="1"/>
      <c r="VEF58" s="1"/>
      <c r="VEG58" s="1"/>
      <c r="VEH58" s="1"/>
      <c r="VEI58" s="1"/>
      <c r="VEJ58" s="1"/>
      <c r="VEK58" s="1"/>
      <c r="VEL58" s="1"/>
      <c r="VEM58" s="1"/>
      <c r="VEN58" s="1"/>
      <c r="VEO58" s="1"/>
      <c r="VEP58" s="1"/>
      <c r="VEQ58" s="1"/>
      <c r="VER58" s="1"/>
      <c r="VES58" s="1"/>
      <c r="VET58" s="1"/>
      <c r="VEU58" s="1"/>
      <c r="VEV58" s="1"/>
      <c r="VEW58" s="1"/>
      <c r="VEX58" s="1"/>
      <c r="VEY58" s="1"/>
      <c r="VEZ58" s="1"/>
      <c r="VFA58" s="1"/>
      <c r="VFB58" s="1"/>
      <c r="VFC58" s="1"/>
      <c r="VFD58" s="1"/>
      <c r="VFE58" s="1"/>
      <c r="VFF58" s="1"/>
      <c r="VFG58" s="1"/>
      <c r="VFH58" s="1"/>
      <c r="VFI58" s="1"/>
      <c r="VFJ58" s="1"/>
      <c r="VFK58" s="1"/>
      <c r="VFL58" s="1"/>
      <c r="VFM58" s="1"/>
      <c r="VFN58" s="1"/>
      <c r="VFO58" s="1"/>
      <c r="VFP58" s="1"/>
      <c r="VFQ58" s="1"/>
      <c r="VFR58" s="1"/>
      <c r="VFS58" s="1"/>
      <c r="VFT58" s="1"/>
      <c r="VFU58" s="1"/>
      <c r="VFV58" s="1"/>
      <c r="VFW58" s="1"/>
      <c r="VFX58" s="1"/>
      <c r="VFY58" s="1"/>
      <c r="VFZ58" s="1"/>
      <c r="VGA58" s="1"/>
      <c r="VGB58" s="1"/>
      <c r="VGC58" s="1"/>
      <c r="VGD58" s="1"/>
      <c r="VGE58" s="1"/>
      <c r="VGF58" s="1"/>
      <c r="VGG58" s="1"/>
      <c r="VGH58" s="1"/>
      <c r="VGI58" s="1"/>
      <c r="VGJ58" s="1"/>
      <c r="VGK58" s="1"/>
      <c r="VGL58" s="1"/>
      <c r="VGM58" s="1"/>
      <c r="VGN58" s="1"/>
      <c r="VGO58" s="1"/>
      <c r="VGP58" s="1"/>
      <c r="VGQ58" s="1"/>
      <c r="VGR58" s="1"/>
      <c r="VGS58" s="1"/>
      <c r="VGT58" s="1"/>
      <c r="VGU58" s="1"/>
      <c r="VGV58" s="1"/>
      <c r="VGW58" s="1"/>
      <c r="VGX58" s="1"/>
      <c r="VGY58" s="1"/>
      <c r="VGZ58" s="1"/>
      <c r="VHA58" s="1"/>
      <c r="VHB58" s="1"/>
      <c r="VHC58" s="1"/>
      <c r="VHD58" s="1"/>
      <c r="VHE58" s="1"/>
      <c r="VHF58" s="1"/>
      <c r="VHG58" s="1"/>
      <c r="VHH58" s="1"/>
      <c r="VHI58" s="1"/>
      <c r="VHJ58" s="1"/>
      <c r="VHK58" s="1"/>
      <c r="VHL58" s="1"/>
      <c r="VHM58" s="1"/>
      <c r="VHN58" s="1"/>
      <c r="VHO58" s="1"/>
      <c r="VHP58" s="1"/>
      <c r="VHQ58" s="1"/>
      <c r="VHR58" s="1"/>
      <c r="VHS58" s="1"/>
      <c r="VHT58" s="1"/>
      <c r="VHU58" s="1"/>
      <c r="VHV58" s="1"/>
      <c r="VHW58" s="1"/>
      <c r="VHX58" s="1"/>
      <c r="VHY58" s="1"/>
      <c r="VHZ58" s="1"/>
      <c r="VIA58" s="1"/>
      <c r="VIB58" s="1"/>
      <c r="VIC58" s="1"/>
      <c r="VID58" s="1"/>
      <c r="VIE58" s="1"/>
      <c r="VIF58" s="1"/>
      <c r="VIG58" s="1"/>
      <c r="VIH58" s="1"/>
      <c r="VII58" s="1"/>
      <c r="VIJ58" s="1"/>
      <c r="VIK58" s="1"/>
      <c r="VIL58" s="1"/>
      <c r="VIM58" s="1"/>
      <c r="VIN58" s="1"/>
      <c r="VIO58" s="1"/>
      <c r="VIP58" s="1"/>
      <c r="VIQ58" s="1"/>
      <c r="VIR58" s="1"/>
      <c r="VIS58" s="1"/>
      <c r="VIT58" s="1"/>
      <c r="VIU58" s="1"/>
      <c r="VIV58" s="1"/>
      <c r="VIW58" s="1"/>
      <c r="VIX58" s="1"/>
      <c r="VIY58" s="1"/>
      <c r="VIZ58" s="1"/>
      <c r="VJA58" s="1"/>
      <c r="VJB58" s="1"/>
      <c r="VJC58" s="1"/>
      <c r="VJD58" s="1"/>
      <c r="VJE58" s="1"/>
      <c r="VJF58" s="1"/>
      <c r="VJG58" s="1"/>
      <c r="VJH58" s="1"/>
      <c r="VJI58" s="1"/>
      <c r="VJJ58" s="1"/>
      <c r="VJK58" s="1"/>
      <c r="VJL58" s="1"/>
      <c r="VJM58" s="1"/>
      <c r="VJN58" s="1"/>
      <c r="VJO58" s="1"/>
      <c r="VJP58" s="1"/>
      <c r="VJQ58" s="1"/>
      <c r="VJR58" s="1"/>
      <c r="VJS58" s="1"/>
      <c r="VJT58" s="1"/>
      <c r="VJU58" s="1"/>
      <c r="VJV58" s="1"/>
      <c r="VJW58" s="1"/>
      <c r="VJX58" s="1"/>
      <c r="VJY58" s="1"/>
      <c r="VJZ58" s="1"/>
      <c r="VKA58" s="1"/>
      <c r="VKB58" s="1"/>
      <c r="VKC58" s="1"/>
      <c r="VKD58" s="1"/>
      <c r="VKE58" s="1"/>
      <c r="VKF58" s="1"/>
      <c r="VKG58" s="1"/>
      <c r="VKH58" s="1"/>
      <c r="VKI58" s="1"/>
      <c r="VKJ58" s="1"/>
      <c r="VKK58" s="1"/>
      <c r="VKL58" s="1"/>
      <c r="VKM58" s="1"/>
      <c r="VKN58" s="1"/>
      <c r="VKO58" s="1"/>
      <c r="VKP58" s="1"/>
      <c r="VKQ58" s="1"/>
      <c r="VKR58" s="1"/>
      <c r="VKS58" s="1"/>
      <c r="VKT58" s="1"/>
      <c r="VKU58" s="1"/>
      <c r="VKV58" s="1"/>
      <c r="VKW58" s="1"/>
      <c r="VKX58" s="1"/>
      <c r="VKY58" s="1"/>
      <c r="VKZ58" s="1"/>
      <c r="VLA58" s="1"/>
      <c r="VLB58" s="1"/>
      <c r="VLC58" s="1"/>
      <c r="VLD58" s="1"/>
      <c r="VLE58" s="1"/>
      <c r="VLF58" s="1"/>
      <c r="VLG58" s="1"/>
      <c r="VLH58" s="1"/>
      <c r="VLI58" s="1"/>
      <c r="VLJ58" s="1"/>
      <c r="VLK58" s="1"/>
      <c r="VLL58" s="1"/>
      <c r="VLM58" s="1"/>
      <c r="VLN58" s="1"/>
      <c r="VLO58" s="1"/>
      <c r="VLP58" s="1"/>
      <c r="VLQ58" s="1"/>
      <c r="VLR58" s="1"/>
      <c r="VLS58" s="1"/>
      <c r="VLT58" s="1"/>
      <c r="VLU58" s="1"/>
      <c r="VLV58" s="1"/>
      <c r="VLW58" s="1"/>
      <c r="VLX58" s="1"/>
      <c r="VLY58" s="1"/>
      <c r="VLZ58" s="1"/>
      <c r="VMA58" s="1"/>
      <c r="VMB58" s="1"/>
      <c r="VMC58" s="1"/>
      <c r="VMD58" s="1"/>
      <c r="VME58" s="1"/>
      <c r="VMF58" s="1"/>
      <c r="VMG58" s="1"/>
      <c r="VMH58" s="1"/>
      <c r="VMI58" s="1"/>
      <c r="VMJ58" s="1"/>
      <c r="VMK58" s="1"/>
      <c r="VML58" s="1"/>
      <c r="VMM58" s="1"/>
      <c r="VMN58" s="1"/>
      <c r="VMO58" s="1"/>
      <c r="VMP58" s="1"/>
      <c r="VMQ58" s="1"/>
      <c r="VMR58" s="1"/>
      <c r="VMS58" s="1"/>
      <c r="VMT58" s="1"/>
      <c r="VMU58" s="1"/>
      <c r="VMV58" s="1"/>
      <c r="VMW58" s="1"/>
      <c r="VMX58" s="1"/>
      <c r="VMY58" s="1"/>
      <c r="VMZ58" s="1"/>
      <c r="VNA58" s="1"/>
      <c r="VNB58" s="1"/>
      <c r="VNC58" s="1"/>
      <c r="VND58" s="1"/>
      <c r="VNE58" s="1"/>
      <c r="VNF58" s="1"/>
      <c r="VNG58" s="1"/>
      <c r="VNH58" s="1"/>
      <c r="VNI58" s="1"/>
      <c r="VNJ58" s="1"/>
      <c r="VNK58" s="1"/>
      <c r="VNL58" s="1"/>
      <c r="VNM58" s="1"/>
      <c r="VNN58" s="1"/>
      <c r="VNO58" s="1"/>
      <c r="VNP58" s="1"/>
      <c r="VNQ58" s="1"/>
      <c r="VNR58" s="1"/>
      <c r="VNS58" s="1"/>
      <c r="VNT58" s="1"/>
      <c r="VNU58" s="1"/>
      <c r="VNV58" s="1"/>
      <c r="VNW58" s="1"/>
      <c r="VNX58" s="1"/>
      <c r="VNY58" s="1"/>
      <c r="VNZ58" s="1"/>
      <c r="VOA58" s="1"/>
      <c r="VOB58" s="1"/>
      <c r="VOC58" s="1"/>
      <c r="VOD58" s="1"/>
      <c r="VOE58" s="1"/>
      <c r="VOF58" s="1"/>
      <c r="VOG58" s="1"/>
      <c r="VOH58" s="1"/>
      <c r="VOI58" s="1"/>
      <c r="VOJ58" s="1"/>
      <c r="VOK58" s="1"/>
      <c r="VOL58" s="1"/>
      <c r="VOM58" s="1"/>
      <c r="VON58" s="1"/>
      <c r="VOO58" s="1"/>
      <c r="VOP58" s="1"/>
      <c r="VOQ58" s="1"/>
      <c r="VOR58" s="1"/>
      <c r="VOS58" s="1"/>
      <c r="VOT58" s="1"/>
      <c r="VOU58" s="1"/>
      <c r="VOV58" s="1"/>
      <c r="VOW58" s="1"/>
      <c r="VOX58" s="1"/>
      <c r="VOY58" s="1"/>
      <c r="VOZ58" s="1"/>
      <c r="VPA58" s="1"/>
      <c r="VPB58" s="1"/>
      <c r="VPC58" s="1"/>
      <c r="VPD58" s="1"/>
      <c r="VPE58" s="1"/>
      <c r="VPF58" s="1"/>
      <c r="VPG58" s="1"/>
      <c r="VPH58" s="1"/>
      <c r="VPI58" s="1"/>
      <c r="VPJ58" s="1"/>
      <c r="VPK58" s="1"/>
      <c r="VPL58" s="1"/>
      <c r="VPM58" s="1"/>
      <c r="VPN58" s="1"/>
      <c r="VPO58" s="1"/>
      <c r="VPP58" s="1"/>
      <c r="VPQ58" s="1"/>
      <c r="VPR58" s="1"/>
      <c r="VPS58" s="1"/>
      <c r="VPT58" s="1"/>
      <c r="VPU58" s="1"/>
      <c r="VPV58" s="1"/>
      <c r="VPW58" s="1"/>
      <c r="VPX58" s="1"/>
      <c r="VPY58" s="1"/>
      <c r="VPZ58" s="1"/>
      <c r="VQA58" s="1"/>
      <c r="VQB58" s="1"/>
      <c r="VQC58" s="1"/>
      <c r="VQD58" s="1"/>
      <c r="VQE58" s="1"/>
      <c r="VQF58" s="1"/>
      <c r="VQG58" s="1"/>
      <c r="VQH58" s="1"/>
      <c r="VQI58" s="1"/>
      <c r="VQJ58" s="1"/>
      <c r="VQK58" s="1"/>
      <c r="VQL58" s="1"/>
      <c r="VQM58" s="1"/>
      <c r="VQN58" s="1"/>
      <c r="VQO58" s="1"/>
      <c r="VQP58" s="1"/>
      <c r="VQQ58" s="1"/>
      <c r="VQR58" s="1"/>
      <c r="VQS58" s="1"/>
      <c r="VQT58" s="1"/>
      <c r="VQU58" s="1"/>
      <c r="VQV58" s="1"/>
      <c r="VQW58" s="1"/>
      <c r="VQX58" s="1"/>
      <c r="VQY58" s="1"/>
      <c r="VQZ58" s="1"/>
      <c r="VRA58" s="1"/>
      <c r="VRB58" s="1"/>
      <c r="VRC58" s="1"/>
      <c r="VRD58" s="1"/>
      <c r="VRE58" s="1"/>
      <c r="VRF58" s="1"/>
      <c r="VRG58" s="1"/>
      <c r="VRH58" s="1"/>
      <c r="VRI58" s="1"/>
      <c r="VRJ58" s="1"/>
      <c r="VRK58" s="1"/>
      <c r="VRL58" s="1"/>
      <c r="VRM58" s="1"/>
      <c r="VRN58" s="1"/>
      <c r="VRO58" s="1"/>
      <c r="VRP58" s="1"/>
      <c r="VRQ58" s="1"/>
      <c r="VRR58" s="1"/>
      <c r="VRS58" s="1"/>
      <c r="VRT58" s="1"/>
      <c r="VRU58" s="1"/>
      <c r="VRV58" s="1"/>
      <c r="VRW58" s="1"/>
      <c r="VRX58" s="1"/>
      <c r="VRY58" s="1"/>
      <c r="VRZ58" s="1"/>
      <c r="VSA58" s="1"/>
      <c r="VSB58" s="1"/>
      <c r="VSC58" s="1"/>
      <c r="VSD58" s="1"/>
      <c r="VSE58" s="1"/>
      <c r="VSF58" s="1"/>
      <c r="VSG58" s="1"/>
      <c r="VSH58" s="1"/>
      <c r="VSI58" s="1"/>
      <c r="VSJ58" s="1"/>
      <c r="VSK58" s="1"/>
      <c r="VSL58" s="1"/>
      <c r="VSM58" s="1"/>
      <c r="VSN58" s="1"/>
      <c r="VSO58" s="1"/>
      <c r="VSP58" s="1"/>
      <c r="VSQ58" s="1"/>
      <c r="VSR58" s="1"/>
      <c r="VSS58" s="1"/>
      <c r="VST58" s="1"/>
      <c r="VSU58" s="1"/>
      <c r="VSV58" s="1"/>
      <c r="VSW58" s="1"/>
      <c r="VSX58" s="1"/>
      <c r="VSY58" s="1"/>
      <c r="VSZ58" s="1"/>
      <c r="VTA58" s="1"/>
      <c r="VTB58" s="1"/>
      <c r="VTC58" s="1"/>
      <c r="VTD58" s="1"/>
      <c r="VTE58" s="1"/>
      <c r="VTF58" s="1"/>
      <c r="VTG58" s="1"/>
      <c r="VTH58" s="1"/>
      <c r="VTI58" s="1"/>
      <c r="VTJ58" s="1"/>
      <c r="VTK58" s="1"/>
      <c r="VTL58" s="1"/>
      <c r="VTM58" s="1"/>
      <c r="VTN58" s="1"/>
      <c r="VTO58" s="1"/>
      <c r="VTP58" s="1"/>
      <c r="VTQ58" s="1"/>
      <c r="VTR58" s="1"/>
      <c r="VTS58" s="1"/>
      <c r="VTT58" s="1"/>
      <c r="VTU58" s="1"/>
      <c r="VTV58" s="1"/>
      <c r="VTW58" s="1"/>
      <c r="VTX58" s="1"/>
      <c r="VTY58" s="1"/>
      <c r="VTZ58" s="1"/>
      <c r="VUA58" s="1"/>
      <c r="VUB58" s="1"/>
      <c r="VUC58" s="1"/>
      <c r="VUD58" s="1"/>
      <c r="VUE58" s="1"/>
      <c r="VUF58" s="1"/>
      <c r="VUG58" s="1"/>
      <c r="VUH58" s="1"/>
      <c r="VUI58" s="1"/>
      <c r="VUJ58" s="1"/>
      <c r="VUK58" s="1"/>
      <c r="VUL58" s="1"/>
      <c r="VUM58" s="1"/>
      <c r="VUN58" s="1"/>
      <c r="VUO58" s="1"/>
      <c r="VUP58" s="1"/>
      <c r="VUQ58" s="1"/>
      <c r="VUR58" s="1"/>
      <c r="VUS58" s="1"/>
      <c r="VUT58" s="1"/>
      <c r="VUU58" s="1"/>
      <c r="VUV58" s="1"/>
      <c r="VUW58" s="1"/>
      <c r="VUX58" s="1"/>
      <c r="VUY58" s="1"/>
      <c r="VUZ58" s="1"/>
      <c r="VVA58" s="1"/>
      <c r="VVB58" s="1"/>
      <c r="VVC58" s="1"/>
      <c r="VVD58" s="1"/>
      <c r="VVE58" s="1"/>
      <c r="VVF58" s="1"/>
      <c r="VVG58" s="1"/>
      <c r="VVH58" s="1"/>
      <c r="VVI58" s="1"/>
      <c r="VVJ58" s="1"/>
      <c r="VVK58" s="1"/>
      <c r="VVL58" s="1"/>
      <c r="VVM58" s="1"/>
      <c r="VVN58" s="1"/>
      <c r="VVO58" s="1"/>
      <c r="VVP58" s="1"/>
      <c r="VVQ58" s="1"/>
      <c r="VVR58" s="1"/>
      <c r="VVS58" s="1"/>
      <c r="VVT58" s="1"/>
      <c r="VVU58" s="1"/>
      <c r="VVV58" s="1"/>
      <c r="VVW58" s="1"/>
      <c r="VVX58" s="1"/>
      <c r="VVY58" s="1"/>
      <c r="VVZ58" s="1"/>
      <c r="VWA58" s="1"/>
      <c r="VWB58" s="1"/>
      <c r="VWC58" s="1"/>
      <c r="VWD58" s="1"/>
      <c r="VWE58" s="1"/>
      <c r="VWF58" s="1"/>
      <c r="VWG58" s="1"/>
      <c r="VWH58" s="1"/>
      <c r="VWI58" s="1"/>
      <c r="VWJ58" s="1"/>
      <c r="VWK58" s="1"/>
      <c r="VWL58" s="1"/>
      <c r="VWM58" s="1"/>
      <c r="VWN58" s="1"/>
      <c r="VWO58" s="1"/>
      <c r="VWP58" s="1"/>
      <c r="VWQ58" s="1"/>
      <c r="VWR58" s="1"/>
      <c r="VWS58" s="1"/>
      <c r="VWT58" s="1"/>
      <c r="VWU58" s="1"/>
      <c r="VWV58" s="1"/>
      <c r="VWW58" s="1"/>
      <c r="VWX58" s="1"/>
      <c r="VWY58" s="1"/>
      <c r="VWZ58" s="1"/>
      <c r="VXA58" s="1"/>
      <c r="VXB58" s="1"/>
      <c r="VXC58" s="1"/>
      <c r="VXD58" s="1"/>
      <c r="VXE58" s="1"/>
      <c r="VXF58" s="1"/>
      <c r="VXG58" s="1"/>
      <c r="VXH58" s="1"/>
      <c r="VXI58" s="1"/>
      <c r="VXJ58" s="1"/>
      <c r="VXK58" s="1"/>
      <c r="VXL58" s="1"/>
      <c r="VXM58" s="1"/>
      <c r="VXN58" s="1"/>
      <c r="VXO58" s="1"/>
      <c r="VXP58" s="1"/>
      <c r="VXQ58" s="1"/>
      <c r="VXR58" s="1"/>
      <c r="VXS58" s="1"/>
      <c r="VXT58" s="1"/>
      <c r="VXU58" s="1"/>
      <c r="VXV58" s="1"/>
      <c r="VXW58" s="1"/>
      <c r="VXX58" s="1"/>
      <c r="VXY58" s="1"/>
      <c r="VXZ58" s="1"/>
      <c r="VYA58" s="1"/>
      <c r="VYB58" s="1"/>
      <c r="VYC58" s="1"/>
      <c r="VYD58" s="1"/>
      <c r="VYE58" s="1"/>
      <c r="VYF58" s="1"/>
      <c r="VYG58" s="1"/>
      <c r="VYH58" s="1"/>
      <c r="VYI58" s="1"/>
      <c r="VYJ58" s="1"/>
      <c r="VYK58" s="1"/>
      <c r="VYL58" s="1"/>
      <c r="VYM58" s="1"/>
      <c r="VYN58" s="1"/>
      <c r="VYO58" s="1"/>
      <c r="VYP58" s="1"/>
      <c r="VYQ58" s="1"/>
      <c r="VYR58" s="1"/>
      <c r="VYS58" s="1"/>
      <c r="VYT58" s="1"/>
      <c r="VYU58" s="1"/>
      <c r="VYV58" s="1"/>
      <c r="VYW58" s="1"/>
      <c r="VYX58" s="1"/>
      <c r="VYY58" s="1"/>
      <c r="VYZ58" s="1"/>
      <c r="VZA58" s="1"/>
      <c r="VZB58" s="1"/>
      <c r="VZC58" s="1"/>
      <c r="VZD58" s="1"/>
      <c r="VZE58" s="1"/>
      <c r="VZF58" s="1"/>
      <c r="VZG58" s="1"/>
      <c r="VZH58" s="1"/>
      <c r="VZI58" s="1"/>
      <c r="VZJ58" s="1"/>
      <c r="VZK58" s="1"/>
      <c r="VZL58" s="1"/>
      <c r="VZM58" s="1"/>
      <c r="VZN58" s="1"/>
      <c r="VZO58" s="1"/>
      <c r="VZP58" s="1"/>
      <c r="VZQ58" s="1"/>
      <c r="VZR58" s="1"/>
      <c r="VZS58" s="1"/>
      <c r="VZT58" s="1"/>
      <c r="VZU58" s="1"/>
      <c r="VZV58" s="1"/>
      <c r="VZW58" s="1"/>
      <c r="VZX58" s="1"/>
      <c r="VZY58" s="1"/>
      <c r="VZZ58" s="1"/>
      <c r="WAA58" s="1"/>
      <c r="WAB58" s="1"/>
      <c r="WAC58" s="1"/>
      <c r="WAD58" s="1"/>
      <c r="WAE58" s="1"/>
      <c r="WAF58" s="1"/>
      <c r="WAG58" s="1"/>
      <c r="WAH58" s="1"/>
      <c r="WAI58" s="1"/>
      <c r="WAJ58" s="1"/>
      <c r="WAK58" s="1"/>
      <c r="WAL58" s="1"/>
      <c r="WAM58" s="1"/>
      <c r="WAN58" s="1"/>
      <c r="WAO58" s="1"/>
      <c r="WAP58" s="1"/>
      <c r="WAQ58" s="1"/>
      <c r="WAR58" s="1"/>
      <c r="WAS58" s="1"/>
      <c r="WAT58" s="1"/>
      <c r="WAU58" s="1"/>
      <c r="WAV58" s="1"/>
      <c r="WAW58" s="1"/>
      <c r="WAX58" s="1"/>
      <c r="WAY58" s="1"/>
      <c r="WAZ58" s="1"/>
      <c r="WBA58" s="1"/>
      <c r="WBB58" s="1"/>
      <c r="WBC58" s="1"/>
      <c r="WBD58" s="1"/>
      <c r="WBE58" s="1"/>
      <c r="WBF58" s="1"/>
      <c r="WBG58" s="1"/>
      <c r="WBH58" s="1"/>
      <c r="WBI58" s="1"/>
      <c r="WBJ58" s="1"/>
      <c r="WBK58" s="1"/>
      <c r="WBL58" s="1"/>
      <c r="WBM58" s="1"/>
      <c r="WBN58" s="1"/>
      <c r="WBO58" s="1"/>
      <c r="WBP58" s="1"/>
      <c r="WBQ58" s="1"/>
      <c r="WBR58" s="1"/>
      <c r="WBS58" s="1"/>
      <c r="WBT58" s="1"/>
      <c r="WBU58" s="1"/>
      <c r="WBV58" s="1"/>
      <c r="WBW58" s="1"/>
      <c r="WBX58" s="1"/>
      <c r="WBY58" s="1"/>
      <c r="WBZ58" s="1"/>
      <c r="WCA58" s="1"/>
      <c r="WCB58" s="1"/>
      <c r="WCC58" s="1"/>
      <c r="WCD58" s="1"/>
      <c r="WCE58" s="1"/>
      <c r="WCF58" s="1"/>
      <c r="WCG58" s="1"/>
      <c r="WCH58" s="1"/>
      <c r="WCI58" s="1"/>
      <c r="WCJ58" s="1"/>
      <c r="WCK58" s="1"/>
      <c r="WCL58" s="1"/>
      <c r="WCM58" s="1"/>
      <c r="WCN58" s="1"/>
      <c r="WCO58" s="1"/>
      <c r="WCP58" s="1"/>
      <c r="WCQ58" s="1"/>
      <c r="WCR58" s="1"/>
      <c r="WCS58" s="1"/>
      <c r="WCT58" s="1"/>
      <c r="WCU58" s="1"/>
      <c r="WCV58" s="1"/>
      <c r="WCW58" s="1"/>
      <c r="WCX58" s="1"/>
      <c r="WCY58" s="1"/>
      <c r="WCZ58" s="1"/>
      <c r="WDA58" s="1"/>
      <c r="WDB58" s="1"/>
      <c r="WDC58" s="1"/>
      <c r="WDD58" s="1"/>
      <c r="WDE58" s="1"/>
      <c r="WDF58" s="1"/>
      <c r="WDG58" s="1"/>
      <c r="WDH58" s="1"/>
      <c r="WDI58" s="1"/>
      <c r="WDJ58" s="1"/>
      <c r="WDK58" s="1"/>
      <c r="WDL58" s="1"/>
      <c r="WDM58" s="1"/>
      <c r="WDN58" s="1"/>
      <c r="WDO58" s="1"/>
      <c r="WDP58" s="1"/>
      <c r="WDQ58" s="1"/>
      <c r="WDR58" s="1"/>
      <c r="WDS58" s="1"/>
      <c r="WDT58" s="1"/>
      <c r="WDU58" s="1"/>
      <c r="WDV58" s="1"/>
      <c r="WDW58" s="1"/>
      <c r="WDX58" s="1"/>
      <c r="WDY58" s="1"/>
      <c r="WDZ58" s="1"/>
      <c r="WEA58" s="1"/>
      <c r="WEB58" s="1"/>
      <c r="WEC58" s="1"/>
      <c r="WED58" s="1"/>
      <c r="WEE58" s="1"/>
      <c r="WEF58" s="1"/>
      <c r="WEG58" s="1"/>
      <c r="WEH58" s="1"/>
      <c r="WEI58" s="1"/>
      <c r="WEJ58" s="1"/>
      <c r="WEK58" s="1"/>
      <c r="WEL58" s="1"/>
      <c r="WEM58" s="1"/>
      <c r="WEN58" s="1"/>
      <c r="WEO58" s="1"/>
      <c r="WEP58" s="1"/>
      <c r="WEQ58" s="1"/>
      <c r="WER58" s="1"/>
      <c r="WES58" s="1"/>
      <c r="WET58" s="1"/>
      <c r="WEU58" s="1"/>
      <c r="WEV58" s="1"/>
      <c r="WEW58" s="1"/>
      <c r="WEX58" s="1"/>
      <c r="WEY58" s="1"/>
      <c r="WEZ58" s="1"/>
      <c r="WFA58" s="1"/>
      <c r="WFB58" s="1"/>
      <c r="WFC58" s="1"/>
      <c r="WFD58" s="1"/>
      <c r="WFE58" s="1"/>
      <c r="WFF58" s="1"/>
      <c r="WFG58" s="1"/>
      <c r="WFH58" s="1"/>
      <c r="WFI58" s="1"/>
      <c r="WFJ58" s="1"/>
      <c r="WFK58" s="1"/>
      <c r="WFL58" s="1"/>
      <c r="WFM58" s="1"/>
      <c r="WFN58" s="1"/>
      <c r="WFO58" s="1"/>
      <c r="WFP58" s="1"/>
      <c r="WFQ58" s="1"/>
      <c r="WFR58" s="1"/>
      <c r="WFS58" s="1"/>
      <c r="WFT58" s="1"/>
      <c r="WFU58" s="1"/>
      <c r="WFV58" s="1"/>
      <c r="WFW58" s="1"/>
      <c r="WFX58" s="1"/>
      <c r="WFY58" s="1"/>
      <c r="WFZ58" s="1"/>
      <c r="WGA58" s="1"/>
      <c r="WGB58" s="1"/>
      <c r="WGC58" s="1"/>
      <c r="WGD58" s="1"/>
      <c r="WGE58" s="1"/>
      <c r="WGF58" s="1"/>
      <c r="WGG58" s="1"/>
      <c r="WGH58" s="1"/>
      <c r="WGI58" s="1"/>
      <c r="WGJ58" s="1"/>
      <c r="WGK58" s="1"/>
      <c r="WGL58" s="1"/>
      <c r="WGM58" s="1"/>
      <c r="WGN58" s="1"/>
      <c r="WGO58" s="1"/>
      <c r="WGP58" s="1"/>
      <c r="WGQ58" s="1"/>
      <c r="WGR58" s="1"/>
      <c r="WGS58" s="1"/>
      <c r="WGT58" s="1"/>
      <c r="WGU58" s="1"/>
      <c r="WGV58" s="1"/>
      <c r="WGW58" s="1"/>
      <c r="WGX58" s="1"/>
      <c r="WGY58" s="1"/>
      <c r="WGZ58" s="1"/>
      <c r="WHA58" s="1"/>
      <c r="WHB58" s="1"/>
      <c r="WHC58" s="1"/>
      <c r="WHD58" s="1"/>
      <c r="WHE58" s="1"/>
      <c r="WHF58" s="1"/>
      <c r="WHG58" s="1"/>
      <c r="WHH58" s="1"/>
      <c r="WHI58" s="1"/>
      <c r="WHJ58" s="1"/>
      <c r="WHK58" s="1"/>
      <c r="WHL58" s="1"/>
      <c r="WHM58" s="1"/>
      <c r="WHN58" s="1"/>
      <c r="WHO58" s="1"/>
      <c r="WHP58" s="1"/>
      <c r="WHQ58" s="1"/>
      <c r="WHR58" s="1"/>
      <c r="WHS58" s="1"/>
      <c r="WHT58" s="1"/>
      <c r="WHU58" s="1"/>
      <c r="WHV58" s="1"/>
      <c r="WHW58" s="1"/>
      <c r="WHX58" s="1"/>
      <c r="WHY58" s="1"/>
      <c r="WHZ58" s="1"/>
      <c r="WIA58" s="1"/>
      <c r="WIB58" s="1"/>
      <c r="WIC58" s="1"/>
      <c r="WID58" s="1"/>
      <c r="WIE58" s="1"/>
      <c r="WIF58" s="1"/>
      <c r="WIG58" s="1"/>
      <c r="WIH58" s="1"/>
      <c r="WII58" s="1"/>
      <c r="WIJ58" s="1"/>
      <c r="WIK58" s="1"/>
      <c r="WIL58" s="1"/>
      <c r="WIM58" s="1"/>
      <c r="WIN58" s="1"/>
      <c r="WIO58" s="1"/>
      <c r="WIP58" s="1"/>
      <c r="WIQ58" s="1"/>
      <c r="WIR58" s="1"/>
      <c r="WIS58" s="1"/>
      <c r="WIT58" s="1"/>
      <c r="WIU58" s="1"/>
      <c r="WIV58" s="1"/>
      <c r="WIW58" s="1"/>
      <c r="WIX58" s="1"/>
      <c r="WIY58" s="1"/>
      <c r="WIZ58" s="1"/>
      <c r="WJA58" s="1"/>
      <c r="WJB58" s="1"/>
      <c r="WJC58" s="1"/>
      <c r="WJD58" s="1"/>
      <c r="WJE58" s="1"/>
      <c r="WJF58" s="1"/>
      <c r="WJG58" s="1"/>
      <c r="WJH58" s="1"/>
      <c r="WJI58" s="1"/>
      <c r="WJJ58" s="1"/>
      <c r="WJK58" s="1"/>
      <c r="WJL58" s="1"/>
      <c r="WJM58" s="1"/>
      <c r="WJN58" s="1"/>
      <c r="WJO58" s="1"/>
      <c r="WJP58" s="1"/>
      <c r="WJQ58" s="1"/>
      <c r="WJR58" s="1"/>
      <c r="WJS58" s="1"/>
      <c r="WJT58" s="1"/>
      <c r="WJU58" s="1"/>
      <c r="WJV58" s="1"/>
      <c r="WJW58" s="1"/>
      <c r="WJX58" s="1"/>
      <c r="WJY58" s="1"/>
      <c r="WJZ58" s="1"/>
      <c r="WKA58" s="1"/>
      <c r="WKB58" s="1"/>
      <c r="WKC58" s="1"/>
      <c r="WKD58" s="1"/>
      <c r="WKE58" s="1"/>
      <c r="WKF58" s="1"/>
      <c r="WKG58" s="1"/>
      <c r="WKH58" s="1"/>
      <c r="WKI58" s="1"/>
      <c r="WKJ58" s="1"/>
      <c r="WKK58" s="1"/>
      <c r="WKL58" s="1"/>
      <c r="WKM58" s="1"/>
      <c r="WKN58" s="1"/>
      <c r="WKO58" s="1"/>
      <c r="WKP58" s="1"/>
      <c r="WKQ58" s="1"/>
      <c r="WKR58" s="1"/>
      <c r="WKS58" s="1"/>
      <c r="WKT58" s="1"/>
      <c r="WKU58" s="1"/>
      <c r="WKV58" s="1"/>
      <c r="WKW58" s="1"/>
      <c r="WKX58" s="1"/>
      <c r="WKY58" s="1"/>
      <c r="WKZ58" s="1"/>
      <c r="WLA58" s="1"/>
      <c r="WLB58" s="1"/>
      <c r="WLC58" s="1"/>
      <c r="WLD58" s="1"/>
      <c r="WLE58" s="1"/>
      <c r="WLF58" s="1"/>
      <c r="WLG58" s="1"/>
      <c r="WLH58" s="1"/>
      <c r="WLI58" s="1"/>
      <c r="WLJ58" s="1"/>
      <c r="WLK58" s="1"/>
      <c r="WLL58" s="1"/>
      <c r="WLM58" s="1"/>
      <c r="WLN58" s="1"/>
      <c r="WLO58" s="1"/>
      <c r="WLP58" s="1"/>
      <c r="WLQ58" s="1"/>
      <c r="WLR58" s="1"/>
      <c r="WLS58" s="1"/>
      <c r="WLT58" s="1"/>
      <c r="WLU58" s="1"/>
      <c r="WLV58" s="1"/>
      <c r="WLW58" s="1"/>
      <c r="WLX58" s="1"/>
      <c r="WLY58" s="1"/>
      <c r="WLZ58" s="1"/>
      <c r="WMA58" s="1"/>
      <c r="WMB58" s="1"/>
      <c r="WMC58" s="1"/>
      <c r="WMD58" s="1"/>
      <c r="WME58" s="1"/>
      <c r="WMF58" s="1"/>
      <c r="WMG58" s="1"/>
      <c r="WMH58" s="1"/>
      <c r="WMI58" s="1"/>
      <c r="WMJ58" s="1"/>
      <c r="WMK58" s="1"/>
      <c r="WML58" s="1"/>
      <c r="WMM58" s="1"/>
      <c r="WMN58" s="1"/>
      <c r="WMO58" s="1"/>
      <c r="WMP58" s="1"/>
      <c r="WMQ58" s="1"/>
      <c r="WMR58" s="1"/>
      <c r="WMS58" s="1"/>
      <c r="WMT58" s="1"/>
      <c r="WMU58" s="1"/>
      <c r="WMV58" s="1"/>
      <c r="WMW58" s="1"/>
      <c r="WMX58" s="1"/>
      <c r="WMY58" s="1"/>
      <c r="WMZ58" s="1"/>
      <c r="WNA58" s="1"/>
      <c r="WNB58" s="1"/>
      <c r="WNC58" s="1"/>
      <c r="WND58" s="1"/>
      <c r="WNE58" s="1"/>
      <c r="WNF58" s="1"/>
      <c r="WNG58" s="1"/>
      <c r="WNH58" s="1"/>
      <c r="WNI58" s="1"/>
      <c r="WNJ58" s="1"/>
      <c r="WNK58" s="1"/>
      <c r="WNL58" s="1"/>
      <c r="WNM58" s="1"/>
      <c r="WNN58" s="1"/>
      <c r="WNO58" s="1"/>
      <c r="WNP58" s="1"/>
      <c r="WNQ58" s="1"/>
      <c r="WNR58" s="1"/>
      <c r="WNS58" s="1"/>
      <c r="WNT58" s="1"/>
      <c r="WNU58" s="1"/>
      <c r="WNV58" s="1"/>
      <c r="WNW58" s="1"/>
      <c r="WNX58" s="1"/>
      <c r="WNY58" s="1"/>
      <c r="WNZ58" s="1"/>
      <c r="WOA58" s="1"/>
      <c r="WOB58" s="1"/>
      <c r="WOC58" s="1"/>
      <c r="WOD58" s="1"/>
      <c r="WOE58" s="1"/>
      <c r="WOF58" s="1"/>
      <c r="WOG58" s="1"/>
      <c r="WOH58" s="1"/>
      <c r="WOI58" s="1"/>
      <c r="WOJ58" s="1"/>
      <c r="WOK58" s="1"/>
      <c r="WOL58" s="1"/>
      <c r="WOM58" s="1"/>
      <c r="WON58" s="1"/>
      <c r="WOO58" s="1"/>
      <c r="WOP58" s="1"/>
      <c r="WOQ58" s="1"/>
      <c r="WOR58" s="1"/>
      <c r="WOS58" s="1"/>
      <c r="WOT58" s="1"/>
      <c r="WOU58" s="1"/>
      <c r="WOV58" s="1"/>
      <c r="WOW58" s="1"/>
      <c r="WOX58" s="1"/>
      <c r="WOY58" s="1"/>
      <c r="WOZ58" s="1"/>
      <c r="WPA58" s="1"/>
      <c r="WPB58" s="1"/>
      <c r="WPC58" s="1"/>
      <c r="WPD58" s="1"/>
      <c r="WPE58" s="1"/>
      <c r="WPF58" s="1"/>
      <c r="WPG58" s="1"/>
      <c r="WPH58" s="1"/>
      <c r="WPI58" s="1"/>
      <c r="WPJ58" s="1"/>
      <c r="WPK58" s="1"/>
      <c r="WPL58" s="1"/>
      <c r="WPM58" s="1"/>
      <c r="WPN58" s="1"/>
      <c r="WPO58" s="1"/>
      <c r="WPP58" s="1"/>
      <c r="WPQ58" s="1"/>
      <c r="WPR58" s="1"/>
      <c r="WPS58" s="1"/>
      <c r="WPT58" s="1"/>
      <c r="WPU58" s="1"/>
      <c r="WPV58" s="1"/>
      <c r="WPW58" s="1"/>
      <c r="WPX58" s="1"/>
      <c r="WPY58" s="1"/>
      <c r="WPZ58" s="1"/>
      <c r="WQA58" s="1"/>
      <c r="WQB58" s="1"/>
      <c r="WQC58" s="1"/>
      <c r="WQD58" s="1"/>
      <c r="WQE58" s="1"/>
      <c r="WQF58" s="1"/>
      <c r="WQG58" s="1"/>
      <c r="WQH58" s="1"/>
      <c r="WQI58" s="1"/>
      <c r="WQJ58" s="1"/>
      <c r="WQK58" s="1"/>
      <c r="WQL58" s="1"/>
      <c r="WQM58" s="1"/>
      <c r="WQN58" s="1"/>
      <c r="WQO58" s="1"/>
      <c r="WQP58" s="1"/>
      <c r="WQQ58" s="1"/>
      <c r="WQR58" s="1"/>
      <c r="WQS58" s="1"/>
      <c r="WQT58" s="1"/>
      <c r="WQU58" s="1"/>
      <c r="WQV58" s="1"/>
      <c r="WQW58" s="1"/>
      <c r="WQX58" s="1"/>
      <c r="WQY58" s="1"/>
      <c r="WQZ58" s="1"/>
      <c r="WRA58" s="1"/>
      <c r="WRB58" s="1"/>
      <c r="WRC58" s="1"/>
      <c r="WRD58" s="1"/>
      <c r="WRE58" s="1"/>
      <c r="WRF58" s="1"/>
      <c r="WRG58" s="1"/>
      <c r="WRH58" s="1"/>
      <c r="WRI58" s="1"/>
      <c r="WRJ58" s="1"/>
      <c r="WRK58" s="1"/>
      <c r="WRL58" s="1"/>
      <c r="WRM58" s="1"/>
      <c r="WRN58" s="1"/>
      <c r="WRO58" s="1"/>
      <c r="WRP58" s="1"/>
      <c r="WRQ58" s="1"/>
      <c r="WRR58" s="1"/>
      <c r="WRS58" s="1"/>
      <c r="WRT58" s="1"/>
      <c r="WRU58" s="1"/>
      <c r="WRV58" s="1"/>
      <c r="WRW58" s="1"/>
      <c r="WRX58" s="1"/>
      <c r="WRY58" s="1"/>
      <c r="WRZ58" s="1"/>
      <c r="WSA58" s="1"/>
      <c r="WSB58" s="1"/>
      <c r="WSC58" s="1"/>
      <c r="WSD58" s="1"/>
      <c r="WSE58" s="1"/>
      <c r="WSF58" s="1"/>
      <c r="WSG58" s="1"/>
      <c r="WSH58" s="1"/>
      <c r="WSI58" s="1"/>
      <c r="WSJ58" s="1"/>
      <c r="WSK58" s="1"/>
      <c r="WSL58" s="1"/>
      <c r="WSM58" s="1"/>
      <c r="WSN58" s="1"/>
      <c r="WSO58" s="1"/>
      <c r="WSP58" s="1"/>
      <c r="WSQ58" s="1"/>
      <c r="WSR58" s="1"/>
      <c r="WSS58" s="1"/>
      <c r="WST58" s="1"/>
      <c r="WSU58" s="1"/>
      <c r="WSV58" s="1"/>
      <c r="WSW58" s="1"/>
      <c r="WSX58" s="1"/>
      <c r="WSY58" s="1"/>
      <c r="WSZ58" s="1"/>
      <c r="WTA58" s="1"/>
      <c r="WTB58" s="1"/>
      <c r="WTC58" s="1"/>
      <c r="WTD58" s="1"/>
      <c r="WTE58" s="1"/>
      <c r="WTF58" s="1"/>
      <c r="WTG58" s="1"/>
      <c r="WTH58" s="1"/>
      <c r="WTI58" s="1"/>
      <c r="WTJ58" s="1"/>
      <c r="WTK58" s="1"/>
      <c r="WTL58" s="1"/>
      <c r="WTM58" s="1"/>
      <c r="WTN58" s="1"/>
      <c r="WTO58" s="1"/>
      <c r="WTP58" s="1"/>
      <c r="WTQ58" s="1"/>
      <c r="WTR58" s="1"/>
      <c r="WTS58" s="1"/>
      <c r="WTT58" s="1"/>
      <c r="WTU58" s="1"/>
      <c r="WTV58" s="1"/>
      <c r="WTW58" s="1"/>
      <c r="WTX58" s="1"/>
      <c r="WTY58" s="1"/>
      <c r="WTZ58" s="1"/>
      <c r="WUA58" s="1"/>
      <c r="WUB58" s="1"/>
      <c r="WUC58" s="1"/>
      <c r="WUD58" s="1"/>
      <c r="WUE58" s="1"/>
      <c r="WUF58" s="1"/>
      <c r="WUG58" s="1"/>
      <c r="WUH58" s="1"/>
      <c r="WUI58" s="1"/>
      <c r="WUJ58" s="1"/>
      <c r="WUK58" s="1"/>
      <c r="WUL58" s="1"/>
      <c r="WUM58" s="1"/>
      <c r="WUN58" s="1"/>
      <c r="WUO58" s="1"/>
      <c r="WUP58" s="1"/>
      <c r="WUQ58" s="1"/>
      <c r="WUR58" s="1"/>
      <c r="WUS58" s="1"/>
      <c r="WUT58" s="1"/>
      <c r="WUU58" s="1"/>
      <c r="WUV58" s="1"/>
      <c r="WUW58" s="1"/>
      <c r="WUX58" s="1"/>
      <c r="WUY58" s="1"/>
      <c r="WUZ58" s="1"/>
      <c r="WVA58" s="1"/>
      <c r="WVB58" s="1"/>
      <c r="WVC58" s="1"/>
      <c r="WVD58" s="1"/>
      <c r="WVE58" s="1"/>
      <c r="WVF58" s="1"/>
      <c r="WVG58" s="1"/>
      <c r="WVH58" s="1"/>
      <c r="WVI58" s="1"/>
      <c r="WVJ58" s="1"/>
      <c r="WVK58" s="1"/>
      <c r="WVL58" s="1"/>
      <c r="WVM58" s="1"/>
      <c r="WVN58" s="1"/>
      <c r="WVO58" s="1"/>
      <c r="WVP58" s="1"/>
      <c r="WVQ58" s="1"/>
      <c r="WVR58" s="1"/>
      <c r="WVS58" s="1"/>
      <c r="WVT58" s="1"/>
      <c r="WVU58" s="1"/>
      <c r="WVV58" s="1"/>
      <c r="WVW58" s="1"/>
      <c r="WVX58" s="1"/>
      <c r="WVY58" s="1"/>
      <c r="WVZ58" s="1"/>
      <c r="WWA58" s="1"/>
      <c r="WWB58" s="1"/>
      <c r="WWC58" s="1"/>
      <c r="WWD58" s="1"/>
      <c r="WWE58" s="1"/>
      <c r="WWF58" s="1"/>
      <c r="WWG58" s="1"/>
      <c r="WWH58" s="1"/>
      <c r="WWI58" s="1"/>
      <c r="WWJ58" s="1"/>
      <c r="WWK58" s="1"/>
      <c r="WWL58" s="1"/>
      <c r="WWM58" s="1"/>
      <c r="WWN58" s="1"/>
      <c r="WWO58" s="1"/>
      <c r="WWP58" s="1"/>
      <c r="WWQ58" s="1"/>
      <c r="WWR58" s="1"/>
      <c r="WWS58" s="1"/>
      <c r="WWT58" s="1"/>
      <c r="WWU58" s="1"/>
      <c r="WWV58" s="1"/>
      <c r="WWW58" s="1"/>
      <c r="WWX58" s="1"/>
      <c r="WWY58" s="1"/>
      <c r="WWZ58" s="1"/>
      <c r="WXA58" s="1"/>
      <c r="WXB58" s="1"/>
      <c r="WXC58" s="1"/>
      <c r="WXD58" s="1"/>
      <c r="WXE58" s="1"/>
      <c r="WXF58" s="1"/>
      <c r="WXG58" s="1"/>
      <c r="WXH58" s="1"/>
      <c r="WXI58" s="1"/>
      <c r="WXJ58" s="1"/>
      <c r="WXK58" s="1"/>
      <c r="WXL58" s="1"/>
      <c r="WXM58" s="1"/>
      <c r="WXN58" s="1"/>
      <c r="WXO58" s="1"/>
      <c r="WXP58" s="1"/>
      <c r="WXQ58" s="1"/>
      <c r="WXR58" s="1"/>
      <c r="WXS58" s="1"/>
      <c r="WXT58" s="1"/>
      <c r="WXU58" s="1"/>
      <c r="WXV58" s="1"/>
      <c r="WXW58" s="1"/>
      <c r="WXX58" s="1"/>
      <c r="WXY58" s="1"/>
      <c r="WXZ58" s="1"/>
      <c r="WYA58" s="1"/>
      <c r="WYB58" s="1"/>
      <c r="WYC58" s="1"/>
      <c r="WYD58" s="1"/>
      <c r="WYE58" s="1"/>
      <c r="WYF58" s="1"/>
      <c r="WYG58" s="1"/>
      <c r="WYH58" s="1"/>
      <c r="WYI58" s="1"/>
      <c r="WYJ58" s="1"/>
      <c r="WYK58" s="1"/>
      <c r="WYL58" s="1"/>
      <c r="WYM58" s="1"/>
      <c r="WYN58" s="1"/>
      <c r="WYO58" s="1"/>
      <c r="WYP58" s="1"/>
      <c r="WYQ58" s="1"/>
      <c r="WYR58" s="1"/>
      <c r="WYS58" s="1"/>
      <c r="WYT58" s="1"/>
      <c r="WYU58" s="1"/>
      <c r="WYV58" s="1"/>
      <c r="WYW58" s="1"/>
      <c r="WYX58" s="1"/>
      <c r="WYY58" s="1"/>
      <c r="WYZ58" s="1"/>
      <c r="WZA58" s="1"/>
      <c r="WZB58" s="1"/>
      <c r="WZC58" s="1"/>
      <c r="WZD58" s="1"/>
      <c r="WZE58" s="1"/>
      <c r="WZF58" s="1"/>
      <c r="WZG58" s="1"/>
      <c r="WZH58" s="1"/>
      <c r="WZI58" s="1"/>
      <c r="WZJ58" s="1"/>
      <c r="WZK58" s="1"/>
      <c r="WZL58" s="1"/>
      <c r="WZM58" s="1"/>
      <c r="WZN58" s="1"/>
      <c r="WZO58" s="1"/>
      <c r="WZP58" s="1"/>
      <c r="WZQ58" s="1"/>
      <c r="WZR58" s="1"/>
      <c r="WZS58" s="1"/>
      <c r="WZT58" s="1"/>
      <c r="WZU58" s="1"/>
      <c r="WZV58" s="1"/>
      <c r="WZW58" s="1"/>
      <c r="WZX58" s="1"/>
      <c r="WZY58" s="1"/>
      <c r="WZZ58" s="1"/>
      <c r="XAA58" s="1"/>
      <c r="XAB58" s="1"/>
      <c r="XAC58" s="1"/>
      <c r="XAD58" s="1"/>
      <c r="XAE58" s="1"/>
      <c r="XAF58" s="1"/>
      <c r="XAG58" s="1"/>
      <c r="XAH58" s="1"/>
      <c r="XAI58" s="1"/>
      <c r="XAJ58" s="1"/>
      <c r="XAK58" s="1"/>
      <c r="XAL58" s="1"/>
      <c r="XAM58" s="1"/>
      <c r="XAN58" s="1"/>
      <c r="XAO58" s="1"/>
      <c r="XAP58" s="1"/>
      <c r="XAQ58" s="1"/>
      <c r="XAR58" s="1"/>
      <c r="XAS58" s="1"/>
      <c r="XAT58" s="1"/>
      <c r="XAU58" s="1"/>
      <c r="XAV58" s="1"/>
      <c r="XAW58" s="1"/>
      <c r="XAX58" s="1"/>
      <c r="XAY58" s="1"/>
      <c r="XAZ58" s="1"/>
      <c r="XBA58" s="1"/>
      <c r="XBB58" s="1"/>
      <c r="XBC58" s="1"/>
      <c r="XBD58" s="1"/>
      <c r="XBE58" s="1"/>
      <c r="XBF58" s="1"/>
      <c r="XBG58" s="1"/>
      <c r="XBH58" s="1"/>
      <c r="XBI58" s="1"/>
      <c r="XBJ58" s="1"/>
      <c r="XBK58" s="1"/>
      <c r="XBL58" s="1"/>
      <c r="XBM58" s="1"/>
      <c r="XBN58" s="1"/>
      <c r="XBO58" s="1"/>
      <c r="XBP58" s="1"/>
      <c r="XBQ58" s="1"/>
      <c r="XBR58" s="1"/>
      <c r="XBS58" s="1"/>
      <c r="XBT58" s="1"/>
      <c r="XBU58" s="1"/>
      <c r="XBV58" s="1"/>
      <c r="XBW58" s="1"/>
      <c r="XBX58" s="1"/>
      <c r="XBY58" s="1"/>
      <c r="XBZ58" s="1"/>
      <c r="XCA58" s="1"/>
      <c r="XCB58" s="1"/>
      <c r="XCC58" s="1"/>
      <c r="XCD58" s="1"/>
      <c r="XCE58" s="1"/>
      <c r="XCF58" s="1"/>
      <c r="XCG58" s="1"/>
      <c r="XCH58" s="1"/>
      <c r="XCI58" s="1"/>
      <c r="XCJ58" s="1"/>
      <c r="XCK58" s="1"/>
      <c r="XCL58" s="1"/>
      <c r="XCM58" s="1"/>
      <c r="XCN58" s="1"/>
      <c r="XCO58" s="1"/>
      <c r="XCP58" s="1"/>
      <c r="XCQ58" s="1"/>
      <c r="XCR58" s="1"/>
      <c r="XCS58" s="1"/>
      <c r="XCT58" s="1"/>
      <c r="XCU58" s="1"/>
      <c r="XCV58" s="1"/>
      <c r="XCW58" s="1"/>
      <c r="XCX58" s="1"/>
      <c r="XCY58" s="1"/>
      <c r="XCZ58" s="1"/>
      <c r="XDA58" s="1"/>
      <c r="XDB58" s="1"/>
      <c r="XDC58" s="1"/>
      <c r="XDD58" s="1"/>
      <c r="XDE58" s="1"/>
      <c r="XDF58" s="1"/>
      <c r="XDG58" s="1"/>
      <c r="XDH58" s="1"/>
      <c r="XDI58" s="1"/>
      <c r="XDJ58" s="1"/>
      <c r="XDK58" s="1"/>
      <c r="XDL58" s="1"/>
      <c r="XDM58" s="1"/>
      <c r="XDN58" s="1"/>
      <c r="XDO58" s="1"/>
      <c r="XDP58" s="1"/>
      <c r="XDQ58" s="1"/>
      <c r="XDR58" s="1"/>
      <c r="XDS58" s="1"/>
      <c r="XDT58" s="1"/>
      <c r="XDU58" s="1"/>
      <c r="XDV58" s="1"/>
      <c r="XDW58" s="1"/>
      <c r="XDX58" s="1"/>
      <c r="XDY58" s="1"/>
      <c r="XDZ58" s="1"/>
      <c r="XEA58" s="1"/>
      <c r="XEB58" s="1"/>
      <c r="XEC58" s="1"/>
      <c r="XED58" s="1"/>
      <c r="XEE58" s="1"/>
      <c r="XEF58" s="1"/>
      <c r="XEG58" s="1"/>
      <c r="XEH58" s="1"/>
      <c r="XEI58" s="1"/>
      <c r="XEJ58" s="1"/>
      <c r="XEK58" s="1"/>
      <c r="XEL58" s="1"/>
      <c r="XEM58" s="1"/>
      <c r="XEN58" s="1"/>
      <c r="XEO58" s="1"/>
      <c r="XEP58" s="1"/>
      <c r="XEQ58" s="1"/>
      <c r="XER58" s="1"/>
      <c r="XES58" s="1"/>
      <c r="XET58" s="1"/>
      <c r="XEU58" s="1"/>
      <c r="XEV58" s="1"/>
      <c r="XEW58" s="1"/>
      <c r="XEX58" s="1"/>
      <c r="XEY58" s="1"/>
      <c r="XEZ58" s="1"/>
      <c r="XFA58" s="1"/>
      <c r="XFB58" s="1"/>
      <c r="XFC58" s="1"/>
      <c r="XFD58" s="1"/>
    </row>
    <row r="59" spans="1:16384" x14ac:dyDescent="0.25">
      <c r="B59" s="192"/>
      <c r="C59" s="191" t="s">
        <v>916</v>
      </c>
      <c r="D59" s="191"/>
      <c r="E59" s="191"/>
      <c r="F59" s="191"/>
      <c r="G59" s="191"/>
      <c r="H59" s="1099" t="s">
        <v>842</v>
      </c>
      <c r="I59" s="1101"/>
      <c r="J59" s="191"/>
      <c r="K59" s="191"/>
      <c r="L59" s="191"/>
      <c r="M59" s="191"/>
      <c r="N59" s="191"/>
      <c r="O59" s="191"/>
      <c r="P59" s="191"/>
      <c r="Q59" s="191"/>
      <c r="R59" s="191"/>
      <c r="S59" s="191"/>
      <c r="T59" s="191"/>
      <c r="U59" s="191"/>
      <c r="V59" s="191"/>
    </row>
    <row r="60" spans="1:16384" ht="30" customHeight="1" x14ac:dyDescent="0.25">
      <c r="B60" s="192"/>
      <c r="C60" s="1178" t="str">
        <f>IF($H$58="Macro","Macro model type:","Macro model type: (not applicable in Expert setting)")</f>
        <v>Macro model type: (not applicable in Expert setting)</v>
      </c>
      <c r="D60" s="1178"/>
      <c r="E60" s="1178"/>
      <c r="F60" s="1178"/>
      <c r="G60" s="1179"/>
      <c r="H60" s="1099" t="s">
        <v>857</v>
      </c>
      <c r="I60" s="1101"/>
      <c r="J60" s="191"/>
      <c r="K60" s="887" t="str">
        <f>K44 &amp; " (Level)"</f>
        <v>2014 (Level)</v>
      </c>
      <c r="L60" s="888"/>
      <c r="M60" s="887" t="str">
        <f>IF(AND(ISNUMBER(M44 ),ISNUMBER( K20)),M44 &amp; " vs. " &amp; K20,"N/A")</f>
        <v>2015 vs. 2014</v>
      </c>
      <c r="N60" s="888"/>
      <c r="O60" s="887" t="str">
        <f>IF(AND(ISNUMBER(O44 ),ISNUMBER( M20)),O44 &amp; " vs. " &amp; M20,"N/A")</f>
        <v>2016 vs. 2015</v>
      </c>
      <c r="P60" s="888"/>
      <c r="Q60" s="887" t="str">
        <f>IF(AND(ISNUMBER(Q44 ),ISNUMBER( O20)),Q44 &amp; " vs. " &amp; O20,"N/A")</f>
        <v>2017 vs. 2016</v>
      </c>
      <c r="R60" s="888"/>
      <c r="S60" s="887" t="str">
        <f>IF(AND(ISNUMBER(S44 ),ISNUMBER( Q20)),S44 &amp; " vs. " &amp; Q20,"N/A")</f>
        <v>2018 vs. 2017</v>
      </c>
      <c r="T60" s="888"/>
      <c r="U60" s="887" t="str">
        <f>IF(AND(ISNUMBER(U44 ),ISNUMBER( S20)),U44 &amp; " vs. " &amp; S20,"N/A")</f>
        <v>2019 vs. 2018</v>
      </c>
      <c r="V60" s="888"/>
    </row>
    <row r="61" spans="1:16384" ht="30" customHeight="1" x14ac:dyDescent="0.25">
      <c r="B61" s="192"/>
      <c r="C61" s="192" t="str">
        <f>IF($H$58="Macro","Macro scenario","Macro scenario (not applicable in Expert setting)")</f>
        <v>Macro scenario (not applicable in Expert setting)</v>
      </c>
      <c r="D61" s="191"/>
      <c r="E61" s="191"/>
      <c r="F61" s="191"/>
      <c r="G61" s="191"/>
      <c r="H61" s="1167" t="str">
        <f>Summary!G22</f>
        <v>Severe Macro Stress</v>
      </c>
      <c r="I61" s="1168"/>
      <c r="J61" s="191"/>
      <c r="K61" s="1165">
        <f>HLOOKUP(Input!M17,Country!$D$210:$AI$218,9,FALSE)/HLOOKUP(Input!M17-1,Country!$D$210:$AI$218,9,FALSE)-1</f>
        <v>3.0000000000000027E-2</v>
      </c>
      <c r="L61" s="1166"/>
      <c r="M61" s="1165">
        <f>IF($H$61=Variables!$Z$2,Satellite!I20-Satellite!G20,IF($H$61=Variables!$Z$3,Satellite!I21-Satellite!G21,IF($H$61=Variables!$Z$4,Satellite!I22-Satellite!G22,Satellite!I23-Satellite!G23)))</f>
        <v>-4.0000000000000029E-2</v>
      </c>
      <c r="N61" s="1166"/>
      <c r="O61" s="1165">
        <f>IF($H$61=Variables!$Z$2,Satellite!K20-Satellite!I20,IF($H$61=Variables!$Z$3,Satellite!K21-Satellite!I21,IF($H$61=Variables!$Z$4,Satellite!K22-Satellite!I22,Satellite!K23-Satellite!I23)))</f>
        <v>-0.01</v>
      </c>
      <c r="P61" s="1166"/>
      <c r="Q61" s="1165">
        <f>IF($H$61=Variables!$Z$2,Satellite!M20-Satellite!K20,IF($H$61=Variables!$Z$3,Satellite!M21-Satellite!K21,IF($H$61=Variables!$Z$4,Satellite!M22-Satellite!K22,Satellite!M23-Satellite!K23)))</f>
        <v>0.02</v>
      </c>
      <c r="R61" s="1166"/>
      <c r="S61" s="1165">
        <f>IF($H$61=Variables!$Z$2,Satellite!O20-Satellite!M20,IF($H$61=Variables!$Z$3,Satellite!O21-Satellite!M21,IF($H$61=Variables!$Z$4,Satellite!O22-Satellite!M22,Satellite!O23-Satellite!M23)))</f>
        <v>1.4999999999999999E-2</v>
      </c>
      <c r="T61" s="1166"/>
      <c r="U61" s="1165">
        <f>IF($H$61=Variables!$Z$2,Satellite!Q20-Satellite!O20,IF($H$61=Variables!$Z$3,Satellite!Q21-Satellite!O21,IF($H$61=Variables!$Z$4,Satellite!Q22-Satellite!O22,Satellite!Q23-Satellite!O23)))</f>
        <v>1.4999999999999999E-2</v>
      </c>
      <c r="V61" s="1166"/>
    </row>
    <row r="62" spans="1:16384" x14ac:dyDescent="0.25">
      <c r="B62" s="192"/>
      <c r="C62" s="266" t="str">
        <f>IF(H58="Macro","Include credit loss model","Credit loss model not applicable in Expert setting")</f>
        <v>Credit loss model not applicable in Expert setting</v>
      </c>
      <c r="D62" s="192"/>
      <c r="E62" s="192"/>
      <c r="F62" s="192"/>
      <c r="G62" s="192"/>
      <c r="H62" s="1151" t="s">
        <v>851</v>
      </c>
      <c r="I62" s="1152"/>
      <c r="J62" s="1195" t="str">
        <f>IF(H58="Macro",IF(H60="Satellite Model","Define model in the Satellite Tab","Specify the GDP path in the Satellite tab"),"")</f>
        <v/>
      </c>
      <c r="K62" s="1196"/>
      <c r="L62" s="1196"/>
      <c r="M62" s="1196"/>
      <c r="N62" s="1196"/>
      <c r="O62" s="191"/>
      <c r="P62" s="191"/>
      <c r="Q62" s="191"/>
      <c r="R62" s="191"/>
      <c r="S62" s="191"/>
      <c r="T62" s="191"/>
      <c r="U62" s="191"/>
      <c r="V62" s="191"/>
    </row>
    <row r="63" spans="1:16384" x14ac:dyDescent="0.25">
      <c r="B63" s="192"/>
      <c r="C63" s="266" t="str">
        <f>IF(H58="Macro","Include LGD model","LGD model not applicable in Expert setting")</f>
        <v>LGD model not applicable in Expert setting</v>
      </c>
      <c r="D63" s="192"/>
      <c r="E63" s="192"/>
      <c r="F63" s="192"/>
      <c r="G63" s="192"/>
      <c r="H63" s="1151" t="s">
        <v>833</v>
      </c>
      <c r="I63" s="1152"/>
      <c r="J63" s="1195"/>
      <c r="K63" s="1196"/>
      <c r="L63" s="1196"/>
      <c r="M63" s="1196"/>
      <c r="N63" s="1196"/>
      <c r="O63" s="191"/>
      <c r="P63" s="191"/>
      <c r="Q63" s="191"/>
      <c r="R63" s="191"/>
      <c r="S63" s="191"/>
      <c r="T63" s="191"/>
      <c r="U63" s="191"/>
      <c r="V63" s="191"/>
    </row>
    <row r="64" spans="1:16384" ht="30" customHeight="1" x14ac:dyDescent="0.25">
      <c r="B64" s="192"/>
      <c r="C64" s="1191" t="str">
        <f>IF(H58="Macro",IF($H$60="Rule of Thumb","Include correlation model","Correlation model not applicable in Satellite model setting"),"Correlation model not applicable in Expert setting")</f>
        <v>Correlation model not applicable in Expert setting</v>
      </c>
      <c r="D64" s="1191"/>
      <c r="E64" s="1191"/>
      <c r="F64" s="1191"/>
      <c r="G64" s="1192"/>
      <c r="H64" s="1151" t="s">
        <v>833</v>
      </c>
      <c r="I64" s="1152"/>
      <c r="J64" s="1195"/>
      <c r="K64" s="1196"/>
      <c r="L64" s="1196"/>
      <c r="M64" s="1196"/>
      <c r="N64" s="1196"/>
      <c r="O64" s="191"/>
      <c r="P64" s="191"/>
      <c r="Q64" s="191"/>
      <c r="R64" s="191"/>
      <c r="S64" s="191"/>
      <c r="T64" s="191"/>
      <c r="U64" s="191"/>
      <c r="V64" s="191"/>
    </row>
    <row r="65" spans="2:36" ht="30" customHeight="1" x14ac:dyDescent="0.25">
      <c r="B65" s="192"/>
      <c r="C65" s="1191" t="str">
        <f>IF(H58="Macro",IF($H$60="Satellite Model","Include credit growth model","Credit growth model not applicable in Rule of Thumb model setting"),"Credit growth model not applicable in Expert setting")</f>
        <v>Credit growth model not applicable in Expert setting</v>
      </c>
      <c r="D65" s="1191"/>
      <c r="E65" s="1191"/>
      <c r="F65" s="1191"/>
      <c r="G65" s="1192"/>
      <c r="H65" s="1151" t="s">
        <v>833</v>
      </c>
      <c r="I65" s="1152"/>
      <c r="J65" s="1195"/>
      <c r="K65" s="1196"/>
      <c r="L65" s="1196"/>
      <c r="M65" s="1196"/>
      <c r="N65" s="1196"/>
      <c r="O65" s="191"/>
      <c r="P65" s="191"/>
      <c r="Q65" s="191"/>
      <c r="R65" s="191"/>
      <c r="S65" s="191"/>
      <c r="T65" s="191"/>
      <c r="U65" s="191"/>
      <c r="V65" s="191"/>
    </row>
    <row r="66" spans="2:36" x14ac:dyDescent="0.25">
      <c r="B66" s="192"/>
      <c r="C66" s="266" t="str">
        <f>IF(H58="Macro","Include profit model","Profit model not applicable in Expert setting")</f>
        <v>Profit model not applicable in Expert setting</v>
      </c>
      <c r="D66" s="192"/>
      <c r="E66" s="192"/>
      <c r="F66" s="192"/>
      <c r="G66" s="192"/>
      <c r="H66" s="1151" t="s">
        <v>851</v>
      </c>
      <c r="I66" s="1152"/>
      <c r="J66" s="1195"/>
      <c r="K66" s="1196"/>
      <c r="L66" s="1196"/>
      <c r="M66" s="1196"/>
      <c r="N66" s="1196"/>
      <c r="O66" s="191"/>
      <c r="P66" s="191"/>
      <c r="Q66" s="191"/>
      <c r="R66" s="191"/>
      <c r="S66" s="191"/>
      <c r="T66" s="191"/>
      <c r="U66" s="191"/>
      <c r="V66" s="191"/>
    </row>
    <row r="67" spans="2:36" ht="30" customHeight="1" x14ac:dyDescent="0.25">
      <c r="B67" s="192"/>
      <c r="C67" s="1193" t="str">
        <f>IF(H58="Macro",IF($H$60="Satellite Model","Include model to determine net interest income","Net interest income model not applicable in Rule of Thumb model setting"),"Net interest income model not applicable in Expert setting")</f>
        <v>Net interest income model not applicable in Expert setting</v>
      </c>
      <c r="D67" s="1193"/>
      <c r="E67" s="1193"/>
      <c r="F67" s="1193"/>
      <c r="G67" s="1194"/>
      <c r="H67" s="1151" t="s">
        <v>833</v>
      </c>
      <c r="I67" s="1152"/>
      <c r="J67" s="1195"/>
      <c r="K67" s="1196"/>
      <c r="L67" s="1196"/>
      <c r="M67" s="1196"/>
      <c r="N67" s="1196"/>
      <c r="O67" s="191"/>
      <c r="P67" s="191"/>
      <c r="Q67" s="191"/>
      <c r="R67" s="191"/>
      <c r="S67" s="191"/>
      <c r="T67" s="191"/>
      <c r="U67" s="191"/>
      <c r="V67" s="191"/>
    </row>
    <row r="68" spans="2:36" ht="30" customHeight="1" x14ac:dyDescent="0.25">
      <c r="B68" s="192"/>
      <c r="C68" s="1193" t="str">
        <f>IF(H58="Macro",IF($H$60="Satellite Model","Include model to determine net fee and commission income","Net fee and commission income model not applicable in Rule of Thumb model setting"),"Net fee and commission income model not applicable in Expert setting")</f>
        <v>Net fee and commission income model not applicable in Expert setting</v>
      </c>
      <c r="D68" s="1193"/>
      <c r="E68" s="1193"/>
      <c r="F68" s="1193"/>
      <c r="G68" s="1194"/>
      <c r="H68" s="1151" t="s">
        <v>833</v>
      </c>
      <c r="I68" s="1152"/>
      <c r="J68" s="1195"/>
      <c r="K68" s="1196"/>
      <c r="L68" s="1196"/>
      <c r="M68" s="1196"/>
      <c r="N68" s="1196"/>
      <c r="O68" s="191"/>
      <c r="P68" s="191"/>
      <c r="Q68" s="191"/>
      <c r="R68" s="191"/>
      <c r="S68" s="191"/>
      <c r="T68" s="191"/>
      <c r="U68" s="191"/>
      <c r="V68" s="191"/>
    </row>
    <row r="69" spans="2:36" ht="30" customHeight="1" x14ac:dyDescent="0.25">
      <c r="B69" s="192"/>
      <c r="C69" s="1193" t="str">
        <f>IF(H58="Macro",IF($H$60="Satellite Model","Include model to determine trading income","Trading income model not applicable in Rule of Thumb model setting"),"Trading income model not applicable in Expert setting")</f>
        <v>Trading income model not applicable in Expert setting</v>
      </c>
      <c r="D69" s="1193"/>
      <c r="E69" s="1193"/>
      <c r="F69" s="1193"/>
      <c r="G69" s="1194"/>
      <c r="H69" s="1151" t="s">
        <v>833</v>
      </c>
      <c r="I69" s="1152"/>
      <c r="J69" s="1195"/>
      <c r="K69" s="1196"/>
      <c r="L69" s="1196"/>
      <c r="M69" s="1196"/>
      <c r="N69" s="1196"/>
      <c r="O69" s="191"/>
      <c r="P69" s="191"/>
      <c r="Q69" s="191"/>
      <c r="R69" s="191"/>
      <c r="S69" s="191"/>
      <c r="T69" s="191"/>
      <c r="U69" s="191"/>
      <c r="V69" s="191"/>
    </row>
    <row r="70" spans="2:36" x14ac:dyDescent="0.25">
      <c r="B70" s="192"/>
      <c r="C70" s="191"/>
      <c r="D70" s="191"/>
      <c r="E70" s="191"/>
      <c r="F70" s="191"/>
      <c r="G70" s="191"/>
      <c r="H70" s="191"/>
      <c r="I70" s="191"/>
      <c r="J70" s="232"/>
      <c r="K70" s="232"/>
      <c r="L70" s="191"/>
      <c r="M70" s="191"/>
      <c r="N70" s="191"/>
      <c r="O70" s="191"/>
      <c r="P70" s="191"/>
      <c r="Q70" s="191"/>
      <c r="R70" s="191"/>
      <c r="S70" s="191"/>
      <c r="T70" s="191"/>
      <c r="U70" s="191"/>
      <c r="V70" s="191"/>
    </row>
    <row r="71" spans="2:36" x14ac:dyDescent="0.25">
      <c r="B71" s="192"/>
      <c r="C71" s="191"/>
      <c r="D71" s="191"/>
      <c r="E71" s="191"/>
      <c r="F71" s="191"/>
      <c r="G71" s="191"/>
      <c r="H71" s="191"/>
      <c r="I71" s="191"/>
      <c r="J71" s="191"/>
      <c r="K71" s="191"/>
      <c r="L71" s="191"/>
      <c r="M71" s="191"/>
      <c r="N71" s="191"/>
      <c r="O71" s="191"/>
      <c r="P71" s="191"/>
      <c r="Q71" s="191"/>
      <c r="R71" s="191"/>
      <c r="S71" s="191"/>
      <c r="T71" s="191"/>
      <c r="U71" s="191"/>
      <c r="V71" s="191"/>
    </row>
    <row r="72" spans="2:36" ht="18.75" x14ac:dyDescent="0.3">
      <c r="B72" s="215" t="s">
        <v>917</v>
      </c>
      <c r="C72" s="214"/>
      <c r="D72" s="214"/>
      <c r="E72" s="214"/>
      <c r="F72" s="214"/>
      <c r="G72" s="214"/>
      <c r="H72" s="214"/>
      <c r="I72" s="214"/>
      <c r="J72" s="214"/>
      <c r="K72" s="214"/>
      <c r="L72" s="214"/>
      <c r="M72" s="214"/>
      <c r="N72" s="214"/>
      <c r="O72" s="214"/>
      <c r="P72" s="214"/>
      <c r="Q72" s="214"/>
      <c r="R72" s="214"/>
      <c r="S72" s="214"/>
      <c r="T72" s="214"/>
      <c r="U72" s="214"/>
      <c r="V72" s="214"/>
    </row>
    <row r="73" spans="2:36" ht="18.75" x14ac:dyDescent="0.3">
      <c r="B73" s="267"/>
      <c r="C73" s="193"/>
      <c r="D73" s="193"/>
      <c r="E73" s="193"/>
      <c r="F73" s="193"/>
      <c r="G73" s="193"/>
      <c r="H73" s="193"/>
      <c r="I73" s="193"/>
      <c r="J73" s="193"/>
      <c r="K73" s="193"/>
      <c r="L73" s="193" t="s">
        <v>1344</v>
      </c>
      <c r="M73" s="193"/>
      <c r="N73" s="193"/>
      <c r="O73" s="193"/>
      <c r="P73" s="193"/>
      <c r="Q73" s="193"/>
      <c r="R73" s="193"/>
      <c r="S73" s="193"/>
      <c r="T73" s="193"/>
      <c r="U73" s="193"/>
      <c r="V73" s="193"/>
    </row>
    <row r="74" spans="2:36" ht="18.75" x14ac:dyDescent="0.3">
      <c r="B74" s="192"/>
      <c r="C74" s="459" t="s">
        <v>75</v>
      </c>
      <c r="D74" s="232"/>
      <c r="E74" s="232"/>
      <c r="F74" s="232"/>
      <c r="G74" s="232"/>
      <c r="H74" s="232"/>
      <c r="I74" s="232"/>
      <c r="J74" s="232"/>
      <c r="K74" s="232"/>
      <c r="L74" s="232"/>
      <c r="M74" s="232"/>
      <c r="N74" s="232"/>
      <c r="O74" s="232"/>
      <c r="P74" s="232"/>
      <c r="Q74" s="232"/>
      <c r="R74" s="232"/>
      <c r="S74" s="232"/>
      <c r="T74" s="232"/>
      <c r="U74" s="232"/>
      <c r="V74" s="232"/>
    </row>
    <row r="75" spans="2:36" ht="18.75" x14ac:dyDescent="0.3">
      <c r="B75" s="192"/>
      <c r="C75" s="221"/>
      <c r="D75" s="232"/>
      <c r="E75" s="232"/>
      <c r="F75" s="232"/>
      <c r="G75" s="232"/>
      <c r="H75" s="232"/>
      <c r="I75" s="232"/>
      <c r="J75" s="232"/>
      <c r="K75" s="232"/>
      <c r="L75" s="232"/>
      <c r="M75" s="232"/>
      <c r="N75" s="232"/>
      <c r="O75" s="232"/>
      <c r="P75" s="232"/>
      <c r="Q75" s="232"/>
      <c r="R75" s="232"/>
      <c r="S75" s="232"/>
      <c r="T75" s="232"/>
      <c r="U75" s="232"/>
      <c r="V75" s="232"/>
    </row>
    <row r="76" spans="2:36" x14ac:dyDescent="0.25">
      <c r="B76" s="192"/>
      <c r="C76" s="191"/>
      <c r="D76" s="191"/>
      <c r="E76" s="191"/>
      <c r="F76" s="191"/>
      <c r="G76" s="191"/>
      <c r="H76" s="191"/>
      <c r="I76" s="191"/>
      <c r="J76" s="191"/>
      <c r="K76" s="191"/>
      <c r="L76" s="191"/>
      <c r="M76" s="887">
        <f>$K$44+1</f>
        <v>2015</v>
      </c>
      <c r="N76" s="888"/>
      <c r="O76" s="887">
        <f>IF($H$20&gt;1,M$20+1,"N/A")</f>
        <v>2016</v>
      </c>
      <c r="P76" s="888"/>
      <c r="Q76" s="887">
        <f>IF($H$20&gt;1,O$20+1,"N/A")</f>
        <v>2017</v>
      </c>
      <c r="R76" s="888"/>
      <c r="S76" s="887">
        <f>IF($H$20&gt;1,Q$20+1,"N/A")</f>
        <v>2018</v>
      </c>
      <c r="T76" s="888"/>
      <c r="U76" s="887">
        <f>IF($H$20&gt;1,S$20+1,"N/A")</f>
        <v>2019</v>
      </c>
      <c r="V76" s="888"/>
    </row>
    <row r="77" spans="2:36" ht="30" customHeight="1" x14ac:dyDescent="0.25">
      <c r="B77" s="192"/>
      <c r="C77" s="1197" t="str">
        <f>IF(AND($H$58="Macro",$H$62="Yes"),"Loss Assumption: (The credit loss model defines the loss assumption in the satellite model)","Loss Assumption")</f>
        <v>Loss Assumption</v>
      </c>
      <c r="D77" s="1197"/>
      <c r="E77" s="1197"/>
      <c r="F77" s="1197"/>
      <c r="G77" s="1197"/>
      <c r="H77" s="1185" t="s">
        <v>919</v>
      </c>
      <c r="I77" s="1186"/>
      <c r="J77" s="191"/>
      <c r="K77" s="191"/>
      <c r="L77" s="191"/>
      <c r="M77" s="191"/>
      <c r="N77" s="191"/>
      <c r="O77" s="191"/>
      <c r="P77" s="191"/>
      <c r="Q77" s="191"/>
      <c r="R77" s="191"/>
      <c r="S77" s="191"/>
      <c r="T77" s="191"/>
      <c r="U77" s="191"/>
      <c r="V77" s="191"/>
    </row>
    <row r="78" spans="2:36" x14ac:dyDescent="0.25">
      <c r="B78" s="192"/>
      <c r="C78" s="191" t="s">
        <v>921</v>
      </c>
      <c r="D78" s="191"/>
      <c r="E78" s="191"/>
      <c r="F78" s="191"/>
      <c r="G78" s="191"/>
      <c r="H78" s="269" t="str">
        <f>IF(AND(H58="Macro",H62="Yes"),"(Not Applicable under credit loss model)",IF(H77="Simulate Rating downgrade","(Not applicable for rating downgrade)",""))</f>
        <v/>
      </c>
      <c r="I78" s="191"/>
      <c r="J78" s="191"/>
      <c r="K78" s="191"/>
      <c r="L78" s="191"/>
      <c r="M78" s="1153" t="s">
        <v>831</v>
      </c>
      <c r="N78" s="1154"/>
      <c r="O78" s="1153" t="s">
        <v>831</v>
      </c>
      <c r="P78" s="1154"/>
      <c r="Q78" s="1153" t="s">
        <v>831</v>
      </c>
      <c r="R78" s="1154"/>
      <c r="S78" s="1153" t="s">
        <v>831</v>
      </c>
      <c r="T78" s="1154"/>
      <c r="U78" s="1153" t="s">
        <v>831</v>
      </c>
      <c r="V78" s="1154"/>
      <c r="Y78" s="1157">
        <f>'Y1 to Y5'!K28</f>
        <v>3.4239805149277824E-2</v>
      </c>
      <c r="Z78" s="1158"/>
      <c r="AA78" s="1157">
        <f>'Y1 to Y5'!K31</f>
        <v>3.9375775921669492E-2</v>
      </c>
      <c r="AB78" s="1158"/>
      <c r="AC78" s="1157">
        <f>IF(ISNUMBER(O76),'Y1 to Y5'!M31,"N/A")</f>
        <v>4.5148766252526396E-2</v>
      </c>
      <c r="AD78" s="1158"/>
      <c r="AE78" s="1157">
        <f>IF(ISNUMBER(Q76),'Y1 to Y5'!O31,"N/A")</f>
        <v>5.1739345378288518E-2</v>
      </c>
      <c r="AF78" s="1158"/>
      <c r="AG78" s="1157">
        <f>IF(ISNUMBER(S76),'Y1 to Y5'!Q31,"N/A")</f>
        <v>5.9251552173310726E-2</v>
      </c>
      <c r="AH78" s="1158"/>
      <c r="AI78" s="1157">
        <f>IF(ISNUMBER(U76),'Y1 to Y5'!S31,"N/A")</f>
        <v>6.7797303372443121E-2</v>
      </c>
      <c r="AJ78" s="1158"/>
    </row>
    <row r="79" spans="2:36" x14ac:dyDescent="0.25">
      <c r="B79" s="192"/>
      <c r="C79" s="191"/>
      <c r="D79" s="220" t="s">
        <v>923</v>
      </c>
      <c r="E79" s="191"/>
      <c r="F79" s="191"/>
      <c r="G79" s="191"/>
      <c r="H79" s="270" t="str">
        <f>IF(AND(H58="Macro",H62="Yes"),"(Not Applicable under credit loss model)",IF(H77="Simulate Rating downgrade","(Not applicable for rating downgrade)",""))</f>
        <v/>
      </c>
      <c r="I79" s="191"/>
      <c r="J79" s="191"/>
      <c r="K79" s="191"/>
      <c r="L79" s="191"/>
      <c r="M79" s="1153">
        <v>0.15</v>
      </c>
      <c r="N79" s="1154"/>
      <c r="O79" s="1153">
        <v>0.15</v>
      </c>
      <c r="P79" s="1154"/>
      <c r="Q79" s="1153">
        <v>0.15</v>
      </c>
      <c r="R79" s="1154"/>
      <c r="S79" s="1153">
        <v>0.15</v>
      </c>
      <c r="T79" s="1154"/>
      <c r="U79" s="1153">
        <v>0.15</v>
      </c>
      <c r="V79" s="1154"/>
    </row>
    <row r="80" spans="2:36" x14ac:dyDescent="0.25">
      <c r="B80" s="192"/>
      <c r="C80" s="191" t="s">
        <v>1383</v>
      </c>
      <c r="D80" s="191"/>
      <c r="E80" s="191"/>
      <c r="F80" s="191"/>
      <c r="G80" s="191"/>
      <c r="H80" s="270" t="str">
        <f>IF(AND(H58="Macro",H62="Yes"),"(Not Applicable under credit loss model)",IF(H77="Simulate Rating downgrade","","(Not applicable for PD increase)"))</f>
        <v>(Not applicable for PD increase)</v>
      </c>
      <c r="I80" s="191"/>
      <c r="J80" s="191"/>
      <c r="K80" s="191"/>
      <c r="L80" s="191"/>
      <c r="M80" s="1099">
        <v>0</v>
      </c>
      <c r="N80" s="1101"/>
      <c r="O80" s="1099">
        <v>0</v>
      </c>
      <c r="P80" s="1101"/>
      <c r="Q80" s="1099">
        <v>0</v>
      </c>
      <c r="R80" s="1101"/>
      <c r="S80" s="1099">
        <v>0</v>
      </c>
      <c r="T80" s="1101"/>
      <c r="U80" s="1099">
        <v>0</v>
      </c>
      <c r="V80" s="1101"/>
    </row>
    <row r="81" spans="2:36" x14ac:dyDescent="0.25">
      <c r="B81" s="192"/>
      <c r="C81" s="191"/>
      <c r="D81" s="191"/>
      <c r="E81" s="191"/>
      <c r="F81" s="191"/>
      <c r="G81" s="191"/>
      <c r="H81" s="191"/>
      <c r="I81" s="191"/>
      <c r="J81" s="191"/>
      <c r="K81" s="191"/>
      <c r="L81" s="191"/>
      <c r="M81" s="232"/>
      <c r="N81" s="232"/>
      <c r="O81" s="232"/>
      <c r="P81" s="232"/>
      <c r="Q81" s="232"/>
      <c r="R81" s="232"/>
      <c r="S81" s="232"/>
      <c r="T81" s="232"/>
      <c r="U81" s="232"/>
      <c r="V81" s="232"/>
    </row>
    <row r="82" spans="2:36" x14ac:dyDescent="0.25">
      <c r="B82" s="192"/>
      <c r="C82" s="219" t="str">
        <f>IF(AND(H58="Macro",H63="Yes"),"LGD Assumption: (Not applicable under LGD model)",IF(Setup!B7="Losses/Provisions","LGD Assumption: (Not applicable under the Losses/Provisions definition of loss)","LGD Assumption:"))</f>
        <v>LGD Assumption:</v>
      </c>
      <c r="D82" s="191"/>
      <c r="E82" s="191"/>
      <c r="F82" s="191"/>
      <c r="G82" s="191"/>
      <c r="H82" s="191"/>
      <c r="I82" s="191"/>
      <c r="J82" s="191"/>
      <c r="K82" s="191"/>
      <c r="L82" s="191"/>
      <c r="M82" s="1153" t="s">
        <v>831</v>
      </c>
      <c r="N82" s="1154"/>
      <c r="O82" s="1153" t="s">
        <v>849</v>
      </c>
      <c r="P82" s="1154"/>
      <c r="Q82" s="1153" t="s">
        <v>849</v>
      </c>
      <c r="R82" s="1154"/>
      <c r="S82" s="1153" t="s">
        <v>849</v>
      </c>
      <c r="T82" s="1154"/>
      <c r="U82" s="1153" t="s">
        <v>849</v>
      </c>
      <c r="V82" s="1154"/>
      <c r="Y82" s="1157">
        <f>Calculation!J80</f>
        <v>0.70824730645748213</v>
      </c>
      <c r="Z82" s="1158"/>
      <c r="AA82" s="1157">
        <f>Calculation!L80</f>
        <v>0.94608848326505846</v>
      </c>
      <c r="AB82" s="1158"/>
      <c r="AC82" s="1157">
        <f>IF(ISNUMBER(O76),Calculation!N80,"N/A")</f>
        <v>1</v>
      </c>
      <c r="AD82" s="1158"/>
      <c r="AE82" s="1157">
        <f>IF(ISNUMBER(Q76),Calculation!P80,"N/A")</f>
        <v>1</v>
      </c>
      <c r="AF82" s="1158"/>
      <c r="AG82" s="1157">
        <f>IF(ISNUMBER(S76),Calculation!R80,"N/A")</f>
        <v>1</v>
      </c>
      <c r="AH82" s="1158"/>
      <c r="AI82" s="1157">
        <f>IF(ISNUMBER(U76),Calculation!T80,"N/A")</f>
        <v>1</v>
      </c>
      <c r="AJ82" s="1158"/>
    </row>
    <row r="83" spans="2:36" ht="30" customHeight="1" x14ac:dyDescent="0.25">
      <c r="B83" s="192"/>
      <c r="C83" s="191"/>
      <c r="D83" s="266" t="s">
        <v>922</v>
      </c>
      <c r="E83" s="191"/>
      <c r="F83" s="191"/>
      <c r="G83" s="191"/>
      <c r="H83" s="1183" t="str">
        <f>IF(AND(H58="Macro",H63="Yes"),"(Not applicable under LGD model)",IF(Setup!B7="Losses/Provisions","(Not applicable under the Losses/Provisions definition of loss)",""))</f>
        <v/>
      </c>
      <c r="I83" s="1183"/>
      <c r="J83" s="1183"/>
      <c r="K83" s="1183"/>
      <c r="L83" s="1184"/>
      <c r="M83" s="1153">
        <v>0.6</v>
      </c>
      <c r="N83" s="1154"/>
      <c r="O83" s="1153">
        <v>0.6</v>
      </c>
      <c r="P83" s="1154"/>
      <c r="Q83" s="1153">
        <v>0.6</v>
      </c>
      <c r="R83" s="1154"/>
      <c r="S83" s="1153">
        <v>0.6</v>
      </c>
      <c r="T83" s="1154"/>
      <c r="U83" s="1153">
        <v>0.6</v>
      </c>
      <c r="V83" s="1154"/>
    </row>
    <row r="84" spans="2:36" x14ac:dyDescent="0.25">
      <c r="B84" s="192"/>
      <c r="C84" s="191"/>
      <c r="D84" s="191"/>
      <c r="E84" s="191"/>
      <c r="F84" s="191"/>
      <c r="G84" s="191"/>
      <c r="H84" s="191"/>
      <c r="I84" s="191"/>
      <c r="J84" s="191"/>
      <c r="K84" s="191"/>
      <c r="L84" s="191"/>
      <c r="M84" s="191"/>
      <c r="N84" s="191"/>
      <c r="O84" s="191"/>
      <c r="P84" s="191"/>
      <c r="Q84" s="191"/>
      <c r="R84" s="191"/>
      <c r="S84" s="191"/>
      <c r="T84" s="191"/>
      <c r="U84" s="191"/>
      <c r="V84" s="191"/>
    </row>
    <row r="85" spans="2:36" x14ac:dyDescent="0.25">
      <c r="B85" s="192"/>
      <c r="C85" s="219" t="str">
        <f>IF(AND(H58="Macro",H60="Rule of Thumb"),"Asset Correlation assumption: (Not applicable under the Rule of Thumb model)","Asset Correlation assumption:")</f>
        <v>Asset Correlation assumption:</v>
      </c>
      <c r="D85" s="191"/>
      <c r="E85" s="191"/>
      <c r="F85" s="191"/>
      <c r="G85" s="191"/>
      <c r="H85" s="191"/>
      <c r="I85" s="191"/>
      <c r="J85" s="191"/>
      <c r="K85" s="191"/>
      <c r="L85" s="191"/>
      <c r="M85" s="1153" t="s">
        <v>831</v>
      </c>
      <c r="N85" s="1154"/>
      <c r="O85" s="1153" t="s">
        <v>831</v>
      </c>
      <c r="P85" s="1154"/>
      <c r="Q85" s="1153" t="s">
        <v>831</v>
      </c>
      <c r="R85" s="1154"/>
      <c r="S85" s="1153" t="s">
        <v>831</v>
      </c>
      <c r="T85" s="1154"/>
      <c r="U85" s="1153" t="s">
        <v>831</v>
      </c>
      <c r="V85" s="1154"/>
      <c r="Y85" s="1157">
        <f>Calculation!J108</f>
        <v>0.14166074173222318</v>
      </c>
      <c r="Z85" s="1158"/>
      <c r="AA85" s="1157">
        <f>Calculation!L108</f>
        <v>0.14166074173222318</v>
      </c>
      <c r="AB85" s="1158"/>
      <c r="AC85" s="1157">
        <f>IF(ISNUMBER(O76),Calculation!N108,"N/A")</f>
        <v>0.14166074173222318</v>
      </c>
      <c r="AD85" s="1158"/>
      <c r="AE85" s="1157">
        <f>IF(ISNUMBER(Q76),Calculation!P108,"N/A")</f>
        <v>0.14166074173222318</v>
      </c>
      <c r="AF85" s="1158"/>
      <c r="AG85" s="1157">
        <f>IF(ISNUMBER(S76),Calculation!R108,"N/A")</f>
        <v>0.14166074173222318</v>
      </c>
      <c r="AH85" s="1158"/>
      <c r="AI85" s="1157">
        <f>IF(ISNUMBER(U76),Calculation!T108,"N/A")</f>
        <v>0.14166074173222318</v>
      </c>
      <c r="AJ85" s="1158"/>
    </row>
    <row r="86" spans="2:36" ht="30" customHeight="1" x14ac:dyDescent="0.25">
      <c r="B86" s="192"/>
      <c r="C86" s="191"/>
      <c r="D86" s="266" t="s">
        <v>924</v>
      </c>
      <c r="E86" s="191"/>
      <c r="F86" s="191"/>
      <c r="G86" s="191"/>
      <c r="H86" s="232"/>
      <c r="I86" s="1163" t="str">
        <f>IF(AND(H58="Macro",H60="Rule of Thumb"),"(Not applicable under the Rule of Thumb model)","")</f>
        <v/>
      </c>
      <c r="J86" s="1163"/>
      <c r="K86" s="1163"/>
      <c r="L86" s="1164"/>
      <c r="M86" s="1153">
        <v>0</v>
      </c>
      <c r="N86" s="1154"/>
      <c r="O86" s="1153">
        <v>0</v>
      </c>
      <c r="P86" s="1154"/>
      <c r="Q86" s="1153">
        <v>0</v>
      </c>
      <c r="R86" s="1154"/>
      <c r="S86" s="1153">
        <v>0</v>
      </c>
      <c r="T86" s="1154"/>
      <c r="U86" s="1153">
        <v>0</v>
      </c>
      <c r="V86" s="1154"/>
    </row>
    <row r="87" spans="2:36" x14ac:dyDescent="0.25">
      <c r="B87" s="192"/>
      <c r="C87" s="191"/>
      <c r="D87" s="191"/>
      <c r="E87" s="191"/>
      <c r="F87" s="191"/>
      <c r="G87" s="191"/>
      <c r="H87" s="191"/>
      <c r="I87" s="191"/>
      <c r="J87" s="191"/>
      <c r="K87" s="191"/>
      <c r="L87" s="191"/>
      <c r="M87" s="191"/>
      <c r="N87" s="191"/>
      <c r="O87" s="191"/>
      <c r="P87" s="191"/>
      <c r="Q87" s="191"/>
      <c r="R87" s="191"/>
      <c r="S87" s="191"/>
      <c r="T87" s="191"/>
      <c r="U87" s="191"/>
      <c r="V87" s="191"/>
    </row>
    <row r="88" spans="2:36" x14ac:dyDescent="0.25">
      <c r="B88" s="192"/>
      <c r="C88" s="219" t="s">
        <v>1384</v>
      </c>
      <c r="D88" s="191"/>
      <c r="E88" s="191"/>
      <c r="F88" s="232"/>
      <c r="G88" s="232"/>
      <c r="H88" s="232"/>
      <c r="I88" s="232"/>
      <c r="J88" s="232"/>
      <c r="K88" s="232"/>
      <c r="L88" s="232"/>
      <c r="M88" s="921" t="s">
        <v>887</v>
      </c>
      <c r="N88" s="994"/>
      <c r="O88" s="994"/>
      <c r="P88" s="922"/>
      <c r="Q88" s="232"/>
      <c r="R88" s="273" t="s">
        <v>253</v>
      </c>
      <c r="S88" s="16"/>
      <c r="T88" s="272">
        <f>'Summary of Input Data'!S30</f>
        <v>0.45</v>
      </c>
      <c r="U88" s="191"/>
      <c r="V88" s="191"/>
    </row>
    <row r="89" spans="2:36" x14ac:dyDescent="0.25">
      <c r="B89" s="192"/>
      <c r="C89" s="191"/>
      <c r="D89" s="191"/>
      <c r="E89" s="191"/>
      <c r="F89" s="191"/>
      <c r="G89" s="191"/>
      <c r="H89" s="191"/>
      <c r="I89" s="191"/>
      <c r="J89" s="191"/>
      <c r="K89" s="191"/>
      <c r="L89" s="191"/>
      <c r="M89" s="191"/>
      <c r="N89" s="191"/>
      <c r="O89" s="191"/>
      <c r="P89" s="191"/>
      <c r="Q89" s="191"/>
      <c r="R89" s="191"/>
      <c r="S89" s="191"/>
      <c r="T89" s="191"/>
      <c r="U89" s="191"/>
      <c r="V89" s="191"/>
    </row>
    <row r="90" spans="2:36" x14ac:dyDescent="0.25">
      <c r="B90" s="192"/>
      <c r="C90" s="219" t="str">
        <f>IF(AND(H58="Macro",H60="Satellite Model",H65="Yes"),"Credit Growth: (Not applicable under credit growth model)","Credit Growth:")</f>
        <v>Credit Growth:</v>
      </c>
      <c r="D90" s="191"/>
      <c r="E90" s="191"/>
      <c r="F90" s="191"/>
      <c r="G90" s="191"/>
      <c r="H90" s="191"/>
      <c r="I90" s="191"/>
      <c r="J90" s="191"/>
      <c r="K90" s="191"/>
      <c r="L90" s="191"/>
      <c r="M90" s="1153">
        <v>0</v>
      </c>
      <c r="N90" s="1154"/>
      <c r="O90" s="1153">
        <v>0</v>
      </c>
      <c r="P90" s="1154"/>
      <c r="Q90" s="1153">
        <v>0</v>
      </c>
      <c r="R90" s="1154"/>
      <c r="S90" s="1153">
        <v>0</v>
      </c>
      <c r="T90" s="1154"/>
      <c r="U90" s="1153">
        <v>0</v>
      </c>
      <c r="V90" s="1154"/>
      <c r="Y90" s="1162">
        <f>Calculation!J260</f>
        <v>0</v>
      </c>
      <c r="Z90" s="1162"/>
      <c r="AA90" s="1162">
        <f>Calculation!L260</f>
        <v>0</v>
      </c>
      <c r="AB90" s="1162"/>
      <c r="AC90" s="1162">
        <f>IF(ISNUMBER(O76),Calculation!N260,"N/A")</f>
        <v>0</v>
      </c>
      <c r="AD90" s="1162"/>
      <c r="AE90" s="1162">
        <f>IF(ISNUMBER(Q76),Calculation!P260,"N/A")</f>
        <v>0</v>
      </c>
      <c r="AF90" s="1162"/>
      <c r="AG90" s="1162">
        <f>IF(ISNUMBER(S76),Calculation!R260,"N/A")</f>
        <v>0</v>
      </c>
      <c r="AH90" s="1162"/>
      <c r="AI90" s="1162">
        <f>IF(ISNUMBER(U76),Calculation!T260,"N/A")</f>
        <v>0</v>
      </c>
      <c r="AJ90" s="1162"/>
    </row>
    <row r="91" spans="2:36" x14ac:dyDescent="0.25">
      <c r="B91" s="192"/>
      <c r="C91" s="191"/>
      <c r="D91" s="191"/>
      <c r="E91" s="191"/>
      <c r="F91" s="191"/>
      <c r="G91" s="191"/>
      <c r="H91" s="191"/>
      <c r="I91" s="191"/>
      <c r="J91" s="191"/>
      <c r="K91" s="191"/>
      <c r="L91" s="191"/>
      <c r="M91" s="191"/>
      <c r="N91" s="191"/>
      <c r="O91" s="191"/>
      <c r="P91" s="191"/>
      <c r="Q91" s="191"/>
      <c r="R91" s="191"/>
      <c r="S91" s="191"/>
      <c r="T91" s="191"/>
      <c r="U91" s="191"/>
      <c r="V91" s="191"/>
    </row>
    <row r="92" spans="2:36" x14ac:dyDescent="0.25">
      <c r="B92" s="192"/>
      <c r="C92" s="191"/>
      <c r="D92" s="191"/>
      <c r="E92" s="191"/>
      <c r="F92" s="191"/>
      <c r="G92" s="191"/>
      <c r="H92" s="191"/>
      <c r="I92" s="191"/>
      <c r="J92" s="191"/>
      <c r="K92" s="191"/>
      <c r="L92" s="191"/>
      <c r="M92" s="191"/>
      <c r="N92" s="191"/>
      <c r="O92" s="191"/>
      <c r="P92" s="191"/>
      <c r="Q92" s="191"/>
      <c r="R92" s="191"/>
      <c r="S92" s="191"/>
      <c r="T92" s="191"/>
      <c r="U92" s="191"/>
      <c r="V92" s="191"/>
    </row>
    <row r="93" spans="2:36" ht="18.75" x14ac:dyDescent="0.3">
      <c r="B93" s="192"/>
      <c r="C93" s="459" t="s">
        <v>76</v>
      </c>
      <c r="D93" s="232"/>
      <c r="E93" s="232"/>
      <c r="F93" s="232"/>
      <c r="G93" s="232"/>
      <c r="H93" s="232"/>
      <c r="I93" s="232"/>
      <c r="J93" s="232"/>
      <c r="K93" s="232"/>
      <c r="L93" s="232"/>
      <c r="M93" s="232"/>
      <c r="N93" s="232"/>
      <c r="O93" s="232"/>
      <c r="P93" s="232"/>
      <c r="Q93" s="232"/>
      <c r="R93" s="232"/>
      <c r="S93" s="232"/>
      <c r="T93" s="232"/>
      <c r="U93" s="232"/>
      <c r="V93" s="232"/>
    </row>
    <row r="94" spans="2:36" x14ac:dyDescent="0.25">
      <c r="B94" s="192"/>
      <c r="C94" s="191"/>
      <c r="D94" s="191"/>
      <c r="E94" s="191"/>
      <c r="F94" s="191"/>
      <c r="G94" s="191"/>
      <c r="H94" s="191"/>
      <c r="I94" s="191"/>
      <c r="J94" s="191"/>
      <c r="K94" s="191"/>
      <c r="L94" s="191"/>
      <c r="M94" s="887">
        <f>$K$44+1</f>
        <v>2015</v>
      </c>
      <c r="N94" s="888"/>
      <c r="O94" s="887">
        <f>IF($H$20&gt;1,M$20+1,"N/A")</f>
        <v>2016</v>
      </c>
      <c r="P94" s="888"/>
      <c r="Q94" s="887">
        <f>IF($H$20&gt;1,O$20+1,"N/A")</f>
        <v>2017</v>
      </c>
      <c r="R94" s="888"/>
      <c r="S94" s="887">
        <f>IF($H$20&gt;1,Q$20+1,"N/A")</f>
        <v>2018</v>
      </c>
      <c r="T94" s="888"/>
      <c r="U94" s="887">
        <f>IF($H$20&gt;1,S$20+1,"N/A")</f>
        <v>2019</v>
      </c>
      <c r="V94" s="888"/>
    </row>
    <row r="95" spans="2:36" x14ac:dyDescent="0.25">
      <c r="B95" s="192"/>
      <c r="C95" s="219" t="s">
        <v>925</v>
      </c>
      <c r="D95" s="191"/>
      <c r="E95" s="191"/>
      <c r="F95" s="191"/>
      <c r="G95" s="191"/>
      <c r="H95" s="191"/>
      <c r="I95" s="191"/>
      <c r="J95" s="191"/>
      <c r="K95" s="191"/>
      <c r="L95" s="191"/>
      <c r="M95" s="1153">
        <v>0.03</v>
      </c>
      <c r="N95" s="1154"/>
      <c r="O95" s="1153">
        <v>0</v>
      </c>
      <c r="P95" s="1154"/>
      <c r="Q95" s="1153">
        <v>0</v>
      </c>
      <c r="R95" s="1154"/>
      <c r="S95" s="1153">
        <v>0</v>
      </c>
      <c r="T95" s="1154"/>
      <c r="U95" s="1153">
        <v>0</v>
      </c>
      <c r="V95" s="1154"/>
      <c r="Y95" s="1162">
        <f>Calculation!J142</f>
        <v>0</v>
      </c>
      <c r="Z95" s="1162"/>
      <c r="AA95" s="1162">
        <f>Calculation!L142</f>
        <v>3.0000000000000027E-2</v>
      </c>
      <c r="AB95" s="1162"/>
      <c r="AC95" s="1162">
        <f>IF(ISNUMBER(O94),Calculation!N142,"N/A")</f>
        <v>0</v>
      </c>
      <c r="AD95" s="1162"/>
      <c r="AE95" s="1162">
        <f>IF(ISNUMBER(Q94),Calculation!P142,"N/A")</f>
        <v>0</v>
      </c>
      <c r="AF95" s="1162"/>
      <c r="AG95" s="1162">
        <f>IF(ISNUMBER(S94),Calculation!R142,"N/A")</f>
        <v>0</v>
      </c>
      <c r="AH95" s="1162"/>
      <c r="AI95" s="1162">
        <f>IF(ISNUMBER(U94),Calculation!T142,"N/A")</f>
        <v>0</v>
      </c>
      <c r="AJ95" s="1162"/>
    </row>
    <row r="96" spans="2:36" x14ac:dyDescent="0.25">
      <c r="B96" s="192"/>
      <c r="C96" s="191"/>
      <c r="D96" s="191"/>
      <c r="E96" s="191"/>
      <c r="F96" s="191"/>
      <c r="G96" s="191"/>
      <c r="H96" s="191"/>
      <c r="I96" s="191"/>
      <c r="J96" s="191"/>
      <c r="K96" s="191"/>
      <c r="L96" s="191"/>
      <c r="M96" s="191"/>
      <c r="N96" s="191"/>
      <c r="O96" s="191"/>
      <c r="P96" s="191"/>
      <c r="Q96" s="191"/>
      <c r="R96" s="191"/>
      <c r="S96" s="191"/>
      <c r="T96" s="191"/>
      <c r="U96" s="191"/>
      <c r="V96" s="191"/>
    </row>
    <row r="97" spans="2:36" x14ac:dyDescent="0.25">
      <c r="B97" s="192"/>
      <c r="C97" s="219" t="s">
        <v>926</v>
      </c>
      <c r="D97" s="191"/>
      <c r="E97" s="191"/>
      <c r="F97" s="191"/>
      <c r="G97" s="191"/>
      <c r="H97" s="191"/>
      <c r="I97" s="191"/>
      <c r="J97" s="191"/>
      <c r="K97" s="191"/>
      <c r="L97" s="191"/>
      <c r="M97" s="1153">
        <v>0</v>
      </c>
      <c r="N97" s="1154"/>
      <c r="O97" s="1153">
        <v>0</v>
      </c>
      <c r="P97" s="1154"/>
      <c r="Q97" s="1153">
        <v>0</v>
      </c>
      <c r="R97" s="1154"/>
      <c r="S97" s="1153">
        <v>0</v>
      </c>
      <c r="T97" s="1154"/>
      <c r="U97" s="1153">
        <v>0</v>
      </c>
      <c r="V97" s="1154"/>
      <c r="Y97" s="1162">
        <v>0</v>
      </c>
      <c r="Z97" s="1162"/>
      <c r="AA97" s="1157">
        <f>Calculation!L149</f>
        <v>0</v>
      </c>
      <c r="AB97" s="1158"/>
      <c r="AC97" s="1157">
        <f>IF(ISNUMBER(O94),Calculation!N149,"N/A")</f>
        <v>0</v>
      </c>
      <c r="AD97" s="1158"/>
      <c r="AE97" s="1157">
        <f>IF(ISNUMBER(Q94),Calculation!P149,"N/A")</f>
        <v>0</v>
      </c>
      <c r="AF97" s="1158"/>
      <c r="AG97" s="1157">
        <f>IF(ISNUMBER(S94),Calculation!R149,"N/A")</f>
        <v>0</v>
      </c>
      <c r="AH97" s="1158"/>
      <c r="AI97" s="1157">
        <f>IF(ISNUMBER(U94),Calculation!T149,"N/A")</f>
        <v>0</v>
      </c>
      <c r="AJ97" s="1158"/>
    </row>
    <row r="98" spans="2:36" x14ac:dyDescent="0.25">
      <c r="B98" s="192"/>
      <c r="C98" s="191"/>
      <c r="D98" s="191"/>
      <c r="E98" s="191"/>
      <c r="F98" s="191"/>
      <c r="G98" s="191"/>
      <c r="H98" s="191"/>
      <c r="I98" s="191"/>
      <c r="J98" s="191"/>
      <c r="K98" s="191"/>
      <c r="L98" s="191"/>
      <c r="M98" s="191"/>
      <c r="N98" s="191"/>
      <c r="O98" s="191"/>
      <c r="P98" s="191"/>
      <c r="Q98" s="191"/>
      <c r="R98" s="191"/>
      <c r="S98" s="191"/>
      <c r="T98" s="191"/>
      <c r="U98" s="191"/>
      <c r="V98" s="191"/>
    </row>
    <row r="99" spans="2:36" ht="45" customHeight="1" x14ac:dyDescent="0.25">
      <c r="B99" s="192"/>
      <c r="C99" s="458" t="s">
        <v>927</v>
      </c>
      <c r="D99" s="191"/>
      <c r="E99" s="191"/>
      <c r="F99" s="191"/>
      <c r="G99" s="191"/>
      <c r="H99" s="191"/>
      <c r="I99" s="191"/>
      <c r="J99" s="191"/>
      <c r="K99" s="191"/>
      <c r="L99" s="191"/>
      <c r="M99" s="1159" t="s">
        <v>167</v>
      </c>
      <c r="N99" s="1160"/>
      <c r="O99" s="1159" t="s">
        <v>167</v>
      </c>
      <c r="P99" s="1160"/>
      <c r="Q99" s="1159" t="s">
        <v>167</v>
      </c>
      <c r="R99" s="1160"/>
      <c r="S99" s="1159" t="s">
        <v>167</v>
      </c>
      <c r="T99" s="1160"/>
      <c r="U99" s="1159" t="s">
        <v>167</v>
      </c>
      <c r="V99" s="1160"/>
    </row>
    <row r="100" spans="2:36" x14ac:dyDescent="0.25">
      <c r="B100" s="192"/>
      <c r="C100" s="191"/>
      <c r="D100" s="220" t="s">
        <v>1408</v>
      </c>
      <c r="E100" s="191"/>
      <c r="F100" s="191"/>
      <c r="G100" s="191"/>
      <c r="H100" s="191"/>
      <c r="I100" s="191"/>
      <c r="J100" s="191"/>
      <c r="K100" s="191"/>
      <c r="L100" s="191"/>
      <c r="M100" s="1161">
        <v>0</v>
      </c>
      <c r="N100" s="1161"/>
      <c r="O100" s="1161">
        <v>0</v>
      </c>
      <c r="P100" s="1161"/>
      <c r="Q100" s="1161">
        <v>0</v>
      </c>
      <c r="R100" s="1161"/>
      <c r="S100" s="1161">
        <v>0</v>
      </c>
      <c r="T100" s="1161"/>
      <c r="U100" s="1161">
        <v>0</v>
      </c>
      <c r="V100" s="1161"/>
      <c r="Y100" s="1158">
        <v>0</v>
      </c>
      <c r="Z100" s="1158"/>
      <c r="AA100" s="1158">
        <f>Calculation!K165</f>
        <v>0</v>
      </c>
      <c r="AB100" s="1158"/>
      <c r="AC100" s="1158">
        <f>IF(ISNUMBER(O94),Calculation!M165,"N/A")</f>
        <v>0</v>
      </c>
      <c r="AD100" s="1158"/>
      <c r="AE100" s="1158">
        <f>IF(ISNUMBER(Q94),Calculation!O165,"N/A")</f>
        <v>0</v>
      </c>
      <c r="AF100" s="1158"/>
      <c r="AG100" s="1158">
        <f>IF(ISNUMBER(S94),Calculation!Q165,"N/A")</f>
        <v>0</v>
      </c>
      <c r="AH100" s="1158"/>
      <c r="AI100" s="1158">
        <f>IF(ISNUMBER(U94),Calculation!S165,"N/A")</f>
        <v>0</v>
      </c>
      <c r="AJ100" s="1158"/>
    </row>
    <row r="101" spans="2:36" x14ac:dyDescent="0.25">
      <c r="B101" s="192"/>
      <c r="C101" s="191"/>
      <c r="D101" s="191"/>
      <c r="E101" s="191"/>
      <c r="F101" s="191"/>
      <c r="G101" s="191"/>
      <c r="H101" s="191"/>
      <c r="I101" s="191"/>
      <c r="J101" s="191"/>
      <c r="K101" s="191"/>
      <c r="L101" s="191"/>
      <c r="M101" s="191"/>
      <c r="N101" s="191"/>
      <c r="O101" s="191"/>
      <c r="P101" s="191"/>
      <c r="Q101" s="191"/>
      <c r="R101" s="191"/>
      <c r="S101" s="191"/>
      <c r="T101" s="191"/>
      <c r="U101" s="191"/>
      <c r="V101" s="191"/>
    </row>
    <row r="102" spans="2:36" x14ac:dyDescent="0.25">
      <c r="B102" s="192"/>
      <c r="C102" s="219" t="s">
        <v>928</v>
      </c>
      <c r="D102" s="191"/>
      <c r="E102" s="191"/>
      <c r="F102" s="191"/>
      <c r="G102" s="191"/>
      <c r="H102" s="191"/>
      <c r="I102" s="191"/>
      <c r="J102" s="191"/>
      <c r="K102" s="191"/>
      <c r="L102" s="191"/>
      <c r="M102" s="1153">
        <v>0.1</v>
      </c>
      <c r="N102" s="1154"/>
      <c r="O102" s="1153">
        <v>0.1</v>
      </c>
      <c r="P102" s="1154"/>
      <c r="Q102" s="1153">
        <v>0.1</v>
      </c>
      <c r="R102" s="1154"/>
      <c r="S102" s="1153">
        <v>0.1</v>
      </c>
      <c r="T102" s="1154"/>
      <c r="U102" s="1153">
        <v>0.1</v>
      </c>
      <c r="V102" s="1154"/>
      <c r="Y102" s="1157">
        <f>Calculation!J174</f>
        <v>0</v>
      </c>
      <c r="Z102" s="1158"/>
      <c r="AA102" s="1157">
        <f>Calculation!L174</f>
        <v>0.10000000000000005</v>
      </c>
      <c r="AB102" s="1158"/>
      <c r="AC102" s="1157">
        <f>IF(O94="N/A","N/A",(1+AA102)*(1+O102)-1)</f>
        <v>0.21000000000000019</v>
      </c>
      <c r="AD102" s="1158"/>
      <c r="AE102" s="1157">
        <f>IF(Q94="N/A","N/A",(1+AC102)*(1+Q102)-1)</f>
        <v>0.33100000000000041</v>
      </c>
      <c r="AF102" s="1158"/>
      <c r="AG102" s="1157">
        <f>IF(S94="N/A","N/A",(1+AE102)*(1+S102)-1)</f>
        <v>0.46410000000000062</v>
      </c>
      <c r="AH102" s="1158"/>
      <c r="AI102" s="1157">
        <f>IF(U94="N/A","N/A",(1+AG102)*(1+U102)-1)</f>
        <v>0.61051000000000077</v>
      </c>
      <c r="AJ102" s="1158"/>
    </row>
    <row r="103" spans="2:36" x14ac:dyDescent="0.25">
      <c r="B103" s="192"/>
      <c r="C103" s="191"/>
      <c r="D103" s="191"/>
      <c r="E103" s="191"/>
      <c r="F103" s="191"/>
      <c r="G103" s="191"/>
      <c r="H103" s="191"/>
      <c r="I103" s="191"/>
      <c r="J103" s="191"/>
      <c r="K103" s="191"/>
      <c r="L103" s="191"/>
      <c r="M103" s="191"/>
      <c r="N103" s="191"/>
      <c r="O103" s="191"/>
      <c r="P103" s="191"/>
      <c r="Q103" s="191"/>
      <c r="R103" s="191"/>
      <c r="S103" s="191"/>
      <c r="T103" s="191"/>
      <c r="U103" s="191"/>
      <c r="V103" s="191"/>
    </row>
    <row r="104" spans="2:36" x14ac:dyDescent="0.25">
      <c r="B104" s="192"/>
      <c r="C104" s="219" t="s">
        <v>929</v>
      </c>
      <c r="D104" s="191"/>
      <c r="E104" s="191"/>
      <c r="F104" s="191"/>
      <c r="G104" s="191"/>
      <c r="H104" s="191"/>
      <c r="I104" s="191"/>
      <c r="J104" s="191"/>
      <c r="K104" s="191"/>
      <c r="L104" s="191"/>
      <c r="M104" s="1151" t="s">
        <v>851</v>
      </c>
      <c r="N104" s="1152"/>
      <c r="O104" s="1151" t="s">
        <v>851</v>
      </c>
      <c r="P104" s="1152"/>
      <c r="Q104" s="1151" t="s">
        <v>851</v>
      </c>
      <c r="R104" s="1152"/>
      <c r="S104" s="1151" t="s">
        <v>851</v>
      </c>
      <c r="T104" s="1152"/>
      <c r="U104" s="1151" t="s">
        <v>851</v>
      </c>
      <c r="V104" s="1152"/>
    </row>
    <row r="105" spans="2:36" x14ac:dyDescent="0.25">
      <c r="B105" s="192"/>
      <c r="C105" s="191"/>
      <c r="D105" s="191"/>
      <c r="E105" s="191"/>
      <c r="F105" s="191"/>
      <c r="G105" s="191"/>
      <c r="H105" s="191"/>
      <c r="I105" s="191"/>
      <c r="J105" s="191"/>
      <c r="K105" s="191"/>
      <c r="L105" s="191"/>
      <c r="M105" s="191"/>
      <c r="N105" s="191"/>
      <c r="O105" s="191"/>
      <c r="P105" s="191"/>
      <c r="Q105" s="191"/>
      <c r="R105" s="191"/>
      <c r="S105" s="191"/>
      <c r="T105" s="191"/>
      <c r="U105" s="191"/>
      <c r="V105" s="191"/>
    </row>
    <row r="106" spans="2:36" x14ac:dyDescent="0.25">
      <c r="B106" s="192"/>
      <c r="C106" s="191"/>
      <c r="D106" s="191"/>
      <c r="E106" s="191"/>
      <c r="F106" s="191"/>
      <c r="G106" s="191"/>
      <c r="H106" s="191"/>
      <c r="I106" s="191"/>
      <c r="J106" s="191"/>
      <c r="K106" s="191"/>
      <c r="L106" s="191"/>
      <c r="M106" s="191"/>
      <c r="N106" s="191"/>
      <c r="O106" s="191"/>
      <c r="P106" s="191"/>
      <c r="Q106" s="191"/>
      <c r="R106" s="191"/>
      <c r="S106" s="191"/>
      <c r="T106" s="191"/>
      <c r="U106" s="191"/>
      <c r="V106" s="191"/>
    </row>
    <row r="107" spans="2:36" ht="18.75" x14ac:dyDescent="0.3">
      <c r="B107" s="215" t="s">
        <v>930</v>
      </c>
      <c r="C107" s="214"/>
      <c r="D107" s="214"/>
      <c r="E107" s="214"/>
      <c r="F107" s="214"/>
      <c r="G107" s="214"/>
      <c r="H107" s="214"/>
      <c r="I107" s="214"/>
      <c r="J107" s="214"/>
      <c r="K107" s="214"/>
      <c r="L107" s="214"/>
      <c r="M107" s="214"/>
      <c r="N107" s="214"/>
      <c r="O107" s="214"/>
      <c r="P107" s="214"/>
      <c r="Q107" s="214"/>
      <c r="R107" s="214"/>
      <c r="S107" s="214"/>
      <c r="T107" s="214"/>
      <c r="U107" s="214"/>
      <c r="V107" s="214"/>
    </row>
    <row r="108" spans="2:36" ht="15" customHeight="1" x14ac:dyDescent="0.3">
      <c r="B108" s="192"/>
      <c r="C108" s="223"/>
      <c r="D108" s="191"/>
      <c r="E108" s="191"/>
      <c r="F108" s="191"/>
      <c r="G108" s="191"/>
      <c r="H108" s="191"/>
      <c r="I108" s="191"/>
      <c r="J108" s="191"/>
      <c r="K108" s="191"/>
      <c r="L108" s="191"/>
      <c r="M108" s="191"/>
      <c r="N108" s="191"/>
      <c r="O108" s="191"/>
      <c r="P108" s="191"/>
      <c r="Q108" s="191"/>
      <c r="R108" s="191"/>
      <c r="S108" s="191"/>
      <c r="T108" s="191"/>
      <c r="U108" s="191"/>
      <c r="V108" s="191"/>
    </row>
    <row r="109" spans="2:36" x14ac:dyDescent="0.25">
      <c r="B109" s="192"/>
      <c r="C109" s="191" t="s">
        <v>932</v>
      </c>
      <c r="D109" s="191"/>
      <c r="E109" s="191"/>
      <c r="F109" s="191"/>
      <c r="G109" s="191"/>
      <c r="H109" s="191"/>
      <c r="I109" s="191"/>
      <c r="J109" s="191"/>
      <c r="K109" s="191"/>
      <c r="L109" s="191"/>
      <c r="M109" s="1153">
        <v>0</v>
      </c>
      <c r="N109" s="1154"/>
      <c r="O109" s="1153">
        <v>0</v>
      </c>
      <c r="P109" s="1154"/>
      <c r="Q109" s="1153">
        <v>0</v>
      </c>
      <c r="R109" s="1154"/>
      <c r="S109" s="1153">
        <v>0</v>
      </c>
      <c r="T109" s="1154"/>
      <c r="U109" s="1153">
        <v>0</v>
      </c>
      <c r="V109" s="1154"/>
      <c r="Y109" s="1157">
        <v>0</v>
      </c>
      <c r="Z109" s="1158"/>
      <c r="AA109" s="1157">
        <f>Calculation!L232</f>
        <v>0</v>
      </c>
      <c r="AB109" s="1158"/>
      <c r="AC109" s="1157">
        <f>IF(ISNUMBER(O94)=FALSE,"N/A",(1+AA109)*(1+Calculation!N232)-1)</f>
        <v>0</v>
      </c>
      <c r="AD109" s="1158"/>
      <c r="AE109" s="1157">
        <f>IF(ISNUMBER(Q94)=FALSE,"N/A",(1+AC109)*(1+Calculation!P232)-1)</f>
        <v>0</v>
      </c>
      <c r="AF109" s="1158"/>
      <c r="AG109" s="1157">
        <f>IF(ISNUMBER(S94)=FALSE,"N/A",(1+AE109)*(1+Calculation!R232)-1)</f>
        <v>0</v>
      </c>
      <c r="AH109" s="1158"/>
      <c r="AI109" s="1157">
        <f>IF(ISNUMBER(U94)=FALSE,"N/A",(1+AG109)*(1+Calculation!T232)-1)</f>
        <v>0</v>
      </c>
      <c r="AJ109" s="1158"/>
    </row>
    <row r="110" spans="2:36" x14ac:dyDescent="0.25">
      <c r="B110" s="192"/>
      <c r="C110" s="191" t="s">
        <v>931</v>
      </c>
      <c r="D110" s="191"/>
      <c r="E110" s="191"/>
      <c r="F110" s="191"/>
      <c r="G110" s="191"/>
      <c r="H110" s="191"/>
      <c r="I110" s="191"/>
      <c r="J110" s="191"/>
      <c r="K110" s="191"/>
      <c r="L110" s="191"/>
      <c r="M110" s="1153">
        <v>0</v>
      </c>
      <c r="N110" s="1154"/>
      <c r="O110" s="1153">
        <v>0</v>
      </c>
      <c r="P110" s="1154"/>
      <c r="Q110" s="1153">
        <v>0</v>
      </c>
      <c r="R110" s="1154"/>
      <c r="S110" s="1153">
        <v>0</v>
      </c>
      <c r="T110" s="1154"/>
      <c r="U110" s="1153">
        <v>0</v>
      </c>
      <c r="V110" s="1154"/>
      <c r="Y110" s="1157">
        <v>0</v>
      </c>
      <c r="Z110" s="1158"/>
      <c r="AA110" s="1157">
        <f>M110</f>
        <v>0</v>
      </c>
      <c r="AB110" s="1158"/>
      <c r="AC110" s="1157">
        <f>IF(ISNUMBER(O94),(1+AA110)*(1+O110)-1,"N/A")</f>
        <v>0</v>
      </c>
      <c r="AD110" s="1158"/>
      <c r="AE110" s="1157">
        <f>IF(ISNUMBER(Q94),(1+AC110)*(1+Q110)-1,"N/A")</f>
        <v>0</v>
      </c>
      <c r="AF110" s="1158"/>
      <c r="AG110" s="1157">
        <f>IF(ISNUMBER(S94),(1+AE110)*(1+S110)-1,"N/A")</f>
        <v>0</v>
      </c>
      <c r="AH110" s="1158"/>
      <c r="AI110" s="1157">
        <f>IF(ISNUMBER(U94),(1+AG110)*(1+U110)-1,"N/A")</f>
        <v>0</v>
      </c>
      <c r="AJ110" s="1158"/>
    </row>
    <row r="111" spans="2:36" x14ac:dyDescent="0.25">
      <c r="B111" s="192"/>
      <c r="C111" s="191"/>
      <c r="D111" s="191"/>
      <c r="E111" s="191"/>
      <c r="F111" s="191"/>
      <c r="G111" s="191"/>
      <c r="H111" s="191"/>
      <c r="I111" s="191"/>
      <c r="J111" s="191"/>
      <c r="K111" s="191"/>
      <c r="L111" s="191"/>
      <c r="M111" s="191"/>
      <c r="N111" s="191"/>
      <c r="O111" s="191"/>
      <c r="P111" s="191"/>
      <c r="Q111" s="191"/>
      <c r="R111" s="191"/>
      <c r="S111" s="191"/>
      <c r="T111" s="191"/>
      <c r="U111" s="191"/>
      <c r="V111" s="191"/>
    </row>
    <row r="112" spans="2:36" x14ac:dyDescent="0.25">
      <c r="B112" s="192"/>
      <c r="C112" s="191"/>
      <c r="D112" s="191"/>
      <c r="E112" s="191"/>
      <c r="F112" s="191"/>
      <c r="G112" s="191"/>
      <c r="H112" s="191"/>
      <c r="I112" s="191"/>
      <c r="J112" s="191"/>
      <c r="K112" s="191"/>
      <c r="L112" s="191"/>
      <c r="M112" s="191"/>
      <c r="N112" s="191"/>
      <c r="O112" s="191"/>
      <c r="P112" s="191"/>
      <c r="Q112" s="191"/>
      <c r="R112" s="191"/>
      <c r="S112" s="191"/>
      <c r="T112" s="191"/>
      <c r="U112" s="191"/>
      <c r="V112" s="191"/>
    </row>
    <row r="113" spans="2:16384" ht="18.75" x14ac:dyDescent="0.3">
      <c r="B113" s="215" t="s">
        <v>933</v>
      </c>
      <c r="C113" s="222"/>
      <c r="D113" s="222"/>
      <c r="E113" s="222"/>
      <c r="F113" s="222"/>
      <c r="G113" s="222"/>
      <c r="H113" s="222"/>
      <c r="I113" s="222"/>
      <c r="J113" s="222"/>
      <c r="K113" s="222"/>
      <c r="L113" s="222"/>
      <c r="M113" s="222"/>
      <c r="N113" s="222"/>
      <c r="O113" s="222"/>
      <c r="P113" s="222"/>
      <c r="Q113" s="222"/>
      <c r="R113" s="222"/>
      <c r="S113" s="222"/>
      <c r="T113" s="222"/>
      <c r="U113" s="222"/>
      <c r="V113" s="222"/>
    </row>
    <row r="114" spans="2:16384" x14ac:dyDescent="0.25">
      <c r="B114" s="192"/>
      <c r="C114" s="191"/>
      <c r="D114" s="191"/>
      <c r="E114" s="191"/>
      <c r="F114" s="191"/>
      <c r="G114" s="191"/>
      <c r="H114" s="1155" t="s">
        <v>938</v>
      </c>
      <c r="I114" s="1155"/>
      <c r="J114" s="191"/>
      <c r="K114" s="191"/>
      <c r="L114" s="191"/>
      <c r="M114" s="191"/>
      <c r="N114" s="191"/>
      <c r="O114" s="191"/>
      <c r="P114" s="191"/>
      <c r="Q114" s="191"/>
      <c r="R114" s="191"/>
      <c r="S114" s="191"/>
      <c r="T114" s="191"/>
      <c r="U114" s="191"/>
      <c r="V114" s="191"/>
    </row>
    <row r="115" spans="2:16384" ht="30" customHeight="1" x14ac:dyDescent="0.25">
      <c r="B115" s="192"/>
      <c r="C115" s="1156" t="s">
        <v>934</v>
      </c>
      <c r="D115" s="1156"/>
      <c r="E115" s="1156"/>
      <c r="F115" s="1156"/>
      <c r="G115" s="1156"/>
      <c r="H115" s="1151" t="s">
        <v>851</v>
      </c>
      <c r="I115" s="1152"/>
      <c r="J115" s="274" t="str">
        <f>IF(AND($H$58="Macro",$H67="Yes"),"(Not applicable under the net interest satellite model)",IF($H115="Yes","","(Not enabled)"))</f>
        <v/>
      </c>
      <c r="K115" s="271"/>
      <c r="L115" s="191"/>
      <c r="M115" s="1149">
        <v>0</v>
      </c>
      <c r="N115" s="1150"/>
      <c r="O115" s="1149">
        <v>0</v>
      </c>
      <c r="P115" s="1150"/>
      <c r="Q115" s="1149">
        <v>0</v>
      </c>
      <c r="R115" s="1150"/>
      <c r="S115" s="1149">
        <v>0</v>
      </c>
      <c r="T115" s="1150"/>
      <c r="U115" s="1149">
        <v>0</v>
      </c>
      <c r="V115" s="1150"/>
      <c r="Y115" s="1147">
        <f>Calculation!J$249</f>
        <v>0</v>
      </c>
      <c r="Z115" s="1148"/>
      <c r="AA115" s="1147">
        <f>Calculation!L251</f>
        <v>0</v>
      </c>
      <c r="AB115" s="1148"/>
      <c r="AC115" s="1147">
        <f>IF(ISNUMBER(Calculation!N251),Calculation!N251,"N/A")</f>
        <v>0</v>
      </c>
      <c r="AD115" s="1148"/>
      <c r="AE115" s="1147">
        <f>IF(ISNUMBER(Calculation!P251),Calculation!P251,"N/A")</f>
        <v>0</v>
      </c>
      <c r="AF115" s="1148"/>
      <c r="AG115" s="1147">
        <f>IF(ISNUMBER(Calculation!R251),Calculation!R251,"N/A")</f>
        <v>0</v>
      </c>
      <c r="AH115" s="1148"/>
      <c r="AI115" s="1147">
        <f>IF(ISNUMBER(Calculation!T251),Calculation!T251,"N/A")</f>
        <v>0</v>
      </c>
      <c r="AJ115" s="1148"/>
    </row>
    <row r="116" spans="2:16384" ht="30" customHeight="1" x14ac:dyDescent="0.25">
      <c r="B116" s="192"/>
      <c r="C116" s="191" t="s">
        <v>935</v>
      </c>
      <c r="D116" s="191"/>
      <c r="E116" s="191"/>
      <c r="F116" s="191"/>
      <c r="G116" s="191"/>
      <c r="H116" s="1151" t="s">
        <v>851</v>
      </c>
      <c r="I116" s="1152"/>
      <c r="J116" s="1198" t="str">
        <f>IF(AND($H$58="Macro",$H68="Yes"),"(Not applicable under the fee and commission satellite model)",IF($H116="Yes","","(Not enabled)"))</f>
        <v/>
      </c>
      <c r="K116" s="1199"/>
      <c r="L116" s="1200"/>
      <c r="M116" s="1149">
        <v>0</v>
      </c>
      <c r="N116" s="1150"/>
      <c r="O116" s="1149">
        <v>0</v>
      </c>
      <c r="P116" s="1150"/>
      <c r="Q116" s="1149">
        <v>0</v>
      </c>
      <c r="R116" s="1150"/>
      <c r="S116" s="1149">
        <v>0</v>
      </c>
      <c r="T116" s="1150"/>
      <c r="U116" s="1149">
        <v>0</v>
      </c>
      <c r="V116" s="1150"/>
      <c r="Y116" s="1147">
        <f>Calculation!J$249</f>
        <v>0</v>
      </c>
      <c r="Z116" s="1148"/>
      <c r="AA116" s="1147">
        <f>Calculation!L252</f>
        <v>0</v>
      </c>
      <c r="AB116" s="1148"/>
      <c r="AC116" s="1147">
        <f>IF(ISNUMBER(Calculation!N252),Calculation!N252,"N/A")</f>
        <v>0</v>
      </c>
      <c r="AD116" s="1148"/>
      <c r="AE116" s="1147">
        <f>IF(ISNUMBER(Calculation!P252),Calculation!P252,"N/A")</f>
        <v>0</v>
      </c>
      <c r="AF116" s="1148"/>
      <c r="AG116" s="1147">
        <f>IF(ISNUMBER(Calculation!R252),Calculation!R252,"N/A")</f>
        <v>0</v>
      </c>
      <c r="AH116" s="1148"/>
      <c r="AI116" s="1147">
        <f>IF(ISNUMBER(Calculation!T252),Calculation!T252,"N/A")</f>
        <v>0</v>
      </c>
      <c r="AJ116" s="1148"/>
    </row>
    <row r="117" spans="2:16384" ht="30" customHeight="1" x14ac:dyDescent="0.25">
      <c r="B117" s="192"/>
      <c r="C117" s="191" t="s">
        <v>936</v>
      </c>
      <c r="D117" s="191"/>
      <c r="E117" s="191"/>
      <c r="F117" s="191"/>
      <c r="G117" s="191"/>
      <c r="H117" s="1151" t="s">
        <v>851</v>
      </c>
      <c r="I117" s="1152"/>
      <c r="J117" s="1201" t="str">
        <f>IF(AND($H$58="Macro",$H69="Yes"),"(Not applicable under the trading income satellite model)",IF($H117="Yes","","(Not enabled)"))</f>
        <v/>
      </c>
      <c r="K117" s="1202"/>
      <c r="L117" s="1203"/>
      <c r="M117" s="1149">
        <v>0</v>
      </c>
      <c r="N117" s="1150"/>
      <c r="O117" s="1149">
        <v>0</v>
      </c>
      <c r="P117" s="1150"/>
      <c r="Q117" s="1149">
        <v>0</v>
      </c>
      <c r="R117" s="1150"/>
      <c r="S117" s="1149">
        <v>0</v>
      </c>
      <c r="T117" s="1150"/>
      <c r="U117" s="1149">
        <v>0</v>
      </c>
      <c r="V117" s="1150"/>
      <c r="Y117" s="1147">
        <f>Calculation!J$249</f>
        <v>0</v>
      </c>
      <c r="Z117" s="1148"/>
      <c r="AA117" s="1147">
        <f>Calculation!L253</f>
        <v>0</v>
      </c>
      <c r="AB117" s="1148"/>
      <c r="AC117" s="1147">
        <f>IF(ISNUMBER(Calculation!N253),Calculation!N253,"N/A")</f>
        <v>0</v>
      </c>
      <c r="AD117" s="1148"/>
      <c r="AE117" s="1147">
        <f>IF(ISNUMBER(Calculation!P253),Calculation!P253,"N/A")</f>
        <v>0</v>
      </c>
      <c r="AF117" s="1148"/>
      <c r="AG117" s="1147">
        <f>IF(ISNUMBER(Calculation!R253),Calculation!R253,"N/A")</f>
        <v>0</v>
      </c>
      <c r="AH117" s="1148"/>
      <c r="AI117" s="1147">
        <f>IF(ISNUMBER(Calculation!T253),Calculation!T253,"N/A")</f>
        <v>0</v>
      </c>
      <c r="AJ117" s="1148"/>
    </row>
    <row r="118" spans="2:16384" x14ac:dyDescent="0.25">
      <c r="B118" s="192"/>
      <c r="C118" s="191" t="s">
        <v>937</v>
      </c>
      <c r="D118" s="191"/>
      <c r="E118" s="191"/>
      <c r="F118" s="191"/>
      <c r="G118" s="191"/>
      <c r="H118" s="191"/>
      <c r="I118" s="191"/>
      <c r="J118" s="191"/>
      <c r="K118" s="191"/>
      <c r="L118" s="191"/>
      <c r="M118" s="1204">
        <v>0</v>
      </c>
      <c r="N118" s="1205"/>
      <c r="O118" s="1204">
        <v>0</v>
      </c>
      <c r="P118" s="1205"/>
      <c r="Q118" s="1204">
        <v>0</v>
      </c>
      <c r="R118" s="1205"/>
      <c r="S118" s="1204">
        <v>0</v>
      </c>
      <c r="T118" s="1205"/>
      <c r="U118" s="1204">
        <v>0</v>
      </c>
      <c r="V118" s="1205"/>
      <c r="Y118" s="1147">
        <f>Calculation!J$249</f>
        <v>0</v>
      </c>
      <c r="Z118" s="1148"/>
      <c r="AA118" s="1147">
        <f>Calculation!L254</f>
        <v>0</v>
      </c>
      <c r="AB118" s="1148"/>
      <c r="AC118" s="1147">
        <f>IF(ISNUMBER(Calculation!N254),Calculation!N254,"N/A")</f>
        <v>0</v>
      </c>
      <c r="AD118" s="1148"/>
      <c r="AE118" s="1147">
        <f>IF(ISNUMBER(Calculation!P254),Calculation!P254,"N/A")</f>
        <v>0</v>
      </c>
      <c r="AF118" s="1148"/>
      <c r="AG118" s="1147">
        <f>IF(ISNUMBER(Calculation!R254),Calculation!R254,"N/A")</f>
        <v>0</v>
      </c>
      <c r="AH118" s="1148"/>
      <c r="AI118" s="1147">
        <f>IF(ISNUMBER(Calculation!T254),Calculation!T254,"N/A")</f>
        <v>0</v>
      </c>
      <c r="AJ118" s="1148"/>
    </row>
    <row r="119" spans="2:16384" x14ac:dyDescent="0.25">
      <c r="B119" s="192"/>
      <c r="C119" s="191"/>
      <c r="D119" s="191"/>
      <c r="E119" s="191"/>
      <c r="F119" s="191"/>
      <c r="G119" s="191"/>
      <c r="H119" s="191"/>
      <c r="I119" s="191"/>
      <c r="J119" s="191"/>
      <c r="K119" s="191"/>
      <c r="L119" s="191"/>
      <c r="M119" s="191"/>
      <c r="N119" s="191"/>
      <c r="O119" s="191"/>
      <c r="P119" s="191"/>
      <c r="Q119" s="191"/>
      <c r="R119" s="191"/>
      <c r="S119" s="191"/>
      <c r="T119" s="191"/>
      <c r="U119" s="191"/>
      <c r="V119" s="191"/>
      <c r="Y119" s="1147">
        <f>Calculation!J$249</f>
        <v>0</v>
      </c>
      <c r="Z119" s="1148"/>
      <c r="AA119" s="1147">
        <f>IF('Y1 to Y5'!K61&lt;0,-'Y1 to Y5'!K71/'Y1 to Y5'!K61,'Y1 to Y5'!K71/'Y1 to Y5'!K61-1)</f>
        <v>-0.7087551883955312</v>
      </c>
      <c r="AB119" s="1148"/>
      <c r="AC119" s="1147">
        <f>IF(ISNUMBER(O94),IF('Y1 to Y5'!M61&lt;0,-'Y1 to Y5'!M71/'Y1 to Y5'!M61,'Y1 to Y5'!M71/'Y1 to Y5'!M61-1),"N/A")</f>
        <v>-1.0854454867184735</v>
      </c>
      <c r="AD119" s="1148"/>
      <c r="AE119" s="1147">
        <f>IF(ISNUMBER(Q94),IF('Y1 to Y5'!O61&lt;0,-'Y1 to Y5'!O71/'Y1 to Y5'!O61,'Y1 to Y5'!O71/'Y1 to Y5'!O61-1),"N/A")</f>
        <v>-1.5316521846985593</v>
      </c>
      <c r="AF119" s="1148"/>
      <c r="AG119" s="1147">
        <f>IF(ISNUMBER(S94),IF('Y1 to Y5'!Q61&lt;0,-'Y1 to Y5'!Q71/'Y1 to Y5'!Q61,'Y1 to Y5'!Q71/'Y1 to Y5'!Q61-1),"N/A")</f>
        <v>-1.9769361411174444</v>
      </c>
      <c r="AH119" s="1148"/>
      <c r="AI119" s="1147">
        <f>IF(ISNUMBER(U94),IF('Y1 to Y5'!S61&lt;0,-'Y1 to Y5'!S71/'Y1 to Y5'!S61,'Y1 to Y5'!S71/'Y1 to Y5'!S61-1),"N/A")</f>
        <v>-2.4069762136714976</v>
      </c>
      <c r="AJ119" s="1148"/>
    </row>
    <row r="120" spans="2:16384" s="21" customFormat="1" x14ac:dyDescent="0.25">
      <c r="B120" s="202"/>
      <c r="C120" s="202"/>
      <c r="D120" s="202"/>
      <c r="E120" s="202"/>
      <c r="F120" s="202"/>
      <c r="G120" s="202"/>
      <c r="H120" s="202"/>
      <c r="I120" s="202"/>
      <c r="J120" s="202"/>
      <c r="K120" s="202"/>
      <c r="L120" s="202"/>
      <c r="M120" s="202"/>
      <c r="N120" s="202"/>
      <c r="O120" s="202"/>
      <c r="P120" s="202"/>
      <c r="Q120" s="202"/>
      <c r="R120" s="202"/>
      <c r="S120" s="202"/>
      <c r="T120" s="202"/>
      <c r="U120" s="202"/>
      <c r="V120" s="202"/>
      <c r="W120" s="204"/>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1"/>
      <c r="YB120" s="1"/>
      <c r="YC120" s="1"/>
      <c r="YD120" s="1"/>
      <c r="YE120" s="1"/>
      <c r="YF120" s="1"/>
      <c r="YG120" s="1"/>
      <c r="YH120" s="1"/>
      <c r="YI120" s="1"/>
      <c r="YJ120" s="1"/>
      <c r="YK120" s="1"/>
      <c r="YL120" s="1"/>
      <c r="YM120" s="1"/>
      <c r="YN120" s="1"/>
      <c r="YO120" s="1"/>
      <c r="YP120" s="1"/>
      <c r="YQ120" s="1"/>
      <c r="YR120" s="1"/>
      <c r="YS120" s="1"/>
      <c r="YT120" s="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1"/>
      <c r="ACI120" s="1"/>
      <c r="ACJ120" s="1"/>
      <c r="ACK120" s="1"/>
      <c r="ACL120" s="1"/>
      <c r="ACM120" s="1"/>
      <c r="ACN120" s="1"/>
      <c r="ACO120" s="1"/>
      <c r="ACP120" s="1"/>
      <c r="ACQ120" s="1"/>
      <c r="ACR120" s="1"/>
      <c r="ACS120" s="1"/>
      <c r="ACT120" s="1"/>
      <c r="ACU120" s="1"/>
      <c r="ACV120" s="1"/>
      <c r="ACW120" s="1"/>
      <c r="ACX120" s="1"/>
      <c r="ACY120" s="1"/>
      <c r="ACZ120" s="1"/>
      <c r="ADA120" s="1"/>
      <c r="ADB120" s="1"/>
      <c r="ADC120" s="1"/>
      <c r="ADD120" s="1"/>
      <c r="ADE120" s="1"/>
      <c r="ADF120" s="1"/>
      <c r="ADG120" s="1"/>
      <c r="ADH120" s="1"/>
      <c r="ADI120" s="1"/>
      <c r="ADJ120" s="1"/>
      <c r="ADK120" s="1"/>
      <c r="ADL120" s="1"/>
      <c r="ADM120" s="1"/>
      <c r="ADN120" s="1"/>
      <c r="ADO120" s="1"/>
      <c r="ADP120" s="1"/>
      <c r="ADQ120" s="1"/>
      <c r="ADR120" s="1"/>
      <c r="ADS120" s="1"/>
      <c r="ADT120" s="1"/>
      <c r="ADU120" s="1"/>
      <c r="ADV120" s="1"/>
      <c r="ADW120" s="1"/>
      <c r="ADX120" s="1"/>
      <c r="ADY120" s="1"/>
      <c r="ADZ120" s="1"/>
      <c r="AEA120" s="1"/>
      <c r="AEB120" s="1"/>
      <c r="AEC120" s="1"/>
      <c r="AED120" s="1"/>
      <c r="AEE120" s="1"/>
      <c r="AEF120" s="1"/>
      <c r="AEG120" s="1"/>
      <c r="AEH120" s="1"/>
      <c r="AEI120" s="1"/>
      <c r="AEJ120" s="1"/>
      <c r="AEK120" s="1"/>
      <c r="AEL120" s="1"/>
      <c r="AEM120" s="1"/>
      <c r="AEN120" s="1"/>
      <c r="AEO120" s="1"/>
      <c r="AEP120" s="1"/>
      <c r="AEQ120" s="1"/>
      <c r="AER120" s="1"/>
      <c r="AES120" s="1"/>
      <c r="AET120" s="1"/>
      <c r="AEU120" s="1"/>
      <c r="AEV120" s="1"/>
      <c r="AEW120" s="1"/>
      <c r="AEX120" s="1"/>
      <c r="AEY120" s="1"/>
      <c r="AEZ120" s="1"/>
      <c r="AFA120" s="1"/>
      <c r="AFB120" s="1"/>
      <c r="AFC120" s="1"/>
      <c r="AFD120" s="1"/>
      <c r="AFE120" s="1"/>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1"/>
      <c r="AGN120" s="1"/>
      <c r="AGO120" s="1"/>
      <c r="AGP120" s="1"/>
      <c r="AGQ120" s="1"/>
      <c r="AGR120" s="1"/>
      <c r="AGS120" s="1"/>
      <c r="AGT120" s="1"/>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c r="BOB120" s="1"/>
      <c r="BOC120" s="1"/>
      <c r="BOD120" s="1"/>
      <c r="BOE120" s="1"/>
      <c r="BOF120" s="1"/>
      <c r="BOG120" s="1"/>
      <c r="BOH120" s="1"/>
      <c r="BOI120" s="1"/>
      <c r="BOJ120" s="1"/>
      <c r="BOK120" s="1"/>
      <c r="BOL120" s="1"/>
      <c r="BOM120" s="1"/>
      <c r="BON120" s="1"/>
      <c r="BOO120" s="1"/>
      <c r="BOP120" s="1"/>
      <c r="BOQ120" s="1"/>
      <c r="BOR120" s="1"/>
      <c r="BOS120" s="1"/>
      <c r="BOT120" s="1"/>
      <c r="BOU120" s="1"/>
      <c r="BOV120" s="1"/>
      <c r="BOW120" s="1"/>
      <c r="BOX120" s="1"/>
      <c r="BOY120" s="1"/>
      <c r="BOZ120" s="1"/>
      <c r="BPA120" s="1"/>
      <c r="BPB120" s="1"/>
      <c r="BPC120" s="1"/>
      <c r="BPD120" s="1"/>
      <c r="BPE120" s="1"/>
      <c r="BPF120" s="1"/>
      <c r="BPG120" s="1"/>
      <c r="BPH120" s="1"/>
      <c r="BPI120" s="1"/>
      <c r="BPJ120" s="1"/>
      <c r="BPK120" s="1"/>
      <c r="BPL120" s="1"/>
      <c r="BPM120" s="1"/>
      <c r="BPN120" s="1"/>
      <c r="BPO120" s="1"/>
      <c r="BPP120" s="1"/>
      <c r="BPQ120" s="1"/>
      <c r="BPR120" s="1"/>
      <c r="BPS120" s="1"/>
      <c r="BPT120" s="1"/>
      <c r="BPU120" s="1"/>
      <c r="BPV120" s="1"/>
      <c r="BPW120" s="1"/>
      <c r="BPX120" s="1"/>
      <c r="BPY120" s="1"/>
      <c r="BPZ120" s="1"/>
      <c r="BQA120" s="1"/>
      <c r="BQB120" s="1"/>
      <c r="BQC120" s="1"/>
      <c r="BQD120" s="1"/>
      <c r="BQE120" s="1"/>
      <c r="BQF120" s="1"/>
      <c r="BQG120" s="1"/>
      <c r="BQH120" s="1"/>
      <c r="BQI120" s="1"/>
      <c r="BQJ120" s="1"/>
      <c r="BQK120" s="1"/>
      <c r="BQL120" s="1"/>
      <c r="BQM120" s="1"/>
      <c r="BQN120" s="1"/>
      <c r="BQO120" s="1"/>
      <c r="BQP120" s="1"/>
      <c r="BQQ120" s="1"/>
      <c r="BQR120" s="1"/>
      <c r="BQS120" s="1"/>
      <c r="BQT120" s="1"/>
      <c r="BQU120" s="1"/>
      <c r="BQV120" s="1"/>
      <c r="BQW120" s="1"/>
      <c r="BQX120" s="1"/>
      <c r="BQY120" s="1"/>
      <c r="BQZ120" s="1"/>
      <c r="BRA120" s="1"/>
      <c r="BRB120" s="1"/>
      <c r="BRC120" s="1"/>
      <c r="BRD120" s="1"/>
      <c r="BRE120" s="1"/>
      <c r="BRF120" s="1"/>
      <c r="BRG120" s="1"/>
      <c r="BRH120" s="1"/>
      <c r="BRI120" s="1"/>
      <c r="BRJ120" s="1"/>
      <c r="BRK120" s="1"/>
      <c r="BRL120" s="1"/>
      <c r="BRM120" s="1"/>
      <c r="BRN120" s="1"/>
      <c r="BRO120" s="1"/>
      <c r="BRP120" s="1"/>
      <c r="BRQ120" s="1"/>
      <c r="BRR120" s="1"/>
      <c r="BRS120" s="1"/>
      <c r="BRT120" s="1"/>
      <c r="BRU120" s="1"/>
      <c r="BRV120" s="1"/>
      <c r="BRW120" s="1"/>
      <c r="BRX120" s="1"/>
      <c r="BRY120" s="1"/>
      <c r="BRZ120" s="1"/>
      <c r="BSA120" s="1"/>
      <c r="BSB120" s="1"/>
      <c r="BSC120" s="1"/>
      <c r="BSD120" s="1"/>
      <c r="BSE120" s="1"/>
      <c r="BSF120" s="1"/>
      <c r="BSG120" s="1"/>
      <c r="BSH120" s="1"/>
      <c r="BSI120" s="1"/>
      <c r="BSJ120" s="1"/>
      <c r="BSK120" s="1"/>
      <c r="BSL120" s="1"/>
      <c r="BSM120" s="1"/>
      <c r="BSN120" s="1"/>
      <c r="BSO120" s="1"/>
      <c r="BSP120" s="1"/>
      <c r="BSQ120" s="1"/>
      <c r="BSR120" s="1"/>
      <c r="BSS120" s="1"/>
      <c r="BST120" s="1"/>
      <c r="BSU120" s="1"/>
      <c r="BSV120" s="1"/>
      <c r="BSW120" s="1"/>
      <c r="BSX120" s="1"/>
      <c r="BSY120" s="1"/>
      <c r="BSZ120" s="1"/>
      <c r="BTA120" s="1"/>
      <c r="BTB120" s="1"/>
      <c r="BTC120" s="1"/>
      <c r="BTD120" s="1"/>
      <c r="BTE120" s="1"/>
      <c r="BTF120" s="1"/>
      <c r="BTG120" s="1"/>
      <c r="BTH120" s="1"/>
      <c r="BTI120" s="1"/>
      <c r="BTJ120" s="1"/>
      <c r="BTK120" s="1"/>
      <c r="BTL120" s="1"/>
      <c r="BTM120" s="1"/>
      <c r="BTN120" s="1"/>
      <c r="BTO120" s="1"/>
      <c r="BTP120" s="1"/>
      <c r="BTQ120" s="1"/>
      <c r="BTR120" s="1"/>
      <c r="BTS120" s="1"/>
      <c r="BTT120" s="1"/>
      <c r="BTU120" s="1"/>
      <c r="BTV120" s="1"/>
      <c r="BTW120" s="1"/>
      <c r="BTX120" s="1"/>
      <c r="BTY120" s="1"/>
      <c r="BTZ120" s="1"/>
      <c r="BUA120" s="1"/>
      <c r="BUB120" s="1"/>
      <c r="BUC120" s="1"/>
      <c r="BUD120" s="1"/>
      <c r="BUE120" s="1"/>
      <c r="BUF120" s="1"/>
      <c r="BUG120" s="1"/>
      <c r="BUH120" s="1"/>
      <c r="BUI120" s="1"/>
      <c r="BUJ120" s="1"/>
      <c r="BUK120" s="1"/>
      <c r="BUL120" s="1"/>
      <c r="BUM120" s="1"/>
      <c r="BUN120" s="1"/>
      <c r="BUO120" s="1"/>
      <c r="BUP120" s="1"/>
      <c r="BUQ120" s="1"/>
      <c r="BUR120" s="1"/>
      <c r="BUS120" s="1"/>
      <c r="BUT120" s="1"/>
      <c r="BUU120" s="1"/>
      <c r="BUV120" s="1"/>
      <c r="BUW120" s="1"/>
      <c r="BUX120" s="1"/>
      <c r="BUY120" s="1"/>
      <c r="BUZ120" s="1"/>
      <c r="BVA120" s="1"/>
      <c r="BVB120" s="1"/>
      <c r="BVC120" s="1"/>
      <c r="BVD120" s="1"/>
      <c r="BVE120" s="1"/>
      <c r="BVF120" s="1"/>
      <c r="BVG120" s="1"/>
      <c r="BVH120" s="1"/>
      <c r="BVI120" s="1"/>
      <c r="BVJ120" s="1"/>
      <c r="BVK120" s="1"/>
      <c r="BVL120" s="1"/>
      <c r="BVM120" s="1"/>
      <c r="BVN120" s="1"/>
      <c r="BVO120" s="1"/>
      <c r="BVP120" s="1"/>
      <c r="BVQ120" s="1"/>
      <c r="BVR120" s="1"/>
      <c r="BVS120" s="1"/>
      <c r="BVT120" s="1"/>
      <c r="BVU120" s="1"/>
      <c r="BVV120" s="1"/>
      <c r="BVW120" s="1"/>
      <c r="BVX120" s="1"/>
      <c r="BVY120" s="1"/>
      <c r="BVZ120" s="1"/>
      <c r="BWA120" s="1"/>
      <c r="BWB120" s="1"/>
      <c r="BWC120" s="1"/>
      <c r="BWD120" s="1"/>
      <c r="BWE120" s="1"/>
      <c r="BWF120" s="1"/>
      <c r="BWG120" s="1"/>
      <c r="BWH120" s="1"/>
      <c r="BWI120" s="1"/>
      <c r="BWJ120" s="1"/>
      <c r="BWK120" s="1"/>
      <c r="BWL120" s="1"/>
      <c r="BWM120" s="1"/>
      <c r="BWN120" s="1"/>
      <c r="BWO120" s="1"/>
      <c r="BWP120" s="1"/>
      <c r="BWQ120" s="1"/>
      <c r="BWR120" s="1"/>
      <c r="BWS120" s="1"/>
      <c r="BWT120" s="1"/>
      <c r="BWU120" s="1"/>
      <c r="BWV120" s="1"/>
      <c r="BWW120" s="1"/>
      <c r="BWX120" s="1"/>
      <c r="BWY120" s="1"/>
      <c r="BWZ120" s="1"/>
      <c r="BXA120" s="1"/>
      <c r="BXB120" s="1"/>
      <c r="BXC120" s="1"/>
      <c r="BXD120" s="1"/>
      <c r="BXE120" s="1"/>
      <c r="BXF120" s="1"/>
      <c r="BXG120" s="1"/>
      <c r="BXH120" s="1"/>
      <c r="BXI120" s="1"/>
      <c r="BXJ120" s="1"/>
      <c r="BXK120" s="1"/>
      <c r="BXL120" s="1"/>
      <c r="BXM120" s="1"/>
      <c r="BXN120" s="1"/>
      <c r="BXO120" s="1"/>
      <c r="BXP120" s="1"/>
      <c r="BXQ120" s="1"/>
      <c r="BXR120" s="1"/>
      <c r="BXS120" s="1"/>
      <c r="BXT120" s="1"/>
      <c r="BXU120" s="1"/>
      <c r="BXV120" s="1"/>
      <c r="BXW120" s="1"/>
      <c r="BXX120" s="1"/>
      <c r="BXY120" s="1"/>
      <c r="BXZ120" s="1"/>
      <c r="BYA120" s="1"/>
      <c r="BYB120" s="1"/>
      <c r="BYC120" s="1"/>
      <c r="BYD120" s="1"/>
      <c r="BYE120" s="1"/>
      <c r="BYF120" s="1"/>
      <c r="BYG120" s="1"/>
      <c r="BYH120" s="1"/>
      <c r="BYI120" s="1"/>
      <c r="BYJ120" s="1"/>
      <c r="BYK120" s="1"/>
      <c r="BYL120" s="1"/>
      <c r="BYM120" s="1"/>
      <c r="BYN120" s="1"/>
      <c r="BYO120" s="1"/>
      <c r="BYP120" s="1"/>
      <c r="BYQ120" s="1"/>
      <c r="BYR120" s="1"/>
      <c r="BYS120" s="1"/>
      <c r="BYT120" s="1"/>
      <c r="BYU120" s="1"/>
      <c r="BYV120" s="1"/>
      <c r="BYW120" s="1"/>
      <c r="BYX120" s="1"/>
      <c r="BYY120" s="1"/>
      <c r="BYZ120" s="1"/>
      <c r="BZA120" s="1"/>
      <c r="BZB120" s="1"/>
      <c r="BZC120" s="1"/>
      <c r="BZD120" s="1"/>
      <c r="BZE120" s="1"/>
      <c r="BZF120" s="1"/>
      <c r="BZG120" s="1"/>
      <c r="BZH120" s="1"/>
      <c r="BZI120" s="1"/>
      <c r="BZJ120" s="1"/>
      <c r="BZK120" s="1"/>
      <c r="BZL120" s="1"/>
      <c r="BZM120" s="1"/>
      <c r="BZN120" s="1"/>
      <c r="BZO120" s="1"/>
      <c r="BZP120" s="1"/>
      <c r="BZQ120" s="1"/>
      <c r="BZR120" s="1"/>
      <c r="BZS120" s="1"/>
      <c r="BZT120" s="1"/>
      <c r="BZU120" s="1"/>
      <c r="BZV120" s="1"/>
      <c r="BZW120" s="1"/>
      <c r="BZX120" s="1"/>
      <c r="BZY120" s="1"/>
      <c r="BZZ120" s="1"/>
      <c r="CAA120" s="1"/>
      <c r="CAB120" s="1"/>
      <c r="CAC120" s="1"/>
      <c r="CAD120" s="1"/>
      <c r="CAE120" s="1"/>
      <c r="CAF120" s="1"/>
      <c r="CAG120" s="1"/>
      <c r="CAH120" s="1"/>
      <c r="CAI120" s="1"/>
      <c r="CAJ120" s="1"/>
      <c r="CAK120" s="1"/>
      <c r="CAL120" s="1"/>
      <c r="CAM120" s="1"/>
      <c r="CAN120" s="1"/>
      <c r="CAO120" s="1"/>
      <c r="CAP120" s="1"/>
      <c r="CAQ120" s="1"/>
      <c r="CAR120" s="1"/>
      <c r="CAS120" s="1"/>
      <c r="CAT120" s="1"/>
      <c r="CAU120" s="1"/>
      <c r="CAV120" s="1"/>
      <c r="CAW120" s="1"/>
      <c r="CAX120" s="1"/>
      <c r="CAY120" s="1"/>
      <c r="CAZ120" s="1"/>
      <c r="CBA120" s="1"/>
      <c r="CBB120" s="1"/>
      <c r="CBC120" s="1"/>
      <c r="CBD120" s="1"/>
      <c r="CBE120" s="1"/>
      <c r="CBF120" s="1"/>
      <c r="CBG120" s="1"/>
      <c r="CBH120" s="1"/>
      <c r="CBI120" s="1"/>
      <c r="CBJ120" s="1"/>
      <c r="CBK120" s="1"/>
      <c r="CBL120" s="1"/>
      <c r="CBM120" s="1"/>
      <c r="CBN120" s="1"/>
      <c r="CBO120" s="1"/>
      <c r="CBP120" s="1"/>
      <c r="CBQ120" s="1"/>
      <c r="CBR120" s="1"/>
      <c r="CBS120" s="1"/>
      <c r="CBT120" s="1"/>
      <c r="CBU120" s="1"/>
      <c r="CBV120" s="1"/>
      <c r="CBW120" s="1"/>
      <c r="CBX120" s="1"/>
      <c r="CBY120" s="1"/>
      <c r="CBZ120" s="1"/>
      <c r="CCA120" s="1"/>
      <c r="CCB120" s="1"/>
      <c r="CCC120" s="1"/>
      <c r="CCD120" s="1"/>
      <c r="CCE120" s="1"/>
      <c r="CCF120" s="1"/>
      <c r="CCG120" s="1"/>
      <c r="CCH120" s="1"/>
      <c r="CCI120" s="1"/>
      <c r="CCJ120" s="1"/>
      <c r="CCK120" s="1"/>
      <c r="CCL120" s="1"/>
      <c r="CCM120" s="1"/>
      <c r="CCN120" s="1"/>
      <c r="CCO120" s="1"/>
      <c r="CCP120" s="1"/>
      <c r="CCQ120" s="1"/>
      <c r="CCR120" s="1"/>
      <c r="CCS120" s="1"/>
      <c r="CCT120" s="1"/>
      <c r="CCU120" s="1"/>
      <c r="CCV120" s="1"/>
      <c r="CCW120" s="1"/>
      <c r="CCX120" s="1"/>
      <c r="CCY120" s="1"/>
      <c r="CCZ120" s="1"/>
      <c r="CDA120" s="1"/>
      <c r="CDB120" s="1"/>
      <c r="CDC120" s="1"/>
      <c r="CDD120" s="1"/>
      <c r="CDE120" s="1"/>
      <c r="CDF120" s="1"/>
      <c r="CDG120" s="1"/>
      <c r="CDH120" s="1"/>
      <c r="CDI120" s="1"/>
      <c r="CDJ120" s="1"/>
      <c r="CDK120" s="1"/>
      <c r="CDL120" s="1"/>
      <c r="CDM120" s="1"/>
      <c r="CDN120" s="1"/>
      <c r="CDO120" s="1"/>
      <c r="CDP120" s="1"/>
      <c r="CDQ120" s="1"/>
      <c r="CDR120" s="1"/>
      <c r="CDS120" s="1"/>
      <c r="CDT120" s="1"/>
      <c r="CDU120" s="1"/>
      <c r="CDV120" s="1"/>
      <c r="CDW120" s="1"/>
      <c r="CDX120" s="1"/>
      <c r="CDY120" s="1"/>
      <c r="CDZ120" s="1"/>
      <c r="CEA120" s="1"/>
      <c r="CEB120" s="1"/>
      <c r="CEC120" s="1"/>
      <c r="CED120" s="1"/>
      <c r="CEE120" s="1"/>
      <c r="CEF120" s="1"/>
      <c r="CEG120" s="1"/>
      <c r="CEH120" s="1"/>
      <c r="CEI120" s="1"/>
      <c r="CEJ120" s="1"/>
      <c r="CEK120" s="1"/>
      <c r="CEL120" s="1"/>
      <c r="CEM120" s="1"/>
      <c r="CEN120" s="1"/>
      <c r="CEO120" s="1"/>
      <c r="CEP120" s="1"/>
      <c r="CEQ120" s="1"/>
      <c r="CER120" s="1"/>
      <c r="CES120" s="1"/>
      <c r="CET120" s="1"/>
      <c r="CEU120" s="1"/>
      <c r="CEV120" s="1"/>
      <c r="CEW120" s="1"/>
      <c r="CEX120" s="1"/>
      <c r="CEY120" s="1"/>
      <c r="CEZ120" s="1"/>
      <c r="CFA120" s="1"/>
      <c r="CFB120" s="1"/>
      <c r="CFC120" s="1"/>
      <c r="CFD120" s="1"/>
      <c r="CFE120" s="1"/>
      <c r="CFF120" s="1"/>
      <c r="CFG120" s="1"/>
      <c r="CFH120" s="1"/>
      <c r="CFI120" s="1"/>
      <c r="CFJ120" s="1"/>
      <c r="CFK120" s="1"/>
      <c r="CFL120" s="1"/>
      <c r="CFM120" s="1"/>
      <c r="CFN120" s="1"/>
      <c r="CFO120" s="1"/>
      <c r="CFP120" s="1"/>
      <c r="CFQ120" s="1"/>
      <c r="CFR120" s="1"/>
      <c r="CFS120" s="1"/>
      <c r="CFT120" s="1"/>
      <c r="CFU120" s="1"/>
      <c r="CFV120" s="1"/>
      <c r="CFW120" s="1"/>
      <c r="CFX120" s="1"/>
      <c r="CFY120" s="1"/>
      <c r="CFZ120" s="1"/>
      <c r="CGA120" s="1"/>
      <c r="CGB120" s="1"/>
      <c r="CGC120" s="1"/>
      <c r="CGD120" s="1"/>
      <c r="CGE120" s="1"/>
      <c r="CGF120" s="1"/>
      <c r="CGG120" s="1"/>
      <c r="CGH120" s="1"/>
      <c r="CGI120" s="1"/>
      <c r="CGJ120" s="1"/>
      <c r="CGK120" s="1"/>
      <c r="CGL120" s="1"/>
      <c r="CGM120" s="1"/>
      <c r="CGN120" s="1"/>
      <c r="CGO120" s="1"/>
      <c r="CGP120" s="1"/>
      <c r="CGQ120" s="1"/>
      <c r="CGR120" s="1"/>
      <c r="CGS120" s="1"/>
      <c r="CGT120" s="1"/>
      <c r="CGU120" s="1"/>
      <c r="CGV120" s="1"/>
      <c r="CGW120" s="1"/>
      <c r="CGX120" s="1"/>
      <c r="CGY120" s="1"/>
      <c r="CGZ120" s="1"/>
      <c r="CHA120" s="1"/>
      <c r="CHB120" s="1"/>
      <c r="CHC120" s="1"/>
      <c r="CHD120" s="1"/>
      <c r="CHE120" s="1"/>
      <c r="CHF120" s="1"/>
      <c r="CHG120" s="1"/>
      <c r="CHH120" s="1"/>
      <c r="CHI120" s="1"/>
      <c r="CHJ120" s="1"/>
      <c r="CHK120" s="1"/>
      <c r="CHL120" s="1"/>
      <c r="CHM120" s="1"/>
      <c r="CHN120" s="1"/>
      <c r="CHO120" s="1"/>
      <c r="CHP120" s="1"/>
      <c r="CHQ120" s="1"/>
      <c r="CHR120" s="1"/>
      <c r="CHS120" s="1"/>
      <c r="CHT120" s="1"/>
      <c r="CHU120" s="1"/>
      <c r="CHV120" s="1"/>
      <c r="CHW120" s="1"/>
      <c r="CHX120" s="1"/>
      <c r="CHY120" s="1"/>
      <c r="CHZ120" s="1"/>
      <c r="CIA120" s="1"/>
      <c r="CIB120" s="1"/>
      <c r="CIC120" s="1"/>
      <c r="CID120" s="1"/>
      <c r="CIE120" s="1"/>
      <c r="CIF120" s="1"/>
      <c r="CIG120" s="1"/>
      <c r="CIH120" s="1"/>
      <c r="CII120" s="1"/>
      <c r="CIJ120" s="1"/>
      <c r="CIK120" s="1"/>
      <c r="CIL120" s="1"/>
      <c r="CIM120" s="1"/>
      <c r="CIN120" s="1"/>
      <c r="CIO120" s="1"/>
      <c r="CIP120" s="1"/>
      <c r="CIQ120" s="1"/>
      <c r="CIR120" s="1"/>
      <c r="CIS120" s="1"/>
      <c r="CIT120" s="1"/>
      <c r="CIU120" s="1"/>
      <c r="CIV120" s="1"/>
      <c r="CIW120" s="1"/>
      <c r="CIX120" s="1"/>
      <c r="CIY120" s="1"/>
      <c r="CIZ120" s="1"/>
      <c r="CJA120" s="1"/>
      <c r="CJB120" s="1"/>
      <c r="CJC120" s="1"/>
      <c r="CJD120" s="1"/>
      <c r="CJE120" s="1"/>
      <c r="CJF120" s="1"/>
      <c r="CJG120" s="1"/>
      <c r="CJH120" s="1"/>
      <c r="CJI120" s="1"/>
      <c r="CJJ120" s="1"/>
      <c r="CJK120" s="1"/>
      <c r="CJL120" s="1"/>
      <c r="CJM120" s="1"/>
      <c r="CJN120" s="1"/>
      <c r="CJO120" s="1"/>
      <c r="CJP120" s="1"/>
      <c r="CJQ120" s="1"/>
      <c r="CJR120" s="1"/>
      <c r="CJS120" s="1"/>
      <c r="CJT120" s="1"/>
      <c r="CJU120" s="1"/>
      <c r="CJV120" s="1"/>
      <c r="CJW120" s="1"/>
      <c r="CJX120" s="1"/>
      <c r="CJY120" s="1"/>
      <c r="CJZ120" s="1"/>
      <c r="CKA120" s="1"/>
      <c r="CKB120" s="1"/>
      <c r="CKC120" s="1"/>
      <c r="CKD120" s="1"/>
      <c r="CKE120" s="1"/>
      <c r="CKF120" s="1"/>
      <c r="CKG120" s="1"/>
      <c r="CKH120" s="1"/>
      <c r="CKI120" s="1"/>
      <c r="CKJ120" s="1"/>
      <c r="CKK120" s="1"/>
      <c r="CKL120" s="1"/>
      <c r="CKM120" s="1"/>
      <c r="CKN120" s="1"/>
      <c r="CKO120" s="1"/>
      <c r="CKP120" s="1"/>
      <c r="CKQ120" s="1"/>
      <c r="CKR120" s="1"/>
      <c r="CKS120" s="1"/>
      <c r="CKT120" s="1"/>
      <c r="CKU120" s="1"/>
      <c r="CKV120" s="1"/>
      <c r="CKW120" s="1"/>
      <c r="CKX120" s="1"/>
      <c r="CKY120" s="1"/>
      <c r="CKZ120" s="1"/>
      <c r="CLA120" s="1"/>
      <c r="CLB120" s="1"/>
      <c r="CLC120" s="1"/>
      <c r="CLD120" s="1"/>
      <c r="CLE120" s="1"/>
      <c r="CLF120" s="1"/>
      <c r="CLG120" s="1"/>
      <c r="CLH120" s="1"/>
      <c r="CLI120" s="1"/>
      <c r="CLJ120" s="1"/>
      <c r="CLK120" s="1"/>
      <c r="CLL120" s="1"/>
      <c r="CLM120" s="1"/>
      <c r="CLN120" s="1"/>
      <c r="CLO120" s="1"/>
      <c r="CLP120" s="1"/>
      <c r="CLQ120" s="1"/>
      <c r="CLR120" s="1"/>
      <c r="CLS120" s="1"/>
      <c r="CLT120" s="1"/>
      <c r="CLU120" s="1"/>
      <c r="CLV120" s="1"/>
      <c r="CLW120" s="1"/>
      <c r="CLX120" s="1"/>
      <c r="CLY120" s="1"/>
      <c r="CLZ120" s="1"/>
      <c r="CMA120" s="1"/>
      <c r="CMB120" s="1"/>
      <c r="CMC120" s="1"/>
      <c r="CMD120" s="1"/>
      <c r="CME120" s="1"/>
      <c r="CMF120" s="1"/>
      <c r="CMG120" s="1"/>
      <c r="CMH120" s="1"/>
      <c r="CMI120" s="1"/>
      <c r="CMJ120" s="1"/>
      <c r="CMK120" s="1"/>
      <c r="CML120" s="1"/>
      <c r="CMM120" s="1"/>
      <c r="CMN120" s="1"/>
      <c r="CMO120" s="1"/>
      <c r="CMP120" s="1"/>
      <c r="CMQ120" s="1"/>
      <c r="CMR120" s="1"/>
      <c r="CMS120" s="1"/>
      <c r="CMT120" s="1"/>
      <c r="CMU120" s="1"/>
      <c r="CMV120" s="1"/>
      <c r="CMW120" s="1"/>
      <c r="CMX120" s="1"/>
      <c r="CMY120" s="1"/>
      <c r="CMZ120" s="1"/>
      <c r="CNA120" s="1"/>
      <c r="CNB120" s="1"/>
      <c r="CNC120" s="1"/>
      <c r="CND120" s="1"/>
      <c r="CNE120" s="1"/>
      <c r="CNF120" s="1"/>
      <c r="CNG120" s="1"/>
      <c r="CNH120" s="1"/>
      <c r="CNI120" s="1"/>
      <c r="CNJ120" s="1"/>
      <c r="CNK120" s="1"/>
      <c r="CNL120" s="1"/>
      <c r="CNM120" s="1"/>
      <c r="CNN120" s="1"/>
      <c r="CNO120" s="1"/>
      <c r="CNP120" s="1"/>
      <c r="CNQ120" s="1"/>
      <c r="CNR120" s="1"/>
      <c r="CNS120" s="1"/>
      <c r="CNT120" s="1"/>
      <c r="CNU120" s="1"/>
      <c r="CNV120" s="1"/>
      <c r="CNW120" s="1"/>
      <c r="CNX120" s="1"/>
      <c r="CNY120" s="1"/>
      <c r="CNZ120" s="1"/>
      <c r="COA120" s="1"/>
      <c r="COB120" s="1"/>
      <c r="COC120" s="1"/>
      <c r="COD120" s="1"/>
      <c r="COE120" s="1"/>
      <c r="COF120" s="1"/>
      <c r="COG120" s="1"/>
      <c r="COH120" s="1"/>
      <c r="COI120" s="1"/>
      <c r="COJ120" s="1"/>
      <c r="COK120" s="1"/>
      <c r="COL120" s="1"/>
      <c r="COM120" s="1"/>
      <c r="CON120" s="1"/>
      <c r="COO120" s="1"/>
      <c r="COP120" s="1"/>
      <c r="COQ120" s="1"/>
      <c r="COR120" s="1"/>
      <c r="COS120" s="1"/>
      <c r="COT120" s="1"/>
      <c r="COU120" s="1"/>
      <c r="COV120" s="1"/>
      <c r="COW120" s="1"/>
      <c r="COX120" s="1"/>
      <c r="COY120" s="1"/>
      <c r="COZ120" s="1"/>
      <c r="CPA120" s="1"/>
      <c r="CPB120" s="1"/>
      <c r="CPC120" s="1"/>
      <c r="CPD120" s="1"/>
      <c r="CPE120" s="1"/>
      <c r="CPF120" s="1"/>
      <c r="CPG120" s="1"/>
      <c r="CPH120" s="1"/>
      <c r="CPI120" s="1"/>
      <c r="CPJ120" s="1"/>
      <c r="CPK120" s="1"/>
      <c r="CPL120" s="1"/>
      <c r="CPM120" s="1"/>
      <c r="CPN120" s="1"/>
      <c r="CPO120" s="1"/>
      <c r="CPP120" s="1"/>
      <c r="CPQ120" s="1"/>
      <c r="CPR120" s="1"/>
      <c r="CPS120" s="1"/>
      <c r="CPT120" s="1"/>
      <c r="CPU120" s="1"/>
      <c r="CPV120" s="1"/>
      <c r="CPW120" s="1"/>
      <c r="CPX120" s="1"/>
      <c r="CPY120" s="1"/>
      <c r="CPZ120" s="1"/>
      <c r="CQA120" s="1"/>
      <c r="CQB120" s="1"/>
      <c r="CQC120" s="1"/>
      <c r="CQD120" s="1"/>
      <c r="CQE120" s="1"/>
      <c r="CQF120" s="1"/>
      <c r="CQG120" s="1"/>
      <c r="CQH120" s="1"/>
      <c r="CQI120" s="1"/>
      <c r="CQJ120" s="1"/>
      <c r="CQK120" s="1"/>
      <c r="CQL120" s="1"/>
      <c r="CQM120" s="1"/>
      <c r="CQN120" s="1"/>
      <c r="CQO120" s="1"/>
      <c r="CQP120" s="1"/>
      <c r="CQQ120" s="1"/>
      <c r="CQR120" s="1"/>
      <c r="CQS120" s="1"/>
      <c r="CQT120" s="1"/>
      <c r="CQU120" s="1"/>
      <c r="CQV120" s="1"/>
      <c r="CQW120" s="1"/>
      <c r="CQX120" s="1"/>
      <c r="CQY120" s="1"/>
      <c r="CQZ120" s="1"/>
      <c r="CRA120" s="1"/>
      <c r="CRB120" s="1"/>
      <c r="CRC120" s="1"/>
      <c r="CRD120" s="1"/>
      <c r="CRE120" s="1"/>
      <c r="CRF120" s="1"/>
      <c r="CRG120" s="1"/>
      <c r="CRH120" s="1"/>
      <c r="CRI120" s="1"/>
      <c r="CRJ120" s="1"/>
      <c r="CRK120" s="1"/>
      <c r="CRL120" s="1"/>
      <c r="CRM120" s="1"/>
      <c r="CRN120" s="1"/>
      <c r="CRO120" s="1"/>
      <c r="CRP120" s="1"/>
      <c r="CRQ120" s="1"/>
      <c r="CRR120" s="1"/>
      <c r="CRS120" s="1"/>
      <c r="CRT120" s="1"/>
      <c r="CRU120" s="1"/>
      <c r="CRV120" s="1"/>
      <c r="CRW120" s="1"/>
      <c r="CRX120" s="1"/>
      <c r="CRY120" s="1"/>
      <c r="CRZ120" s="1"/>
      <c r="CSA120" s="1"/>
      <c r="CSB120" s="1"/>
      <c r="CSC120" s="1"/>
      <c r="CSD120" s="1"/>
      <c r="CSE120" s="1"/>
      <c r="CSF120" s="1"/>
      <c r="CSG120" s="1"/>
      <c r="CSH120" s="1"/>
      <c r="CSI120" s="1"/>
      <c r="CSJ120" s="1"/>
      <c r="CSK120" s="1"/>
      <c r="CSL120" s="1"/>
      <c r="CSM120" s="1"/>
      <c r="CSN120" s="1"/>
      <c r="CSO120" s="1"/>
      <c r="CSP120" s="1"/>
      <c r="CSQ120" s="1"/>
      <c r="CSR120" s="1"/>
      <c r="CSS120" s="1"/>
      <c r="CST120" s="1"/>
      <c r="CSU120" s="1"/>
      <c r="CSV120" s="1"/>
      <c r="CSW120" s="1"/>
      <c r="CSX120" s="1"/>
      <c r="CSY120" s="1"/>
      <c r="CSZ120" s="1"/>
      <c r="CTA120" s="1"/>
      <c r="CTB120" s="1"/>
      <c r="CTC120" s="1"/>
      <c r="CTD120" s="1"/>
      <c r="CTE120" s="1"/>
      <c r="CTF120" s="1"/>
      <c r="CTG120" s="1"/>
      <c r="CTH120" s="1"/>
      <c r="CTI120" s="1"/>
      <c r="CTJ120" s="1"/>
      <c r="CTK120" s="1"/>
      <c r="CTL120" s="1"/>
      <c r="CTM120" s="1"/>
      <c r="CTN120" s="1"/>
      <c r="CTO120" s="1"/>
      <c r="CTP120" s="1"/>
      <c r="CTQ120" s="1"/>
      <c r="CTR120" s="1"/>
      <c r="CTS120" s="1"/>
      <c r="CTT120" s="1"/>
      <c r="CTU120" s="1"/>
      <c r="CTV120" s="1"/>
      <c r="CTW120" s="1"/>
      <c r="CTX120" s="1"/>
      <c r="CTY120" s="1"/>
      <c r="CTZ120" s="1"/>
      <c r="CUA120" s="1"/>
      <c r="CUB120" s="1"/>
      <c r="CUC120" s="1"/>
      <c r="CUD120" s="1"/>
      <c r="CUE120" s="1"/>
      <c r="CUF120" s="1"/>
      <c r="CUG120" s="1"/>
      <c r="CUH120" s="1"/>
      <c r="CUI120" s="1"/>
      <c r="CUJ120" s="1"/>
      <c r="CUK120" s="1"/>
      <c r="CUL120" s="1"/>
      <c r="CUM120" s="1"/>
      <c r="CUN120" s="1"/>
      <c r="CUO120" s="1"/>
      <c r="CUP120" s="1"/>
      <c r="CUQ120" s="1"/>
      <c r="CUR120" s="1"/>
      <c r="CUS120" s="1"/>
      <c r="CUT120" s="1"/>
      <c r="CUU120" s="1"/>
      <c r="CUV120" s="1"/>
      <c r="CUW120" s="1"/>
      <c r="CUX120" s="1"/>
      <c r="CUY120" s="1"/>
      <c r="CUZ120" s="1"/>
      <c r="CVA120" s="1"/>
      <c r="CVB120" s="1"/>
      <c r="CVC120" s="1"/>
      <c r="CVD120" s="1"/>
      <c r="CVE120" s="1"/>
      <c r="CVF120" s="1"/>
      <c r="CVG120" s="1"/>
      <c r="CVH120" s="1"/>
      <c r="CVI120" s="1"/>
      <c r="CVJ120" s="1"/>
      <c r="CVK120" s="1"/>
      <c r="CVL120" s="1"/>
      <c r="CVM120" s="1"/>
      <c r="CVN120" s="1"/>
      <c r="CVO120" s="1"/>
      <c r="CVP120" s="1"/>
      <c r="CVQ120" s="1"/>
      <c r="CVR120" s="1"/>
      <c r="CVS120" s="1"/>
      <c r="CVT120" s="1"/>
      <c r="CVU120" s="1"/>
      <c r="CVV120" s="1"/>
      <c r="CVW120" s="1"/>
      <c r="CVX120" s="1"/>
      <c r="CVY120" s="1"/>
      <c r="CVZ120" s="1"/>
      <c r="CWA120" s="1"/>
      <c r="CWB120" s="1"/>
      <c r="CWC120" s="1"/>
      <c r="CWD120" s="1"/>
      <c r="CWE120" s="1"/>
      <c r="CWF120" s="1"/>
      <c r="CWG120" s="1"/>
      <c r="CWH120" s="1"/>
      <c r="CWI120" s="1"/>
      <c r="CWJ120" s="1"/>
      <c r="CWK120" s="1"/>
      <c r="CWL120" s="1"/>
      <c r="CWM120" s="1"/>
      <c r="CWN120" s="1"/>
      <c r="CWO120" s="1"/>
      <c r="CWP120" s="1"/>
      <c r="CWQ120" s="1"/>
      <c r="CWR120" s="1"/>
      <c r="CWS120" s="1"/>
      <c r="CWT120" s="1"/>
      <c r="CWU120" s="1"/>
      <c r="CWV120" s="1"/>
      <c r="CWW120" s="1"/>
      <c r="CWX120" s="1"/>
      <c r="CWY120" s="1"/>
      <c r="CWZ120" s="1"/>
      <c r="CXA120" s="1"/>
      <c r="CXB120" s="1"/>
      <c r="CXC120" s="1"/>
      <c r="CXD120" s="1"/>
      <c r="CXE120" s="1"/>
      <c r="CXF120" s="1"/>
      <c r="CXG120" s="1"/>
      <c r="CXH120" s="1"/>
      <c r="CXI120" s="1"/>
      <c r="CXJ120" s="1"/>
      <c r="CXK120" s="1"/>
      <c r="CXL120" s="1"/>
      <c r="CXM120" s="1"/>
      <c r="CXN120" s="1"/>
      <c r="CXO120" s="1"/>
      <c r="CXP120" s="1"/>
      <c r="CXQ120" s="1"/>
      <c r="CXR120" s="1"/>
      <c r="CXS120" s="1"/>
      <c r="CXT120" s="1"/>
      <c r="CXU120" s="1"/>
      <c r="CXV120" s="1"/>
      <c r="CXW120" s="1"/>
      <c r="CXX120" s="1"/>
      <c r="CXY120" s="1"/>
      <c r="CXZ120" s="1"/>
      <c r="CYA120" s="1"/>
      <c r="CYB120" s="1"/>
      <c r="CYC120" s="1"/>
      <c r="CYD120" s="1"/>
      <c r="CYE120" s="1"/>
      <c r="CYF120" s="1"/>
      <c r="CYG120" s="1"/>
      <c r="CYH120" s="1"/>
      <c r="CYI120" s="1"/>
      <c r="CYJ120" s="1"/>
      <c r="CYK120" s="1"/>
      <c r="CYL120" s="1"/>
      <c r="CYM120" s="1"/>
      <c r="CYN120" s="1"/>
      <c r="CYO120" s="1"/>
      <c r="CYP120" s="1"/>
      <c r="CYQ120" s="1"/>
      <c r="CYR120" s="1"/>
      <c r="CYS120" s="1"/>
      <c r="CYT120" s="1"/>
      <c r="CYU120" s="1"/>
      <c r="CYV120" s="1"/>
      <c r="CYW120" s="1"/>
      <c r="CYX120" s="1"/>
      <c r="CYY120" s="1"/>
      <c r="CYZ120" s="1"/>
      <c r="CZA120" s="1"/>
      <c r="CZB120" s="1"/>
      <c r="CZC120" s="1"/>
      <c r="CZD120" s="1"/>
      <c r="CZE120" s="1"/>
      <c r="CZF120" s="1"/>
      <c r="CZG120" s="1"/>
      <c r="CZH120" s="1"/>
      <c r="CZI120" s="1"/>
      <c r="CZJ120" s="1"/>
      <c r="CZK120" s="1"/>
      <c r="CZL120" s="1"/>
      <c r="CZM120" s="1"/>
      <c r="CZN120" s="1"/>
      <c r="CZO120" s="1"/>
      <c r="CZP120" s="1"/>
      <c r="CZQ120" s="1"/>
      <c r="CZR120" s="1"/>
      <c r="CZS120" s="1"/>
      <c r="CZT120" s="1"/>
      <c r="CZU120" s="1"/>
      <c r="CZV120" s="1"/>
      <c r="CZW120" s="1"/>
      <c r="CZX120" s="1"/>
      <c r="CZY120" s="1"/>
      <c r="CZZ120" s="1"/>
      <c r="DAA120" s="1"/>
      <c r="DAB120" s="1"/>
      <c r="DAC120" s="1"/>
      <c r="DAD120" s="1"/>
      <c r="DAE120" s="1"/>
      <c r="DAF120" s="1"/>
      <c r="DAG120" s="1"/>
      <c r="DAH120" s="1"/>
      <c r="DAI120" s="1"/>
      <c r="DAJ120" s="1"/>
      <c r="DAK120" s="1"/>
      <c r="DAL120" s="1"/>
      <c r="DAM120" s="1"/>
      <c r="DAN120" s="1"/>
      <c r="DAO120" s="1"/>
      <c r="DAP120" s="1"/>
      <c r="DAQ120" s="1"/>
      <c r="DAR120" s="1"/>
      <c r="DAS120" s="1"/>
      <c r="DAT120" s="1"/>
      <c r="DAU120" s="1"/>
      <c r="DAV120" s="1"/>
      <c r="DAW120" s="1"/>
      <c r="DAX120" s="1"/>
      <c r="DAY120" s="1"/>
      <c r="DAZ120" s="1"/>
      <c r="DBA120" s="1"/>
      <c r="DBB120" s="1"/>
      <c r="DBC120" s="1"/>
      <c r="DBD120" s="1"/>
      <c r="DBE120" s="1"/>
      <c r="DBF120" s="1"/>
      <c r="DBG120" s="1"/>
      <c r="DBH120" s="1"/>
      <c r="DBI120" s="1"/>
      <c r="DBJ120" s="1"/>
      <c r="DBK120" s="1"/>
      <c r="DBL120" s="1"/>
      <c r="DBM120" s="1"/>
      <c r="DBN120" s="1"/>
      <c r="DBO120" s="1"/>
      <c r="DBP120" s="1"/>
      <c r="DBQ120" s="1"/>
      <c r="DBR120" s="1"/>
      <c r="DBS120" s="1"/>
      <c r="DBT120" s="1"/>
      <c r="DBU120" s="1"/>
      <c r="DBV120" s="1"/>
      <c r="DBW120" s="1"/>
      <c r="DBX120" s="1"/>
      <c r="DBY120" s="1"/>
      <c r="DBZ120" s="1"/>
      <c r="DCA120" s="1"/>
      <c r="DCB120" s="1"/>
      <c r="DCC120" s="1"/>
      <c r="DCD120" s="1"/>
      <c r="DCE120" s="1"/>
      <c r="DCF120" s="1"/>
      <c r="DCG120" s="1"/>
      <c r="DCH120" s="1"/>
      <c r="DCI120" s="1"/>
      <c r="DCJ120" s="1"/>
      <c r="DCK120" s="1"/>
      <c r="DCL120" s="1"/>
      <c r="DCM120" s="1"/>
      <c r="DCN120" s="1"/>
      <c r="DCO120" s="1"/>
      <c r="DCP120" s="1"/>
      <c r="DCQ120" s="1"/>
      <c r="DCR120" s="1"/>
      <c r="DCS120" s="1"/>
      <c r="DCT120" s="1"/>
      <c r="DCU120" s="1"/>
      <c r="DCV120" s="1"/>
      <c r="DCW120" s="1"/>
      <c r="DCX120" s="1"/>
      <c r="DCY120" s="1"/>
      <c r="DCZ120" s="1"/>
      <c r="DDA120" s="1"/>
      <c r="DDB120" s="1"/>
      <c r="DDC120" s="1"/>
      <c r="DDD120" s="1"/>
      <c r="DDE120" s="1"/>
      <c r="DDF120" s="1"/>
      <c r="DDG120" s="1"/>
      <c r="DDH120" s="1"/>
      <c r="DDI120" s="1"/>
      <c r="DDJ120" s="1"/>
      <c r="DDK120" s="1"/>
      <c r="DDL120" s="1"/>
      <c r="DDM120" s="1"/>
      <c r="DDN120" s="1"/>
      <c r="DDO120" s="1"/>
      <c r="DDP120" s="1"/>
      <c r="DDQ120" s="1"/>
      <c r="DDR120" s="1"/>
      <c r="DDS120" s="1"/>
      <c r="DDT120" s="1"/>
      <c r="DDU120" s="1"/>
      <c r="DDV120" s="1"/>
      <c r="DDW120" s="1"/>
      <c r="DDX120" s="1"/>
      <c r="DDY120" s="1"/>
      <c r="DDZ120" s="1"/>
      <c r="DEA120" s="1"/>
      <c r="DEB120" s="1"/>
      <c r="DEC120" s="1"/>
      <c r="DED120" s="1"/>
      <c r="DEE120" s="1"/>
      <c r="DEF120" s="1"/>
      <c r="DEG120" s="1"/>
      <c r="DEH120" s="1"/>
      <c r="DEI120" s="1"/>
      <c r="DEJ120" s="1"/>
      <c r="DEK120" s="1"/>
      <c r="DEL120" s="1"/>
      <c r="DEM120" s="1"/>
      <c r="DEN120" s="1"/>
      <c r="DEO120" s="1"/>
      <c r="DEP120" s="1"/>
      <c r="DEQ120" s="1"/>
      <c r="DER120" s="1"/>
      <c r="DES120" s="1"/>
      <c r="DET120" s="1"/>
      <c r="DEU120" s="1"/>
      <c r="DEV120" s="1"/>
      <c r="DEW120" s="1"/>
      <c r="DEX120" s="1"/>
      <c r="DEY120" s="1"/>
      <c r="DEZ120" s="1"/>
      <c r="DFA120" s="1"/>
      <c r="DFB120" s="1"/>
      <c r="DFC120" s="1"/>
      <c r="DFD120" s="1"/>
      <c r="DFE120" s="1"/>
      <c r="DFF120" s="1"/>
      <c r="DFG120" s="1"/>
      <c r="DFH120" s="1"/>
      <c r="DFI120" s="1"/>
      <c r="DFJ120" s="1"/>
      <c r="DFK120" s="1"/>
      <c r="DFL120" s="1"/>
      <c r="DFM120" s="1"/>
      <c r="DFN120" s="1"/>
      <c r="DFO120" s="1"/>
      <c r="DFP120" s="1"/>
      <c r="DFQ120" s="1"/>
      <c r="DFR120" s="1"/>
      <c r="DFS120" s="1"/>
      <c r="DFT120" s="1"/>
      <c r="DFU120" s="1"/>
      <c r="DFV120" s="1"/>
      <c r="DFW120" s="1"/>
      <c r="DFX120" s="1"/>
      <c r="DFY120" s="1"/>
      <c r="DFZ120" s="1"/>
      <c r="DGA120" s="1"/>
      <c r="DGB120" s="1"/>
      <c r="DGC120" s="1"/>
      <c r="DGD120" s="1"/>
      <c r="DGE120" s="1"/>
      <c r="DGF120" s="1"/>
      <c r="DGG120" s="1"/>
      <c r="DGH120" s="1"/>
      <c r="DGI120" s="1"/>
      <c r="DGJ120" s="1"/>
      <c r="DGK120" s="1"/>
      <c r="DGL120" s="1"/>
      <c r="DGM120" s="1"/>
      <c r="DGN120" s="1"/>
      <c r="DGO120" s="1"/>
      <c r="DGP120" s="1"/>
      <c r="DGQ120" s="1"/>
      <c r="DGR120" s="1"/>
      <c r="DGS120" s="1"/>
      <c r="DGT120" s="1"/>
      <c r="DGU120" s="1"/>
      <c r="DGV120" s="1"/>
      <c r="DGW120" s="1"/>
      <c r="DGX120" s="1"/>
      <c r="DGY120" s="1"/>
      <c r="DGZ120" s="1"/>
      <c r="DHA120" s="1"/>
      <c r="DHB120" s="1"/>
      <c r="DHC120" s="1"/>
      <c r="DHD120" s="1"/>
      <c r="DHE120" s="1"/>
      <c r="DHF120" s="1"/>
      <c r="DHG120" s="1"/>
      <c r="DHH120" s="1"/>
      <c r="DHI120" s="1"/>
      <c r="DHJ120" s="1"/>
      <c r="DHK120" s="1"/>
      <c r="DHL120" s="1"/>
      <c r="DHM120" s="1"/>
      <c r="DHN120" s="1"/>
      <c r="DHO120" s="1"/>
      <c r="DHP120" s="1"/>
      <c r="DHQ120" s="1"/>
      <c r="DHR120" s="1"/>
      <c r="DHS120" s="1"/>
      <c r="DHT120" s="1"/>
      <c r="DHU120" s="1"/>
      <c r="DHV120" s="1"/>
      <c r="DHW120" s="1"/>
      <c r="DHX120" s="1"/>
      <c r="DHY120" s="1"/>
      <c r="DHZ120" s="1"/>
      <c r="DIA120" s="1"/>
      <c r="DIB120" s="1"/>
      <c r="DIC120" s="1"/>
      <c r="DID120" s="1"/>
      <c r="DIE120" s="1"/>
      <c r="DIF120" s="1"/>
      <c r="DIG120" s="1"/>
      <c r="DIH120" s="1"/>
      <c r="DII120" s="1"/>
      <c r="DIJ120" s="1"/>
      <c r="DIK120" s="1"/>
      <c r="DIL120" s="1"/>
      <c r="DIM120" s="1"/>
      <c r="DIN120" s="1"/>
      <c r="DIO120" s="1"/>
      <c r="DIP120" s="1"/>
      <c r="DIQ120" s="1"/>
      <c r="DIR120" s="1"/>
      <c r="DIS120" s="1"/>
      <c r="DIT120" s="1"/>
      <c r="DIU120" s="1"/>
      <c r="DIV120" s="1"/>
      <c r="DIW120" s="1"/>
      <c r="DIX120" s="1"/>
      <c r="DIY120" s="1"/>
      <c r="DIZ120" s="1"/>
      <c r="DJA120" s="1"/>
      <c r="DJB120" s="1"/>
      <c r="DJC120" s="1"/>
      <c r="DJD120" s="1"/>
      <c r="DJE120" s="1"/>
      <c r="DJF120" s="1"/>
      <c r="DJG120" s="1"/>
      <c r="DJH120" s="1"/>
      <c r="DJI120" s="1"/>
      <c r="DJJ120" s="1"/>
      <c r="DJK120" s="1"/>
      <c r="DJL120" s="1"/>
      <c r="DJM120" s="1"/>
      <c r="DJN120" s="1"/>
      <c r="DJO120" s="1"/>
      <c r="DJP120" s="1"/>
      <c r="DJQ120" s="1"/>
      <c r="DJR120" s="1"/>
      <c r="DJS120" s="1"/>
      <c r="DJT120" s="1"/>
      <c r="DJU120" s="1"/>
      <c r="DJV120" s="1"/>
      <c r="DJW120" s="1"/>
      <c r="DJX120" s="1"/>
      <c r="DJY120" s="1"/>
      <c r="DJZ120" s="1"/>
      <c r="DKA120" s="1"/>
      <c r="DKB120" s="1"/>
      <c r="DKC120" s="1"/>
      <c r="DKD120" s="1"/>
      <c r="DKE120" s="1"/>
      <c r="DKF120" s="1"/>
      <c r="DKG120" s="1"/>
      <c r="DKH120" s="1"/>
      <c r="DKI120" s="1"/>
      <c r="DKJ120" s="1"/>
      <c r="DKK120" s="1"/>
      <c r="DKL120" s="1"/>
      <c r="DKM120" s="1"/>
      <c r="DKN120" s="1"/>
      <c r="DKO120" s="1"/>
      <c r="DKP120" s="1"/>
      <c r="DKQ120" s="1"/>
      <c r="DKR120" s="1"/>
      <c r="DKS120" s="1"/>
      <c r="DKT120" s="1"/>
      <c r="DKU120" s="1"/>
      <c r="DKV120" s="1"/>
      <c r="DKW120" s="1"/>
      <c r="DKX120" s="1"/>
      <c r="DKY120" s="1"/>
      <c r="DKZ120" s="1"/>
      <c r="DLA120" s="1"/>
      <c r="DLB120" s="1"/>
      <c r="DLC120" s="1"/>
      <c r="DLD120" s="1"/>
      <c r="DLE120" s="1"/>
      <c r="DLF120" s="1"/>
      <c r="DLG120" s="1"/>
      <c r="DLH120" s="1"/>
      <c r="DLI120" s="1"/>
      <c r="DLJ120" s="1"/>
      <c r="DLK120" s="1"/>
      <c r="DLL120" s="1"/>
      <c r="DLM120" s="1"/>
      <c r="DLN120" s="1"/>
      <c r="DLO120" s="1"/>
      <c r="DLP120" s="1"/>
      <c r="DLQ120" s="1"/>
      <c r="DLR120" s="1"/>
      <c r="DLS120" s="1"/>
      <c r="DLT120" s="1"/>
      <c r="DLU120" s="1"/>
      <c r="DLV120" s="1"/>
      <c r="DLW120" s="1"/>
      <c r="DLX120" s="1"/>
      <c r="DLY120" s="1"/>
      <c r="DLZ120" s="1"/>
      <c r="DMA120" s="1"/>
      <c r="DMB120" s="1"/>
      <c r="DMC120" s="1"/>
      <c r="DMD120" s="1"/>
      <c r="DME120" s="1"/>
      <c r="DMF120" s="1"/>
      <c r="DMG120" s="1"/>
      <c r="DMH120" s="1"/>
      <c r="DMI120" s="1"/>
      <c r="DMJ120" s="1"/>
      <c r="DMK120" s="1"/>
      <c r="DML120" s="1"/>
      <c r="DMM120" s="1"/>
      <c r="DMN120" s="1"/>
      <c r="DMO120" s="1"/>
      <c r="DMP120" s="1"/>
      <c r="DMQ120" s="1"/>
      <c r="DMR120" s="1"/>
      <c r="DMS120" s="1"/>
      <c r="DMT120" s="1"/>
      <c r="DMU120" s="1"/>
      <c r="DMV120" s="1"/>
      <c r="DMW120" s="1"/>
      <c r="DMX120" s="1"/>
      <c r="DMY120" s="1"/>
      <c r="DMZ120" s="1"/>
      <c r="DNA120" s="1"/>
      <c r="DNB120" s="1"/>
      <c r="DNC120" s="1"/>
      <c r="DND120" s="1"/>
      <c r="DNE120" s="1"/>
      <c r="DNF120" s="1"/>
      <c r="DNG120" s="1"/>
      <c r="DNH120" s="1"/>
      <c r="DNI120" s="1"/>
      <c r="DNJ120" s="1"/>
      <c r="DNK120" s="1"/>
      <c r="DNL120" s="1"/>
      <c r="DNM120" s="1"/>
      <c r="DNN120" s="1"/>
      <c r="DNO120" s="1"/>
      <c r="DNP120" s="1"/>
      <c r="DNQ120" s="1"/>
      <c r="DNR120" s="1"/>
      <c r="DNS120" s="1"/>
      <c r="DNT120" s="1"/>
      <c r="DNU120" s="1"/>
      <c r="DNV120" s="1"/>
      <c r="DNW120" s="1"/>
      <c r="DNX120" s="1"/>
      <c r="DNY120" s="1"/>
      <c r="DNZ120" s="1"/>
      <c r="DOA120" s="1"/>
      <c r="DOB120" s="1"/>
      <c r="DOC120" s="1"/>
      <c r="DOD120" s="1"/>
      <c r="DOE120" s="1"/>
      <c r="DOF120" s="1"/>
      <c r="DOG120" s="1"/>
      <c r="DOH120" s="1"/>
      <c r="DOI120" s="1"/>
      <c r="DOJ120" s="1"/>
      <c r="DOK120" s="1"/>
      <c r="DOL120" s="1"/>
      <c r="DOM120" s="1"/>
      <c r="DON120" s="1"/>
      <c r="DOO120" s="1"/>
      <c r="DOP120" s="1"/>
      <c r="DOQ120" s="1"/>
      <c r="DOR120" s="1"/>
      <c r="DOS120" s="1"/>
      <c r="DOT120" s="1"/>
      <c r="DOU120" s="1"/>
      <c r="DOV120" s="1"/>
      <c r="DOW120" s="1"/>
      <c r="DOX120" s="1"/>
      <c r="DOY120" s="1"/>
      <c r="DOZ120" s="1"/>
      <c r="DPA120" s="1"/>
      <c r="DPB120" s="1"/>
      <c r="DPC120" s="1"/>
      <c r="DPD120" s="1"/>
      <c r="DPE120" s="1"/>
      <c r="DPF120" s="1"/>
      <c r="DPG120" s="1"/>
      <c r="DPH120" s="1"/>
      <c r="DPI120" s="1"/>
      <c r="DPJ120" s="1"/>
      <c r="DPK120" s="1"/>
      <c r="DPL120" s="1"/>
      <c r="DPM120" s="1"/>
      <c r="DPN120" s="1"/>
      <c r="DPO120" s="1"/>
      <c r="DPP120" s="1"/>
      <c r="DPQ120" s="1"/>
      <c r="DPR120" s="1"/>
      <c r="DPS120" s="1"/>
      <c r="DPT120" s="1"/>
      <c r="DPU120" s="1"/>
      <c r="DPV120" s="1"/>
      <c r="DPW120" s="1"/>
      <c r="DPX120" s="1"/>
      <c r="DPY120" s="1"/>
      <c r="DPZ120" s="1"/>
      <c r="DQA120" s="1"/>
      <c r="DQB120" s="1"/>
      <c r="DQC120" s="1"/>
      <c r="DQD120" s="1"/>
      <c r="DQE120" s="1"/>
      <c r="DQF120" s="1"/>
      <c r="DQG120" s="1"/>
      <c r="DQH120" s="1"/>
      <c r="DQI120" s="1"/>
      <c r="DQJ120" s="1"/>
      <c r="DQK120" s="1"/>
      <c r="DQL120" s="1"/>
      <c r="DQM120" s="1"/>
      <c r="DQN120" s="1"/>
      <c r="DQO120" s="1"/>
      <c r="DQP120" s="1"/>
      <c r="DQQ120" s="1"/>
      <c r="DQR120" s="1"/>
      <c r="DQS120" s="1"/>
      <c r="DQT120" s="1"/>
      <c r="DQU120" s="1"/>
      <c r="DQV120" s="1"/>
      <c r="DQW120" s="1"/>
      <c r="DQX120" s="1"/>
      <c r="DQY120" s="1"/>
      <c r="DQZ120" s="1"/>
      <c r="DRA120" s="1"/>
      <c r="DRB120" s="1"/>
      <c r="DRC120" s="1"/>
      <c r="DRD120" s="1"/>
      <c r="DRE120" s="1"/>
      <c r="DRF120" s="1"/>
      <c r="DRG120" s="1"/>
      <c r="DRH120" s="1"/>
      <c r="DRI120" s="1"/>
      <c r="DRJ120" s="1"/>
      <c r="DRK120" s="1"/>
      <c r="DRL120" s="1"/>
      <c r="DRM120" s="1"/>
      <c r="DRN120" s="1"/>
      <c r="DRO120" s="1"/>
      <c r="DRP120" s="1"/>
      <c r="DRQ120" s="1"/>
      <c r="DRR120" s="1"/>
      <c r="DRS120" s="1"/>
      <c r="DRT120" s="1"/>
      <c r="DRU120" s="1"/>
      <c r="DRV120" s="1"/>
      <c r="DRW120" s="1"/>
      <c r="DRX120" s="1"/>
      <c r="DRY120" s="1"/>
      <c r="DRZ120" s="1"/>
      <c r="DSA120" s="1"/>
      <c r="DSB120" s="1"/>
      <c r="DSC120" s="1"/>
      <c r="DSD120" s="1"/>
      <c r="DSE120" s="1"/>
      <c r="DSF120" s="1"/>
      <c r="DSG120" s="1"/>
      <c r="DSH120" s="1"/>
      <c r="DSI120" s="1"/>
      <c r="DSJ120" s="1"/>
      <c r="DSK120" s="1"/>
      <c r="DSL120" s="1"/>
      <c r="DSM120" s="1"/>
      <c r="DSN120" s="1"/>
      <c r="DSO120" s="1"/>
      <c r="DSP120" s="1"/>
      <c r="DSQ120" s="1"/>
      <c r="DSR120" s="1"/>
      <c r="DSS120" s="1"/>
      <c r="DST120" s="1"/>
      <c r="DSU120" s="1"/>
      <c r="DSV120" s="1"/>
      <c r="DSW120" s="1"/>
      <c r="DSX120" s="1"/>
      <c r="DSY120" s="1"/>
      <c r="DSZ120" s="1"/>
      <c r="DTA120" s="1"/>
      <c r="DTB120" s="1"/>
      <c r="DTC120" s="1"/>
      <c r="DTD120" s="1"/>
      <c r="DTE120" s="1"/>
      <c r="DTF120" s="1"/>
      <c r="DTG120" s="1"/>
      <c r="DTH120" s="1"/>
      <c r="DTI120" s="1"/>
      <c r="DTJ120" s="1"/>
      <c r="DTK120" s="1"/>
      <c r="DTL120" s="1"/>
      <c r="DTM120" s="1"/>
      <c r="DTN120" s="1"/>
      <c r="DTO120" s="1"/>
      <c r="DTP120" s="1"/>
      <c r="DTQ120" s="1"/>
      <c r="DTR120" s="1"/>
      <c r="DTS120" s="1"/>
      <c r="DTT120" s="1"/>
      <c r="DTU120" s="1"/>
      <c r="DTV120" s="1"/>
      <c r="DTW120" s="1"/>
      <c r="DTX120" s="1"/>
      <c r="DTY120" s="1"/>
      <c r="DTZ120" s="1"/>
      <c r="DUA120" s="1"/>
      <c r="DUB120" s="1"/>
      <c r="DUC120" s="1"/>
      <c r="DUD120" s="1"/>
      <c r="DUE120" s="1"/>
      <c r="DUF120" s="1"/>
      <c r="DUG120" s="1"/>
      <c r="DUH120" s="1"/>
      <c r="DUI120" s="1"/>
      <c r="DUJ120" s="1"/>
      <c r="DUK120" s="1"/>
      <c r="DUL120" s="1"/>
      <c r="DUM120" s="1"/>
      <c r="DUN120" s="1"/>
      <c r="DUO120" s="1"/>
      <c r="DUP120" s="1"/>
      <c r="DUQ120" s="1"/>
      <c r="DUR120" s="1"/>
      <c r="DUS120" s="1"/>
      <c r="DUT120" s="1"/>
      <c r="DUU120" s="1"/>
      <c r="DUV120" s="1"/>
      <c r="DUW120" s="1"/>
      <c r="DUX120" s="1"/>
      <c r="DUY120" s="1"/>
      <c r="DUZ120" s="1"/>
      <c r="DVA120" s="1"/>
      <c r="DVB120" s="1"/>
      <c r="DVC120" s="1"/>
      <c r="DVD120" s="1"/>
      <c r="DVE120" s="1"/>
      <c r="DVF120" s="1"/>
      <c r="DVG120" s="1"/>
      <c r="DVH120" s="1"/>
      <c r="DVI120" s="1"/>
      <c r="DVJ120" s="1"/>
      <c r="DVK120" s="1"/>
      <c r="DVL120" s="1"/>
      <c r="DVM120" s="1"/>
      <c r="DVN120" s="1"/>
      <c r="DVO120" s="1"/>
      <c r="DVP120" s="1"/>
      <c r="DVQ120" s="1"/>
      <c r="DVR120" s="1"/>
      <c r="DVS120" s="1"/>
      <c r="DVT120" s="1"/>
      <c r="DVU120" s="1"/>
      <c r="DVV120" s="1"/>
      <c r="DVW120" s="1"/>
      <c r="DVX120" s="1"/>
      <c r="DVY120" s="1"/>
      <c r="DVZ120" s="1"/>
      <c r="DWA120" s="1"/>
      <c r="DWB120" s="1"/>
      <c r="DWC120" s="1"/>
      <c r="DWD120" s="1"/>
      <c r="DWE120" s="1"/>
      <c r="DWF120" s="1"/>
      <c r="DWG120" s="1"/>
      <c r="DWH120" s="1"/>
      <c r="DWI120" s="1"/>
      <c r="DWJ120" s="1"/>
      <c r="DWK120" s="1"/>
      <c r="DWL120" s="1"/>
      <c r="DWM120" s="1"/>
      <c r="DWN120" s="1"/>
      <c r="DWO120" s="1"/>
      <c r="DWP120" s="1"/>
      <c r="DWQ120" s="1"/>
      <c r="DWR120" s="1"/>
      <c r="DWS120" s="1"/>
      <c r="DWT120" s="1"/>
      <c r="DWU120" s="1"/>
      <c r="DWV120" s="1"/>
      <c r="DWW120" s="1"/>
      <c r="DWX120" s="1"/>
      <c r="DWY120" s="1"/>
      <c r="DWZ120" s="1"/>
      <c r="DXA120" s="1"/>
      <c r="DXB120" s="1"/>
      <c r="DXC120" s="1"/>
      <c r="DXD120" s="1"/>
      <c r="DXE120" s="1"/>
      <c r="DXF120" s="1"/>
      <c r="DXG120" s="1"/>
      <c r="DXH120" s="1"/>
      <c r="DXI120" s="1"/>
      <c r="DXJ120" s="1"/>
      <c r="DXK120" s="1"/>
      <c r="DXL120" s="1"/>
      <c r="DXM120" s="1"/>
      <c r="DXN120" s="1"/>
      <c r="DXO120" s="1"/>
      <c r="DXP120" s="1"/>
      <c r="DXQ120" s="1"/>
      <c r="DXR120" s="1"/>
      <c r="DXS120" s="1"/>
      <c r="DXT120" s="1"/>
      <c r="DXU120" s="1"/>
      <c r="DXV120" s="1"/>
      <c r="DXW120" s="1"/>
      <c r="DXX120" s="1"/>
      <c r="DXY120" s="1"/>
      <c r="DXZ120" s="1"/>
      <c r="DYA120" s="1"/>
      <c r="DYB120" s="1"/>
      <c r="DYC120" s="1"/>
      <c r="DYD120" s="1"/>
      <c r="DYE120" s="1"/>
      <c r="DYF120" s="1"/>
      <c r="DYG120" s="1"/>
      <c r="DYH120" s="1"/>
      <c r="DYI120" s="1"/>
      <c r="DYJ120" s="1"/>
      <c r="DYK120" s="1"/>
      <c r="DYL120" s="1"/>
      <c r="DYM120" s="1"/>
      <c r="DYN120" s="1"/>
      <c r="DYO120" s="1"/>
      <c r="DYP120" s="1"/>
      <c r="DYQ120" s="1"/>
      <c r="DYR120" s="1"/>
      <c r="DYS120" s="1"/>
      <c r="DYT120" s="1"/>
      <c r="DYU120" s="1"/>
      <c r="DYV120" s="1"/>
      <c r="DYW120" s="1"/>
      <c r="DYX120" s="1"/>
      <c r="DYY120" s="1"/>
      <c r="DYZ120" s="1"/>
      <c r="DZA120" s="1"/>
      <c r="DZB120" s="1"/>
      <c r="DZC120" s="1"/>
      <c r="DZD120" s="1"/>
      <c r="DZE120" s="1"/>
      <c r="DZF120" s="1"/>
      <c r="DZG120" s="1"/>
      <c r="DZH120" s="1"/>
      <c r="DZI120" s="1"/>
      <c r="DZJ120" s="1"/>
      <c r="DZK120" s="1"/>
      <c r="DZL120" s="1"/>
      <c r="DZM120" s="1"/>
      <c r="DZN120" s="1"/>
      <c r="DZO120" s="1"/>
      <c r="DZP120" s="1"/>
      <c r="DZQ120" s="1"/>
      <c r="DZR120" s="1"/>
      <c r="DZS120" s="1"/>
      <c r="DZT120" s="1"/>
      <c r="DZU120" s="1"/>
      <c r="DZV120" s="1"/>
      <c r="DZW120" s="1"/>
      <c r="DZX120" s="1"/>
      <c r="DZY120" s="1"/>
      <c r="DZZ120" s="1"/>
      <c r="EAA120" s="1"/>
      <c r="EAB120" s="1"/>
      <c r="EAC120" s="1"/>
      <c r="EAD120" s="1"/>
      <c r="EAE120" s="1"/>
      <c r="EAF120" s="1"/>
      <c r="EAG120" s="1"/>
      <c r="EAH120" s="1"/>
      <c r="EAI120" s="1"/>
      <c r="EAJ120" s="1"/>
      <c r="EAK120" s="1"/>
      <c r="EAL120" s="1"/>
      <c r="EAM120" s="1"/>
      <c r="EAN120" s="1"/>
      <c r="EAO120" s="1"/>
      <c r="EAP120" s="1"/>
      <c r="EAQ120" s="1"/>
      <c r="EAR120" s="1"/>
      <c r="EAS120" s="1"/>
      <c r="EAT120" s="1"/>
      <c r="EAU120" s="1"/>
      <c r="EAV120" s="1"/>
      <c r="EAW120" s="1"/>
      <c r="EAX120" s="1"/>
      <c r="EAY120" s="1"/>
      <c r="EAZ120" s="1"/>
      <c r="EBA120" s="1"/>
      <c r="EBB120" s="1"/>
      <c r="EBC120" s="1"/>
      <c r="EBD120" s="1"/>
      <c r="EBE120" s="1"/>
      <c r="EBF120" s="1"/>
      <c r="EBG120" s="1"/>
      <c r="EBH120" s="1"/>
      <c r="EBI120" s="1"/>
      <c r="EBJ120" s="1"/>
      <c r="EBK120" s="1"/>
      <c r="EBL120" s="1"/>
      <c r="EBM120" s="1"/>
      <c r="EBN120" s="1"/>
      <c r="EBO120" s="1"/>
      <c r="EBP120" s="1"/>
      <c r="EBQ120" s="1"/>
      <c r="EBR120" s="1"/>
      <c r="EBS120" s="1"/>
      <c r="EBT120" s="1"/>
      <c r="EBU120" s="1"/>
      <c r="EBV120" s="1"/>
      <c r="EBW120" s="1"/>
      <c r="EBX120" s="1"/>
      <c r="EBY120" s="1"/>
      <c r="EBZ120" s="1"/>
      <c r="ECA120" s="1"/>
      <c r="ECB120" s="1"/>
      <c r="ECC120" s="1"/>
      <c r="ECD120" s="1"/>
      <c r="ECE120" s="1"/>
      <c r="ECF120" s="1"/>
      <c r="ECG120" s="1"/>
      <c r="ECH120" s="1"/>
      <c r="ECI120" s="1"/>
      <c r="ECJ120" s="1"/>
      <c r="ECK120" s="1"/>
      <c r="ECL120" s="1"/>
      <c r="ECM120" s="1"/>
      <c r="ECN120" s="1"/>
      <c r="ECO120" s="1"/>
      <c r="ECP120" s="1"/>
      <c r="ECQ120" s="1"/>
      <c r="ECR120" s="1"/>
      <c r="ECS120" s="1"/>
      <c r="ECT120" s="1"/>
      <c r="ECU120" s="1"/>
      <c r="ECV120" s="1"/>
      <c r="ECW120" s="1"/>
      <c r="ECX120" s="1"/>
      <c r="ECY120" s="1"/>
      <c r="ECZ120" s="1"/>
      <c r="EDA120" s="1"/>
      <c r="EDB120" s="1"/>
      <c r="EDC120" s="1"/>
      <c r="EDD120" s="1"/>
      <c r="EDE120" s="1"/>
      <c r="EDF120" s="1"/>
      <c r="EDG120" s="1"/>
      <c r="EDH120" s="1"/>
      <c r="EDI120" s="1"/>
      <c r="EDJ120" s="1"/>
      <c r="EDK120" s="1"/>
      <c r="EDL120" s="1"/>
      <c r="EDM120" s="1"/>
      <c r="EDN120" s="1"/>
      <c r="EDO120" s="1"/>
      <c r="EDP120" s="1"/>
      <c r="EDQ120" s="1"/>
      <c r="EDR120" s="1"/>
      <c r="EDS120" s="1"/>
      <c r="EDT120" s="1"/>
      <c r="EDU120" s="1"/>
      <c r="EDV120" s="1"/>
      <c r="EDW120" s="1"/>
      <c r="EDX120" s="1"/>
      <c r="EDY120" s="1"/>
      <c r="EDZ120" s="1"/>
      <c r="EEA120" s="1"/>
      <c r="EEB120" s="1"/>
      <c r="EEC120" s="1"/>
      <c r="EED120" s="1"/>
      <c r="EEE120" s="1"/>
      <c r="EEF120" s="1"/>
      <c r="EEG120" s="1"/>
      <c r="EEH120" s="1"/>
      <c r="EEI120" s="1"/>
      <c r="EEJ120" s="1"/>
      <c r="EEK120" s="1"/>
      <c r="EEL120" s="1"/>
      <c r="EEM120" s="1"/>
      <c r="EEN120" s="1"/>
      <c r="EEO120" s="1"/>
      <c r="EEP120" s="1"/>
      <c r="EEQ120" s="1"/>
      <c r="EER120" s="1"/>
      <c r="EES120" s="1"/>
      <c r="EET120" s="1"/>
      <c r="EEU120" s="1"/>
      <c r="EEV120" s="1"/>
      <c r="EEW120" s="1"/>
      <c r="EEX120" s="1"/>
      <c r="EEY120" s="1"/>
      <c r="EEZ120" s="1"/>
      <c r="EFA120" s="1"/>
      <c r="EFB120" s="1"/>
      <c r="EFC120" s="1"/>
      <c r="EFD120" s="1"/>
      <c r="EFE120" s="1"/>
      <c r="EFF120" s="1"/>
      <c r="EFG120" s="1"/>
      <c r="EFH120" s="1"/>
      <c r="EFI120" s="1"/>
      <c r="EFJ120" s="1"/>
      <c r="EFK120" s="1"/>
      <c r="EFL120" s="1"/>
      <c r="EFM120" s="1"/>
      <c r="EFN120" s="1"/>
      <c r="EFO120" s="1"/>
      <c r="EFP120" s="1"/>
      <c r="EFQ120" s="1"/>
      <c r="EFR120" s="1"/>
      <c r="EFS120" s="1"/>
      <c r="EFT120" s="1"/>
      <c r="EFU120" s="1"/>
      <c r="EFV120" s="1"/>
      <c r="EFW120" s="1"/>
      <c r="EFX120" s="1"/>
      <c r="EFY120" s="1"/>
      <c r="EFZ120" s="1"/>
      <c r="EGA120" s="1"/>
      <c r="EGB120" s="1"/>
      <c r="EGC120" s="1"/>
      <c r="EGD120" s="1"/>
      <c r="EGE120" s="1"/>
      <c r="EGF120" s="1"/>
      <c r="EGG120" s="1"/>
      <c r="EGH120" s="1"/>
      <c r="EGI120" s="1"/>
      <c r="EGJ120" s="1"/>
      <c r="EGK120" s="1"/>
      <c r="EGL120" s="1"/>
      <c r="EGM120" s="1"/>
      <c r="EGN120" s="1"/>
      <c r="EGO120" s="1"/>
      <c r="EGP120" s="1"/>
      <c r="EGQ120" s="1"/>
      <c r="EGR120" s="1"/>
      <c r="EGS120" s="1"/>
      <c r="EGT120" s="1"/>
      <c r="EGU120" s="1"/>
      <c r="EGV120" s="1"/>
      <c r="EGW120" s="1"/>
      <c r="EGX120" s="1"/>
      <c r="EGY120" s="1"/>
      <c r="EGZ120" s="1"/>
      <c r="EHA120" s="1"/>
      <c r="EHB120" s="1"/>
      <c r="EHC120" s="1"/>
      <c r="EHD120" s="1"/>
      <c r="EHE120" s="1"/>
      <c r="EHF120" s="1"/>
      <c r="EHG120" s="1"/>
      <c r="EHH120" s="1"/>
      <c r="EHI120" s="1"/>
      <c r="EHJ120" s="1"/>
      <c r="EHK120" s="1"/>
      <c r="EHL120" s="1"/>
      <c r="EHM120" s="1"/>
      <c r="EHN120" s="1"/>
      <c r="EHO120" s="1"/>
      <c r="EHP120" s="1"/>
      <c r="EHQ120" s="1"/>
      <c r="EHR120" s="1"/>
      <c r="EHS120" s="1"/>
      <c r="EHT120" s="1"/>
      <c r="EHU120" s="1"/>
      <c r="EHV120" s="1"/>
      <c r="EHW120" s="1"/>
      <c r="EHX120" s="1"/>
      <c r="EHY120" s="1"/>
      <c r="EHZ120" s="1"/>
      <c r="EIA120" s="1"/>
      <c r="EIB120" s="1"/>
      <c r="EIC120" s="1"/>
      <c r="EID120" s="1"/>
      <c r="EIE120" s="1"/>
      <c r="EIF120" s="1"/>
      <c r="EIG120" s="1"/>
      <c r="EIH120" s="1"/>
      <c r="EII120" s="1"/>
      <c r="EIJ120" s="1"/>
      <c r="EIK120" s="1"/>
      <c r="EIL120" s="1"/>
      <c r="EIM120" s="1"/>
      <c r="EIN120" s="1"/>
      <c r="EIO120" s="1"/>
      <c r="EIP120" s="1"/>
      <c r="EIQ120" s="1"/>
      <c r="EIR120" s="1"/>
      <c r="EIS120" s="1"/>
      <c r="EIT120" s="1"/>
      <c r="EIU120" s="1"/>
      <c r="EIV120" s="1"/>
      <c r="EIW120" s="1"/>
      <c r="EIX120" s="1"/>
      <c r="EIY120" s="1"/>
      <c r="EIZ120" s="1"/>
      <c r="EJA120" s="1"/>
      <c r="EJB120" s="1"/>
      <c r="EJC120" s="1"/>
      <c r="EJD120" s="1"/>
      <c r="EJE120" s="1"/>
      <c r="EJF120" s="1"/>
      <c r="EJG120" s="1"/>
      <c r="EJH120" s="1"/>
      <c r="EJI120" s="1"/>
      <c r="EJJ120" s="1"/>
      <c r="EJK120" s="1"/>
      <c r="EJL120" s="1"/>
      <c r="EJM120" s="1"/>
      <c r="EJN120" s="1"/>
      <c r="EJO120" s="1"/>
      <c r="EJP120" s="1"/>
      <c r="EJQ120" s="1"/>
      <c r="EJR120" s="1"/>
      <c r="EJS120" s="1"/>
      <c r="EJT120" s="1"/>
      <c r="EJU120" s="1"/>
      <c r="EJV120" s="1"/>
      <c r="EJW120" s="1"/>
      <c r="EJX120" s="1"/>
      <c r="EJY120" s="1"/>
      <c r="EJZ120" s="1"/>
      <c r="EKA120" s="1"/>
      <c r="EKB120" s="1"/>
      <c r="EKC120" s="1"/>
      <c r="EKD120" s="1"/>
      <c r="EKE120" s="1"/>
      <c r="EKF120" s="1"/>
      <c r="EKG120" s="1"/>
      <c r="EKH120" s="1"/>
      <c r="EKI120" s="1"/>
      <c r="EKJ120" s="1"/>
      <c r="EKK120" s="1"/>
      <c r="EKL120" s="1"/>
      <c r="EKM120" s="1"/>
      <c r="EKN120" s="1"/>
      <c r="EKO120" s="1"/>
      <c r="EKP120" s="1"/>
      <c r="EKQ120" s="1"/>
      <c r="EKR120" s="1"/>
      <c r="EKS120" s="1"/>
      <c r="EKT120" s="1"/>
      <c r="EKU120" s="1"/>
      <c r="EKV120" s="1"/>
      <c r="EKW120" s="1"/>
      <c r="EKX120" s="1"/>
      <c r="EKY120" s="1"/>
      <c r="EKZ120" s="1"/>
      <c r="ELA120" s="1"/>
      <c r="ELB120" s="1"/>
      <c r="ELC120" s="1"/>
      <c r="ELD120" s="1"/>
      <c r="ELE120" s="1"/>
      <c r="ELF120" s="1"/>
      <c r="ELG120" s="1"/>
      <c r="ELH120" s="1"/>
      <c r="ELI120" s="1"/>
      <c r="ELJ120" s="1"/>
      <c r="ELK120" s="1"/>
      <c r="ELL120" s="1"/>
      <c r="ELM120" s="1"/>
      <c r="ELN120" s="1"/>
      <c r="ELO120" s="1"/>
      <c r="ELP120" s="1"/>
      <c r="ELQ120" s="1"/>
      <c r="ELR120" s="1"/>
      <c r="ELS120" s="1"/>
      <c r="ELT120" s="1"/>
      <c r="ELU120" s="1"/>
      <c r="ELV120" s="1"/>
      <c r="ELW120" s="1"/>
      <c r="ELX120" s="1"/>
      <c r="ELY120" s="1"/>
      <c r="ELZ120" s="1"/>
      <c r="EMA120" s="1"/>
      <c r="EMB120" s="1"/>
      <c r="EMC120" s="1"/>
      <c r="EMD120" s="1"/>
      <c r="EME120" s="1"/>
      <c r="EMF120" s="1"/>
      <c r="EMG120" s="1"/>
      <c r="EMH120" s="1"/>
      <c r="EMI120" s="1"/>
      <c r="EMJ120" s="1"/>
      <c r="EMK120" s="1"/>
      <c r="EML120" s="1"/>
      <c r="EMM120" s="1"/>
      <c r="EMN120" s="1"/>
      <c r="EMO120" s="1"/>
      <c r="EMP120" s="1"/>
      <c r="EMQ120" s="1"/>
      <c r="EMR120" s="1"/>
      <c r="EMS120" s="1"/>
      <c r="EMT120" s="1"/>
      <c r="EMU120" s="1"/>
      <c r="EMV120" s="1"/>
      <c r="EMW120" s="1"/>
      <c r="EMX120" s="1"/>
      <c r="EMY120" s="1"/>
      <c r="EMZ120" s="1"/>
      <c r="ENA120" s="1"/>
      <c r="ENB120" s="1"/>
      <c r="ENC120" s="1"/>
      <c r="END120" s="1"/>
      <c r="ENE120" s="1"/>
      <c r="ENF120" s="1"/>
      <c r="ENG120" s="1"/>
      <c r="ENH120" s="1"/>
      <c r="ENI120" s="1"/>
      <c r="ENJ120" s="1"/>
      <c r="ENK120" s="1"/>
      <c r="ENL120" s="1"/>
      <c r="ENM120" s="1"/>
      <c r="ENN120" s="1"/>
      <c r="ENO120" s="1"/>
      <c r="ENP120" s="1"/>
      <c r="ENQ120" s="1"/>
      <c r="ENR120" s="1"/>
      <c r="ENS120" s="1"/>
      <c r="ENT120" s="1"/>
      <c r="ENU120" s="1"/>
      <c r="ENV120" s="1"/>
      <c r="ENW120" s="1"/>
      <c r="ENX120" s="1"/>
      <c r="ENY120" s="1"/>
      <c r="ENZ120" s="1"/>
      <c r="EOA120" s="1"/>
      <c r="EOB120" s="1"/>
      <c r="EOC120" s="1"/>
      <c r="EOD120" s="1"/>
      <c r="EOE120" s="1"/>
      <c r="EOF120" s="1"/>
      <c r="EOG120" s="1"/>
      <c r="EOH120" s="1"/>
      <c r="EOI120" s="1"/>
      <c r="EOJ120" s="1"/>
      <c r="EOK120" s="1"/>
      <c r="EOL120" s="1"/>
      <c r="EOM120" s="1"/>
      <c r="EON120" s="1"/>
      <c r="EOO120" s="1"/>
      <c r="EOP120" s="1"/>
      <c r="EOQ120" s="1"/>
      <c r="EOR120" s="1"/>
      <c r="EOS120" s="1"/>
      <c r="EOT120" s="1"/>
      <c r="EOU120" s="1"/>
      <c r="EOV120" s="1"/>
      <c r="EOW120" s="1"/>
      <c r="EOX120" s="1"/>
      <c r="EOY120" s="1"/>
      <c r="EOZ120" s="1"/>
      <c r="EPA120" s="1"/>
      <c r="EPB120" s="1"/>
      <c r="EPC120" s="1"/>
      <c r="EPD120" s="1"/>
      <c r="EPE120" s="1"/>
      <c r="EPF120" s="1"/>
      <c r="EPG120" s="1"/>
      <c r="EPH120" s="1"/>
      <c r="EPI120" s="1"/>
      <c r="EPJ120" s="1"/>
      <c r="EPK120" s="1"/>
      <c r="EPL120" s="1"/>
      <c r="EPM120" s="1"/>
      <c r="EPN120" s="1"/>
      <c r="EPO120" s="1"/>
      <c r="EPP120" s="1"/>
      <c r="EPQ120" s="1"/>
      <c r="EPR120" s="1"/>
      <c r="EPS120" s="1"/>
      <c r="EPT120" s="1"/>
      <c r="EPU120" s="1"/>
      <c r="EPV120" s="1"/>
      <c r="EPW120" s="1"/>
      <c r="EPX120" s="1"/>
      <c r="EPY120" s="1"/>
      <c r="EPZ120" s="1"/>
      <c r="EQA120" s="1"/>
      <c r="EQB120" s="1"/>
      <c r="EQC120" s="1"/>
      <c r="EQD120" s="1"/>
      <c r="EQE120" s="1"/>
      <c r="EQF120" s="1"/>
      <c r="EQG120" s="1"/>
      <c r="EQH120" s="1"/>
      <c r="EQI120" s="1"/>
      <c r="EQJ120" s="1"/>
      <c r="EQK120" s="1"/>
      <c r="EQL120" s="1"/>
      <c r="EQM120" s="1"/>
      <c r="EQN120" s="1"/>
      <c r="EQO120" s="1"/>
      <c r="EQP120" s="1"/>
      <c r="EQQ120" s="1"/>
      <c r="EQR120" s="1"/>
      <c r="EQS120" s="1"/>
      <c r="EQT120" s="1"/>
      <c r="EQU120" s="1"/>
      <c r="EQV120" s="1"/>
      <c r="EQW120" s="1"/>
      <c r="EQX120" s="1"/>
      <c r="EQY120" s="1"/>
      <c r="EQZ120" s="1"/>
      <c r="ERA120" s="1"/>
      <c r="ERB120" s="1"/>
      <c r="ERC120" s="1"/>
      <c r="ERD120" s="1"/>
      <c r="ERE120" s="1"/>
      <c r="ERF120" s="1"/>
      <c r="ERG120" s="1"/>
      <c r="ERH120" s="1"/>
      <c r="ERI120" s="1"/>
      <c r="ERJ120" s="1"/>
      <c r="ERK120" s="1"/>
      <c r="ERL120" s="1"/>
      <c r="ERM120" s="1"/>
      <c r="ERN120" s="1"/>
      <c r="ERO120" s="1"/>
      <c r="ERP120" s="1"/>
      <c r="ERQ120" s="1"/>
      <c r="ERR120" s="1"/>
      <c r="ERS120" s="1"/>
      <c r="ERT120" s="1"/>
      <c r="ERU120" s="1"/>
      <c r="ERV120" s="1"/>
      <c r="ERW120" s="1"/>
      <c r="ERX120" s="1"/>
      <c r="ERY120" s="1"/>
      <c r="ERZ120" s="1"/>
      <c r="ESA120" s="1"/>
      <c r="ESB120" s="1"/>
      <c r="ESC120" s="1"/>
      <c r="ESD120" s="1"/>
      <c r="ESE120" s="1"/>
      <c r="ESF120" s="1"/>
      <c r="ESG120" s="1"/>
      <c r="ESH120" s="1"/>
      <c r="ESI120" s="1"/>
      <c r="ESJ120" s="1"/>
      <c r="ESK120" s="1"/>
      <c r="ESL120" s="1"/>
      <c r="ESM120" s="1"/>
      <c r="ESN120" s="1"/>
      <c r="ESO120" s="1"/>
      <c r="ESP120" s="1"/>
      <c r="ESQ120" s="1"/>
      <c r="ESR120" s="1"/>
      <c r="ESS120" s="1"/>
      <c r="EST120" s="1"/>
      <c r="ESU120" s="1"/>
      <c r="ESV120" s="1"/>
      <c r="ESW120" s="1"/>
      <c r="ESX120" s="1"/>
      <c r="ESY120" s="1"/>
      <c r="ESZ120" s="1"/>
      <c r="ETA120" s="1"/>
      <c r="ETB120" s="1"/>
      <c r="ETC120" s="1"/>
      <c r="ETD120" s="1"/>
      <c r="ETE120" s="1"/>
      <c r="ETF120" s="1"/>
      <c r="ETG120" s="1"/>
      <c r="ETH120" s="1"/>
      <c r="ETI120" s="1"/>
      <c r="ETJ120" s="1"/>
      <c r="ETK120" s="1"/>
      <c r="ETL120" s="1"/>
      <c r="ETM120" s="1"/>
      <c r="ETN120" s="1"/>
      <c r="ETO120" s="1"/>
      <c r="ETP120" s="1"/>
      <c r="ETQ120" s="1"/>
      <c r="ETR120" s="1"/>
      <c r="ETS120" s="1"/>
      <c r="ETT120" s="1"/>
      <c r="ETU120" s="1"/>
      <c r="ETV120" s="1"/>
      <c r="ETW120" s="1"/>
      <c r="ETX120" s="1"/>
      <c r="ETY120" s="1"/>
      <c r="ETZ120" s="1"/>
      <c r="EUA120" s="1"/>
      <c r="EUB120" s="1"/>
      <c r="EUC120" s="1"/>
      <c r="EUD120" s="1"/>
      <c r="EUE120" s="1"/>
      <c r="EUF120" s="1"/>
      <c r="EUG120" s="1"/>
      <c r="EUH120" s="1"/>
      <c r="EUI120" s="1"/>
      <c r="EUJ120" s="1"/>
      <c r="EUK120" s="1"/>
      <c r="EUL120" s="1"/>
      <c r="EUM120" s="1"/>
      <c r="EUN120" s="1"/>
      <c r="EUO120" s="1"/>
      <c r="EUP120" s="1"/>
      <c r="EUQ120" s="1"/>
      <c r="EUR120" s="1"/>
      <c r="EUS120" s="1"/>
      <c r="EUT120" s="1"/>
      <c r="EUU120" s="1"/>
      <c r="EUV120" s="1"/>
      <c r="EUW120" s="1"/>
      <c r="EUX120" s="1"/>
      <c r="EUY120" s="1"/>
      <c r="EUZ120" s="1"/>
      <c r="EVA120" s="1"/>
      <c r="EVB120" s="1"/>
      <c r="EVC120" s="1"/>
      <c r="EVD120" s="1"/>
      <c r="EVE120" s="1"/>
      <c r="EVF120" s="1"/>
      <c r="EVG120" s="1"/>
      <c r="EVH120" s="1"/>
      <c r="EVI120" s="1"/>
      <c r="EVJ120" s="1"/>
      <c r="EVK120" s="1"/>
      <c r="EVL120" s="1"/>
      <c r="EVM120" s="1"/>
      <c r="EVN120" s="1"/>
      <c r="EVO120" s="1"/>
      <c r="EVP120" s="1"/>
      <c r="EVQ120" s="1"/>
      <c r="EVR120" s="1"/>
      <c r="EVS120" s="1"/>
      <c r="EVT120" s="1"/>
      <c r="EVU120" s="1"/>
      <c r="EVV120" s="1"/>
      <c r="EVW120" s="1"/>
      <c r="EVX120" s="1"/>
      <c r="EVY120" s="1"/>
      <c r="EVZ120" s="1"/>
      <c r="EWA120" s="1"/>
      <c r="EWB120" s="1"/>
      <c r="EWC120" s="1"/>
      <c r="EWD120" s="1"/>
      <c r="EWE120" s="1"/>
      <c r="EWF120" s="1"/>
      <c r="EWG120" s="1"/>
      <c r="EWH120" s="1"/>
      <c r="EWI120" s="1"/>
      <c r="EWJ120" s="1"/>
      <c r="EWK120" s="1"/>
      <c r="EWL120" s="1"/>
      <c r="EWM120" s="1"/>
      <c r="EWN120" s="1"/>
      <c r="EWO120" s="1"/>
      <c r="EWP120" s="1"/>
      <c r="EWQ120" s="1"/>
      <c r="EWR120" s="1"/>
      <c r="EWS120" s="1"/>
      <c r="EWT120" s="1"/>
      <c r="EWU120" s="1"/>
      <c r="EWV120" s="1"/>
      <c r="EWW120" s="1"/>
      <c r="EWX120" s="1"/>
      <c r="EWY120" s="1"/>
      <c r="EWZ120" s="1"/>
      <c r="EXA120" s="1"/>
      <c r="EXB120" s="1"/>
      <c r="EXC120" s="1"/>
      <c r="EXD120" s="1"/>
      <c r="EXE120" s="1"/>
      <c r="EXF120" s="1"/>
      <c r="EXG120" s="1"/>
      <c r="EXH120" s="1"/>
      <c r="EXI120" s="1"/>
      <c r="EXJ120" s="1"/>
      <c r="EXK120" s="1"/>
      <c r="EXL120" s="1"/>
      <c r="EXM120" s="1"/>
      <c r="EXN120" s="1"/>
      <c r="EXO120" s="1"/>
      <c r="EXP120" s="1"/>
      <c r="EXQ120" s="1"/>
      <c r="EXR120" s="1"/>
      <c r="EXS120" s="1"/>
      <c r="EXT120" s="1"/>
      <c r="EXU120" s="1"/>
      <c r="EXV120" s="1"/>
      <c r="EXW120" s="1"/>
      <c r="EXX120" s="1"/>
      <c r="EXY120" s="1"/>
      <c r="EXZ120" s="1"/>
      <c r="EYA120" s="1"/>
      <c r="EYB120" s="1"/>
      <c r="EYC120" s="1"/>
      <c r="EYD120" s="1"/>
      <c r="EYE120" s="1"/>
      <c r="EYF120" s="1"/>
      <c r="EYG120" s="1"/>
      <c r="EYH120" s="1"/>
      <c r="EYI120" s="1"/>
      <c r="EYJ120" s="1"/>
      <c r="EYK120" s="1"/>
      <c r="EYL120" s="1"/>
      <c r="EYM120" s="1"/>
      <c r="EYN120" s="1"/>
      <c r="EYO120" s="1"/>
      <c r="EYP120" s="1"/>
      <c r="EYQ120" s="1"/>
      <c r="EYR120" s="1"/>
      <c r="EYS120" s="1"/>
      <c r="EYT120" s="1"/>
      <c r="EYU120" s="1"/>
      <c r="EYV120" s="1"/>
      <c r="EYW120" s="1"/>
      <c r="EYX120" s="1"/>
      <c r="EYY120" s="1"/>
      <c r="EYZ120" s="1"/>
      <c r="EZA120" s="1"/>
      <c r="EZB120" s="1"/>
      <c r="EZC120" s="1"/>
      <c r="EZD120" s="1"/>
      <c r="EZE120" s="1"/>
      <c r="EZF120" s="1"/>
      <c r="EZG120" s="1"/>
      <c r="EZH120" s="1"/>
      <c r="EZI120" s="1"/>
      <c r="EZJ120" s="1"/>
      <c r="EZK120" s="1"/>
      <c r="EZL120" s="1"/>
      <c r="EZM120" s="1"/>
      <c r="EZN120" s="1"/>
      <c r="EZO120" s="1"/>
      <c r="EZP120" s="1"/>
      <c r="EZQ120" s="1"/>
      <c r="EZR120" s="1"/>
      <c r="EZS120" s="1"/>
      <c r="EZT120" s="1"/>
      <c r="EZU120" s="1"/>
      <c r="EZV120" s="1"/>
      <c r="EZW120" s="1"/>
      <c r="EZX120" s="1"/>
      <c r="EZY120" s="1"/>
      <c r="EZZ120" s="1"/>
      <c r="FAA120" s="1"/>
      <c r="FAB120" s="1"/>
      <c r="FAC120" s="1"/>
      <c r="FAD120" s="1"/>
      <c r="FAE120" s="1"/>
      <c r="FAF120" s="1"/>
      <c r="FAG120" s="1"/>
      <c r="FAH120" s="1"/>
      <c r="FAI120" s="1"/>
      <c r="FAJ120" s="1"/>
      <c r="FAK120" s="1"/>
      <c r="FAL120" s="1"/>
      <c r="FAM120" s="1"/>
      <c r="FAN120" s="1"/>
      <c r="FAO120" s="1"/>
      <c r="FAP120" s="1"/>
      <c r="FAQ120" s="1"/>
      <c r="FAR120" s="1"/>
      <c r="FAS120" s="1"/>
      <c r="FAT120" s="1"/>
      <c r="FAU120" s="1"/>
      <c r="FAV120" s="1"/>
      <c r="FAW120" s="1"/>
      <c r="FAX120" s="1"/>
      <c r="FAY120" s="1"/>
      <c r="FAZ120" s="1"/>
      <c r="FBA120" s="1"/>
      <c r="FBB120" s="1"/>
      <c r="FBC120" s="1"/>
      <c r="FBD120" s="1"/>
      <c r="FBE120" s="1"/>
      <c r="FBF120" s="1"/>
      <c r="FBG120" s="1"/>
      <c r="FBH120" s="1"/>
      <c r="FBI120" s="1"/>
      <c r="FBJ120" s="1"/>
      <c r="FBK120" s="1"/>
      <c r="FBL120" s="1"/>
      <c r="FBM120" s="1"/>
      <c r="FBN120" s="1"/>
      <c r="FBO120" s="1"/>
      <c r="FBP120" s="1"/>
      <c r="FBQ120" s="1"/>
      <c r="FBR120" s="1"/>
      <c r="FBS120" s="1"/>
      <c r="FBT120" s="1"/>
      <c r="FBU120" s="1"/>
      <c r="FBV120" s="1"/>
      <c r="FBW120" s="1"/>
      <c r="FBX120" s="1"/>
      <c r="FBY120" s="1"/>
      <c r="FBZ120" s="1"/>
      <c r="FCA120" s="1"/>
      <c r="FCB120" s="1"/>
      <c r="FCC120" s="1"/>
      <c r="FCD120" s="1"/>
      <c r="FCE120" s="1"/>
      <c r="FCF120" s="1"/>
      <c r="FCG120" s="1"/>
      <c r="FCH120" s="1"/>
      <c r="FCI120" s="1"/>
      <c r="FCJ120" s="1"/>
      <c r="FCK120" s="1"/>
      <c r="FCL120" s="1"/>
      <c r="FCM120" s="1"/>
      <c r="FCN120" s="1"/>
      <c r="FCO120" s="1"/>
      <c r="FCP120" s="1"/>
      <c r="FCQ120" s="1"/>
      <c r="FCR120" s="1"/>
      <c r="FCS120" s="1"/>
      <c r="FCT120" s="1"/>
      <c r="FCU120" s="1"/>
      <c r="FCV120" s="1"/>
      <c r="FCW120" s="1"/>
      <c r="FCX120" s="1"/>
      <c r="FCY120" s="1"/>
      <c r="FCZ120" s="1"/>
      <c r="FDA120" s="1"/>
      <c r="FDB120" s="1"/>
      <c r="FDC120" s="1"/>
      <c r="FDD120" s="1"/>
      <c r="FDE120" s="1"/>
      <c r="FDF120" s="1"/>
      <c r="FDG120" s="1"/>
      <c r="FDH120" s="1"/>
      <c r="FDI120" s="1"/>
      <c r="FDJ120" s="1"/>
      <c r="FDK120" s="1"/>
      <c r="FDL120" s="1"/>
      <c r="FDM120" s="1"/>
      <c r="FDN120" s="1"/>
      <c r="FDO120" s="1"/>
      <c r="FDP120" s="1"/>
      <c r="FDQ120" s="1"/>
      <c r="FDR120" s="1"/>
      <c r="FDS120" s="1"/>
      <c r="FDT120" s="1"/>
      <c r="FDU120" s="1"/>
      <c r="FDV120" s="1"/>
      <c r="FDW120" s="1"/>
      <c r="FDX120" s="1"/>
      <c r="FDY120" s="1"/>
      <c r="FDZ120" s="1"/>
      <c r="FEA120" s="1"/>
      <c r="FEB120" s="1"/>
      <c r="FEC120" s="1"/>
      <c r="FED120" s="1"/>
      <c r="FEE120" s="1"/>
      <c r="FEF120" s="1"/>
      <c r="FEG120" s="1"/>
      <c r="FEH120" s="1"/>
      <c r="FEI120" s="1"/>
      <c r="FEJ120" s="1"/>
      <c r="FEK120" s="1"/>
      <c r="FEL120" s="1"/>
      <c r="FEM120" s="1"/>
      <c r="FEN120" s="1"/>
      <c r="FEO120" s="1"/>
      <c r="FEP120" s="1"/>
      <c r="FEQ120" s="1"/>
      <c r="FER120" s="1"/>
      <c r="FES120" s="1"/>
      <c r="FET120" s="1"/>
      <c r="FEU120" s="1"/>
      <c r="FEV120" s="1"/>
      <c r="FEW120" s="1"/>
      <c r="FEX120" s="1"/>
      <c r="FEY120" s="1"/>
      <c r="FEZ120" s="1"/>
      <c r="FFA120" s="1"/>
      <c r="FFB120" s="1"/>
      <c r="FFC120" s="1"/>
      <c r="FFD120" s="1"/>
      <c r="FFE120" s="1"/>
      <c r="FFF120" s="1"/>
      <c r="FFG120" s="1"/>
      <c r="FFH120" s="1"/>
      <c r="FFI120" s="1"/>
      <c r="FFJ120" s="1"/>
      <c r="FFK120" s="1"/>
      <c r="FFL120" s="1"/>
      <c r="FFM120" s="1"/>
      <c r="FFN120" s="1"/>
      <c r="FFO120" s="1"/>
      <c r="FFP120" s="1"/>
      <c r="FFQ120" s="1"/>
      <c r="FFR120" s="1"/>
      <c r="FFS120" s="1"/>
      <c r="FFT120" s="1"/>
      <c r="FFU120" s="1"/>
      <c r="FFV120" s="1"/>
      <c r="FFW120" s="1"/>
      <c r="FFX120" s="1"/>
      <c r="FFY120" s="1"/>
      <c r="FFZ120" s="1"/>
      <c r="FGA120" s="1"/>
      <c r="FGB120" s="1"/>
      <c r="FGC120" s="1"/>
      <c r="FGD120" s="1"/>
      <c r="FGE120" s="1"/>
      <c r="FGF120" s="1"/>
      <c r="FGG120" s="1"/>
      <c r="FGH120" s="1"/>
      <c r="FGI120" s="1"/>
      <c r="FGJ120" s="1"/>
      <c r="FGK120" s="1"/>
      <c r="FGL120" s="1"/>
      <c r="FGM120" s="1"/>
      <c r="FGN120" s="1"/>
      <c r="FGO120" s="1"/>
      <c r="FGP120" s="1"/>
      <c r="FGQ120" s="1"/>
      <c r="FGR120" s="1"/>
      <c r="FGS120" s="1"/>
      <c r="FGT120" s="1"/>
      <c r="FGU120" s="1"/>
      <c r="FGV120" s="1"/>
      <c r="FGW120" s="1"/>
      <c r="FGX120" s="1"/>
      <c r="FGY120" s="1"/>
      <c r="FGZ120" s="1"/>
      <c r="FHA120" s="1"/>
      <c r="FHB120" s="1"/>
      <c r="FHC120" s="1"/>
      <c r="FHD120" s="1"/>
      <c r="FHE120" s="1"/>
      <c r="FHF120" s="1"/>
      <c r="FHG120" s="1"/>
      <c r="FHH120" s="1"/>
      <c r="FHI120" s="1"/>
      <c r="FHJ120" s="1"/>
      <c r="FHK120" s="1"/>
      <c r="FHL120" s="1"/>
      <c r="FHM120" s="1"/>
      <c r="FHN120" s="1"/>
      <c r="FHO120" s="1"/>
      <c r="FHP120" s="1"/>
      <c r="FHQ120" s="1"/>
      <c r="FHR120" s="1"/>
      <c r="FHS120" s="1"/>
      <c r="FHT120" s="1"/>
      <c r="FHU120" s="1"/>
      <c r="FHV120" s="1"/>
      <c r="FHW120" s="1"/>
      <c r="FHX120" s="1"/>
      <c r="FHY120" s="1"/>
      <c r="FHZ120" s="1"/>
      <c r="FIA120" s="1"/>
      <c r="FIB120" s="1"/>
      <c r="FIC120" s="1"/>
      <c r="FID120" s="1"/>
      <c r="FIE120" s="1"/>
      <c r="FIF120" s="1"/>
      <c r="FIG120" s="1"/>
      <c r="FIH120" s="1"/>
      <c r="FII120" s="1"/>
      <c r="FIJ120" s="1"/>
      <c r="FIK120" s="1"/>
      <c r="FIL120" s="1"/>
      <c r="FIM120" s="1"/>
      <c r="FIN120" s="1"/>
      <c r="FIO120" s="1"/>
      <c r="FIP120" s="1"/>
      <c r="FIQ120" s="1"/>
      <c r="FIR120" s="1"/>
      <c r="FIS120" s="1"/>
      <c r="FIT120" s="1"/>
      <c r="FIU120" s="1"/>
      <c r="FIV120" s="1"/>
      <c r="FIW120" s="1"/>
      <c r="FIX120" s="1"/>
      <c r="FIY120" s="1"/>
      <c r="FIZ120" s="1"/>
      <c r="FJA120" s="1"/>
      <c r="FJB120" s="1"/>
      <c r="FJC120" s="1"/>
      <c r="FJD120" s="1"/>
      <c r="FJE120" s="1"/>
      <c r="FJF120" s="1"/>
      <c r="FJG120" s="1"/>
      <c r="FJH120" s="1"/>
      <c r="FJI120" s="1"/>
      <c r="FJJ120" s="1"/>
      <c r="FJK120" s="1"/>
      <c r="FJL120" s="1"/>
      <c r="FJM120" s="1"/>
      <c r="FJN120" s="1"/>
      <c r="FJO120" s="1"/>
      <c r="FJP120" s="1"/>
      <c r="FJQ120" s="1"/>
      <c r="FJR120" s="1"/>
      <c r="FJS120" s="1"/>
      <c r="FJT120" s="1"/>
      <c r="FJU120" s="1"/>
      <c r="FJV120" s="1"/>
      <c r="FJW120" s="1"/>
      <c r="FJX120" s="1"/>
      <c r="FJY120" s="1"/>
      <c r="FJZ120" s="1"/>
      <c r="FKA120" s="1"/>
      <c r="FKB120" s="1"/>
      <c r="FKC120" s="1"/>
      <c r="FKD120" s="1"/>
      <c r="FKE120" s="1"/>
      <c r="FKF120" s="1"/>
      <c r="FKG120" s="1"/>
      <c r="FKH120" s="1"/>
      <c r="FKI120" s="1"/>
      <c r="FKJ120" s="1"/>
      <c r="FKK120" s="1"/>
      <c r="FKL120" s="1"/>
      <c r="FKM120" s="1"/>
      <c r="FKN120" s="1"/>
      <c r="FKO120" s="1"/>
      <c r="FKP120" s="1"/>
      <c r="FKQ120" s="1"/>
      <c r="FKR120" s="1"/>
      <c r="FKS120" s="1"/>
      <c r="FKT120" s="1"/>
      <c r="FKU120" s="1"/>
      <c r="FKV120" s="1"/>
      <c r="FKW120" s="1"/>
      <c r="FKX120" s="1"/>
      <c r="FKY120" s="1"/>
      <c r="FKZ120" s="1"/>
      <c r="FLA120" s="1"/>
      <c r="FLB120" s="1"/>
      <c r="FLC120" s="1"/>
      <c r="FLD120" s="1"/>
      <c r="FLE120" s="1"/>
      <c r="FLF120" s="1"/>
      <c r="FLG120" s="1"/>
      <c r="FLH120" s="1"/>
      <c r="FLI120" s="1"/>
      <c r="FLJ120" s="1"/>
      <c r="FLK120" s="1"/>
      <c r="FLL120" s="1"/>
      <c r="FLM120" s="1"/>
      <c r="FLN120" s="1"/>
      <c r="FLO120" s="1"/>
      <c r="FLP120" s="1"/>
      <c r="FLQ120" s="1"/>
      <c r="FLR120" s="1"/>
      <c r="FLS120" s="1"/>
      <c r="FLT120" s="1"/>
      <c r="FLU120" s="1"/>
      <c r="FLV120" s="1"/>
      <c r="FLW120" s="1"/>
      <c r="FLX120" s="1"/>
      <c r="FLY120" s="1"/>
      <c r="FLZ120" s="1"/>
      <c r="FMA120" s="1"/>
      <c r="FMB120" s="1"/>
      <c r="FMC120" s="1"/>
      <c r="FMD120" s="1"/>
      <c r="FME120" s="1"/>
      <c r="FMF120" s="1"/>
      <c r="FMG120" s="1"/>
      <c r="FMH120" s="1"/>
      <c r="FMI120" s="1"/>
      <c r="FMJ120" s="1"/>
      <c r="FMK120" s="1"/>
      <c r="FML120" s="1"/>
      <c r="FMM120" s="1"/>
      <c r="FMN120" s="1"/>
      <c r="FMO120" s="1"/>
      <c r="FMP120" s="1"/>
      <c r="FMQ120" s="1"/>
      <c r="FMR120" s="1"/>
      <c r="FMS120" s="1"/>
      <c r="FMT120" s="1"/>
      <c r="FMU120" s="1"/>
      <c r="FMV120" s="1"/>
      <c r="FMW120" s="1"/>
      <c r="FMX120" s="1"/>
      <c r="FMY120" s="1"/>
      <c r="FMZ120" s="1"/>
      <c r="FNA120" s="1"/>
      <c r="FNB120" s="1"/>
      <c r="FNC120" s="1"/>
      <c r="FND120" s="1"/>
      <c r="FNE120" s="1"/>
      <c r="FNF120" s="1"/>
      <c r="FNG120" s="1"/>
      <c r="FNH120" s="1"/>
      <c r="FNI120" s="1"/>
      <c r="FNJ120" s="1"/>
      <c r="FNK120" s="1"/>
      <c r="FNL120" s="1"/>
      <c r="FNM120" s="1"/>
      <c r="FNN120" s="1"/>
      <c r="FNO120" s="1"/>
      <c r="FNP120" s="1"/>
      <c r="FNQ120" s="1"/>
      <c r="FNR120" s="1"/>
      <c r="FNS120" s="1"/>
      <c r="FNT120" s="1"/>
      <c r="FNU120" s="1"/>
      <c r="FNV120" s="1"/>
      <c r="FNW120" s="1"/>
      <c r="FNX120" s="1"/>
      <c r="FNY120" s="1"/>
      <c r="FNZ120" s="1"/>
      <c r="FOA120" s="1"/>
      <c r="FOB120" s="1"/>
      <c r="FOC120" s="1"/>
      <c r="FOD120" s="1"/>
      <c r="FOE120" s="1"/>
      <c r="FOF120" s="1"/>
      <c r="FOG120" s="1"/>
      <c r="FOH120" s="1"/>
      <c r="FOI120" s="1"/>
      <c r="FOJ120" s="1"/>
      <c r="FOK120" s="1"/>
      <c r="FOL120" s="1"/>
      <c r="FOM120" s="1"/>
      <c r="FON120" s="1"/>
      <c r="FOO120" s="1"/>
      <c r="FOP120" s="1"/>
      <c r="FOQ120" s="1"/>
      <c r="FOR120" s="1"/>
      <c r="FOS120" s="1"/>
      <c r="FOT120" s="1"/>
      <c r="FOU120" s="1"/>
      <c r="FOV120" s="1"/>
      <c r="FOW120" s="1"/>
      <c r="FOX120" s="1"/>
      <c r="FOY120" s="1"/>
      <c r="FOZ120" s="1"/>
      <c r="FPA120" s="1"/>
      <c r="FPB120" s="1"/>
      <c r="FPC120" s="1"/>
      <c r="FPD120" s="1"/>
      <c r="FPE120" s="1"/>
      <c r="FPF120" s="1"/>
      <c r="FPG120" s="1"/>
      <c r="FPH120" s="1"/>
      <c r="FPI120" s="1"/>
      <c r="FPJ120" s="1"/>
      <c r="FPK120" s="1"/>
      <c r="FPL120" s="1"/>
      <c r="FPM120" s="1"/>
      <c r="FPN120" s="1"/>
      <c r="FPO120" s="1"/>
      <c r="FPP120" s="1"/>
      <c r="FPQ120" s="1"/>
      <c r="FPR120" s="1"/>
      <c r="FPS120" s="1"/>
      <c r="FPT120" s="1"/>
      <c r="FPU120" s="1"/>
      <c r="FPV120" s="1"/>
      <c r="FPW120" s="1"/>
      <c r="FPX120" s="1"/>
      <c r="FPY120" s="1"/>
      <c r="FPZ120" s="1"/>
      <c r="FQA120" s="1"/>
      <c r="FQB120" s="1"/>
      <c r="FQC120" s="1"/>
      <c r="FQD120" s="1"/>
      <c r="FQE120" s="1"/>
      <c r="FQF120" s="1"/>
      <c r="FQG120" s="1"/>
      <c r="FQH120" s="1"/>
      <c r="FQI120" s="1"/>
      <c r="FQJ120" s="1"/>
      <c r="FQK120" s="1"/>
      <c r="FQL120" s="1"/>
      <c r="FQM120" s="1"/>
      <c r="FQN120" s="1"/>
      <c r="FQO120" s="1"/>
      <c r="FQP120" s="1"/>
      <c r="FQQ120" s="1"/>
      <c r="FQR120" s="1"/>
      <c r="FQS120" s="1"/>
      <c r="FQT120" s="1"/>
      <c r="FQU120" s="1"/>
      <c r="FQV120" s="1"/>
      <c r="FQW120" s="1"/>
      <c r="FQX120" s="1"/>
      <c r="FQY120" s="1"/>
      <c r="FQZ120" s="1"/>
      <c r="FRA120" s="1"/>
      <c r="FRB120" s="1"/>
      <c r="FRC120" s="1"/>
      <c r="FRD120" s="1"/>
      <c r="FRE120" s="1"/>
      <c r="FRF120" s="1"/>
      <c r="FRG120" s="1"/>
      <c r="FRH120" s="1"/>
      <c r="FRI120" s="1"/>
      <c r="FRJ120" s="1"/>
      <c r="FRK120" s="1"/>
      <c r="FRL120" s="1"/>
      <c r="FRM120" s="1"/>
      <c r="FRN120" s="1"/>
      <c r="FRO120" s="1"/>
      <c r="FRP120" s="1"/>
      <c r="FRQ120" s="1"/>
      <c r="FRR120" s="1"/>
      <c r="FRS120" s="1"/>
      <c r="FRT120" s="1"/>
      <c r="FRU120" s="1"/>
      <c r="FRV120" s="1"/>
      <c r="FRW120" s="1"/>
      <c r="FRX120" s="1"/>
      <c r="FRY120" s="1"/>
      <c r="FRZ120" s="1"/>
      <c r="FSA120" s="1"/>
      <c r="FSB120" s="1"/>
      <c r="FSC120" s="1"/>
      <c r="FSD120" s="1"/>
      <c r="FSE120" s="1"/>
      <c r="FSF120" s="1"/>
      <c r="FSG120" s="1"/>
      <c r="FSH120" s="1"/>
      <c r="FSI120" s="1"/>
      <c r="FSJ120" s="1"/>
      <c r="FSK120" s="1"/>
      <c r="FSL120" s="1"/>
      <c r="FSM120" s="1"/>
      <c r="FSN120" s="1"/>
      <c r="FSO120" s="1"/>
      <c r="FSP120" s="1"/>
      <c r="FSQ120" s="1"/>
      <c r="FSR120" s="1"/>
      <c r="FSS120" s="1"/>
      <c r="FST120" s="1"/>
      <c r="FSU120" s="1"/>
      <c r="FSV120" s="1"/>
      <c r="FSW120" s="1"/>
      <c r="FSX120" s="1"/>
      <c r="FSY120" s="1"/>
      <c r="FSZ120" s="1"/>
      <c r="FTA120" s="1"/>
      <c r="FTB120" s="1"/>
      <c r="FTC120" s="1"/>
      <c r="FTD120" s="1"/>
      <c r="FTE120" s="1"/>
      <c r="FTF120" s="1"/>
      <c r="FTG120" s="1"/>
      <c r="FTH120" s="1"/>
      <c r="FTI120" s="1"/>
      <c r="FTJ120" s="1"/>
      <c r="FTK120" s="1"/>
      <c r="FTL120" s="1"/>
      <c r="FTM120" s="1"/>
      <c r="FTN120" s="1"/>
      <c r="FTO120" s="1"/>
      <c r="FTP120" s="1"/>
      <c r="FTQ120" s="1"/>
      <c r="FTR120" s="1"/>
      <c r="FTS120" s="1"/>
      <c r="FTT120" s="1"/>
      <c r="FTU120" s="1"/>
      <c r="FTV120" s="1"/>
      <c r="FTW120" s="1"/>
      <c r="FTX120" s="1"/>
      <c r="FTY120" s="1"/>
      <c r="FTZ120" s="1"/>
      <c r="FUA120" s="1"/>
      <c r="FUB120" s="1"/>
      <c r="FUC120" s="1"/>
      <c r="FUD120" s="1"/>
      <c r="FUE120" s="1"/>
      <c r="FUF120" s="1"/>
      <c r="FUG120" s="1"/>
      <c r="FUH120" s="1"/>
      <c r="FUI120" s="1"/>
      <c r="FUJ120" s="1"/>
      <c r="FUK120" s="1"/>
      <c r="FUL120" s="1"/>
      <c r="FUM120" s="1"/>
      <c r="FUN120" s="1"/>
      <c r="FUO120" s="1"/>
      <c r="FUP120" s="1"/>
      <c r="FUQ120" s="1"/>
      <c r="FUR120" s="1"/>
      <c r="FUS120" s="1"/>
      <c r="FUT120" s="1"/>
      <c r="FUU120" s="1"/>
      <c r="FUV120" s="1"/>
      <c r="FUW120" s="1"/>
      <c r="FUX120" s="1"/>
      <c r="FUY120" s="1"/>
      <c r="FUZ120" s="1"/>
      <c r="FVA120" s="1"/>
      <c r="FVB120" s="1"/>
      <c r="FVC120" s="1"/>
      <c r="FVD120" s="1"/>
      <c r="FVE120" s="1"/>
      <c r="FVF120" s="1"/>
      <c r="FVG120" s="1"/>
      <c r="FVH120" s="1"/>
      <c r="FVI120" s="1"/>
      <c r="FVJ120" s="1"/>
      <c r="FVK120" s="1"/>
      <c r="FVL120" s="1"/>
      <c r="FVM120" s="1"/>
      <c r="FVN120" s="1"/>
      <c r="FVO120" s="1"/>
      <c r="FVP120" s="1"/>
      <c r="FVQ120" s="1"/>
      <c r="FVR120" s="1"/>
      <c r="FVS120" s="1"/>
      <c r="FVT120" s="1"/>
      <c r="FVU120" s="1"/>
      <c r="FVV120" s="1"/>
      <c r="FVW120" s="1"/>
      <c r="FVX120" s="1"/>
      <c r="FVY120" s="1"/>
      <c r="FVZ120" s="1"/>
      <c r="FWA120" s="1"/>
      <c r="FWB120" s="1"/>
      <c r="FWC120" s="1"/>
      <c r="FWD120" s="1"/>
      <c r="FWE120" s="1"/>
      <c r="FWF120" s="1"/>
      <c r="FWG120" s="1"/>
      <c r="FWH120" s="1"/>
      <c r="FWI120" s="1"/>
      <c r="FWJ120" s="1"/>
      <c r="FWK120" s="1"/>
      <c r="FWL120" s="1"/>
      <c r="FWM120" s="1"/>
      <c r="FWN120" s="1"/>
      <c r="FWO120" s="1"/>
      <c r="FWP120" s="1"/>
      <c r="FWQ120" s="1"/>
      <c r="FWR120" s="1"/>
      <c r="FWS120" s="1"/>
      <c r="FWT120" s="1"/>
      <c r="FWU120" s="1"/>
      <c r="FWV120" s="1"/>
      <c r="FWW120" s="1"/>
      <c r="FWX120" s="1"/>
      <c r="FWY120" s="1"/>
      <c r="FWZ120" s="1"/>
      <c r="FXA120" s="1"/>
      <c r="FXB120" s="1"/>
      <c r="FXC120" s="1"/>
      <c r="FXD120" s="1"/>
      <c r="FXE120" s="1"/>
      <c r="FXF120" s="1"/>
      <c r="FXG120" s="1"/>
      <c r="FXH120" s="1"/>
      <c r="FXI120" s="1"/>
      <c r="FXJ120" s="1"/>
      <c r="FXK120" s="1"/>
      <c r="FXL120" s="1"/>
      <c r="FXM120" s="1"/>
      <c r="FXN120" s="1"/>
      <c r="FXO120" s="1"/>
      <c r="FXP120" s="1"/>
      <c r="FXQ120" s="1"/>
      <c r="FXR120" s="1"/>
      <c r="FXS120" s="1"/>
      <c r="FXT120" s="1"/>
      <c r="FXU120" s="1"/>
      <c r="FXV120" s="1"/>
      <c r="FXW120" s="1"/>
      <c r="FXX120" s="1"/>
      <c r="FXY120" s="1"/>
      <c r="FXZ120" s="1"/>
      <c r="FYA120" s="1"/>
      <c r="FYB120" s="1"/>
      <c r="FYC120" s="1"/>
      <c r="FYD120" s="1"/>
      <c r="FYE120" s="1"/>
      <c r="FYF120" s="1"/>
      <c r="FYG120" s="1"/>
      <c r="FYH120" s="1"/>
      <c r="FYI120" s="1"/>
      <c r="FYJ120" s="1"/>
      <c r="FYK120" s="1"/>
      <c r="FYL120" s="1"/>
      <c r="FYM120" s="1"/>
      <c r="FYN120" s="1"/>
      <c r="FYO120" s="1"/>
      <c r="FYP120" s="1"/>
      <c r="FYQ120" s="1"/>
      <c r="FYR120" s="1"/>
      <c r="FYS120" s="1"/>
      <c r="FYT120" s="1"/>
      <c r="FYU120" s="1"/>
      <c r="FYV120" s="1"/>
      <c r="FYW120" s="1"/>
      <c r="FYX120" s="1"/>
      <c r="FYY120" s="1"/>
      <c r="FYZ120" s="1"/>
      <c r="FZA120" s="1"/>
      <c r="FZB120" s="1"/>
      <c r="FZC120" s="1"/>
      <c r="FZD120" s="1"/>
      <c r="FZE120" s="1"/>
      <c r="FZF120" s="1"/>
      <c r="FZG120" s="1"/>
      <c r="FZH120" s="1"/>
      <c r="FZI120" s="1"/>
      <c r="FZJ120" s="1"/>
      <c r="FZK120" s="1"/>
      <c r="FZL120" s="1"/>
      <c r="FZM120" s="1"/>
      <c r="FZN120" s="1"/>
      <c r="FZO120" s="1"/>
      <c r="FZP120" s="1"/>
      <c r="FZQ120" s="1"/>
      <c r="FZR120" s="1"/>
      <c r="FZS120" s="1"/>
      <c r="FZT120" s="1"/>
      <c r="FZU120" s="1"/>
      <c r="FZV120" s="1"/>
      <c r="FZW120" s="1"/>
      <c r="FZX120" s="1"/>
      <c r="FZY120" s="1"/>
      <c r="FZZ120" s="1"/>
      <c r="GAA120" s="1"/>
      <c r="GAB120" s="1"/>
      <c r="GAC120" s="1"/>
      <c r="GAD120" s="1"/>
      <c r="GAE120" s="1"/>
      <c r="GAF120" s="1"/>
      <c r="GAG120" s="1"/>
      <c r="GAH120" s="1"/>
      <c r="GAI120" s="1"/>
      <c r="GAJ120" s="1"/>
      <c r="GAK120" s="1"/>
      <c r="GAL120" s="1"/>
      <c r="GAM120" s="1"/>
      <c r="GAN120" s="1"/>
      <c r="GAO120" s="1"/>
      <c r="GAP120" s="1"/>
      <c r="GAQ120" s="1"/>
      <c r="GAR120" s="1"/>
      <c r="GAS120" s="1"/>
      <c r="GAT120" s="1"/>
      <c r="GAU120" s="1"/>
      <c r="GAV120" s="1"/>
      <c r="GAW120" s="1"/>
      <c r="GAX120" s="1"/>
      <c r="GAY120" s="1"/>
      <c r="GAZ120" s="1"/>
      <c r="GBA120" s="1"/>
      <c r="GBB120" s="1"/>
      <c r="GBC120" s="1"/>
      <c r="GBD120" s="1"/>
      <c r="GBE120" s="1"/>
      <c r="GBF120" s="1"/>
      <c r="GBG120" s="1"/>
      <c r="GBH120" s="1"/>
      <c r="GBI120" s="1"/>
      <c r="GBJ120" s="1"/>
      <c r="GBK120" s="1"/>
      <c r="GBL120" s="1"/>
      <c r="GBM120" s="1"/>
      <c r="GBN120" s="1"/>
      <c r="GBO120" s="1"/>
      <c r="GBP120" s="1"/>
      <c r="GBQ120" s="1"/>
      <c r="GBR120" s="1"/>
      <c r="GBS120" s="1"/>
      <c r="GBT120" s="1"/>
      <c r="GBU120" s="1"/>
      <c r="GBV120" s="1"/>
      <c r="GBW120" s="1"/>
      <c r="GBX120" s="1"/>
      <c r="GBY120" s="1"/>
      <c r="GBZ120" s="1"/>
      <c r="GCA120" s="1"/>
      <c r="GCB120" s="1"/>
      <c r="GCC120" s="1"/>
      <c r="GCD120" s="1"/>
      <c r="GCE120" s="1"/>
      <c r="GCF120" s="1"/>
      <c r="GCG120" s="1"/>
      <c r="GCH120" s="1"/>
      <c r="GCI120" s="1"/>
      <c r="GCJ120" s="1"/>
      <c r="GCK120" s="1"/>
      <c r="GCL120" s="1"/>
      <c r="GCM120" s="1"/>
      <c r="GCN120" s="1"/>
      <c r="GCO120" s="1"/>
      <c r="GCP120" s="1"/>
      <c r="GCQ120" s="1"/>
      <c r="GCR120" s="1"/>
      <c r="GCS120" s="1"/>
      <c r="GCT120" s="1"/>
      <c r="GCU120" s="1"/>
      <c r="GCV120" s="1"/>
      <c r="GCW120" s="1"/>
      <c r="GCX120" s="1"/>
      <c r="GCY120" s="1"/>
      <c r="GCZ120" s="1"/>
      <c r="GDA120" s="1"/>
      <c r="GDB120" s="1"/>
      <c r="GDC120" s="1"/>
      <c r="GDD120" s="1"/>
      <c r="GDE120" s="1"/>
      <c r="GDF120" s="1"/>
      <c r="GDG120" s="1"/>
      <c r="GDH120" s="1"/>
      <c r="GDI120" s="1"/>
      <c r="GDJ120" s="1"/>
      <c r="GDK120" s="1"/>
      <c r="GDL120" s="1"/>
      <c r="GDM120" s="1"/>
      <c r="GDN120" s="1"/>
      <c r="GDO120" s="1"/>
      <c r="GDP120" s="1"/>
      <c r="GDQ120" s="1"/>
      <c r="GDR120" s="1"/>
      <c r="GDS120" s="1"/>
      <c r="GDT120" s="1"/>
      <c r="GDU120" s="1"/>
      <c r="GDV120" s="1"/>
      <c r="GDW120" s="1"/>
      <c r="GDX120" s="1"/>
      <c r="GDY120" s="1"/>
      <c r="GDZ120" s="1"/>
      <c r="GEA120" s="1"/>
      <c r="GEB120" s="1"/>
      <c r="GEC120" s="1"/>
      <c r="GED120" s="1"/>
      <c r="GEE120" s="1"/>
      <c r="GEF120" s="1"/>
      <c r="GEG120" s="1"/>
      <c r="GEH120" s="1"/>
      <c r="GEI120" s="1"/>
      <c r="GEJ120" s="1"/>
      <c r="GEK120" s="1"/>
      <c r="GEL120" s="1"/>
      <c r="GEM120" s="1"/>
      <c r="GEN120" s="1"/>
      <c r="GEO120" s="1"/>
      <c r="GEP120" s="1"/>
      <c r="GEQ120" s="1"/>
      <c r="GER120" s="1"/>
      <c r="GES120" s="1"/>
      <c r="GET120" s="1"/>
      <c r="GEU120" s="1"/>
      <c r="GEV120" s="1"/>
      <c r="GEW120" s="1"/>
      <c r="GEX120" s="1"/>
      <c r="GEY120" s="1"/>
      <c r="GEZ120" s="1"/>
      <c r="GFA120" s="1"/>
      <c r="GFB120" s="1"/>
      <c r="GFC120" s="1"/>
      <c r="GFD120" s="1"/>
      <c r="GFE120" s="1"/>
      <c r="GFF120" s="1"/>
      <c r="GFG120" s="1"/>
      <c r="GFH120" s="1"/>
      <c r="GFI120" s="1"/>
      <c r="GFJ120" s="1"/>
      <c r="GFK120" s="1"/>
      <c r="GFL120" s="1"/>
      <c r="GFM120" s="1"/>
      <c r="GFN120" s="1"/>
      <c r="GFO120" s="1"/>
      <c r="GFP120" s="1"/>
      <c r="GFQ120" s="1"/>
      <c r="GFR120" s="1"/>
      <c r="GFS120" s="1"/>
      <c r="GFT120" s="1"/>
      <c r="GFU120" s="1"/>
      <c r="GFV120" s="1"/>
      <c r="GFW120" s="1"/>
      <c r="GFX120" s="1"/>
      <c r="GFY120" s="1"/>
      <c r="GFZ120" s="1"/>
      <c r="GGA120" s="1"/>
      <c r="GGB120" s="1"/>
      <c r="GGC120" s="1"/>
      <c r="GGD120" s="1"/>
      <c r="GGE120" s="1"/>
      <c r="GGF120" s="1"/>
      <c r="GGG120" s="1"/>
      <c r="GGH120" s="1"/>
      <c r="GGI120" s="1"/>
      <c r="GGJ120" s="1"/>
      <c r="GGK120" s="1"/>
      <c r="GGL120" s="1"/>
      <c r="GGM120" s="1"/>
      <c r="GGN120" s="1"/>
      <c r="GGO120" s="1"/>
      <c r="GGP120" s="1"/>
      <c r="GGQ120" s="1"/>
      <c r="GGR120" s="1"/>
      <c r="GGS120" s="1"/>
      <c r="GGT120" s="1"/>
      <c r="GGU120" s="1"/>
      <c r="GGV120" s="1"/>
      <c r="GGW120" s="1"/>
      <c r="GGX120" s="1"/>
      <c r="GGY120" s="1"/>
      <c r="GGZ120" s="1"/>
      <c r="GHA120" s="1"/>
      <c r="GHB120" s="1"/>
      <c r="GHC120" s="1"/>
      <c r="GHD120" s="1"/>
      <c r="GHE120" s="1"/>
      <c r="GHF120" s="1"/>
      <c r="GHG120" s="1"/>
      <c r="GHH120" s="1"/>
      <c r="GHI120" s="1"/>
      <c r="GHJ120" s="1"/>
      <c r="GHK120" s="1"/>
      <c r="GHL120" s="1"/>
      <c r="GHM120" s="1"/>
      <c r="GHN120" s="1"/>
      <c r="GHO120" s="1"/>
      <c r="GHP120" s="1"/>
      <c r="GHQ120" s="1"/>
      <c r="GHR120" s="1"/>
      <c r="GHS120" s="1"/>
      <c r="GHT120" s="1"/>
      <c r="GHU120" s="1"/>
      <c r="GHV120" s="1"/>
      <c r="GHW120" s="1"/>
      <c r="GHX120" s="1"/>
      <c r="GHY120" s="1"/>
      <c r="GHZ120" s="1"/>
      <c r="GIA120" s="1"/>
      <c r="GIB120" s="1"/>
      <c r="GIC120" s="1"/>
      <c r="GID120" s="1"/>
      <c r="GIE120" s="1"/>
      <c r="GIF120" s="1"/>
      <c r="GIG120" s="1"/>
      <c r="GIH120" s="1"/>
      <c r="GII120" s="1"/>
      <c r="GIJ120" s="1"/>
      <c r="GIK120" s="1"/>
      <c r="GIL120" s="1"/>
      <c r="GIM120" s="1"/>
      <c r="GIN120" s="1"/>
      <c r="GIO120" s="1"/>
      <c r="GIP120" s="1"/>
      <c r="GIQ120" s="1"/>
      <c r="GIR120" s="1"/>
      <c r="GIS120" s="1"/>
      <c r="GIT120" s="1"/>
      <c r="GIU120" s="1"/>
      <c r="GIV120" s="1"/>
      <c r="GIW120" s="1"/>
      <c r="GIX120" s="1"/>
      <c r="GIY120" s="1"/>
      <c r="GIZ120" s="1"/>
      <c r="GJA120" s="1"/>
      <c r="GJB120" s="1"/>
      <c r="GJC120" s="1"/>
      <c r="GJD120" s="1"/>
      <c r="GJE120" s="1"/>
      <c r="GJF120" s="1"/>
      <c r="GJG120" s="1"/>
      <c r="GJH120" s="1"/>
      <c r="GJI120" s="1"/>
      <c r="GJJ120" s="1"/>
      <c r="GJK120" s="1"/>
      <c r="GJL120" s="1"/>
      <c r="GJM120" s="1"/>
      <c r="GJN120" s="1"/>
      <c r="GJO120" s="1"/>
      <c r="GJP120" s="1"/>
      <c r="GJQ120" s="1"/>
      <c r="GJR120" s="1"/>
      <c r="GJS120" s="1"/>
      <c r="GJT120" s="1"/>
      <c r="GJU120" s="1"/>
      <c r="GJV120" s="1"/>
      <c r="GJW120" s="1"/>
      <c r="GJX120" s="1"/>
      <c r="GJY120" s="1"/>
      <c r="GJZ120" s="1"/>
      <c r="GKA120" s="1"/>
      <c r="GKB120" s="1"/>
      <c r="GKC120" s="1"/>
      <c r="GKD120" s="1"/>
      <c r="GKE120" s="1"/>
      <c r="GKF120" s="1"/>
      <c r="GKG120" s="1"/>
      <c r="GKH120" s="1"/>
      <c r="GKI120" s="1"/>
      <c r="GKJ120" s="1"/>
      <c r="GKK120" s="1"/>
      <c r="GKL120" s="1"/>
      <c r="GKM120" s="1"/>
      <c r="GKN120" s="1"/>
      <c r="GKO120" s="1"/>
      <c r="GKP120" s="1"/>
      <c r="GKQ120" s="1"/>
      <c r="GKR120" s="1"/>
      <c r="GKS120" s="1"/>
      <c r="GKT120" s="1"/>
      <c r="GKU120" s="1"/>
      <c r="GKV120" s="1"/>
      <c r="GKW120" s="1"/>
      <c r="GKX120" s="1"/>
      <c r="GKY120" s="1"/>
      <c r="GKZ120" s="1"/>
      <c r="GLA120" s="1"/>
      <c r="GLB120" s="1"/>
      <c r="GLC120" s="1"/>
      <c r="GLD120" s="1"/>
      <c r="GLE120" s="1"/>
      <c r="GLF120" s="1"/>
      <c r="GLG120" s="1"/>
      <c r="GLH120" s="1"/>
      <c r="GLI120" s="1"/>
      <c r="GLJ120" s="1"/>
      <c r="GLK120" s="1"/>
      <c r="GLL120" s="1"/>
      <c r="GLM120" s="1"/>
      <c r="GLN120" s="1"/>
      <c r="GLO120" s="1"/>
      <c r="GLP120" s="1"/>
      <c r="GLQ120" s="1"/>
      <c r="GLR120" s="1"/>
      <c r="GLS120" s="1"/>
      <c r="GLT120" s="1"/>
      <c r="GLU120" s="1"/>
      <c r="GLV120" s="1"/>
      <c r="GLW120" s="1"/>
      <c r="GLX120" s="1"/>
      <c r="GLY120" s="1"/>
      <c r="GLZ120" s="1"/>
      <c r="GMA120" s="1"/>
      <c r="GMB120" s="1"/>
      <c r="GMC120" s="1"/>
      <c r="GMD120" s="1"/>
      <c r="GME120" s="1"/>
      <c r="GMF120" s="1"/>
      <c r="GMG120" s="1"/>
      <c r="GMH120" s="1"/>
      <c r="GMI120" s="1"/>
      <c r="GMJ120" s="1"/>
      <c r="GMK120" s="1"/>
      <c r="GML120" s="1"/>
      <c r="GMM120" s="1"/>
      <c r="GMN120" s="1"/>
      <c r="GMO120" s="1"/>
      <c r="GMP120" s="1"/>
      <c r="GMQ120" s="1"/>
      <c r="GMR120" s="1"/>
      <c r="GMS120" s="1"/>
      <c r="GMT120" s="1"/>
      <c r="GMU120" s="1"/>
      <c r="GMV120" s="1"/>
      <c r="GMW120" s="1"/>
      <c r="GMX120" s="1"/>
      <c r="GMY120" s="1"/>
      <c r="GMZ120" s="1"/>
      <c r="GNA120" s="1"/>
      <c r="GNB120" s="1"/>
      <c r="GNC120" s="1"/>
      <c r="GND120" s="1"/>
      <c r="GNE120" s="1"/>
      <c r="GNF120" s="1"/>
      <c r="GNG120" s="1"/>
      <c r="GNH120" s="1"/>
      <c r="GNI120" s="1"/>
      <c r="GNJ120" s="1"/>
      <c r="GNK120" s="1"/>
      <c r="GNL120" s="1"/>
      <c r="GNM120" s="1"/>
      <c r="GNN120" s="1"/>
      <c r="GNO120" s="1"/>
      <c r="GNP120" s="1"/>
      <c r="GNQ120" s="1"/>
      <c r="GNR120" s="1"/>
      <c r="GNS120" s="1"/>
      <c r="GNT120" s="1"/>
      <c r="GNU120" s="1"/>
      <c r="GNV120" s="1"/>
      <c r="GNW120" s="1"/>
      <c r="GNX120" s="1"/>
      <c r="GNY120" s="1"/>
      <c r="GNZ120" s="1"/>
      <c r="GOA120" s="1"/>
      <c r="GOB120" s="1"/>
      <c r="GOC120" s="1"/>
      <c r="GOD120" s="1"/>
      <c r="GOE120" s="1"/>
      <c r="GOF120" s="1"/>
      <c r="GOG120" s="1"/>
      <c r="GOH120" s="1"/>
      <c r="GOI120" s="1"/>
      <c r="GOJ120" s="1"/>
      <c r="GOK120" s="1"/>
      <c r="GOL120" s="1"/>
      <c r="GOM120" s="1"/>
      <c r="GON120" s="1"/>
      <c r="GOO120" s="1"/>
      <c r="GOP120" s="1"/>
      <c r="GOQ120" s="1"/>
      <c r="GOR120" s="1"/>
      <c r="GOS120" s="1"/>
      <c r="GOT120" s="1"/>
      <c r="GOU120" s="1"/>
      <c r="GOV120" s="1"/>
      <c r="GOW120" s="1"/>
      <c r="GOX120" s="1"/>
      <c r="GOY120" s="1"/>
      <c r="GOZ120" s="1"/>
      <c r="GPA120" s="1"/>
      <c r="GPB120" s="1"/>
      <c r="GPC120" s="1"/>
      <c r="GPD120" s="1"/>
      <c r="GPE120" s="1"/>
      <c r="GPF120" s="1"/>
      <c r="GPG120" s="1"/>
      <c r="GPH120" s="1"/>
      <c r="GPI120" s="1"/>
      <c r="GPJ120" s="1"/>
      <c r="GPK120" s="1"/>
      <c r="GPL120" s="1"/>
      <c r="GPM120" s="1"/>
      <c r="GPN120" s="1"/>
      <c r="GPO120" s="1"/>
      <c r="GPP120" s="1"/>
      <c r="GPQ120" s="1"/>
      <c r="GPR120" s="1"/>
      <c r="GPS120" s="1"/>
      <c r="GPT120" s="1"/>
      <c r="GPU120" s="1"/>
      <c r="GPV120" s="1"/>
      <c r="GPW120" s="1"/>
      <c r="GPX120" s="1"/>
      <c r="GPY120" s="1"/>
      <c r="GPZ120" s="1"/>
      <c r="GQA120" s="1"/>
      <c r="GQB120" s="1"/>
      <c r="GQC120" s="1"/>
      <c r="GQD120" s="1"/>
      <c r="GQE120" s="1"/>
      <c r="GQF120" s="1"/>
      <c r="GQG120" s="1"/>
      <c r="GQH120" s="1"/>
      <c r="GQI120" s="1"/>
      <c r="GQJ120" s="1"/>
      <c r="GQK120" s="1"/>
      <c r="GQL120" s="1"/>
      <c r="GQM120" s="1"/>
      <c r="GQN120" s="1"/>
      <c r="GQO120" s="1"/>
      <c r="GQP120" s="1"/>
      <c r="GQQ120" s="1"/>
      <c r="GQR120" s="1"/>
      <c r="GQS120" s="1"/>
      <c r="GQT120" s="1"/>
      <c r="GQU120" s="1"/>
      <c r="GQV120" s="1"/>
      <c r="GQW120" s="1"/>
      <c r="GQX120" s="1"/>
      <c r="GQY120" s="1"/>
      <c r="GQZ120" s="1"/>
      <c r="GRA120" s="1"/>
      <c r="GRB120" s="1"/>
      <c r="GRC120" s="1"/>
      <c r="GRD120" s="1"/>
      <c r="GRE120" s="1"/>
      <c r="GRF120" s="1"/>
      <c r="GRG120" s="1"/>
      <c r="GRH120" s="1"/>
      <c r="GRI120" s="1"/>
      <c r="GRJ120" s="1"/>
      <c r="GRK120" s="1"/>
      <c r="GRL120" s="1"/>
      <c r="GRM120" s="1"/>
      <c r="GRN120" s="1"/>
      <c r="GRO120" s="1"/>
      <c r="GRP120" s="1"/>
      <c r="GRQ120" s="1"/>
      <c r="GRR120" s="1"/>
      <c r="GRS120" s="1"/>
      <c r="GRT120" s="1"/>
      <c r="GRU120" s="1"/>
      <c r="GRV120" s="1"/>
      <c r="GRW120" s="1"/>
      <c r="GRX120" s="1"/>
      <c r="GRY120" s="1"/>
      <c r="GRZ120" s="1"/>
      <c r="GSA120" s="1"/>
      <c r="GSB120" s="1"/>
      <c r="GSC120" s="1"/>
      <c r="GSD120" s="1"/>
      <c r="GSE120" s="1"/>
      <c r="GSF120" s="1"/>
      <c r="GSG120" s="1"/>
      <c r="GSH120" s="1"/>
      <c r="GSI120" s="1"/>
      <c r="GSJ120" s="1"/>
      <c r="GSK120" s="1"/>
      <c r="GSL120" s="1"/>
      <c r="GSM120" s="1"/>
      <c r="GSN120" s="1"/>
      <c r="GSO120" s="1"/>
      <c r="GSP120" s="1"/>
      <c r="GSQ120" s="1"/>
      <c r="GSR120" s="1"/>
      <c r="GSS120" s="1"/>
      <c r="GST120" s="1"/>
      <c r="GSU120" s="1"/>
      <c r="GSV120" s="1"/>
      <c r="GSW120" s="1"/>
      <c r="GSX120" s="1"/>
      <c r="GSY120" s="1"/>
      <c r="GSZ120" s="1"/>
      <c r="GTA120" s="1"/>
      <c r="GTB120" s="1"/>
      <c r="GTC120" s="1"/>
      <c r="GTD120" s="1"/>
      <c r="GTE120" s="1"/>
      <c r="GTF120" s="1"/>
      <c r="GTG120" s="1"/>
      <c r="GTH120" s="1"/>
      <c r="GTI120" s="1"/>
      <c r="GTJ120" s="1"/>
      <c r="GTK120" s="1"/>
      <c r="GTL120" s="1"/>
      <c r="GTM120" s="1"/>
      <c r="GTN120" s="1"/>
      <c r="GTO120" s="1"/>
      <c r="GTP120" s="1"/>
      <c r="GTQ120" s="1"/>
      <c r="GTR120" s="1"/>
      <c r="GTS120" s="1"/>
      <c r="GTT120" s="1"/>
      <c r="GTU120" s="1"/>
      <c r="GTV120" s="1"/>
      <c r="GTW120" s="1"/>
      <c r="GTX120" s="1"/>
      <c r="GTY120" s="1"/>
      <c r="GTZ120" s="1"/>
      <c r="GUA120" s="1"/>
      <c r="GUB120" s="1"/>
      <c r="GUC120" s="1"/>
      <c r="GUD120" s="1"/>
      <c r="GUE120" s="1"/>
      <c r="GUF120" s="1"/>
      <c r="GUG120" s="1"/>
      <c r="GUH120" s="1"/>
      <c r="GUI120" s="1"/>
      <c r="GUJ120" s="1"/>
      <c r="GUK120" s="1"/>
      <c r="GUL120" s="1"/>
      <c r="GUM120" s="1"/>
      <c r="GUN120" s="1"/>
      <c r="GUO120" s="1"/>
      <c r="GUP120" s="1"/>
      <c r="GUQ120" s="1"/>
      <c r="GUR120" s="1"/>
      <c r="GUS120" s="1"/>
      <c r="GUT120" s="1"/>
      <c r="GUU120" s="1"/>
      <c r="GUV120" s="1"/>
      <c r="GUW120" s="1"/>
      <c r="GUX120" s="1"/>
      <c r="GUY120" s="1"/>
      <c r="GUZ120" s="1"/>
      <c r="GVA120" s="1"/>
      <c r="GVB120" s="1"/>
      <c r="GVC120" s="1"/>
      <c r="GVD120" s="1"/>
      <c r="GVE120" s="1"/>
      <c r="GVF120" s="1"/>
      <c r="GVG120" s="1"/>
      <c r="GVH120" s="1"/>
      <c r="GVI120" s="1"/>
      <c r="GVJ120" s="1"/>
      <c r="GVK120" s="1"/>
      <c r="GVL120" s="1"/>
      <c r="GVM120" s="1"/>
      <c r="GVN120" s="1"/>
      <c r="GVO120" s="1"/>
      <c r="GVP120" s="1"/>
      <c r="GVQ120" s="1"/>
      <c r="GVR120" s="1"/>
      <c r="GVS120" s="1"/>
      <c r="GVT120" s="1"/>
      <c r="GVU120" s="1"/>
      <c r="GVV120" s="1"/>
      <c r="GVW120" s="1"/>
      <c r="GVX120" s="1"/>
      <c r="GVY120" s="1"/>
      <c r="GVZ120" s="1"/>
      <c r="GWA120" s="1"/>
      <c r="GWB120" s="1"/>
      <c r="GWC120" s="1"/>
      <c r="GWD120" s="1"/>
      <c r="GWE120" s="1"/>
      <c r="GWF120" s="1"/>
      <c r="GWG120" s="1"/>
      <c r="GWH120" s="1"/>
      <c r="GWI120" s="1"/>
      <c r="GWJ120" s="1"/>
      <c r="GWK120" s="1"/>
      <c r="GWL120" s="1"/>
      <c r="GWM120" s="1"/>
      <c r="GWN120" s="1"/>
      <c r="GWO120" s="1"/>
      <c r="GWP120" s="1"/>
      <c r="GWQ120" s="1"/>
      <c r="GWR120" s="1"/>
      <c r="GWS120" s="1"/>
      <c r="GWT120" s="1"/>
      <c r="GWU120" s="1"/>
      <c r="GWV120" s="1"/>
      <c r="GWW120" s="1"/>
      <c r="GWX120" s="1"/>
      <c r="GWY120" s="1"/>
      <c r="GWZ120" s="1"/>
      <c r="GXA120" s="1"/>
      <c r="GXB120" s="1"/>
      <c r="GXC120" s="1"/>
      <c r="GXD120" s="1"/>
      <c r="GXE120" s="1"/>
      <c r="GXF120" s="1"/>
      <c r="GXG120" s="1"/>
      <c r="GXH120" s="1"/>
      <c r="GXI120" s="1"/>
      <c r="GXJ120" s="1"/>
      <c r="GXK120" s="1"/>
      <c r="GXL120" s="1"/>
      <c r="GXM120" s="1"/>
      <c r="GXN120" s="1"/>
      <c r="GXO120" s="1"/>
      <c r="GXP120" s="1"/>
      <c r="GXQ120" s="1"/>
      <c r="GXR120" s="1"/>
      <c r="GXS120" s="1"/>
      <c r="GXT120" s="1"/>
      <c r="GXU120" s="1"/>
      <c r="GXV120" s="1"/>
      <c r="GXW120" s="1"/>
      <c r="GXX120" s="1"/>
      <c r="GXY120" s="1"/>
      <c r="GXZ120" s="1"/>
      <c r="GYA120" s="1"/>
      <c r="GYB120" s="1"/>
      <c r="GYC120" s="1"/>
      <c r="GYD120" s="1"/>
      <c r="GYE120" s="1"/>
      <c r="GYF120" s="1"/>
      <c r="GYG120" s="1"/>
      <c r="GYH120" s="1"/>
      <c r="GYI120" s="1"/>
      <c r="GYJ120" s="1"/>
      <c r="GYK120" s="1"/>
      <c r="GYL120" s="1"/>
      <c r="GYM120" s="1"/>
      <c r="GYN120" s="1"/>
      <c r="GYO120" s="1"/>
      <c r="GYP120" s="1"/>
      <c r="GYQ120" s="1"/>
      <c r="GYR120" s="1"/>
      <c r="GYS120" s="1"/>
      <c r="GYT120" s="1"/>
      <c r="GYU120" s="1"/>
      <c r="GYV120" s="1"/>
      <c r="GYW120" s="1"/>
      <c r="GYX120" s="1"/>
      <c r="GYY120" s="1"/>
      <c r="GYZ120" s="1"/>
      <c r="GZA120" s="1"/>
      <c r="GZB120" s="1"/>
      <c r="GZC120" s="1"/>
      <c r="GZD120" s="1"/>
      <c r="GZE120" s="1"/>
      <c r="GZF120" s="1"/>
      <c r="GZG120" s="1"/>
      <c r="GZH120" s="1"/>
      <c r="GZI120" s="1"/>
      <c r="GZJ120" s="1"/>
      <c r="GZK120" s="1"/>
      <c r="GZL120" s="1"/>
      <c r="GZM120" s="1"/>
      <c r="GZN120" s="1"/>
      <c r="GZO120" s="1"/>
      <c r="GZP120" s="1"/>
      <c r="GZQ120" s="1"/>
      <c r="GZR120" s="1"/>
      <c r="GZS120" s="1"/>
      <c r="GZT120" s="1"/>
      <c r="GZU120" s="1"/>
      <c r="GZV120" s="1"/>
      <c r="GZW120" s="1"/>
      <c r="GZX120" s="1"/>
      <c r="GZY120" s="1"/>
      <c r="GZZ120" s="1"/>
      <c r="HAA120" s="1"/>
      <c r="HAB120" s="1"/>
      <c r="HAC120" s="1"/>
      <c r="HAD120" s="1"/>
      <c r="HAE120" s="1"/>
      <c r="HAF120" s="1"/>
      <c r="HAG120" s="1"/>
      <c r="HAH120" s="1"/>
      <c r="HAI120" s="1"/>
      <c r="HAJ120" s="1"/>
      <c r="HAK120" s="1"/>
      <c r="HAL120" s="1"/>
      <c r="HAM120" s="1"/>
      <c r="HAN120" s="1"/>
      <c r="HAO120" s="1"/>
      <c r="HAP120" s="1"/>
      <c r="HAQ120" s="1"/>
      <c r="HAR120" s="1"/>
      <c r="HAS120" s="1"/>
      <c r="HAT120" s="1"/>
      <c r="HAU120" s="1"/>
      <c r="HAV120" s="1"/>
      <c r="HAW120" s="1"/>
      <c r="HAX120" s="1"/>
      <c r="HAY120" s="1"/>
      <c r="HAZ120" s="1"/>
      <c r="HBA120" s="1"/>
      <c r="HBB120" s="1"/>
      <c r="HBC120" s="1"/>
      <c r="HBD120" s="1"/>
      <c r="HBE120" s="1"/>
      <c r="HBF120" s="1"/>
      <c r="HBG120" s="1"/>
      <c r="HBH120" s="1"/>
      <c r="HBI120" s="1"/>
      <c r="HBJ120" s="1"/>
      <c r="HBK120" s="1"/>
      <c r="HBL120" s="1"/>
      <c r="HBM120" s="1"/>
      <c r="HBN120" s="1"/>
      <c r="HBO120" s="1"/>
      <c r="HBP120" s="1"/>
      <c r="HBQ120" s="1"/>
      <c r="HBR120" s="1"/>
      <c r="HBS120" s="1"/>
      <c r="HBT120" s="1"/>
      <c r="HBU120" s="1"/>
      <c r="HBV120" s="1"/>
      <c r="HBW120" s="1"/>
      <c r="HBX120" s="1"/>
      <c r="HBY120" s="1"/>
      <c r="HBZ120" s="1"/>
      <c r="HCA120" s="1"/>
      <c r="HCB120" s="1"/>
      <c r="HCC120" s="1"/>
      <c r="HCD120" s="1"/>
      <c r="HCE120" s="1"/>
      <c r="HCF120" s="1"/>
      <c r="HCG120" s="1"/>
      <c r="HCH120" s="1"/>
      <c r="HCI120" s="1"/>
      <c r="HCJ120" s="1"/>
      <c r="HCK120" s="1"/>
      <c r="HCL120" s="1"/>
      <c r="HCM120" s="1"/>
      <c r="HCN120" s="1"/>
      <c r="HCO120" s="1"/>
      <c r="HCP120" s="1"/>
      <c r="HCQ120" s="1"/>
      <c r="HCR120" s="1"/>
      <c r="HCS120" s="1"/>
      <c r="HCT120" s="1"/>
      <c r="HCU120" s="1"/>
      <c r="HCV120" s="1"/>
      <c r="HCW120" s="1"/>
      <c r="HCX120" s="1"/>
      <c r="HCY120" s="1"/>
      <c r="HCZ120" s="1"/>
      <c r="HDA120" s="1"/>
      <c r="HDB120" s="1"/>
      <c r="HDC120" s="1"/>
      <c r="HDD120" s="1"/>
      <c r="HDE120" s="1"/>
      <c r="HDF120" s="1"/>
      <c r="HDG120" s="1"/>
      <c r="HDH120" s="1"/>
      <c r="HDI120" s="1"/>
      <c r="HDJ120" s="1"/>
      <c r="HDK120" s="1"/>
      <c r="HDL120" s="1"/>
      <c r="HDM120" s="1"/>
      <c r="HDN120" s="1"/>
      <c r="HDO120" s="1"/>
      <c r="HDP120" s="1"/>
      <c r="HDQ120" s="1"/>
      <c r="HDR120" s="1"/>
      <c r="HDS120" s="1"/>
      <c r="HDT120" s="1"/>
      <c r="HDU120" s="1"/>
      <c r="HDV120" s="1"/>
      <c r="HDW120" s="1"/>
      <c r="HDX120" s="1"/>
      <c r="HDY120" s="1"/>
      <c r="HDZ120" s="1"/>
      <c r="HEA120" s="1"/>
      <c r="HEB120" s="1"/>
      <c r="HEC120" s="1"/>
      <c r="HED120" s="1"/>
      <c r="HEE120" s="1"/>
      <c r="HEF120" s="1"/>
      <c r="HEG120" s="1"/>
      <c r="HEH120" s="1"/>
      <c r="HEI120" s="1"/>
      <c r="HEJ120" s="1"/>
      <c r="HEK120" s="1"/>
      <c r="HEL120" s="1"/>
      <c r="HEM120" s="1"/>
      <c r="HEN120" s="1"/>
      <c r="HEO120" s="1"/>
      <c r="HEP120" s="1"/>
      <c r="HEQ120" s="1"/>
      <c r="HER120" s="1"/>
      <c r="HES120" s="1"/>
      <c r="HET120" s="1"/>
      <c r="HEU120" s="1"/>
      <c r="HEV120" s="1"/>
      <c r="HEW120" s="1"/>
      <c r="HEX120" s="1"/>
      <c r="HEY120" s="1"/>
      <c r="HEZ120" s="1"/>
      <c r="HFA120" s="1"/>
      <c r="HFB120" s="1"/>
      <c r="HFC120" s="1"/>
      <c r="HFD120" s="1"/>
      <c r="HFE120" s="1"/>
      <c r="HFF120" s="1"/>
      <c r="HFG120" s="1"/>
      <c r="HFH120" s="1"/>
      <c r="HFI120" s="1"/>
      <c r="HFJ120" s="1"/>
      <c r="HFK120" s="1"/>
      <c r="HFL120" s="1"/>
      <c r="HFM120" s="1"/>
      <c r="HFN120" s="1"/>
      <c r="HFO120" s="1"/>
      <c r="HFP120" s="1"/>
      <c r="HFQ120" s="1"/>
      <c r="HFR120" s="1"/>
      <c r="HFS120" s="1"/>
      <c r="HFT120" s="1"/>
      <c r="HFU120" s="1"/>
      <c r="HFV120" s="1"/>
      <c r="HFW120" s="1"/>
      <c r="HFX120" s="1"/>
      <c r="HFY120" s="1"/>
      <c r="HFZ120" s="1"/>
      <c r="HGA120" s="1"/>
      <c r="HGB120" s="1"/>
      <c r="HGC120" s="1"/>
      <c r="HGD120" s="1"/>
      <c r="HGE120" s="1"/>
      <c r="HGF120" s="1"/>
      <c r="HGG120" s="1"/>
      <c r="HGH120" s="1"/>
      <c r="HGI120" s="1"/>
      <c r="HGJ120" s="1"/>
      <c r="HGK120" s="1"/>
      <c r="HGL120" s="1"/>
      <c r="HGM120" s="1"/>
      <c r="HGN120" s="1"/>
      <c r="HGO120" s="1"/>
      <c r="HGP120" s="1"/>
      <c r="HGQ120" s="1"/>
      <c r="HGR120" s="1"/>
      <c r="HGS120" s="1"/>
      <c r="HGT120" s="1"/>
      <c r="HGU120" s="1"/>
      <c r="HGV120" s="1"/>
      <c r="HGW120" s="1"/>
      <c r="HGX120" s="1"/>
      <c r="HGY120" s="1"/>
      <c r="HGZ120" s="1"/>
      <c r="HHA120" s="1"/>
      <c r="HHB120" s="1"/>
      <c r="HHC120" s="1"/>
      <c r="HHD120" s="1"/>
      <c r="HHE120" s="1"/>
      <c r="HHF120" s="1"/>
      <c r="HHG120" s="1"/>
      <c r="HHH120" s="1"/>
      <c r="HHI120" s="1"/>
      <c r="HHJ120" s="1"/>
      <c r="HHK120" s="1"/>
      <c r="HHL120" s="1"/>
      <c r="HHM120" s="1"/>
      <c r="HHN120" s="1"/>
      <c r="HHO120" s="1"/>
      <c r="HHP120" s="1"/>
      <c r="HHQ120" s="1"/>
      <c r="HHR120" s="1"/>
      <c r="HHS120" s="1"/>
      <c r="HHT120" s="1"/>
      <c r="HHU120" s="1"/>
      <c r="HHV120" s="1"/>
      <c r="HHW120" s="1"/>
      <c r="HHX120" s="1"/>
      <c r="HHY120" s="1"/>
      <c r="HHZ120" s="1"/>
      <c r="HIA120" s="1"/>
      <c r="HIB120" s="1"/>
      <c r="HIC120" s="1"/>
      <c r="HID120" s="1"/>
      <c r="HIE120" s="1"/>
      <c r="HIF120" s="1"/>
      <c r="HIG120" s="1"/>
      <c r="HIH120" s="1"/>
      <c r="HII120" s="1"/>
      <c r="HIJ120" s="1"/>
      <c r="HIK120" s="1"/>
      <c r="HIL120" s="1"/>
      <c r="HIM120" s="1"/>
      <c r="HIN120" s="1"/>
      <c r="HIO120" s="1"/>
      <c r="HIP120" s="1"/>
      <c r="HIQ120" s="1"/>
      <c r="HIR120" s="1"/>
      <c r="HIS120" s="1"/>
      <c r="HIT120" s="1"/>
      <c r="HIU120" s="1"/>
      <c r="HIV120" s="1"/>
      <c r="HIW120" s="1"/>
      <c r="HIX120" s="1"/>
      <c r="HIY120" s="1"/>
      <c r="HIZ120" s="1"/>
      <c r="HJA120" s="1"/>
      <c r="HJB120" s="1"/>
      <c r="HJC120" s="1"/>
      <c r="HJD120" s="1"/>
      <c r="HJE120" s="1"/>
      <c r="HJF120" s="1"/>
      <c r="HJG120" s="1"/>
      <c r="HJH120" s="1"/>
      <c r="HJI120" s="1"/>
      <c r="HJJ120" s="1"/>
      <c r="HJK120" s="1"/>
      <c r="HJL120" s="1"/>
      <c r="HJM120" s="1"/>
      <c r="HJN120" s="1"/>
      <c r="HJO120" s="1"/>
      <c r="HJP120" s="1"/>
      <c r="HJQ120" s="1"/>
      <c r="HJR120" s="1"/>
      <c r="HJS120" s="1"/>
      <c r="HJT120" s="1"/>
      <c r="HJU120" s="1"/>
      <c r="HJV120" s="1"/>
      <c r="HJW120" s="1"/>
      <c r="HJX120" s="1"/>
      <c r="HJY120" s="1"/>
      <c r="HJZ120" s="1"/>
      <c r="HKA120" s="1"/>
      <c r="HKB120" s="1"/>
      <c r="HKC120" s="1"/>
      <c r="HKD120" s="1"/>
      <c r="HKE120" s="1"/>
      <c r="HKF120" s="1"/>
      <c r="HKG120" s="1"/>
      <c r="HKH120" s="1"/>
      <c r="HKI120" s="1"/>
      <c r="HKJ120" s="1"/>
      <c r="HKK120" s="1"/>
      <c r="HKL120" s="1"/>
      <c r="HKM120" s="1"/>
      <c r="HKN120" s="1"/>
      <c r="HKO120" s="1"/>
      <c r="HKP120" s="1"/>
      <c r="HKQ120" s="1"/>
      <c r="HKR120" s="1"/>
      <c r="HKS120" s="1"/>
      <c r="HKT120" s="1"/>
      <c r="HKU120" s="1"/>
      <c r="HKV120" s="1"/>
      <c r="HKW120" s="1"/>
      <c r="HKX120" s="1"/>
      <c r="HKY120" s="1"/>
      <c r="HKZ120" s="1"/>
      <c r="HLA120" s="1"/>
      <c r="HLB120" s="1"/>
      <c r="HLC120" s="1"/>
      <c r="HLD120" s="1"/>
      <c r="HLE120" s="1"/>
      <c r="HLF120" s="1"/>
      <c r="HLG120" s="1"/>
      <c r="HLH120" s="1"/>
      <c r="HLI120" s="1"/>
      <c r="HLJ120" s="1"/>
      <c r="HLK120" s="1"/>
      <c r="HLL120" s="1"/>
      <c r="HLM120" s="1"/>
      <c r="HLN120" s="1"/>
      <c r="HLO120" s="1"/>
      <c r="HLP120" s="1"/>
      <c r="HLQ120" s="1"/>
      <c r="HLR120" s="1"/>
      <c r="HLS120" s="1"/>
      <c r="HLT120" s="1"/>
      <c r="HLU120" s="1"/>
      <c r="HLV120" s="1"/>
      <c r="HLW120" s="1"/>
      <c r="HLX120" s="1"/>
      <c r="HLY120" s="1"/>
      <c r="HLZ120" s="1"/>
      <c r="HMA120" s="1"/>
      <c r="HMB120" s="1"/>
      <c r="HMC120" s="1"/>
      <c r="HMD120" s="1"/>
      <c r="HME120" s="1"/>
      <c r="HMF120" s="1"/>
      <c r="HMG120" s="1"/>
      <c r="HMH120" s="1"/>
      <c r="HMI120" s="1"/>
      <c r="HMJ120" s="1"/>
      <c r="HMK120" s="1"/>
      <c r="HML120" s="1"/>
      <c r="HMM120" s="1"/>
      <c r="HMN120" s="1"/>
      <c r="HMO120" s="1"/>
      <c r="HMP120" s="1"/>
      <c r="HMQ120" s="1"/>
      <c r="HMR120" s="1"/>
      <c r="HMS120" s="1"/>
      <c r="HMT120" s="1"/>
      <c r="HMU120" s="1"/>
      <c r="HMV120" s="1"/>
      <c r="HMW120" s="1"/>
      <c r="HMX120" s="1"/>
      <c r="HMY120" s="1"/>
      <c r="HMZ120" s="1"/>
      <c r="HNA120" s="1"/>
      <c r="HNB120" s="1"/>
      <c r="HNC120" s="1"/>
      <c r="HND120" s="1"/>
      <c r="HNE120" s="1"/>
      <c r="HNF120" s="1"/>
      <c r="HNG120" s="1"/>
      <c r="HNH120" s="1"/>
      <c r="HNI120" s="1"/>
      <c r="HNJ120" s="1"/>
      <c r="HNK120" s="1"/>
      <c r="HNL120" s="1"/>
      <c r="HNM120" s="1"/>
      <c r="HNN120" s="1"/>
      <c r="HNO120" s="1"/>
      <c r="HNP120" s="1"/>
      <c r="HNQ120" s="1"/>
      <c r="HNR120" s="1"/>
      <c r="HNS120" s="1"/>
      <c r="HNT120" s="1"/>
      <c r="HNU120" s="1"/>
      <c r="HNV120" s="1"/>
      <c r="HNW120" s="1"/>
      <c r="HNX120" s="1"/>
      <c r="HNY120" s="1"/>
      <c r="HNZ120" s="1"/>
      <c r="HOA120" s="1"/>
      <c r="HOB120" s="1"/>
      <c r="HOC120" s="1"/>
      <c r="HOD120" s="1"/>
      <c r="HOE120" s="1"/>
      <c r="HOF120" s="1"/>
      <c r="HOG120" s="1"/>
      <c r="HOH120" s="1"/>
      <c r="HOI120" s="1"/>
      <c r="HOJ120" s="1"/>
      <c r="HOK120" s="1"/>
      <c r="HOL120" s="1"/>
      <c r="HOM120" s="1"/>
      <c r="HON120" s="1"/>
      <c r="HOO120" s="1"/>
      <c r="HOP120" s="1"/>
      <c r="HOQ120" s="1"/>
      <c r="HOR120" s="1"/>
      <c r="HOS120" s="1"/>
      <c r="HOT120" s="1"/>
      <c r="HOU120" s="1"/>
      <c r="HOV120" s="1"/>
      <c r="HOW120" s="1"/>
      <c r="HOX120" s="1"/>
      <c r="HOY120" s="1"/>
      <c r="HOZ120" s="1"/>
      <c r="HPA120" s="1"/>
      <c r="HPB120" s="1"/>
      <c r="HPC120" s="1"/>
      <c r="HPD120" s="1"/>
      <c r="HPE120" s="1"/>
      <c r="HPF120" s="1"/>
      <c r="HPG120" s="1"/>
      <c r="HPH120" s="1"/>
      <c r="HPI120" s="1"/>
      <c r="HPJ120" s="1"/>
      <c r="HPK120" s="1"/>
      <c r="HPL120" s="1"/>
      <c r="HPM120" s="1"/>
      <c r="HPN120" s="1"/>
      <c r="HPO120" s="1"/>
      <c r="HPP120" s="1"/>
      <c r="HPQ120" s="1"/>
      <c r="HPR120" s="1"/>
      <c r="HPS120" s="1"/>
      <c r="HPT120" s="1"/>
      <c r="HPU120" s="1"/>
      <c r="HPV120" s="1"/>
      <c r="HPW120" s="1"/>
      <c r="HPX120" s="1"/>
      <c r="HPY120" s="1"/>
      <c r="HPZ120" s="1"/>
      <c r="HQA120" s="1"/>
      <c r="HQB120" s="1"/>
      <c r="HQC120" s="1"/>
      <c r="HQD120" s="1"/>
      <c r="HQE120" s="1"/>
      <c r="HQF120" s="1"/>
      <c r="HQG120" s="1"/>
      <c r="HQH120" s="1"/>
      <c r="HQI120" s="1"/>
      <c r="HQJ120" s="1"/>
      <c r="HQK120" s="1"/>
      <c r="HQL120" s="1"/>
      <c r="HQM120" s="1"/>
      <c r="HQN120" s="1"/>
      <c r="HQO120" s="1"/>
      <c r="HQP120" s="1"/>
      <c r="HQQ120" s="1"/>
      <c r="HQR120" s="1"/>
      <c r="HQS120" s="1"/>
      <c r="HQT120" s="1"/>
      <c r="HQU120" s="1"/>
      <c r="HQV120" s="1"/>
      <c r="HQW120" s="1"/>
      <c r="HQX120" s="1"/>
      <c r="HQY120" s="1"/>
      <c r="HQZ120" s="1"/>
      <c r="HRA120" s="1"/>
      <c r="HRB120" s="1"/>
      <c r="HRC120" s="1"/>
      <c r="HRD120" s="1"/>
      <c r="HRE120" s="1"/>
      <c r="HRF120" s="1"/>
      <c r="HRG120" s="1"/>
      <c r="HRH120" s="1"/>
      <c r="HRI120" s="1"/>
      <c r="HRJ120" s="1"/>
      <c r="HRK120" s="1"/>
      <c r="HRL120" s="1"/>
      <c r="HRM120" s="1"/>
      <c r="HRN120" s="1"/>
      <c r="HRO120" s="1"/>
      <c r="HRP120" s="1"/>
      <c r="HRQ120" s="1"/>
      <c r="HRR120" s="1"/>
      <c r="HRS120" s="1"/>
      <c r="HRT120" s="1"/>
      <c r="HRU120" s="1"/>
      <c r="HRV120" s="1"/>
      <c r="HRW120" s="1"/>
      <c r="HRX120" s="1"/>
      <c r="HRY120" s="1"/>
      <c r="HRZ120" s="1"/>
      <c r="HSA120" s="1"/>
      <c r="HSB120" s="1"/>
      <c r="HSC120" s="1"/>
      <c r="HSD120" s="1"/>
      <c r="HSE120" s="1"/>
      <c r="HSF120" s="1"/>
      <c r="HSG120" s="1"/>
      <c r="HSH120" s="1"/>
      <c r="HSI120" s="1"/>
      <c r="HSJ120" s="1"/>
      <c r="HSK120" s="1"/>
      <c r="HSL120" s="1"/>
      <c r="HSM120" s="1"/>
      <c r="HSN120" s="1"/>
      <c r="HSO120" s="1"/>
      <c r="HSP120" s="1"/>
      <c r="HSQ120" s="1"/>
      <c r="HSR120" s="1"/>
      <c r="HSS120" s="1"/>
      <c r="HST120" s="1"/>
      <c r="HSU120" s="1"/>
      <c r="HSV120" s="1"/>
      <c r="HSW120" s="1"/>
      <c r="HSX120" s="1"/>
      <c r="HSY120" s="1"/>
      <c r="HSZ120" s="1"/>
      <c r="HTA120" s="1"/>
      <c r="HTB120" s="1"/>
      <c r="HTC120" s="1"/>
      <c r="HTD120" s="1"/>
      <c r="HTE120" s="1"/>
      <c r="HTF120" s="1"/>
      <c r="HTG120" s="1"/>
      <c r="HTH120" s="1"/>
      <c r="HTI120" s="1"/>
      <c r="HTJ120" s="1"/>
      <c r="HTK120" s="1"/>
      <c r="HTL120" s="1"/>
      <c r="HTM120" s="1"/>
      <c r="HTN120" s="1"/>
      <c r="HTO120" s="1"/>
      <c r="HTP120" s="1"/>
      <c r="HTQ120" s="1"/>
      <c r="HTR120" s="1"/>
      <c r="HTS120" s="1"/>
      <c r="HTT120" s="1"/>
      <c r="HTU120" s="1"/>
      <c r="HTV120" s="1"/>
      <c r="HTW120" s="1"/>
      <c r="HTX120" s="1"/>
      <c r="HTY120" s="1"/>
      <c r="HTZ120" s="1"/>
      <c r="HUA120" s="1"/>
      <c r="HUB120" s="1"/>
      <c r="HUC120" s="1"/>
      <c r="HUD120" s="1"/>
      <c r="HUE120" s="1"/>
      <c r="HUF120" s="1"/>
      <c r="HUG120" s="1"/>
      <c r="HUH120" s="1"/>
      <c r="HUI120" s="1"/>
      <c r="HUJ120" s="1"/>
      <c r="HUK120" s="1"/>
      <c r="HUL120" s="1"/>
      <c r="HUM120" s="1"/>
      <c r="HUN120" s="1"/>
      <c r="HUO120" s="1"/>
      <c r="HUP120" s="1"/>
      <c r="HUQ120" s="1"/>
      <c r="HUR120" s="1"/>
      <c r="HUS120" s="1"/>
      <c r="HUT120" s="1"/>
      <c r="HUU120" s="1"/>
      <c r="HUV120" s="1"/>
      <c r="HUW120" s="1"/>
      <c r="HUX120" s="1"/>
      <c r="HUY120" s="1"/>
      <c r="HUZ120" s="1"/>
      <c r="HVA120" s="1"/>
      <c r="HVB120" s="1"/>
      <c r="HVC120" s="1"/>
      <c r="HVD120" s="1"/>
      <c r="HVE120" s="1"/>
      <c r="HVF120" s="1"/>
      <c r="HVG120" s="1"/>
      <c r="HVH120" s="1"/>
      <c r="HVI120" s="1"/>
      <c r="HVJ120" s="1"/>
      <c r="HVK120" s="1"/>
      <c r="HVL120" s="1"/>
      <c r="HVM120" s="1"/>
      <c r="HVN120" s="1"/>
      <c r="HVO120" s="1"/>
      <c r="HVP120" s="1"/>
      <c r="HVQ120" s="1"/>
      <c r="HVR120" s="1"/>
      <c r="HVS120" s="1"/>
      <c r="HVT120" s="1"/>
      <c r="HVU120" s="1"/>
      <c r="HVV120" s="1"/>
      <c r="HVW120" s="1"/>
      <c r="HVX120" s="1"/>
      <c r="HVY120" s="1"/>
      <c r="HVZ120" s="1"/>
      <c r="HWA120" s="1"/>
      <c r="HWB120" s="1"/>
      <c r="HWC120" s="1"/>
      <c r="HWD120" s="1"/>
      <c r="HWE120" s="1"/>
      <c r="HWF120" s="1"/>
      <c r="HWG120" s="1"/>
      <c r="HWH120" s="1"/>
      <c r="HWI120" s="1"/>
      <c r="HWJ120" s="1"/>
      <c r="HWK120" s="1"/>
      <c r="HWL120" s="1"/>
      <c r="HWM120" s="1"/>
      <c r="HWN120" s="1"/>
      <c r="HWO120" s="1"/>
      <c r="HWP120" s="1"/>
      <c r="HWQ120" s="1"/>
      <c r="HWR120" s="1"/>
      <c r="HWS120" s="1"/>
      <c r="HWT120" s="1"/>
      <c r="HWU120" s="1"/>
      <c r="HWV120" s="1"/>
      <c r="HWW120" s="1"/>
      <c r="HWX120" s="1"/>
      <c r="HWY120" s="1"/>
      <c r="HWZ120" s="1"/>
      <c r="HXA120" s="1"/>
      <c r="HXB120" s="1"/>
      <c r="HXC120" s="1"/>
      <c r="HXD120" s="1"/>
      <c r="HXE120" s="1"/>
      <c r="HXF120" s="1"/>
      <c r="HXG120" s="1"/>
      <c r="HXH120" s="1"/>
      <c r="HXI120" s="1"/>
      <c r="HXJ120" s="1"/>
      <c r="HXK120" s="1"/>
      <c r="HXL120" s="1"/>
      <c r="HXM120" s="1"/>
      <c r="HXN120" s="1"/>
      <c r="HXO120" s="1"/>
      <c r="HXP120" s="1"/>
      <c r="HXQ120" s="1"/>
      <c r="HXR120" s="1"/>
      <c r="HXS120" s="1"/>
      <c r="HXT120" s="1"/>
      <c r="HXU120" s="1"/>
      <c r="HXV120" s="1"/>
      <c r="HXW120" s="1"/>
      <c r="HXX120" s="1"/>
      <c r="HXY120" s="1"/>
      <c r="HXZ120" s="1"/>
      <c r="HYA120" s="1"/>
      <c r="HYB120" s="1"/>
      <c r="HYC120" s="1"/>
      <c r="HYD120" s="1"/>
      <c r="HYE120" s="1"/>
      <c r="HYF120" s="1"/>
      <c r="HYG120" s="1"/>
      <c r="HYH120" s="1"/>
      <c r="HYI120" s="1"/>
      <c r="HYJ120" s="1"/>
      <c r="HYK120" s="1"/>
      <c r="HYL120" s="1"/>
      <c r="HYM120" s="1"/>
      <c r="HYN120" s="1"/>
      <c r="HYO120" s="1"/>
      <c r="HYP120" s="1"/>
      <c r="HYQ120" s="1"/>
      <c r="HYR120" s="1"/>
      <c r="HYS120" s="1"/>
      <c r="HYT120" s="1"/>
      <c r="HYU120" s="1"/>
      <c r="HYV120" s="1"/>
      <c r="HYW120" s="1"/>
      <c r="HYX120" s="1"/>
      <c r="HYY120" s="1"/>
      <c r="HYZ120" s="1"/>
      <c r="HZA120" s="1"/>
      <c r="HZB120" s="1"/>
      <c r="HZC120" s="1"/>
      <c r="HZD120" s="1"/>
      <c r="HZE120" s="1"/>
      <c r="HZF120" s="1"/>
      <c r="HZG120" s="1"/>
      <c r="HZH120" s="1"/>
      <c r="HZI120" s="1"/>
      <c r="HZJ120" s="1"/>
      <c r="HZK120" s="1"/>
      <c r="HZL120" s="1"/>
      <c r="HZM120" s="1"/>
      <c r="HZN120" s="1"/>
      <c r="HZO120" s="1"/>
      <c r="HZP120" s="1"/>
      <c r="HZQ120" s="1"/>
      <c r="HZR120" s="1"/>
      <c r="HZS120" s="1"/>
      <c r="HZT120" s="1"/>
      <c r="HZU120" s="1"/>
      <c r="HZV120" s="1"/>
      <c r="HZW120" s="1"/>
      <c r="HZX120" s="1"/>
      <c r="HZY120" s="1"/>
      <c r="HZZ120" s="1"/>
      <c r="IAA120" s="1"/>
      <c r="IAB120" s="1"/>
      <c r="IAC120" s="1"/>
      <c r="IAD120" s="1"/>
      <c r="IAE120" s="1"/>
      <c r="IAF120" s="1"/>
      <c r="IAG120" s="1"/>
      <c r="IAH120" s="1"/>
      <c r="IAI120" s="1"/>
      <c r="IAJ120" s="1"/>
      <c r="IAK120" s="1"/>
      <c r="IAL120" s="1"/>
      <c r="IAM120" s="1"/>
      <c r="IAN120" s="1"/>
      <c r="IAO120" s="1"/>
      <c r="IAP120" s="1"/>
      <c r="IAQ120" s="1"/>
      <c r="IAR120" s="1"/>
      <c r="IAS120" s="1"/>
      <c r="IAT120" s="1"/>
      <c r="IAU120" s="1"/>
      <c r="IAV120" s="1"/>
      <c r="IAW120" s="1"/>
      <c r="IAX120" s="1"/>
      <c r="IAY120" s="1"/>
      <c r="IAZ120" s="1"/>
      <c r="IBA120" s="1"/>
      <c r="IBB120" s="1"/>
      <c r="IBC120" s="1"/>
      <c r="IBD120" s="1"/>
      <c r="IBE120" s="1"/>
      <c r="IBF120" s="1"/>
      <c r="IBG120" s="1"/>
      <c r="IBH120" s="1"/>
      <c r="IBI120" s="1"/>
      <c r="IBJ120" s="1"/>
      <c r="IBK120" s="1"/>
      <c r="IBL120" s="1"/>
      <c r="IBM120" s="1"/>
      <c r="IBN120" s="1"/>
      <c r="IBO120" s="1"/>
      <c r="IBP120" s="1"/>
      <c r="IBQ120" s="1"/>
      <c r="IBR120" s="1"/>
      <c r="IBS120" s="1"/>
      <c r="IBT120" s="1"/>
      <c r="IBU120" s="1"/>
      <c r="IBV120" s="1"/>
      <c r="IBW120" s="1"/>
      <c r="IBX120" s="1"/>
      <c r="IBY120" s="1"/>
      <c r="IBZ120" s="1"/>
      <c r="ICA120" s="1"/>
      <c r="ICB120" s="1"/>
      <c r="ICC120" s="1"/>
      <c r="ICD120" s="1"/>
      <c r="ICE120" s="1"/>
      <c r="ICF120" s="1"/>
      <c r="ICG120" s="1"/>
      <c r="ICH120" s="1"/>
      <c r="ICI120" s="1"/>
      <c r="ICJ120" s="1"/>
      <c r="ICK120" s="1"/>
      <c r="ICL120" s="1"/>
      <c r="ICM120" s="1"/>
      <c r="ICN120" s="1"/>
      <c r="ICO120" s="1"/>
      <c r="ICP120" s="1"/>
      <c r="ICQ120" s="1"/>
      <c r="ICR120" s="1"/>
      <c r="ICS120" s="1"/>
      <c r="ICT120" s="1"/>
      <c r="ICU120" s="1"/>
      <c r="ICV120" s="1"/>
      <c r="ICW120" s="1"/>
      <c r="ICX120" s="1"/>
      <c r="ICY120" s="1"/>
      <c r="ICZ120" s="1"/>
      <c r="IDA120" s="1"/>
      <c r="IDB120" s="1"/>
      <c r="IDC120" s="1"/>
      <c r="IDD120" s="1"/>
      <c r="IDE120" s="1"/>
      <c r="IDF120" s="1"/>
      <c r="IDG120" s="1"/>
      <c r="IDH120" s="1"/>
      <c r="IDI120" s="1"/>
      <c r="IDJ120" s="1"/>
      <c r="IDK120" s="1"/>
      <c r="IDL120" s="1"/>
      <c r="IDM120" s="1"/>
      <c r="IDN120" s="1"/>
      <c r="IDO120" s="1"/>
      <c r="IDP120" s="1"/>
      <c r="IDQ120" s="1"/>
      <c r="IDR120" s="1"/>
      <c r="IDS120" s="1"/>
      <c r="IDT120" s="1"/>
      <c r="IDU120" s="1"/>
      <c r="IDV120" s="1"/>
      <c r="IDW120" s="1"/>
      <c r="IDX120" s="1"/>
      <c r="IDY120" s="1"/>
      <c r="IDZ120" s="1"/>
      <c r="IEA120" s="1"/>
      <c r="IEB120" s="1"/>
      <c r="IEC120" s="1"/>
      <c r="IED120" s="1"/>
      <c r="IEE120" s="1"/>
      <c r="IEF120" s="1"/>
      <c r="IEG120" s="1"/>
      <c r="IEH120" s="1"/>
      <c r="IEI120" s="1"/>
      <c r="IEJ120" s="1"/>
      <c r="IEK120" s="1"/>
      <c r="IEL120" s="1"/>
      <c r="IEM120" s="1"/>
      <c r="IEN120" s="1"/>
      <c r="IEO120" s="1"/>
      <c r="IEP120" s="1"/>
      <c r="IEQ120" s="1"/>
      <c r="IER120" s="1"/>
      <c r="IES120" s="1"/>
      <c r="IET120" s="1"/>
      <c r="IEU120" s="1"/>
      <c r="IEV120" s="1"/>
      <c r="IEW120" s="1"/>
      <c r="IEX120" s="1"/>
      <c r="IEY120" s="1"/>
      <c r="IEZ120" s="1"/>
      <c r="IFA120" s="1"/>
      <c r="IFB120" s="1"/>
      <c r="IFC120" s="1"/>
      <c r="IFD120" s="1"/>
      <c r="IFE120" s="1"/>
      <c r="IFF120" s="1"/>
      <c r="IFG120" s="1"/>
      <c r="IFH120" s="1"/>
      <c r="IFI120" s="1"/>
      <c r="IFJ120" s="1"/>
      <c r="IFK120" s="1"/>
      <c r="IFL120" s="1"/>
      <c r="IFM120" s="1"/>
      <c r="IFN120" s="1"/>
      <c r="IFO120" s="1"/>
      <c r="IFP120" s="1"/>
      <c r="IFQ120" s="1"/>
      <c r="IFR120" s="1"/>
      <c r="IFS120" s="1"/>
      <c r="IFT120" s="1"/>
      <c r="IFU120" s="1"/>
      <c r="IFV120" s="1"/>
      <c r="IFW120" s="1"/>
      <c r="IFX120" s="1"/>
      <c r="IFY120" s="1"/>
      <c r="IFZ120" s="1"/>
      <c r="IGA120" s="1"/>
      <c r="IGB120" s="1"/>
      <c r="IGC120" s="1"/>
      <c r="IGD120" s="1"/>
      <c r="IGE120" s="1"/>
      <c r="IGF120" s="1"/>
      <c r="IGG120" s="1"/>
      <c r="IGH120" s="1"/>
      <c r="IGI120" s="1"/>
      <c r="IGJ120" s="1"/>
      <c r="IGK120" s="1"/>
      <c r="IGL120" s="1"/>
      <c r="IGM120" s="1"/>
      <c r="IGN120" s="1"/>
      <c r="IGO120" s="1"/>
      <c r="IGP120" s="1"/>
      <c r="IGQ120" s="1"/>
      <c r="IGR120" s="1"/>
      <c r="IGS120" s="1"/>
      <c r="IGT120" s="1"/>
      <c r="IGU120" s="1"/>
      <c r="IGV120" s="1"/>
      <c r="IGW120" s="1"/>
      <c r="IGX120" s="1"/>
      <c r="IGY120" s="1"/>
      <c r="IGZ120" s="1"/>
      <c r="IHA120" s="1"/>
      <c r="IHB120" s="1"/>
      <c r="IHC120" s="1"/>
      <c r="IHD120" s="1"/>
      <c r="IHE120" s="1"/>
      <c r="IHF120" s="1"/>
      <c r="IHG120" s="1"/>
      <c r="IHH120" s="1"/>
      <c r="IHI120" s="1"/>
      <c r="IHJ120" s="1"/>
      <c r="IHK120" s="1"/>
      <c r="IHL120" s="1"/>
      <c r="IHM120" s="1"/>
      <c r="IHN120" s="1"/>
      <c r="IHO120" s="1"/>
      <c r="IHP120" s="1"/>
      <c r="IHQ120" s="1"/>
      <c r="IHR120" s="1"/>
      <c r="IHS120" s="1"/>
      <c r="IHT120" s="1"/>
      <c r="IHU120" s="1"/>
      <c r="IHV120" s="1"/>
      <c r="IHW120" s="1"/>
      <c r="IHX120" s="1"/>
      <c r="IHY120" s="1"/>
      <c r="IHZ120" s="1"/>
      <c r="IIA120" s="1"/>
      <c r="IIB120" s="1"/>
      <c r="IIC120" s="1"/>
      <c r="IID120" s="1"/>
      <c r="IIE120" s="1"/>
      <c r="IIF120" s="1"/>
      <c r="IIG120" s="1"/>
      <c r="IIH120" s="1"/>
      <c r="III120" s="1"/>
      <c r="IIJ120" s="1"/>
      <c r="IIK120" s="1"/>
      <c r="IIL120" s="1"/>
      <c r="IIM120" s="1"/>
      <c r="IIN120" s="1"/>
      <c r="IIO120" s="1"/>
      <c r="IIP120" s="1"/>
      <c r="IIQ120" s="1"/>
      <c r="IIR120" s="1"/>
      <c r="IIS120" s="1"/>
      <c r="IIT120" s="1"/>
      <c r="IIU120" s="1"/>
      <c r="IIV120" s="1"/>
      <c r="IIW120" s="1"/>
      <c r="IIX120" s="1"/>
      <c r="IIY120" s="1"/>
      <c r="IIZ120" s="1"/>
      <c r="IJA120" s="1"/>
      <c r="IJB120" s="1"/>
      <c r="IJC120" s="1"/>
      <c r="IJD120" s="1"/>
      <c r="IJE120" s="1"/>
      <c r="IJF120" s="1"/>
      <c r="IJG120" s="1"/>
      <c r="IJH120" s="1"/>
      <c r="IJI120" s="1"/>
      <c r="IJJ120" s="1"/>
      <c r="IJK120" s="1"/>
      <c r="IJL120" s="1"/>
      <c r="IJM120" s="1"/>
      <c r="IJN120" s="1"/>
      <c r="IJO120" s="1"/>
      <c r="IJP120" s="1"/>
      <c r="IJQ120" s="1"/>
      <c r="IJR120" s="1"/>
      <c r="IJS120" s="1"/>
      <c r="IJT120" s="1"/>
      <c r="IJU120" s="1"/>
      <c r="IJV120" s="1"/>
      <c r="IJW120" s="1"/>
      <c r="IJX120" s="1"/>
      <c r="IJY120" s="1"/>
      <c r="IJZ120" s="1"/>
      <c r="IKA120" s="1"/>
      <c r="IKB120" s="1"/>
      <c r="IKC120" s="1"/>
      <c r="IKD120" s="1"/>
      <c r="IKE120" s="1"/>
      <c r="IKF120" s="1"/>
      <c r="IKG120" s="1"/>
      <c r="IKH120" s="1"/>
      <c r="IKI120" s="1"/>
      <c r="IKJ120" s="1"/>
      <c r="IKK120" s="1"/>
      <c r="IKL120" s="1"/>
      <c r="IKM120" s="1"/>
      <c r="IKN120" s="1"/>
      <c r="IKO120" s="1"/>
      <c r="IKP120" s="1"/>
      <c r="IKQ120" s="1"/>
      <c r="IKR120" s="1"/>
      <c r="IKS120" s="1"/>
      <c r="IKT120" s="1"/>
      <c r="IKU120" s="1"/>
      <c r="IKV120" s="1"/>
      <c r="IKW120" s="1"/>
      <c r="IKX120" s="1"/>
      <c r="IKY120" s="1"/>
      <c r="IKZ120" s="1"/>
      <c r="ILA120" s="1"/>
      <c r="ILB120" s="1"/>
      <c r="ILC120" s="1"/>
      <c r="ILD120" s="1"/>
      <c r="ILE120" s="1"/>
      <c r="ILF120" s="1"/>
      <c r="ILG120" s="1"/>
      <c r="ILH120" s="1"/>
      <c r="ILI120" s="1"/>
      <c r="ILJ120" s="1"/>
      <c r="ILK120" s="1"/>
      <c r="ILL120" s="1"/>
      <c r="ILM120" s="1"/>
      <c r="ILN120" s="1"/>
      <c r="ILO120" s="1"/>
      <c r="ILP120" s="1"/>
      <c r="ILQ120" s="1"/>
      <c r="ILR120" s="1"/>
      <c r="ILS120" s="1"/>
      <c r="ILT120" s="1"/>
      <c r="ILU120" s="1"/>
      <c r="ILV120" s="1"/>
      <c r="ILW120" s="1"/>
      <c r="ILX120" s="1"/>
      <c r="ILY120" s="1"/>
      <c r="ILZ120" s="1"/>
      <c r="IMA120" s="1"/>
      <c r="IMB120" s="1"/>
      <c r="IMC120" s="1"/>
      <c r="IMD120" s="1"/>
      <c r="IME120" s="1"/>
      <c r="IMF120" s="1"/>
      <c r="IMG120" s="1"/>
      <c r="IMH120" s="1"/>
      <c r="IMI120" s="1"/>
      <c r="IMJ120" s="1"/>
      <c r="IMK120" s="1"/>
      <c r="IML120" s="1"/>
      <c r="IMM120" s="1"/>
      <c r="IMN120" s="1"/>
      <c r="IMO120" s="1"/>
      <c r="IMP120" s="1"/>
      <c r="IMQ120" s="1"/>
      <c r="IMR120" s="1"/>
      <c r="IMS120" s="1"/>
      <c r="IMT120" s="1"/>
      <c r="IMU120" s="1"/>
      <c r="IMV120" s="1"/>
      <c r="IMW120" s="1"/>
      <c r="IMX120" s="1"/>
      <c r="IMY120" s="1"/>
      <c r="IMZ120" s="1"/>
      <c r="INA120" s="1"/>
      <c r="INB120" s="1"/>
      <c r="INC120" s="1"/>
      <c r="IND120" s="1"/>
      <c r="INE120" s="1"/>
      <c r="INF120" s="1"/>
      <c r="ING120" s="1"/>
      <c r="INH120" s="1"/>
      <c r="INI120" s="1"/>
      <c r="INJ120" s="1"/>
      <c r="INK120" s="1"/>
      <c r="INL120" s="1"/>
      <c r="INM120" s="1"/>
      <c r="INN120" s="1"/>
      <c r="INO120" s="1"/>
      <c r="INP120" s="1"/>
      <c r="INQ120" s="1"/>
      <c r="INR120" s="1"/>
      <c r="INS120" s="1"/>
      <c r="INT120" s="1"/>
      <c r="INU120" s="1"/>
      <c r="INV120" s="1"/>
      <c r="INW120" s="1"/>
      <c r="INX120" s="1"/>
      <c r="INY120" s="1"/>
      <c r="INZ120" s="1"/>
      <c r="IOA120" s="1"/>
      <c r="IOB120" s="1"/>
      <c r="IOC120" s="1"/>
      <c r="IOD120" s="1"/>
      <c r="IOE120" s="1"/>
      <c r="IOF120" s="1"/>
      <c r="IOG120" s="1"/>
      <c r="IOH120" s="1"/>
      <c r="IOI120" s="1"/>
      <c r="IOJ120" s="1"/>
      <c r="IOK120" s="1"/>
      <c r="IOL120" s="1"/>
      <c r="IOM120" s="1"/>
      <c r="ION120" s="1"/>
      <c r="IOO120" s="1"/>
      <c r="IOP120" s="1"/>
      <c r="IOQ120" s="1"/>
      <c r="IOR120" s="1"/>
      <c r="IOS120" s="1"/>
      <c r="IOT120" s="1"/>
      <c r="IOU120" s="1"/>
      <c r="IOV120" s="1"/>
      <c r="IOW120" s="1"/>
      <c r="IOX120" s="1"/>
      <c r="IOY120" s="1"/>
      <c r="IOZ120" s="1"/>
      <c r="IPA120" s="1"/>
      <c r="IPB120" s="1"/>
      <c r="IPC120" s="1"/>
      <c r="IPD120" s="1"/>
      <c r="IPE120" s="1"/>
      <c r="IPF120" s="1"/>
      <c r="IPG120" s="1"/>
      <c r="IPH120" s="1"/>
      <c r="IPI120" s="1"/>
      <c r="IPJ120" s="1"/>
      <c r="IPK120" s="1"/>
      <c r="IPL120" s="1"/>
      <c r="IPM120" s="1"/>
      <c r="IPN120" s="1"/>
      <c r="IPO120" s="1"/>
      <c r="IPP120" s="1"/>
      <c r="IPQ120" s="1"/>
      <c r="IPR120" s="1"/>
      <c r="IPS120" s="1"/>
      <c r="IPT120" s="1"/>
      <c r="IPU120" s="1"/>
      <c r="IPV120" s="1"/>
      <c r="IPW120" s="1"/>
      <c r="IPX120" s="1"/>
      <c r="IPY120" s="1"/>
      <c r="IPZ120" s="1"/>
      <c r="IQA120" s="1"/>
      <c r="IQB120" s="1"/>
      <c r="IQC120" s="1"/>
      <c r="IQD120" s="1"/>
      <c r="IQE120" s="1"/>
      <c r="IQF120" s="1"/>
      <c r="IQG120" s="1"/>
      <c r="IQH120" s="1"/>
      <c r="IQI120" s="1"/>
      <c r="IQJ120" s="1"/>
      <c r="IQK120" s="1"/>
      <c r="IQL120" s="1"/>
      <c r="IQM120" s="1"/>
      <c r="IQN120" s="1"/>
      <c r="IQO120" s="1"/>
      <c r="IQP120" s="1"/>
      <c r="IQQ120" s="1"/>
      <c r="IQR120" s="1"/>
      <c r="IQS120" s="1"/>
      <c r="IQT120" s="1"/>
      <c r="IQU120" s="1"/>
      <c r="IQV120" s="1"/>
      <c r="IQW120" s="1"/>
      <c r="IQX120" s="1"/>
      <c r="IQY120" s="1"/>
      <c r="IQZ120" s="1"/>
      <c r="IRA120" s="1"/>
      <c r="IRB120" s="1"/>
      <c r="IRC120" s="1"/>
      <c r="IRD120" s="1"/>
      <c r="IRE120" s="1"/>
      <c r="IRF120" s="1"/>
      <c r="IRG120" s="1"/>
      <c r="IRH120" s="1"/>
      <c r="IRI120" s="1"/>
      <c r="IRJ120" s="1"/>
      <c r="IRK120" s="1"/>
      <c r="IRL120" s="1"/>
      <c r="IRM120" s="1"/>
      <c r="IRN120" s="1"/>
      <c r="IRO120" s="1"/>
      <c r="IRP120" s="1"/>
      <c r="IRQ120" s="1"/>
      <c r="IRR120" s="1"/>
      <c r="IRS120" s="1"/>
      <c r="IRT120" s="1"/>
      <c r="IRU120" s="1"/>
      <c r="IRV120" s="1"/>
      <c r="IRW120" s="1"/>
      <c r="IRX120" s="1"/>
      <c r="IRY120" s="1"/>
      <c r="IRZ120" s="1"/>
      <c r="ISA120" s="1"/>
      <c r="ISB120" s="1"/>
      <c r="ISC120" s="1"/>
      <c r="ISD120" s="1"/>
      <c r="ISE120" s="1"/>
      <c r="ISF120" s="1"/>
      <c r="ISG120" s="1"/>
      <c r="ISH120" s="1"/>
      <c r="ISI120" s="1"/>
      <c r="ISJ120" s="1"/>
      <c r="ISK120" s="1"/>
      <c r="ISL120" s="1"/>
      <c r="ISM120" s="1"/>
      <c r="ISN120" s="1"/>
      <c r="ISO120" s="1"/>
      <c r="ISP120" s="1"/>
      <c r="ISQ120" s="1"/>
      <c r="ISR120" s="1"/>
      <c r="ISS120" s="1"/>
      <c r="IST120" s="1"/>
      <c r="ISU120" s="1"/>
      <c r="ISV120" s="1"/>
      <c r="ISW120" s="1"/>
      <c r="ISX120" s="1"/>
      <c r="ISY120" s="1"/>
      <c r="ISZ120" s="1"/>
      <c r="ITA120" s="1"/>
      <c r="ITB120" s="1"/>
      <c r="ITC120" s="1"/>
      <c r="ITD120" s="1"/>
      <c r="ITE120" s="1"/>
      <c r="ITF120" s="1"/>
      <c r="ITG120" s="1"/>
      <c r="ITH120" s="1"/>
      <c r="ITI120" s="1"/>
      <c r="ITJ120" s="1"/>
      <c r="ITK120" s="1"/>
      <c r="ITL120" s="1"/>
      <c r="ITM120" s="1"/>
      <c r="ITN120" s="1"/>
      <c r="ITO120" s="1"/>
      <c r="ITP120" s="1"/>
      <c r="ITQ120" s="1"/>
      <c r="ITR120" s="1"/>
      <c r="ITS120" s="1"/>
      <c r="ITT120" s="1"/>
      <c r="ITU120" s="1"/>
      <c r="ITV120" s="1"/>
      <c r="ITW120" s="1"/>
      <c r="ITX120" s="1"/>
      <c r="ITY120" s="1"/>
      <c r="ITZ120" s="1"/>
      <c r="IUA120" s="1"/>
      <c r="IUB120" s="1"/>
      <c r="IUC120" s="1"/>
      <c r="IUD120" s="1"/>
      <c r="IUE120" s="1"/>
      <c r="IUF120" s="1"/>
      <c r="IUG120" s="1"/>
      <c r="IUH120" s="1"/>
      <c r="IUI120" s="1"/>
      <c r="IUJ120" s="1"/>
      <c r="IUK120" s="1"/>
      <c r="IUL120" s="1"/>
      <c r="IUM120" s="1"/>
      <c r="IUN120" s="1"/>
      <c r="IUO120" s="1"/>
      <c r="IUP120" s="1"/>
      <c r="IUQ120" s="1"/>
      <c r="IUR120" s="1"/>
      <c r="IUS120" s="1"/>
      <c r="IUT120" s="1"/>
      <c r="IUU120" s="1"/>
      <c r="IUV120" s="1"/>
      <c r="IUW120" s="1"/>
      <c r="IUX120" s="1"/>
      <c r="IUY120" s="1"/>
      <c r="IUZ120" s="1"/>
      <c r="IVA120" s="1"/>
      <c r="IVB120" s="1"/>
      <c r="IVC120" s="1"/>
      <c r="IVD120" s="1"/>
      <c r="IVE120" s="1"/>
      <c r="IVF120" s="1"/>
      <c r="IVG120" s="1"/>
      <c r="IVH120" s="1"/>
      <c r="IVI120" s="1"/>
      <c r="IVJ120" s="1"/>
      <c r="IVK120" s="1"/>
      <c r="IVL120" s="1"/>
      <c r="IVM120" s="1"/>
      <c r="IVN120" s="1"/>
      <c r="IVO120" s="1"/>
      <c r="IVP120" s="1"/>
      <c r="IVQ120" s="1"/>
      <c r="IVR120" s="1"/>
      <c r="IVS120" s="1"/>
      <c r="IVT120" s="1"/>
      <c r="IVU120" s="1"/>
      <c r="IVV120" s="1"/>
      <c r="IVW120" s="1"/>
      <c r="IVX120" s="1"/>
      <c r="IVY120" s="1"/>
      <c r="IVZ120" s="1"/>
      <c r="IWA120" s="1"/>
      <c r="IWB120" s="1"/>
      <c r="IWC120" s="1"/>
      <c r="IWD120" s="1"/>
      <c r="IWE120" s="1"/>
      <c r="IWF120" s="1"/>
      <c r="IWG120" s="1"/>
      <c r="IWH120" s="1"/>
      <c r="IWI120" s="1"/>
      <c r="IWJ120" s="1"/>
      <c r="IWK120" s="1"/>
      <c r="IWL120" s="1"/>
      <c r="IWM120" s="1"/>
      <c r="IWN120" s="1"/>
      <c r="IWO120" s="1"/>
      <c r="IWP120" s="1"/>
      <c r="IWQ120" s="1"/>
      <c r="IWR120" s="1"/>
      <c r="IWS120" s="1"/>
      <c r="IWT120" s="1"/>
      <c r="IWU120" s="1"/>
      <c r="IWV120" s="1"/>
      <c r="IWW120" s="1"/>
      <c r="IWX120" s="1"/>
      <c r="IWY120" s="1"/>
      <c r="IWZ120" s="1"/>
      <c r="IXA120" s="1"/>
      <c r="IXB120" s="1"/>
      <c r="IXC120" s="1"/>
      <c r="IXD120" s="1"/>
      <c r="IXE120" s="1"/>
      <c r="IXF120" s="1"/>
      <c r="IXG120" s="1"/>
      <c r="IXH120" s="1"/>
      <c r="IXI120" s="1"/>
      <c r="IXJ120" s="1"/>
      <c r="IXK120" s="1"/>
      <c r="IXL120" s="1"/>
      <c r="IXM120" s="1"/>
      <c r="IXN120" s="1"/>
      <c r="IXO120" s="1"/>
      <c r="IXP120" s="1"/>
      <c r="IXQ120" s="1"/>
      <c r="IXR120" s="1"/>
      <c r="IXS120" s="1"/>
      <c r="IXT120" s="1"/>
      <c r="IXU120" s="1"/>
      <c r="IXV120" s="1"/>
      <c r="IXW120" s="1"/>
      <c r="IXX120" s="1"/>
      <c r="IXY120" s="1"/>
      <c r="IXZ120" s="1"/>
      <c r="IYA120" s="1"/>
      <c r="IYB120" s="1"/>
      <c r="IYC120" s="1"/>
      <c r="IYD120" s="1"/>
      <c r="IYE120" s="1"/>
      <c r="IYF120" s="1"/>
      <c r="IYG120" s="1"/>
      <c r="IYH120" s="1"/>
      <c r="IYI120" s="1"/>
      <c r="IYJ120" s="1"/>
      <c r="IYK120" s="1"/>
      <c r="IYL120" s="1"/>
      <c r="IYM120" s="1"/>
      <c r="IYN120" s="1"/>
      <c r="IYO120" s="1"/>
      <c r="IYP120" s="1"/>
      <c r="IYQ120" s="1"/>
      <c r="IYR120" s="1"/>
      <c r="IYS120" s="1"/>
      <c r="IYT120" s="1"/>
      <c r="IYU120" s="1"/>
      <c r="IYV120" s="1"/>
      <c r="IYW120" s="1"/>
      <c r="IYX120" s="1"/>
      <c r="IYY120" s="1"/>
      <c r="IYZ120" s="1"/>
      <c r="IZA120" s="1"/>
      <c r="IZB120" s="1"/>
      <c r="IZC120" s="1"/>
      <c r="IZD120" s="1"/>
      <c r="IZE120" s="1"/>
      <c r="IZF120" s="1"/>
      <c r="IZG120" s="1"/>
      <c r="IZH120" s="1"/>
      <c r="IZI120" s="1"/>
      <c r="IZJ120" s="1"/>
      <c r="IZK120" s="1"/>
      <c r="IZL120" s="1"/>
      <c r="IZM120" s="1"/>
      <c r="IZN120" s="1"/>
      <c r="IZO120" s="1"/>
      <c r="IZP120" s="1"/>
      <c r="IZQ120" s="1"/>
      <c r="IZR120" s="1"/>
      <c r="IZS120" s="1"/>
      <c r="IZT120" s="1"/>
      <c r="IZU120" s="1"/>
      <c r="IZV120" s="1"/>
      <c r="IZW120" s="1"/>
      <c r="IZX120" s="1"/>
      <c r="IZY120" s="1"/>
      <c r="IZZ120" s="1"/>
      <c r="JAA120" s="1"/>
      <c r="JAB120" s="1"/>
      <c r="JAC120" s="1"/>
      <c r="JAD120" s="1"/>
      <c r="JAE120" s="1"/>
      <c r="JAF120" s="1"/>
      <c r="JAG120" s="1"/>
      <c r="JAH120" s="1"/>
      <c r="JAI120" s="1"/>
      <c r="JAJ120" s="1"/>
      <c r="JAK120" s="1"/>
      <c r="JAL120" s="1"/>
      <c r="JAM120" s="1"/>
      <c r="JAN120" s="1"/>
      <c r="JAO120" s="1"/>
      <c r="JAP120" s="1"/>
      <c r="JAQ120" s="1"/>
      <c r="JAR120" s="1"/>
      <c r="JAS120" s="1"/>
      <c r="JAT120" s="1"/>
      <c r="JAU120" s="1"/>
      <c r="JAV120" s="1"/>
      <c r="JAW120" s="1"/>
      <c r="JAX120" s="1"/>
      <c r="JAY120" s="1"/>
      <c r="JAZ120" s="1"/>
      <c r="JBA120" s="1"/>
      <c r="JBB120" s="1"/>
      <c r="JBC120" s="1"/>
      <c r="JBD120" s="1"/>
      <c r="JBE120" s="1"/>
      <c r="JBF120" s="1"/>
      <c r="JBG120" s="1"/>
      <c r="JBH120" s="1"/>
      <c r="JBI120" s="1"/>
      <c r="JBJ120" s="1"/>
      <c r="JBK120" s="1"/>
      <c r="JBL120" s="1"/>
      <c r="JBM120" s="1"/>
      <c r="JBN120" s="1"/>
      <c r="JBO120" s="1"/>
      <c r="JBP120" s="1"/>
      <c r="JBQ120" s="1"/>
      <c r="JBR120" s="1"/>
      <c r="JBS120" s="1"/>
      <c r="JBT120" s="1"/>
      <c r="JBU120" s="1"/>
      <c r="JBV120" s="1"/>
      <c r="JBW120" s="1"/>
      <c r="JBX120" s="1"/>
      <c r="JBY120" s="1"/>
      <c r="JBZ120" s="1"/>
      <c r="JCA120" s="1"/>
      <c r="JCB120" s="1"/>
      <c r="JCC120" s="1"/>
      <c r="JCD120" s="1"/>
      <c r="JCE120" s="1"/>
      <c r="JCF120" s="1"/>
      <c r="JCG120" s="1"/>
      <c r="JCH120" s="1"/>
      <c r="JCI120" s="1"/>
      <c r="JCJ120" s="1"/>
      <c r="JCK120" s="1"/>
      <c r="JCL120" s="1"/>
      <c r="JCM120" s="1"/>
      <c r="JCN120" s="1"/>
      <c r="JCO120" s="1"/>
      <c r="JCP120" s="1"/>
      <c r="JCQ120" s="1"/>
      <c r="JCR120" s="1"/>
      <c r="JCS120" s="1"/>
      <c r="JCT120" s="1"/>
      <c r="JCU120" s="1"/>
      <c r="JCV120" s="1"/>
      <c r="JCW120" s="1"/>
      <c r="JCX120" s="1"/>
      <c r="JCY120" s="1"/>
      <c r="JCZ120" s="1"/>
      <c r="JDA120" s="1"/>
      <c r="JDB120" s="1"/>
      <c r="JDC120" s="1"/>
      <c r="JDD120" s="1"/>
      <c r="JDE120" s="1"/>
      <c r="JDF120" s="1"/>
      <c r="JDG120" s="1"/>
      <c r="JDH120" s="1"/>
      <c r="JDI120" s="1"/>
      <c r="JDJ120" s="1"/>
      <c r="JDK120" s="1"/>
      <c r="JDL120" s="1"/>
      <c r="JDM120" s="1"/>
      <c r="JDN120" s="1"/>
      <c r="JDO120" s="1"/>
      <c r="JDP120" s="1"/>
      <c r="JDQ120" s="1"/>
      <c r="JDR120" s="1"/>
      <c r="JDS120" s="1"/>
      <c r="JDT120" s="1"/>
      <c r="JDU120" s="1"/>
      <c r="JDV120" s="1"/>
      <c r="JDW120" s="1"/>
      <c r="JDX120" s="1"/>
      <c r="JDY120" s="1"/>
      <c r="JDZ120" s="1"/>
      <c r="JEA120" s="1"/>
      <c r="JEB120" s="1"/>
      <c r="JEC120" s="1"/>
      <c r="JED120" s="1"/>
      <c r="JEE120" s="1"/>
      <c r="JEF120" s="1"/>
      <c r="JEG120" s="1"/>
      <c r="JEH120" s="1"/>
      <c r="JEI120" s="1"/>
      <c r="JEJ120" s="1"/>
      <c r="JEK120" s="1"/>
      <c r="JEL120" s="1"/>
      <c r="JEM120" s="1"/>
      <c r="JEN120" s="1"/>
      <c r="JEO120" s="1"/>
      <c r="JEP120" s="1"/>
      <c r="JEQ120" s="1"/>
      <c r="JER120" s="1"/>
      <c r="JES120" s="1"/>
      <c r="JET120" s="1"/>
      <c r="JEU120" s="1"/>
      <c r="JEV120" s="1"/>
      <c r="JEW120" s="1"/>
      <c r="JEX120" s="1"/>
      <c r="JEY120" s="1"/>
      <c r="JEZ120" s="1"/>
      <c r="JFA120" s="1"/>
      <c r="JFB120" s="1"/>
      <c r="JFC120" s="1"/>
      <c r="JFD120" s="1"/>
      <c r="JFE120" s="1"/>
      <c r="JFF120" s="1"/>
      <c r="JFG120" s="1"/>
      <c r="JFH120" s="1"/>
      <c r="JFI120" s="1"/>
      <c r="JFJ120" s="1"/>
      <c r="JFK120" s="1"/>
      <c r="JFL120" s="1"/>
      <c r="JFM120" s="1"/>
      <c r="JFN120" s="1"/>
      <c r="JFO120" s="1"/>
      <c r="JFP120" s="1"/>
      <c r="JFQ120" s="1"/>
      <c r="JFR120" s="1"/>
      <c r="JFS120" s="1"/>
      <c r="JFT120" s="1"/>
      <c r="JFU120" s="1"/>
      <c r="JFV120" s="1"/>
      <c r="JFW120" s="1"/>
      <c r="JFX120" s="1"/>
      <c r="JFY120" s="1"/>
      <c r="JFZ120" s="1"/>
      <c r="JGA120" s="1"/>
      <c r="JGB120" s="1"/>
      <c r="JGC120" s="1"/>
      <c r="JGD120" s="1"/>
      <c r="JGE120" s="1"/>
      <c r="JGF120" s="1"/>
      <c r="JGG120" s="1"/>
      <c r="JGH120" s="1"/>
      <c r="JGI120" s="1"/>
      <c r="JGJ120" s="1"/>
      <c r="JGK120" s="1"/>
      <c r="JGL120" s="1"/>
      <c r="JGM120" s="1"/>
      <c r="JGN120" s="1"/>
      <c r="JGO120" s="1"/>
      <c r="JGP120" s="1"/>
      <c r="JGQ120" s="1"/>
      <c r="JGR120" s="1"/>
      <c r="JGS120" s="1"/>
      <c r="JGT120" s="1"/>
      <c r="JGU120" s="1"/>
      <c r="JGV120" s="1"/>
      <c r="JGW120" s="1"/>
      <c r="JGX120" s="1"/>
      <c r="JGY120" s="1"/>
      <c r="JGZ120" s="1"/>
      <c r="JHA120" s="1"/>
      <c r="JHB120" s="1"/>
      <c r="JHC120" s="1"/>
      <c r="JHD120" s="1"/>
      <c r="JHE120" s="1"/>
      <c r="JHF120" s="1"/>
      <c r="JHG120" s="1"/>
      <c r="JHH120" s="1"/>
      <c r="JHI120" s="1"/>
      <c r="JHJ120" s="1"/>
      <c r="JHK120" s="1"/>
      <c r="JHL120" s="1"/>
      <c r="JHM120" s="1"/>
      <c r="JHN120" s="1"/>
      <c r="JHO120" s="1"/>
      <c r="JHP120" s="1"/>
      <c r="JHQ120" s="1"/>
      <c r="JHR120" s="1"/>
      <c r="JHS120" s="1"/>
      <c r="JHT120" s="1"/>
      <c r="JHU120" s="1"/>
      <c r="JHV120" s="1"/>
      <c r="JHW120" s="1"/>
      <c r="JHX120" s="1"/>
      <c r="JHY120" s="1"/>
      <c r="JHZ120" s="1"/>
      <c r="JIA120" s="1"/>
      <c r="JIB120" s="1"/>
      <c r="JIC120" s="1"/>
      <c r="JID120" s="1"/>
      <c r="JIE120" s="1"/>
      <c r="JIF120" s="1"/>
      <c r="JIG120" s="1"/>
      <c r="JIH120" s="1"/>
      <c r="JII120" s="1"/>
      <c r="JIJ120" s="1"/>
      <c r="JIK120" s="1"/>
      <c r="JIL120" s="1"/>
      <c r="JIM120" s="1"/>
      <c r="JIN120" s="1"/>
      <c r="JIO120" s="1"/>
      <c r="JIP120" s="1"/>
      <c r="JIQ120" s="1"/>
      <c r="JIR120" s="1"/>
      <c r="JIS120" s="1"/>
      <c r="JIT120" s="1"/>
      <c r="JIU120" s="1"/>
      <c r="JIV120" s="1"/>
      <c r="JIW120" s="1"/>
      <c r="JIX120" s="1"/>
      <c r="JIY120" s="1"/>
      <c r="JIZ120" s="1"/>
      <c r="JJA120" s="1"/>
      <c r="JJB120" s="1"/>
      <c r="JJC120" s="1"/>
      <c r="JJD120" s="1"/>
      <c r="JJE120" s="1"/>
      <c r="JJF120" s="1"/>
      <c r="JJG120" s="1"/>
      <c r="JJH120" s="1"/>
      <c r="JJI120" s="1"/>
      <c r="JJJ120" s="1"/>
      <c r="JJK120" s="1"/>
      <c r="JJL120" s="1"/>
      <c r="JJM120" s="1"/>
      <c r="JJN120" s="1"/>
      <c r="JJO120" s="1"/>
      <c r="JJP120" s="1"/>
      <c r="JJQ120" s="1"/>
      <c r="JJR120" s="1"/>
      <c r="JJS120" s="1"/>
      <c r="JJT120" s="1"/>
      <c r="JJU120" s="1"/>
      <c r="JJV120" s="1"/>
      <c r="JJW120" s="1"/>
      <c r="JJX120" s="1"/>
      <c r="JJY120" s="1"/>
      <c r="JJZ120" s="1"/>
      <c r="JKA120" s="1"/>
      <c r="JKB120" s="1"/>
      <c r="JKC120" s="1"/>
      <c r="JKD120" s="1"/>
      <c r="JKE120" s="1"/>
      <c r="JKF120" s="1"/>
      <c r="JKG120" s="1"/>
      <c r="JKH120" s="1"/>
      <c r="JKI120" s="1"/>
      <c r="JKJ120" s="1"/>
      <c r="JKK120" s="1"/>
      <c r="JKL120" s="1"/>
      <c r="JKM120" s="1"/>
      <c r="JKN120" s="1"/>
      <c r="JKO120" s="1"/>
      <c r="JKP120" s="1"/>
      <c r="JKQ120" s="1"/>
      <c r="JKR120" s="1"/>
      <c r="JKS120" s="1"/>
      <c r="JKT120" s="1"/>
      <c r="JKU120" s="1"/>
      <c r="JKV120" s="1"/>
      <c r="JKW120" s="1"/>
      <c r="JKX120" s="1"/>
      <c r="JKY120" s="1"/>
      <c r="JKZ120" s="1"/>
      <c r="JLA120" s="1"/>
      <c r="JLB120" s="1"/>
      <c r="JLC120" s="1"/>
      <c r="JLD120" s="1"/>
      <c r="JLE120" s="1"/>
      <c r="JLF120" s="1"/>
      <c r="JLG120" s="1"/>
      <c r="JLH120" s="1"/>
      <c r="JLI120" s="1"/>
      <c r="JLJ120" s="1"/>
      <c r="JLK120" s="1"/>
      <c r="JLL120" s="1"/>
      <c r="JLM120" s="1"/>
      <c r="JLN120" s="1"/>
      <c r="JLO120" s="1"/>
      <c r="JLP120" s="1"/>
      <c r="JLQ120" s="1"/>
      <c r="JLR120" s="1"/>
      <c r="JLS120" s="1"/>
      <c r="JLT120" s="1"/>
      <c r="JLU120" s="1"/>
      <c r="JLV120" s="1"/>
      <c r="JLW120" s="1"/>
      <c r="JLX120" s="1"/>
      <c r="JLY120" s="1"/>
      <c r="JLZ120" s="1"/>
      <c r="JMA120" s="1"/>
      <c r="JMB120" s="1"/>
      <c r="JMC120" s="1"/>
      <c r="JMD120" s="1"/>
      <c r="JME120" s="1"/>
      <c r="JMF120" s="1"/>
      <c r="JMG120" s="1"/>
      <c r="JMH120" s="1"/>
      <c r="JMI120" s="1"/>
      <c r="JMJ120" s="1"/>
      <c r="JMK120" s="1"/>
      <c r="JML120" s="1"/>
      <c r="JMM120" s="1"/>
      <c r="JMN120" s="1"/>
      <c r="JMO120" s="1"/>
      <c r="JMP120" s="1"/>
      <c r="JMQ120" s="1"/>
      <c r="JMR120" s="1"/>
      <c r="JMS120" s="1"/>
      <c r="JMT120" s="1"/>
      <c r="JMU120" s="1"/>
      <c r="JMV120" s="1"/>
      <c r="JMW120" s="1"/>
      <c r="JMX120" s="1"/>
      <c r="JMY120" s="1"/>
      <c r="JMZ120" s="1"/>
      <c r="JNA120" s="1"/>
      <c r="JNB120" s="1"/>
      <c r="JNC120" s="1"/>
      <c r="JND120" s="1"/>
      <c r="JNE120" s="1"/>
      <c r="JNF120" s="1"/>
      <c r="JNG120" s="1"/>
      <c r="JNH120" s="1"/>
      <c r="JNI120" s="1"/>
      <c r="JNJ120" s="1"/>
      <c r="JNK120" s="1"/>
      <c r="JNL120" s="1"/>
      <c r="JNM120" s="1"/>
      <c r="JNN120" s="1"/>
      <c r="JNO120" s="1"/>
      <c r="JNP120" s="1"/>
      <c r="JNQ120" s="1"/>
      <c r="JNR120" s="1"/>
      <c r="JNS120" s="1"/>
      <c r="JNT120" s="1"/>
      <c r="JNU120" s="1"/>
      <c r="JNV120" s="1"/>
      <c r="JNW120" s="1"/>
      <c r="JNX120" s="1"/>
      <c r="JNY120" s="1"/>
      <c r="JNZ120" s="1"/>
      <c r="JOA120" s="1"/>
      <c r="JOB120" s="1"/>
      <c r="JOC120" s="1"/>
      <c r="JOD120" s="1"/>
      <c r="JOE120" s="1"/>
      <c r="JOF120" s="1"/>
      <c r="JOG120" s="1"/>
      <c r="JOH120" s="1"/>
      <c r="JOI120" s="1"/>
      <c r="JOJ120" s="1"/>
      <c r="JOK120" s="1"/>
      <c r="JOL120" s="1"/>
      <c r="JOM120" s="1"/>
      <c r="JON120" s="1"/>
      <c r="JOO120" s="1"/>
      <c r="JOP120" s="1"/>
      <c r="JOQ120" s="1"/>
      <c r="JOR120" s="1"/>
      <c r="JOS120" s="1"/>
      <c r="JOT120" s="1"/>
      <c r="JOU120" s="1"/>
      <c r="JOV120" s="1"/>
      <c r="JOW120" s="1"/>
      <c r="JOX120" s="1"/>
      <c r="JOY120" s="1"/>
      <c r="JOZ120" s="1"/>
      <c r="JPA120" s="1"/>
      <c r="JPB120" s="1"/>
      <c r="JPC120" s="1"/>
      <c r="JPD120" s="1"/>
      <c r="JPE120" s="1"/>
      <c r="JPF120" s="1"/>
      <c r="JPG120" s="1"/>
      <c r="JPH120" s="1"/>
      <c r="JPI120" s="1"/>
      <c r="JPJ120" s="1"/>
      <c r="JPK120" s="1"/>
      <c r="JPL120" s="1"/>
      <c r="JPM120" s="1"/>
      <c r="JPN120" s="1"/>
      <c r="JPO120" s="1"/>
      <c r="JPP120" s="1"/>
      <c r="JPQ120" s="1"/>
      <c r="JPR120" s="1"/>
      <c r="JPS120" s="1"/>
      <c r="JPT120" s="1"/>
      <c r="JPU120" s="1"/>
      <c r="JPV120" s="1"/>
      <c r="JPW120" s="1"/>
      <c r="JPX120" s="1"/>
      <c r="JPY120" s="1"/>
      <c r="JPZ120" s="1"/>
      <c r="JQA120" s="1"/>
      <c r="JQB120" s="1"/>
      <c r="JQC120" s="1"/>
      <c r="JQD120" s="1"/>
      <c r="JQE120" s="1"/>
      <c r="JQF120" s="1"/>
      <c r="JQG120" s="1"/>
      <c r="JQH120" s="1"/>
      <c r="JQI120" s="1"/>
      <c r="JQJ120" s="1"/>
      <c r="JQK120" s="1"/>
      <c r="JQL120" s="1"/>
      <c r="JQM120" s="1"/>
      <c r="JQN120" s="1"/>
      <c r="JQO120" s="1"/>
      <c r="JQP120" s="1"/>
      <c r="JQQ120" s="1"/>
      <c r="JQR120" s="1"/>
      <c r="JQS120" s="1"/>
      <c r="JQT120" s="1"/>
      <c r="JQU120" s="1"/>
      <c r="JQV120" s="1"/>
      <c r="JQW120" s="1"/>
      <c r="JQX120" s="1"/>
      <c r="JQY120" s="1"/>
      <c r="JQZ120" s="1"/>
      <c r="JRA120" s="1"/>
      <c r="JRB120" s="1"/>
      <c r="JRC120" s="1"/>
      <c r="JRD120" s="1"/>
      <c r="JRE120" s="1"/>
      <c r="JRF120" s="1"/>
      <c r="JRG120" s="1"/>
      <c r="JRH120" s="1"/>
      <c r="JRI120" s="1"/>
      <c r="JRJ120" s="1"/>
      <c r="JRK120" s="1"/>
      <c r="JRL120" s="1"/>
      <c r="JRM120" s="1"/>
      <c r="JRN120" s="1"/>
      <c r="JRO120" s="1"/>
      <c r="JRP120" s="1"/>
      <c r="JRQ120" s="1"/>
      <c r="JRR120" s="1"/>
      <c r="JRS120" s="1"/>
      <c r="JRT120" s="1"/>
      <c r="JRU120" s="1"/>
      <c r="JRV120" s="1"/>
      <c r="JRW120" s="1"/>
      <c r="JRX120" s="1"/>
      <c r="JRY120" s="1"/>
      <c r="JRZ120" s="1"/>
      <c r="JSA120" s="1"/>
      <c r="JSB120" s="1"/>
      <c r="JSC120" s="1"/>
      <c r="JSD120" s="1"/>
      <c r="JSE120" s="1"/>
      <c r="JSF120" s="1"/>
      <c r="JSG120" s="1"/>
      <c r="JSH120" s="1"/>
      <c r="JSI120" s="1"/>
      <c r="JSJ120" s="1"/>
      <c r="JSK120" s="1"/>
      <c r="JSL120" s="1"/>
      <c r="JSM120" s="1"/>
      <c r="JSN120" s="1"/>
      <c r="JSO120" s="1"/>
      <c r="JSP120" s="1"/>
      <c r="JSQ120" s="1"/>
      <c r="JSR120" s="1"/>
      <c r="JSS120" s="1"/>
      <c r="JST120" s="1"/>
      <c r="JSU120" s="1"/>
      <c r="JSV120" s="1"/>
      <c r="JSW120" s="1"/>
      <c r="JSX120" s="1"/>
      <c r="JSY120" s="1"/>
      <c r="JSZ120" s="1"/>
      <c r="JTA120" s="1"/>
      <c r="JTB120" s="1"/>
      <c r="JTC120" s="1"/>
      <c r="JTD120" s="1"/>
      <c r="JTE120" s="1"/>
      <c r="JTF120" s="1"/>
      <c r="JTG120" s="1"/>
      <c r="JTH120" s="1"/>
      <c r="JTI120" s="1"/>
      <c r="JTJ120" s="1"/>
      <c r="JTK120" s="1"/>
      <c r="JTL120" s="1"/>
      <c r="JTM120" s="1"/>
      <c r="JTN120" s="1"/>
      <c r="JTO120" s="1"/>
      <c r="JTP120" s="1"/>
      <c r="JTQ120" s="1"/>
      <c r="JTR120" s="1"/>
      <c r="JTS120" s="1"/>
      <c r="JTT120" s="1"/>
      <c r="JTU120" s="1"/>
      <c r="JTV120" s="1"/>
      <c r="JTW120" s="1"/>
      <c r="JTX120" s="1"/>
      <c r="JTY120" s="1"/>
      <c r="JTZ120" s="1"/>
      <c r="JUA120" s="1"/>
      <c r="JUB120" s="1"/>
      <c r="JUC120" s="1"/>
      <c r="JUD120" s="1"/>
      <c r="JUE120" s="1"/>
      <c r="JUF120" s="1"/>
      <c r="JUG120" s="1"/>
      <c r="JUH120" s="1"/>
      <c r="JUI120" s="1"/>
      <c r="JUJ120" s="1"/>
      <c r="JUK120" s="1"/>
      <c r="JUL120" s="1"/>
      <c r="JUM120" s="1"/>
      <c r="JUN120" s="1"/>
      <c r="JUO120" s="1"/>
      <c r="JUP120" s="1"/>
      <c r="JUQ120" s="1"/>
      <c r="JUR120" s="1"/>
      <c r="JUS120" s="1"/>
      <c r="JUT120" s="1"/>
      <c r="JUU120" s="1"/>
      <c r="JUV120" s="1"/>
      <c r="JUW120" s="1"/>
      <c r="JUX120" s="1"/>
      <c r="JUY120" s="1"/>
      <c r="JUZ120" s="1"/>
      <c r="JVA120" s="1"/>
      <c r="JVB120" s="1"/>
      <c r="JVC120" s="1"/>
      <c r="JVD120" s="1"/>
      <c r="JVE120" s="1"/>
      <c r="JVF120" s="1"/>
      <c r="JVG120" s="1"/>
      <c r="JVH120" s="1"/>
      <c r="JVI120" s="1"/>
      <c r="JVJ120" s="1"/>
      <c r="JVK120" s="1"/>
      <c r="JVL120" s="1"/>
      <c r="JVM120" s="1"/>
      <c r="JVN120" s="1"/>
      <c r="JVO120" s="1"/>
      <c r="JVP120" s="1"/>
      <c r="JVQ120" s="1"/>
      <c r="JVR120" s="1"/>
      <c r="JVS120" s="1"/>
      <c r="JVT120" s="1"/>
      <c r="JVU120" s="1"/>
      <c r="JVV120" s="1"/>
      <c r="JVW120" s="1"/>
      <c r="JVX120" s="1"/>
      <c r="JVY120" s="1"/>
      <c r="JVZ120" s="1"/>
      <c r="JWA120" s="1"/>
      <c r="JWB120" s="1"/>
      <c r="JWC120" s="1"/>
      <c r="JWD120" s="1"/>
      <c r="JWE120" s="1"/>
      <c r="JWF120" s="1"/>
      <c r="JWG120" s="1"/>
      <c r="JWH120" s="1"/>
      <c r="JWI120" s="1"/>
      <c r="JWJ120" s="1"/>
      <c r="JWK120" s="1"/>
      <c r="JWL120" s="1"/>
      <c r="JWM120" s="1"/>
      <c r="JWN120" s="1"/>
      <c r="JWO120" s="1"/>
      <c r="JWP120" s="1"/>
      <c r="JWQ120" s="1"/>
      <c r="JWR120" s="1"/>
      <c r="JWS120" s="1"/>
      <c r="JWT120" s="1"/>
      <c r="JWU120" s="1"/>
      <c r="JWV120" s="1"/>
      <c r="JWW120" s="1"/>
      <c r="JWX120" s="1"/>
      <c r="JWY120" s="1"/>
      <c r="JWZ120" s="1"/>
      <c r="JXA120" s="1"/>
      <c r="JXB120" s="1"/>
      <c r="JXC120" s="1"/>
      <c r="JXD120" s="1"/>
      <c r="JXE120" s="1"/>
      <c r="JXF120" s="1"/>
      <c r="JXG120" s="1"/>
      <c r="JXH120" s="1"/>
      <c r="JXI120" s="1"/>
      <c r="JXJ120" s="1"/>
      <c r="JXK120" s="1"/>
      <c r="JXL120" s="1"/>
      <c r="JXM120" s="1"/>
      <c r="JXN120" s="1"/>
      <c r="JXO120" s="1"/>
      <c r="JXP120" s="1"/>
      <c r="JXQ120" s="1"/>
      <c r="JXR120" s="1"/>
      <c r="JXS120" s="1"/>
      <c r="JXT120" s="1"/>
      <c r="JXU120" s="1"/>
      <c r="JXV120" s="1"/>
      <c r="JXW120" s="1"/>
      <c r="JXX120" s="1"/>
      <c r="JXY120" s="1"/>
      <c r="JXZ120" s="1"/>
      <c r="JYA120" s="1"/>
      <c r="JYB120" s="1"/>
      <c r="JYC120" s="1"/>
      <c r="JYD120" s="1"/>
      <c r="JYE120" s="1"/>
      <c r="JYF120" s="1"/>
      <c r="JYG120" s="1"/>
      <c r="JYH120" s="1"/>
      <c r="JYI120" s="1"/>
      <c r="JYJ120" s="1"/>
      <c r="JYK120" s="1"/>
      <c r="JYL120" s="1"/>
      <c r="JYM120" s="1"/>
      <c r="JYN120" s="1"/>
      <c r="JYO120" s="1"/>
      <c r="JYP120" s="1"/>
      <c r="JYQ120" s="1"/>
      <c r="JYR120" s="1"/>
      <c r="JYS120" s="1"/>
      <c r="JYT120" s="1"/>
      <c r="JYU120" s="1"/>
      <c r="JYV120" s="1"/>
      <c r="JYW120" s="1"/>
      <c r="JYX120" s="1"/>
      <c r="JYY120" s="1"/>
      <c r="JYZ120" s="1"/>
      <c r="JZA120" s="1"/>
      <c r="JZB120" s="1"/>
      <c r="JZC120" s="1"/>
      <c r="JZD120" s="1"/>
      <c r="JZE120" s="1"/>
      <c r="JZF120" s="1"/>
      <c r="JZG120" s="1"/>
      <c r="JZH120" s="1"/>
      <c r="JZI120" s="1"/>
      <c r="JZJ120" s="1"/>
      <c r="JZK120" s="1"/>
      <c r="JZL120" s="1"/>
      <c r="JZM120" s="1"/>
      <c r="JZN120" s="1"/>
      <c r="JZO120" s="1"/>
      <c r="JZP120" s="1"/>
      <c r="JZQ120" s="1"/>
      <c r="JZR120" s="1"/>
      <c r="JZS120" s="1"/>
      <c r="JZT120" s="1"/>
      <c r="JZU120" s="1"/>
      <c r="JZV120" s="1"/>
      <c r="JZW120" s="1"/>
      <c r="JZX120" s="1"/>
      <c r="JZY120" s="1"/>
      <c r="JZZ120" s="1"/>
      <c r="KAA120" s="1"/>
      <c r="KAB120" s="1"/>
      <c r="KAC120" s="1"/>
      <c r="KAD120" s="1"/>
      <c r="KAE120" s="1"/>
      <c r="KAF120" s="1"/>
      <c r="KAG120" s="1"/>
      <c r="KAH120" s="1"/>
      <c r="KAI120" s="1"/>
      <c r="KAJ120" s="1"/>
      <c r="KAK120" s="1"/>
      <c r="KAL120" s="1"/>
      <c r="KAM120" s="1"/>
      <c r="KAN120" s="1"/>
      <c r="KAO120" s="1"/>
      <c r="KAP120" s="1"/>
      <c r="KAQ120" s="1"/>
      <c r="KAR120" s="1"/>
      <c r="KAS120" s="1"/>
      <c r="KAT120" s="1"/>
      <c r="KAU120" s="1"/>
      <c r="KAV120" s="1"/>
      <c r="KAW120" s="1"/>
      <c r="KAX120" s="1"/>
      <c r="KAY120" s="1"/>
      <c r="KAZ120" s="1"/>
      <c r="KBA120" s="1"/>
      <c r="KBB120" s="1"/>
      <c r="KBC120" s="1"/>
      <c r="KBD120" s="1"/>
      <c r="KBE120" s="1"/>
      <c r="KBF120" s="1"/>
      <c r="KBG120" s="1"/>
      <c r="KBH120" s="1"/>
      <c r="KBI120" s="1"/>
      <c r="KBJ120" s="1"/>
      <c r="KBK120" s="1"/>
      <c r="KBL120" s="1"/>
      <c r="KBM120" s="1"/>
      <c r="KBN120" s="1"/>
      <c r="KBO120" s="1"/>
      <c r="KBP120" s="1"/>
      <c r="KBQ120" s="1"/>
      <c r="KBR120" s="1"/>
      <c r="KBS120" s="1"/>
      <c r="KBT120" s="1"/>
      <c r="KBU120" s="1"/>
      <c r="KBV120" s="1"/>
      <c r="KBW120" s="1"/>
      <c r="KBX120" s="1"/>
      <c r="KBY120" s="1"/>
      <c r="KBZ120" s="1"/>
      <c r="KCA120" s="1"/>
      <c r="KCB120" s="1"/>
      <c r="KCC120" s="1"/>
      <c r="KCD120" s="1"/>
      <c r="KCE120" s="1"/>
      <c r="KCF120" s="1"/>
      <c r="KCG120" s="1"/>
      <c r="KCH120" s="1"/>
      <c r="KCI120" s="1"/>
      <c r="KCJ120" s="1"/>
      <c r="KCK120" s="1"/>
      <c r="KCL120" s="1"/>
      <c r="KCM120" s="1"/>
      <c r="KCN120" s="1"/>
      <c r="KCO120" s="1"/>
      <c r="KCP120" s="1"/>
      <c r="KCQ120" s="1"/>
      <c r="KCR120" s="1"/>
      <c r="KCS120" s="1"/>
      <c r="KCT120" s="1"/>
      <c r="KCU120" s="1"/>
      <c r="KCV120" s="1"/>
      <c r="KCW120" s="1"/>
      <c r="KCX120" s="1"/>
      <c r="KCY120" s="1"/>
      <c r="KCZ120" s="1"/>
      <c r="KDA120" s="1"/>
      <c r="KDB120" s="1"/>
      <c r="KDC120" s="1"/>
      <c r="KDD120" s="1"/>
      <c r="KDE120" s="1"/>
      <c r="KDF120" s="1"/>
      <c r="KDG120" s="1"/>
      <c r="KDH120" s="1"/>
      <c r="KDI120" s="1"/>
      <c r="KDJ120" s="1"/>
      <c r="KDK120" s="1"/>
      <c r="KDL120" s="1"/>
      <c r="KDM120" s="1"/>
      <c r="KDN120" s="1"/>
      <c r="KDO120" s="1"/>
      <c r="KDP120" s="1"/>
      <c r="KDQ120" s="1"/>
      <c r="KDR120" s="1"/>
      <c r="KDS120" s="1"/>
      <c r="KDT120" s="1"/>
      <c r="KDU120" s="1"/>
      <c r="KDV120" s="1"/>
      <c r="KDW120" s="1"/>
      <c r="KDX120" s="1"/>
      <c r="KDY120" s="1"/>
      <c r="KDZ120" s="1"/>
      <c r="KEA120" s="1"/>
      <c r="KEB120" s="1"/>
      <c r="KEC120" s="1"/>
      <c r="KED120" s="1"/>
      <c r="KEE120" s="1"/>
      <c r="KEF120" s="1"/>
      <c r="KEG120" s="1"/>
      <c r="KEH120" s="1"/>
      <c r="KEI120" s="1"/>
      <c r="KEJ120" s="1"/>
      <c r="KEK120" s="1"/>
      <c r="KEL120" s="1"/>
      <c r="KEM120" s="1"/>
      <c r="KEN120" s="1"/>
      <c r="KEO120" s="1"/>
      <c r="KEP120" s="1"/>
      <c r="KEQ120" s="1"/>
      <c r="KER120" s="1"/>
      <c r="KES120" s="1"/>
      <c r="KET120" s="1"/>
      <c r="KEU120" s="1"/>
      <c r="KEV120" s="1"/>
      <c r="KEW120" s="1"/>
      <c r="KEX120" s="1"/>
      <c r="KEY120" s="1"/>
      <c r="KEZ120" s="1"/>
      <c r="KFA120" s="1"/>
      <c r="KFB120" s="1"/>
      <c r="KFC120" s="1"/>
      <c r="KFD120" s="1"/>
      <c r="KFE120" s="1"/>
      <c r="KFF120" s="1"/>
      <c r="KFG120" s="1"/>
      <c r="KFH120" s="1"/>
      <c r="KFI120" s="1"/>
      <c r="KFJ120" s="1"/>
      <c r="KFK120" s="1"/>
      <c r="KFL120" s="1"/>
      <c r="KFM120" s="1"/>
      <c r="KFN120" s="1"/>
      <c r="KFO120" s="1"/>
      <c r="KFP120" s="1"/>
      <c r="KFQ120" s="1"/>
      <c r="KFR120" s="1"/>
      <c r="KFS120" s="1"/>
      <c r="KFT120" s="1"/>
      <c r="KFU120" s="1"/>
      <c r="KFV120" s="1"/>
      <c r="KFW120" s="1"/>
      <c r="KFX120" s="1"/>
      <c r="KFY120" s="1"/>
      <c r="KFZ120" s="1"/>
      <c r="KGA120" s="1"/>
      <c r="KGB120" s="1"/>
      <c r="KGC120" s="1"/>
      <c r="KGD120" s="1"/>
      <c r="KGE120" s="1"/>
      <c r="KGF120" s="1"/>
      <c r="KGG120" s="1"/>
      <c r="KGH120" s="1"/>
      <c r="KGI120" s="1"/>
      <c r="KGJ120" s="1"/>
      <c r="KGK120" s="1"/>
      <c r="KGL120" s="1"/>
      <c r="KGM120" s="1"/>
      <c r="KGN120" s="1"/>
      <c r="KGO120" s="1"/>
      <c r="KGP120" s="1"/>
      <c r="KGQ120" s="1"/>
      <c r="KGR120" s="1"/>
      <c r="KGS120" s="1"/>
      <c r="KGT120" s="1"/>
      <c r="KGU120" s="1"/>
      <c r="KGV120" s="1"/>
      <c r="KGW120" s="1"/>
      <c r="KGX120" s="1"/>
      <c r="KGY120" s="1"/>
      <c r="KGZ120" s="1"/>
      <c r="KHA120" s="1"/>
      <c r="KHB120" s="1"/>
      <c r="KHC120" s="1"/>
      <c r="KHD120" s="1"/>
      <c r="KHE120" s="1"/>
      <c r="KHF120" s="1"/>
      <c r="KHG120" s="1"/>
      <c r="KHH120" s="1"/>
      <c r="KHI120" s="1"/>
      <c r="KHJ120" s="1"/>
      <c r="KHK120" s="1"/>
      <c r="KHL120" s="1"/>
      <c r="KHM120" s="1"/>
      <c r="KHN120" s="1"/>
      <c r="KHO120" s="1"/>
      <c r="KHP120" s="1"/>
      <c r="KHQ120" s="1"/>
      <c r="KHR120" s="1"/>
      <c r="KHS120" s="1"/>
      <c r="KHT120" s="1"/>
      <c r="KHU120" s="1"/>
      <c r="KHV120" s="1"/>
      <c r="KHW120" s="1"/>
      <c r="KHX120" s="1"/>
      <c r="KHY120" s="1"/>
      <c r="KHZ120" s="1"/>
      <c r="KIA120" s="1"/>
      <c r="KIB120" s="1"/>
      <c r="KIC120" s="1"/>
      <c r="KID120" s="1"/>
      <c r="KIE120" s="1"/>
      <c r="KIF120" s="1"/>
      <c r="KIG120" s="1"/>
      <c r="KIH120" s="1"/>
      <c r="KII120" s="1"/>
      <c r="KIJ120" s="1"/>
      <c r="KIK120" s="1"/>
      <c r="KIL120" s="1"/>
      <c r="KIM120" s="1"/>
      <c r="KIN120" s="1"/>
      <c r="KIO120" s="1"/>
      <c r="KIP120" s="1"/>
      <c r="KIQ120" s="1"/>
      <c r="KIR120" s="1"/>
      <c r="KIS120" s="1"/>
      <c r="KIT120" s="1"/>
      <c r="KIU120" s="1"/>
      <c r="KIV120" s="1"/>
      <c r="KIW120" s="1"/>
      <c r="KIX120" s="1"/>
      <c r="KIY120" s="1"/>
      <c r="KIZ120" s="1"/>
      <c r="KJA120" s="1"/>
      <c r="KJB120" s="1"/>
      <c r="KJC120" s="1"/>
      <c r="KJD120" s="1"/>
      <c r="KJE120" s="1"/>
      <c r="KJF120" s="1"/>
      <c r="KJG120" s="1"/>
      <c r="KJH120" s="1"/>
      <c r="KJI120" s="1"/>
      <c r="KJJ120" s="1"/>
      <c r="KJK120" s="1"/>
      <c r="KJL120" s="1"/>
      <c r="KJM120" s="1"/>
      <c r="KJN120" s="1"/>
      <c r="KJO120" s="1"/>
      <c r="KJP120" s="1"/>
      <c r="KJQ120" s="1"/>
      <c r="KJR120" s="1"/>
      <c r="KJS120" s="1"/>
      <c r="KJT120" s="1"/>
      <c r="KJU120" s="1"/>
      <c r="KJV120" s="1"/>
      <c r="KJW120" s="1"/>
      <c r="KJX120" s="1"/>
      <c r="KJY120" s="1"/>
      <c r="KJZ120" s="1"/>
      <c r="KKA120" s="1"/>
      <c r="KKB120" s="1"/>
      <c r="KKC120" s="1"/>
      <c r="KKD120" s="1"/>
      <c r="KKE120" s="1"/>
      <c r="KKF120" s="1"/>
      <c r="KKG120" s="1"/>
      <c r="KKH120" s="1"/>
      <c r="KKI120" s="1"/>
      <c r="KKJ120" s="1"/>
      <c r="KKK120" s="1"/>
      <c r="KKL120" s="1"/>
      <c r="KKM120" s="1"/>
      <c r="KKN120" s="1"/>
      <c r="KKO120" s="1"/>
      <c r="KKP120" s="1"/>
      <c r="KKQ120" s="1"/>
      <c r="KKR120" s="1"/>
      <c r="KKS120" s="1"/>
      <c r="KKT120" s="1"/>
      <c r="KKU120" s="1"/>
      <c r="KKV120" s="1"/>
      <c r="KKW120" s="1"/>
      <c r="KKX120" s="1"/>
      <c r="KKY120" s="1"/>
      <c r="KKZ120" s="1"/>
      <c r="KLA120" s="1"/>
      <c r="KLB120" s="1"/>
      <c r="KLC120" s="1"/>
      <c r="KLD120" s="1"/>
      <c r="KLE120" s="1"/>
      <c r="KLF120" s="1"/>
      <c r="KLG120" s="1"/>
      <c r="KLH120" s="1"/>
      <c r="KLI120" s="1"/>
      <c r="KLJ120" s="1"/>
      <c r="KLK120" s="1"/>
      <c r="KLL120" s="1"/>
      <c r="KLM120" s="1"/>
      <c r="KLN120" s="1"/>
      <c r="KLO120" s="1"/>
      <c r="KLP120" s="1"/>
      <c r="KLQ120" s="1"/>
      <c r="KLR120" s="1"/>
      <c r="KLS120" s="1"/>
      <c r="KLT120" s="1"/>
      <c r="KLU120" s="1"/>
      <c r="KLV120" s="1"/>
      <c r="KLW120" s="1"/>
      <c r="KLX120" s="1"/>
      <c r="KLY120" s="1"/>
      <c r="KLZ120" s="1"/>
      <c r="KMA120" s="1"/>
      <c r="KMB120" s="1"/>
      <c r="KMC120" s="1"/>
      <c r="KMD120" s="1"/>
      <c r="KME120" s="1"/>
      <c r="KMF120" s="1"/>
      <c r="KMG120" s="1"/>
      <c r="KMH120" s="1"/>
      <c r="KMI120" s="1"/>
      <c r="KMJ120" s="1"/>
      <c r="KMK120" s="1"/>
      <c r="KML120" s="1"/>
      <c r="KMM120" s="1"/>
      <c r="KMN120" s="1"/>
      <c r="KMO120" s="1"/>
      <c r="KMP120" s="1"/>
      <c r="KMQ120" s="1"/>
      <c r="KMR120" s="1"/>
      <c r="KMS120" s="1"/>
      <c r="KMT120" s="1"/>
      <c r="KMU120" s="1"/>
      <c r="KMV120" s="1"/>
      <c r="KMW120" s="1"/>
      <c r="KMX120" s="1"/>
      <c r="KMY120" s="1"/>
      <c r="KMZ120" s="1"/>
      <c r="KNA120" s="1"/>
      <c r="KNB120" s="1"/>
      <c r="KNC120" s="1"/>
      <c r="KND120" s="1"/>
      <c r="KNE120" s="1"/>
      <c r="KNF120" s="1"/>
      <c r="KNG120" s="1"/>
      <c r="KNH120" s="1"/>
      <c r="KNI120" s="1"/>
      <c r="KNJ120" s="1"/>
      <c r="KNK120" s="1"/>
      <c r="KNL120" s="1"/>
      <c r="KNM120" s="1"/>
      <c r="KNN120" s="1"/>
      <c r="KNO120" s="1"/>
      <c r="KNP120" s="1"/>
      <c r="KNQ120" s="1"/>
      <c r="KNR120" s="1"/>
      <c r="KNS120" s="1"/>
      <c r="KNT120" s="1"/>
      <c r="KNU120" s="1"/>
      <c r="KNV120" s="1"/>
      <c r="KNW120" s="1"/>
      <c r="KNX120" s="1"/>
      <c r="KNY120" s="1"/>
      <c r="KNZ120" s="1"/>
      <c r="KOA120" s="1"/>
      <c r="KOB120" s="1"/>
      <c r="KOC120" s="1"/>
      <c r="KOD120" s="1"/>
      <c r="KOE120" s="1"/>
      <c r="KOF120" s="1"/>
      <c r="KOG120" s="1"/>
      <c r="KOH120" s="1"/>
      <c r="KOI120" s="1"/>
      <c r="KOJ120" s="1"/>
      <c r="KOK120" s="1"/>
      <c r="KOL120" s="1"/>
      <c r="KOM120" s="1"/>
      <c r="KON120" s="1"/>
      <c r="KOO120" s="1"/>
      <c r="KOP120" s="1"/>
      <c r="KOQ120" s="1"/>
      <c r="KOR120" s="1"/>
      <c r="KOS120" s="1"/>
      <c r="KOT120" s="1"/>
      <c r="KOU120" s="1"/>
      <c r="KOV120" s="1"/>
      <c r="KOW120" s="1"/>
      <c r="KOX120" s="1"/>
      <c r="KOY120" s="1"/>
      <c r="KOZ120" s="1"/>
      <c r="KPA120" s="1"/>
      <c r="KPB120" s="1"/>
      <c r="KPC120" s="1"/>
      <c r="KPD120" s="1"/>
      <c r="KPE120" s="1"/>
      <c r="KPF120" s="1"/>
      <c r="KPG120" s="1"/>
      <c r="KPH120" s="1"/>
      <c r="KPI120" s="1"/>
      <c r="KPJ120" s="1"/>
      <c r="KPK120" s="1"/>
      <c r="KPL120" s="1"/>
      <c r="KPM120" s="1"/>
      <c r="KPN120" s="1"/>
      <c r="KPO120" s="1"/>
      <c r="KPP120" s="1"/>
      <c r="KPQ120" s="1"/>
      <c r="KPR120" s="1"/>
      <c r="KPS120" s="1"/>
      <c r="KPT120" s="1"/>
      <c r="KPU120" s="1"/>
      <c r="KPV120" s="1"/>
      <c r="KPW120" s="1"/>
      <c r="KPX120" s="1"/>
      <c r="KPY120" s="1"/>
      <c r="KPZ120" s="1"/>
      <c r="KQA120" s="1"/>
      <c r="KQB120" s="1"/>
      <c r="KQC120" s="1"/>
      <c r="KQD120" s="1"/>
      <c r="KQE120" s="1"/>
      <c r="KQF120" s="1"/>
      <c r="KQG120" s="1"/>
      <c r="KQH120" s="1"/>
      <c r="KQI120" s="1"/>
      <c r="KQJ120" s="1"/>
      <c r="KQK120" s="1"/>
      <c r="KQL120" s="1"/>
      <c r="KQM120" s="1"/>
      <c r="KQN120" s="1"/>
      <c r="KQO120" s="1"/>
      <c r="KQP120" s="1"/>
      <c r="KQQ120" s="1"/>
      <c r="KQR120" s="1"/>
      <c r="KQS120" s="1"/>
      <c r="KQT120" s="1"/>
      <c r="KQU120" s="1"/>
      <c r="KQV120" s="1"/>
      <c r="KQW120" s="1"/>
      <c r="KQX120" s="1"/>
      <c r="KQY120" s="1"/>
      <c r="KQZ120" s="1"/>
      <c r="KRA120" s="1"/>
      <c r="KRB120" s="1"/>
      <c r="KRC120" s="1"/>
      <c r="KRD120" s="1"/>
      <c r="KRE120" s="1"/>
      <c r="KRF120" s="1"/>
      <c r="KRG120" s="1"/>
      <c r="KRH120" s="1"/>
      <c r="KRI120" s="1"/>
      <c r="KRJ120" s="1"/>
      <c r="KRK120" s="1"/>
      <c r="KRL120" s="1"/>
      <c r="KRM120" s="1"/>
      <c r="KRN120" s="1"/>
      <c r="KRO120" s="1"/>
      <c r="KRP120" s="1"/>
      <c r="KRQ120" s="1"/>
      <c r="KRR120" s="1"/>
      <c r="KRS120" s="1"/>
      <c r="KRT120" s="1"/>
      <c r="KRU120" s="1"/>
      <c r="KRV120" s="1"/>
      <c r="KRW120" s="1"/>
      <c r="KRX120" s="1"/>
      <c r="KRY120" s="1"/>
      <c r="KRZ120" s="1"/>
      <c r="KSA120" s="1"/>
      <c r="KSB120" s="1"/>
      <c r="KSC120" s="1"/>
      <c r="KSD120" s="1"/>
      <c r="KSE120" s="1"/>
      <c r="KSF120" s="1"/>
      <c r="KSG120" s="1"/>
      <c r="KSH120" s="1"/>
      <c r="KSI120" s="1"/>
      <c r="KSJ120" s="1"/>
      <c r="KSK120" s="1"/>
      <c r="KSL120" s="1"/>
      <c r="KSM120" s="1"/>
      <c r="KSN120" s="1"/>
      <c r="KSO120" s="1"/>
      <c r="KSP120" s="1"/>
      <c r="KSQ120" s="1"/>
      <c r="KSR120" s="1"/>
      <c r="KSS120" s="1"/>
      <c r="KST120" s="1"/>
      <c r="KSU120" s="1"/>
      <c r="KSV120" s="1"/>
      <c r="KSW120" s="1"/>
      <c r="KSX120" s="1"/>
      <c r="KSY120" s="1"/>
      <c r="KSZ120" s="1"/>
      <c r="KTA120" s="1"/>
      <c r="KTB120" s="1"/>
      <c r="KTC120" s="1"/>
      <c r="KTD120" s="1"/>
      <c r="KTE120" s="1"/>
      <c r="KTF120" s="1"/>
      <c r="KTG120" s="1"/>
      <c r="KTH120" s="1"/>
      <c r="KTI120" s="1"/>
      <c r="KTJ120" s="1"/>
      <c r="KTK120" s="1"/>
      <c r="KTL120" s="1"/>
      <c r="KTM120" s="1"/>
      <c r="KTN120" s="1"/>
      <c r="KTO120" s="1"/>
      <c r="KTP120" s="1"/>
      <c r="KTQ120" s="1"/>
      <c r="KTR120" s="1"/>
      <c r="KTS120" s="1"/>
      <c r="KTT120" s="1"/>
      <c r="KTU120" s="1"/>
      <c r="KTV120" s="1"/>
      <c r="KTW120" s="1"/>
      <c r="KTX120" s="1"/>
      <c r="KTY120" s="1"/>
      <c r="KTZ120" s="1"/>
      <c r="KUA120" s="1"/>
      <c r="KUB120" s="1"/>
      <c r="KUC120" s="1"/>
      <c r="KUD120" s="1"/>
      <c r="KUE120" s="1"/>
      <c r="KUF120" s="1"/>
      <c r="KUG120" s="1"/>
      <c r="KUH120" s="1"/>
      <c r="KUI120" s="1"/>
      <c r="KUJ120" s="1"/>
      <c r="KUK120" s="1"/>
      <c r="KUL120" s="1"/>
      <c r="KUM120" s="1"/>
      <c r="KUN120" s="1"/>
      <c r="KUO120" s="1"/>
      <c r="KUP120" s="1"/>
      <c r="KUQ120" s="1"/>
      <c r="KUR120" s="1"/>
      <c r="KUS120" s="1"/>
      <c r="KUT120" s="1"/>
      <c r="KUU120" s="1"/>
      <c r="KUV120" s="1"/>
      <c r="KUW120" s="1"/>
      <c r="KUX120" s="1"/>
      <c r="KUY120" s="1"/>
      <c r="KUZ120" s="1"/>
      <c r="KVA120" s="1"/>
      <c r="KVB120" s="1"/>
      <c r="KVC120" s="1"/>
      <c r="KVD120" s="1"/>
      <c r="KVE120" s="1"/>
      <c r="KVF120" s="1"/>
      <c r="KVG120" s="1"/>
      <c r="KVH120" s="1"/>
      <c r="KVI120" s="1"/>
      <c r="KVJ120" s="1"/>
      <c r="KVK120" s="1"/>
      <c r="KVL120" s="1"/>
      <c r="KVM120" s="1"/>
      <c r="KVN120" s="1"/>
      <c r="KVO120" s="1"/>
      <c r="KVP120" s="1"/>
      <c r="KVQ120" s="1"/>
      <c r="KVR120" s="1"/>
      <c r="KVS120" s="1"/>
      <c r="KVT120" s="1"/>
      <c r="KVU120" s="1"/>
      <c r="KVV120" s="1"/>
      <c r="KVW120" s="1"/>
      <c r="KVX120" s="1"/>
      <c r="KVY120" s="1"/>
      <c r="KVZ120" s="1"/>
      <c r="KWA120" s="1"/>
      <c r="KWB120" s="1"/>
      <c r="KWC120" s="1"/>
      <c r="KWD120" s="1"/>
      <c r="KWE120" s="1"/>
      <c r="KWF120" s="1"/>
      <c r="KWG120" s="1"/>
      <c r="KWH120" s="1"/>
      <c r="KWI120" s="1"/>
      <c r="KWJ120" s="1"/>
      <c r="KWK120" s="1"/>
      <c r="KWL120" s="1"/>
      <c r="KWM120" s="1"/>
      <c r="KWN120" s="1"/>
      <c r="KWO120" s="1"/>
      <c r="KWP120" s="1"/>
      <c r="KWQ120" s="1"/>
      <c r="KWR120" s="1"/>
      <c r="KWS120" s="1"/>
      <c r="KWT120" s="1"/>
      <c r="KWU120" s="1"/>
      <c r="KWV120" s="1"/>
      <c r="KWW120" s="1"/>
      <c r="KWX120" s="1"/>
      <c r="KWY120" s="1"/>
      <c r="KWZ120" s="1"/>
      <c r="KXA120" s="1"/>
      <c r="KXB120" s="1"/>
      <c r="KXC120" s="1"/>
      <c r="KXD120" s="1"/>
      <c r="KXE120" s="1"/>
      <c r="KXF120" s="1"/>
      <c r="KXG120" s="1"/>
      <c r="KXH120" s="1"/>
      <c r="KXI120" s="1"/>
      <c r="KXJ120" s="1"/>
      <c r="KXK120" s="1"/>
      <c r="KXL120" s="1"/>
      <c r="KXM120" s="1"/>
      <c r="KXN120" s="1"/>
      <c r="KXO120" s="1"/>
      <c r="KXP120" s="1"/>
      <c r="KXQ120" s="1"/>
      <c r="KXR120" s="1"/>
      <c r="KXS120" s="1"/>
      <c r="KXT120" s="1"/>
      <c r="KXU120" s="1"/>
      <c r="KXV120" s="1"/>
      <c r="KXW120" s="1"/>
      <c r="KXX120" s="1"/>
      <c r="KXY120" s="1"/>
      <c r="KXZ120" s="1"/>
      <c r="KYA120" s="1"/>
      <c r="KYB120" s="1"/>
      <c r="KYC120" s="1"/>
      <c r="KYD120" s="1"/>
      <c r="KYE120" s="1"/>
      <c r="KYF120" s="1"/>
      <c r="KYG120" s="1"/>
      <c r="KYH120" s="1"/>
      <c r="KYI120" s="1"/>
      <c r="KYJ120" s="1"/>
      <c r="KYK120" s="1"/>
      <c r="KYL120" s="1"/>
      <c r="KYM120" s="1"/>
      <c r="KYN120" s="1"/>
      <c r="KYO120" s="1"/>
      <c r="KYP120" s="1"/>
      <c r="KYQ120" s="1"/>
      <c r="KYR120" s="1"/>
      <c r="KYS120" s="1"/>
      <c r="KYT120" s="1"/>
      <c r="KYU120" s="1"/>
      <c r="KYV120" s="1"/>
      <c r="KYW120" s="1"/>
      <c r="KYX120" s="1"/>
      <c r="KYY120" s="1"/>
      <c r="KYZ120" s="1"/>
      <c r="KZA120" s="1"/>
      <c r="KZB120" s="1"/>
      <c r="KZC120" s="1"/>
      <c r="KZD120" s="1"/>
      <c r="KZE120" s="1"/>
      <c r="KZF120" s="1"/>
      <c r="KZG120" s="1"/>
      <c r="KZH120" s="1"/>
      <c r="KZI120" s="1"/>
      <c r="KZJ120" s="1"/>
      <c r="KZK120" s="1"/>
      <c r="KZL120" s="1"/>
      <c r="KZM120" s="1"/>
      <c r="KZN120" s="1"/>
      <c r="KZO120" s="1"/>
      <c r="KZP120" s="1"/>
      <c r="KZQ120" s="1"/>
      <c r="KZR120" s="1"/>
      <c r="KZS120" s="1"/>
      <c r="KZT120" s="1"/>
      <c r="KZU120" s="1"/>
      <c r="KZV120" s="1"/>
      <c r="KZW120" s="1"/>
      <c r="KZX120" s="1"/>
      <c r="KZY120" s="1"/>
      <c r="KZZ120" s="1"/>
      <c r="LAA120" s="1"/>
      <c r="LAB120" s="1"/>
      <c r="LAC120" s="1"/>
      <c r="LAD120" s="1"/>
      <c r="LAE120" s="1"/>
      <c r="LAF120" s="1"/>
      <c r="LAG120" s="1"/>
      <c r="LAH120" s="1"/>
      <c r="LAI120" s="1"/>
      <c r="LAJ120" s="1"/>
      <c r="LAK120" s="1"/>
      <c r="LAL120" s="1"/>
      <c r="LAM120" s="1"/>
      <c r="LAN120" s="1"/>
      <c r="LAO120" s="1"/>
      <c r="LAP120" s="1"/>
      <c r="LAQ120" s="1"/>
      <c r="LAR120" s="1"/>
      <c r="LAS120" s="1"/>
      <c r="LAT120" s="1"/>
      <c r="LAU120" s="1"/>
      <c r="LAV120" s="1"/>
      <c r="LAW120" s="1"/>
      <c r="LAX120" s="1"/>
      <c r="LAY120" s="1"/>
      <c r="LAZ120" s="1"/>
      <c r="LBA120" s="1"/>
      <c r="LBB120" s="1"/>
      <c r="LBC120" s="1"/>
      <c r="LBD120" s="1"/>
      <c r="LBE120" s="1"/>
      <c r="LBF120" s="1"/>
      <c r="LBG120" s="1"/>
      <c r="LBH120" s="1"/>
      <c r="LBI120" s="1"/>
      <c r="LBJ120" s="1"/>
      <c r="LBK120" s="1"/>
      <c r="LBL120" s="1"/>
      <c r="LBM120" s="1"/>
      <c r="LBN120" s="1"/>
      <c r="LBO120" s="1"/>
      <c r="LBP120" s="1"/>
      <c r="LBQ120" s="1"/>
      <c r="LBR120" s="1"/>
      <c r="LBS120" s="1"/>
      <c r="LBT120" s="1"/>
      <c r="LBU120" s="1"/>
      <c r="LBV120" s="1"/>
      <c r="LBW120" s="1"/>
      <c r="LBX120" s="1"/>
      <c r="LBY120" s="1"/>
      <c r="LBZ120" s="1"/>
      <c r="LCA120" s="1"/>
      <c r="LCB120" s="1"/>
      <c r="LCC120" s="1"/>
      <c r="LCD120" s="1"/>
      <c r="LCE120" s="1"/>
      <c r="LCF120" s="1"/>
      <c r="LCG120" s="1"/>
      <c r="LCH120" s="1"/>
      <c r="LCI120" s="1"/>
      <c r="LCJ120" s="1"/>
      <c r="LCK120" s="1"/>
      <c r="LCL120" s="1"/>
      <c r="LCM120" s="1"/>
      <c r="LCN120" s="1"/>
      <c r="LCO120" s="1"/>
      <c r="LCP120" s="1"/>
      <c r="LCQ120" s="1"/>
      <c r="LCR120" s="1"/>
      <c r="LCS120" s="1"/>
      <c r="LCT120" s="1"/>
      <c r="LCU120" s="1"/>
      <c r="LCV120" s="1"/>
      <c r="LCW120" s="1"/>
      <c r="LCX120" s="1"/>
      <c r="LCY120" s="1"/>
      <c r="LCZ120" s="1"/>
      <c r="LDA120" s="1"/>
      <c r="LDB120" s="1"/>
      <c r="LDC120" s="1"/>
      <c r="LDD120" s="1"/>
      <c r="LDE120" s="1"/>
      <c r="LDF120" s="1"/>
      <c r="LDG120" s="1"/>
      <c r="LDH120" s="1"/>
      <c r="LDI120" s="1"/>
      <c r="LDJ120" s="1"/>
      <c r="LDK120" s="1"/>
      <c r="LDL120" s="1"/>
      <c r="LDM120" s="1"/>
      <c r="LDN120" s="1"/>
      <c r="LDO120" s="1"/>
      <c r="LDP120" s="1"/>
      <c r="LDQ120" s="1"/>
      <c r="LDR120" s="1"/>
      <c r="LDS120" s="1"/>
      <c r="LDT120" s="1"/>
      <c r="LDU120" s="1"/>
      <c r="LDV120" s="1"/>
      <c r="LDW120" s="1"/>
      <c r="LDX120" s="1"/>
      <c r="LDY120" s="1"/>
      <c r="LDZ120" s="1"/>
      <c r="LEA120" s="1"/>
      <c r="LEB120" s="1"/>
      <c r="LEC120" s="1"/>
      <c r="LED120" s="1"/>
      <c r="LEE120" s="1"/>
      <c r="LEF120" s="1"/>
      <c r="LEG120" s="1"/>
      <c r="LEH120" s="1"/>
      <c r="LEI120" s="1"/>
      <c r="LEJ120" s="1"/>
      <c r="LEK120" s="1"/>
      <c r="LEL120" s="1"/>
      <c r="LEM120" s="1"/>
      <c r="LEN120" s="1"/>
      <c r="LEO120" s="1"/>
      <c r="LEP120" s="1"/>
      <c r="LEQ120" s="1"/>
      <c r="LER120" s="1"/>
      <c r="LES120" s="1"/>
      <c r="LET120" s="1"/>
      <c r="LEU120" s="1"/>
      <c r="LEV120" s="1"/>
      <c r="LEW120" s="1"/>
      <c r="LEX120" s="1"/>
      <c r="LEY120" s="1"/>
      <c r="LEZ120" s="1"/>
      <c r="LFA120" s="1"/>
      <c r="LFB120" s="1"/>
      <c r="LFC120" s="1"/>
      <c r="LFD120" s="1"/>
      <c r="LFE120" s="1"/>
      <c r="LFF120" s="1"/>
      <c r="LFG120" s="1"/>
      <c r="LFH120" s="1"/>
      <c r="LFI120" s="1"/>
      <c r="LFJ120" s="1"/>
      <c r="LFK120" s="1"/>
      <c r="LFL120" s="1"/>
      <c r="LFM120" s="1"/>
      <c r="LFN120" s="1"/>
      <c r="LFO120" s="1"/>
      <c r="LFP120" s="1"/>
      <c r="LFQ120" s="1"/>
      <c r="LFR120" s="1"/>
      <c r="LFS120" s="1"/>
      <c r="LFT120" s="1"/>
      <c r="LFU120" s="1"/>
      <c r="LFV120" s="1"/>
      <c r="LFW120" s="1"/>
      <c r="LFX120" s="1"/>
      <c r="LFY120" s="1"/>
      <c r="LFZ120" s="1"/>
      <c r="LGA120" s="1"/>
      <c r="LGB120" s="1"/>
      <c r="LGC120" s="1"/>
      <c r="LGD120" s="1"/>
      <c r="LGE120" s="1"/>
      <c r="LGF120" s="1"/>
      <c r="LGG120" s="1"/>
      <c r="LGH120" s="1"/>
      <c r="LGI120" s="1"/>
      <c r="LGJ120" s="1"/>
      <c r="LGK120" s="1"/>
      <c r="LGL120" s="1"/>
      <c r="LGM120" s="1"/>
      <c r="LGN120" s="1"/>
      <c r="LGO120" s="1"/>
      <c r="LGP120" s="1"/>
      <c r="LGQ120" s="1"/>
      <c r="LGR120" s="1"/>
      <c r="LGS120" s="1"/>
      <c r="LGT120" s="1"/>
      <c r="LGU120" s="1"/>
      <c r="LGV120" s="1"/>
      <c r="LGW120" s="1"/>
      <c r="LGX120" s="1"/>
      <c r="LGY120" s="1"/>
      <c r="LGZ120" s="1"/>
      <c r="LHA120" s="1"/>
      <c r="LHB120" s="1"/>
      <c r="LHC120" s="1"/>
      <c r="LHD120" s="1"/>
      <c r="LHE120" s="1"/>
      <c r="LHF120" s="1"/>
      <c r="LHG120" s="1"/>
      <c r="LHH120" s="1"/>
      <c r="LHI120" s="1"/>
      <c r="LHJ120" s="1"/>
      <c r="LHK120" s="1"/>
      <c r="LHL120" s="1"/>
      <c r="LHM120" s="1"/>
      <c r="LHN120" s="1"/>
      <c r="LHO120" s="1"/>
      <c r="LHP120" s="1"/>
      <c r="LHQ120" s="1"/>
      <c r="LHR120" s="1"/>
      <c r="LHS120" s="1"/>
      <c r="LHT120" s="1"/>
      <c r="LHU120" s="1"/>
      <c r="LHV120" s="1"/>
      <c r="LHW120" s="1"/>
      <c r="LHX120" s="1"/>
      <c r="LHY120" s="1"/>
      <c r="LHZ120" s="1"/>
      <c r="LIA120" s="1"/>
      <c r="LIB120" s="1"/>
      <c r="LIC120" s="1"/>
      <c r="LID120" s="1"/>
      <c r="LIE120" s="1"/>
      <c r="LIF120" s="1"/>
      <c r="LIG120" s="1"/>
      <c r="LIH120" s="1"/>
      <c r="LII120" s="1"/>
      <c r="LIJ120" s="1"/>
      <c r="LIK120" s="1"/>
      <c r="LIL120" s="1"/>
      <c r="LIM120" s="1"/>
      <c r="LIN120" s="1"/>
      <c r="LIO120" s="1"/>
      <c r="LIP120" s="1"/>
      <c r="LIQ120" s="1"/>
      <c r="LIR120" s="1"/>
      <c r="LIS120" s="1"/>
      <c r="LIT120" s="1"/>
      <c r="LIU120" s="1"/>
      <c r="LIV120" s="1"/>
      <c r="LIW120" s="1"/>
      <c r="LIX120" s="1"/>
      <c r="LIY120" s="1"/>
      <c r="LIZ120" s="1"/>
      <c r="LJA120" s="1"/>
      <c r="LJB120" s="1"/>
      <c r="LJC120" s="1"/>
      <c r="LJD120" s="1"/>
      <c r="LJE120" s="1"/>
      <c r="LJF120" s="1"/>
      <c r="LJG120" s="1"/>
      <c r="LJH120" s="1"/>
      <c r="LJI120" s="1"/>
      <c r="LJJ120" s="1"/>
      <c r="LJK120" s="1"/>
      <c r="LJL120" s="1"/>
      <c r="LJM120" s="1"/>
      <c r="LJN120" s="1"/>
      <c r="LJO120" s="1"/>
      <c r="LJP120" s="1"/>
      <c r="LJQ120" s="1"/>
      <c r="LJR120" s="1"/>
      <c r="LJS120" s="1"/>
      <c r="LJT120" s="1"/>
      <c r="LJU120" s="1"/>
      <c r="LJV120" s="1"/>
      <c r="LJW120" s="1"/>
      <c r="LJX120" s="1"/>
      <c r="LJY120" s="1"/>
      <c r="LJZ120" s="1"/>
      <c r="LKA120" s="1"/>
      <c r="LKB120" s="1"/>
      <c r="LKC120" s="1"/>
      <c r="LKD120" s="1"/>
      <c r="LKE120" s="1"/>
      <c r="LKF120" s="1"/>
      <c r="LKG120" s="1"/>
      <c r="LKH120" s="1"/>
      <c r="LKI120" s="1"/>
      <c r="LKJ120" s="1"/>
      <c r="LKK120" s="1"/>
      <c r="LKL120" s="1"/>
      <c r="LKM120" s="1"/>
      <c r="LKN120" s="1"/>
      <c r="LKO120" s="1"/>
      <c r="LKP120" s="1"/>
      <c r="LKQ120" s="1"/>
      <c r="LKR120" s="1"/>
      <c r="LKS120" s="1"/>
      <c r="LKT120" s="1"/>
      <c r="LKU120" s="1"/>
      <c r="LKV120" s="1"/>
      <c r="LKW120" s="1"/>
      <c r="LKX120" s="1"/>
      <c r="LKY120" s="1"/>
      <c r="LKZ120" s="1"/>
      <c r="LLA120" s="1"/>
      <c r="LLB120" s="1"/>
      <c r="LLC120" s="1"/>
      <c r="LLD120" s="1"/>
      <c r="LLE120" s="1"/>
      <c r="LLF120" s="1"/>
      <c r="LLG120" s="1"/>
      <c r="LLH120" s="1"/>
      <c r="LLI120" s="1"/>
      <c r="LLJ120" s="1"/>
      <c r="LLK120" s="1"/>
      <c r="LLL120" s="1"/>
      <c r="LLM120" s="1"/>
      <c r="LLN120" s="1"/>
      <c r="LLO120" s="1"/>
      <c r="LLP120" s="1"/>
      <c r="LLQ120" s="1"/>
      <c r="LLR120" s="1"/>
      <c r="LLS120" s="1"/>
      <c r="LLT120" s="1"/>
      <c r="LLU120" s="1"/>
      <c r="LLV120" s="1"/>
      <c r="LLW120" s="1"/>
      <c r="LLX120" s="1"/>
      <c r="LLY120" s="1"/>
      <c r="LLZ120" s="1"/>
      <c r="LMA120" s="1"/>
      <c r="LMB120" s="1"/>
      <c r="LMC120" s="1"/>
      <c r="LMD120" s="1"/>
      <c r="LME120" s="1"/>
      <c r="LMF120" s="1"/>
      <c r="LMG120" s="1"/>
      <c r="LMH120" s="1"/>
      <c r="LMI120" s="1"/>
      <c r="LMJ120" s="1"/>
      <c r="LMK120" s="1"/>
      <c r="LML120" s="1"/>
      <c r="LMM120" s="1"/>
      <c r="LMN120" s="1"/>
      <c r="LMO120" s="1"/>
      <c r="LMP120" s="1"/>
      <c r="LMQ120" s="1"/>
      <c r="LMR120" s="1"/>
      <c r="LMS120" s="1"/>
      <c r="LMT120" s="1"/>
      <c r="LMU120" s="1"/>
      <c r="LMV120" s="1"/>
      <c r="LMW120" s="1"/>
      <c r="LMX120" s="1"/>
      <c r="LMY120" s="1"/>
      <c r="LMZ120" s="1"/>
      <c r="LNA120" s="1"/>
      <c r="LNB120" s="1"/>
      <c r="LNC120" s="1"/>
      <c r="LND120" s="1"/>
      <c r="LNE120" s="1"/>
      <c r="LNF120" s="1"/>
      <c r="LNG120" s="1"/>
      <c r="LNH120" s="1"/>
      <c r="LNI120" s="1"/>
      <c r="LNJ120" s="1"/>
      <c r="LNK120" s="1"/>
      <c r="LNL120" s="1"/>
      <c r="LNM120" s="1"/>
      <c r="LNN120" s="1"/>
      <c r="LNO120" s="1"/>
      <c r="LNP120" s="1"/>
      <c r="LNQ120" s="1"/>
      <c r="LNR120" s="1"/>
      <c r="LNS120" s="1"/>
      <c r="LNT120" s="1"/>
      <c r="LNU120" s="1"/>
      <c r="LNV120" s="1"/>
      <c r="LNW120" s="1"/>
      <c r="LNX120" s="1"/>
      <c r="LNY120" s="1"/>
      <c r="LNZ120" s="1"/>
      <c r="LOA120" s="1"/>
      <c r="LOB120" s="1"/>
      <c r="LOC120" s="1"/>
      <c r="LOD120" s="1"/>
      <c r="LOE120" s="1"/>
      <c r="LOF120" s="1"/>
      <c r="LOG120" s="1"/>
      <c r="LOH120" s="1"/>
      <c r="LOI120" s="1"/>
      <c r="LOJ120" s="1"/>
      <c r="LOK120" s="1"/>
      <c r="LOL120" s="1"/>
      <c r="LOM120" s="1"/>
      <c r="LON120" s="1"/>
      <c r="LOO120" s="1"/>
      <c r="LOP120" s="1"/>
      <c r="LOQ120" s="1"/>
      <c r="LOR120" s="1"/>
      <c r="LOS120" s="1"/>
      <c r="LOT120" s="1"/>
      <c r="LOU120" s="1"/>
      <c r="LOV120" s="1"/>
      <c r="LOW120" s="1"/>
      <c r="LOX120" s="1"/>
      <c r="LOY120" s="1"/>
      <c r="LOZ120" s="1"/>
      <c r="LPA120" s="1"/>
      <c r="LPB120" s="1"/>
      <c r="LPC120" s="1"/>
      <c r="LPD120" s="1"/>
      <c r="LPE120" s="1"/>
      <c r="LPF120" s="1"/>
      <c r="LPG120" s="1"/>
      <c r="LPH120" s="1"/>
      <c r="LPI120" s="1"/>
      <c r="LPJ120" s="1"/>
      <c r="LPK120" s="1"/>
      <c r="LPL120" s="1"/>
      <c r="LPM120" s="1"/>
      <c r="LPN120" s="1"/>
      <c r="LPO120" s="1"/>
      <c r="LPP120" s="1"/>
      <c r="LPQ120" s="1"/>
      <c r="LPR120" s="1"/>
      <c r="LPS120" s="1"/>
      <c r="LPT120" s="1"/>
      <c r="LPU120" s="1"/>
      <c r="LPV120" s="1"/>
      <c r="LPW120" s="1"/>
      <c r="LPX120" s="1"/>
      <c r="LPY120" s="1"/>
      <c r="LPZ120" s="1"/>
      <c r="LQA120" s="1"/>
      <c r="LQB120" s="1"/>
      <c r="LQC120" s="1"/>
      <c r="LQD120" s="1"/>
      <c r="LQE120" s="1"/>
      <c r="LQF120" s="1"/>
      <c r="LQG120" s="1"/>
      <c r="LQH120" s="1"/>
      <c r="LQI120" s="1"/>
      <c r="LQJ120" s="1"/>
      <c r="LQK120" s="1"/>
      <c r="LQL120" s="1"/>
      <c r="LQM120" s="1"/>
      <c r="LQN120" s="1"/>
      <c r="LQO120" s="1"/>
      <c r="LQP120" s="1"/>
      <c r="LQQ120" s="1"/>
      <c r="LQR120" s="1"/>
      <c r="LQS120" s="1"/>
      <c r="LQT120" s="1"/>
      <c r="LQU120" s="1"/>
      <c r="LQV120" s="1"/>
      <c r="LQW120" s="1"/>
      <c r="LQX120" s="1"/>
      <c r="LQY120" s="1"/>
      <c r="LQZ120" s="1"/>
      <c r="LRA120" s="1"/>
      <c r="LRB120" s="1"/>
      <c r="LRC120" s="1"/>
      <c r="LRD120" s="1"/>
      <c r="LRE120" s="1"/>
      <c r="LRF120" s="1"/>
      <c r="LRG120" s="1"/>
      <c r="LRH120" s="1"/>
      <c r="LRI120" s="1"/>
      <c r="LRJ120" s="1"/>
      <c r="LRK120" s="1"/>
      <c r="LRL120" s="1"/>
      <c r="LRM120" s="1"/>
      <c r="LRN120" s="1"/>
      <c r="LRO120" s="1"/>
      <c r="LRP120" s="1"/>
      <c r="LRQ120" s="1"/>
      <c r="LRR120" s="1"/>
      <c r="LRS120" s="1"/>
      <c r="LRT120" s="1"/>
      <c r="LRU120" s="1"/>
      <c r="LRV120" s="1"/>
      <c r="LRW120" s="1"/>
      <c r="LRX120" s="1"/>
      <c r="LRY120" s="1"/>
      <c r="LRZ120" s="1"/>
      <c r="LSA120" s="1"/>
      <c r="LSB120" s="1"/>
      <c r="LSC120" s="1"/>
      <c r="LSD120" s="1"/>
      <c r="LSE120" s="1"/>
      <c r="LSF120" s="1"/>
      <c r="LSG120" s="1"/>
      <c r="LSH120" s="1"/>
      <c r="LSI120" s="1"/>
      <c r="LSJ120" s="1"/>
      <c r="LSK120" s="1"/>
      <c r="LSL120" s="1"/>
      <c r="LSM120" s="1"/>
      <c r="LSN120" s="1"/>
      <c r="LSO120" s="1"/>
      <c r="LSP120" s="1"/>
      <c r="LSQ120" s="1"/>
      <c r="LSR120" s="1"/>
      <c r="LSS120" s="1"/>
      <c r="LST120" s="1"/>
      <c r="LSU120" s="1"/>
      <c r="LSV120" s="1"/>
      <c r="LSW120" s="1"/>
      <c r="LSX120" s="1"/>
      <c r="LSY120" s="1"/>
      <c r="LSZ120" s="1"/>
      <c r="LTA120" s="1"/>
      <c r="LTB120" s="1"/>
      <c r="LTC120" s="1"/>
      <c r="LTD120" s="1"/>
      <c r="LTE120" s="1"/>
      <c r="LTF120" s="1"/>
      <c r="LTG120" s="1"/>
      <c r="LTH120" s="1"/>
      <c r="LTI120" s="1"/>
      <c r="LTJ120" s="1"/>
      <c r="LTK120" s="1"/>
      <c r="LTL120" s="1"/>
      <c r="LTM120" s="1"/>
      <c r="LTN120" s="1"/>
      <c r="LTO120" s="1"/>
      <c r="LTP120" s="1"/>
      <c r="LTQ120" s="1"/>
      <c r="LTR120" s="1"/>
      <c r="LTS120" s="1"/>
      <c r="LTT120" s="1"/>
      <c r="LTU120" s="1"/>
      <c r="LTV120" s="1"/>
      <c r="LTW120" s="1"/>
      <c r="LTX120" s="1"/>
      <c r="LTY120" s="1"/>
      <c r="LTZ120" s="1"/>
      <c r="LUA120" s="1"/>
      <c r="LUB120" s="1"/>
      <c r="LUC120" s="1"/>
      <c r="LUD120" s="1"/>
      <c r="LUE120" s="1"/>
      <c r="LUF120" s="1"/>
      <c r="LUG120" s="1"/>
      <c r="LUH120" s="1"/>
      <c r="LUI120" s="1"/>
      <c r="LUJ120" s="1"/>
      <c r="LUK120" s="1"/>
      <c r="LUL120" s="1"/>
      <c r="LUM120" s="1"/>
      <c r="LUN120" s="1"/>
      <c r="LUO120" s="1"/>
      <c r="LUP120" s="1"/>
      <c r="LUQ120" s="1"/>
      <c r="LUR120" s="1"/>
      <c r="LUS120" s="1"/>
      <c r="LUT120" s="1"/>
      <c r="LUU120" s="1"/>
      <c r="LUV120" s="1"/>
      <c r="LUW120" s="1"/>
      <c r="LUX120" s="1"/>
      <c r="LUY120" s="1"/>
      <c r="LUZ120" s="1"/>
      <c r="LVA120" s="1"/>
      <c r="LVB120" s="1"/>
      <c r="LVC120" s="1"/>
      <c r="LVD120" s="1"/>
      <c r="LVE120" s="1"/>
      <c r="LVF120" s="1"/>
      <c r="LVG120" s="1"/>
      <c r="LVH120" s="1"/>
      <c r="LVI120" s="1"/>
      <c r="LVJ120" s="1"/>
      <c r="LVK120" s="1"/>
      <c r="LVL120" s="1"/>
      <c r="LVM120" s="1"/>
      <c r="LVN120" s="1"/>
      <c r="LVO120" s="1"/>
      <c r="LVP120" s="1"/>
      <c r="LVQ120" s="1"/>
      <c r="LVR120" s="1"/>
      <c r="LVS120" s="1"/>
      <c r="LVT120" s="1"/>
      <c r="LVU120" s="1"/>
      <c r="LVV120" s="1"/>
      <c r="LVW120" s="1"/>
      <c r="LVX120" s="1"/>
      <c r="LVY120" s="1"/>
      <c r="LVZ120" s="1"/>
      <c r="LWA120" s="1"/>
      <c r="LWB120" s="1"/>
      <c r="LWC120" s="1"/>
      <c r="LWD120" s="1"/>
      <c r="LWE120" s="1"/>
      <c r="LWF120" s="1"/>
      <c r="LWG120" s="1"/>
      <c r="LWH120" s="1"/>
      <c r="LWI120" s="1"/>
      <c r="LWJ120" s="1"/>
      <c r="LWK120" s="1"/>
      <c r="LWL120" s="1"/>
      <c r="LWM120" s="1"/>
      <c r="LWN120" s="1"/>
      <c r="LWO120" s="1"/>
      <c r="LWP120" s="1"/>
      <c r="LWQ120" s="1"/>
      <c r="LWR120" s="1"/>
      <c r="LWS120" s="1"/>
      <c r="LWT120" s="1"/>
      <c r="LWU120" s="1"/>
      <c r="LWV120" s="1"/>
      <c r="LWW120" s="1"/>
      <c r="LWX120" s="1"/>
      <c r="LWY120" s="1"/>
      <c r="LWZ120" s="1"/>
      <c r="LXA120" s="1"/>
      <c r="LXB120" s="1"/>
      <c r="LXC120" s="1"/>
      <c r="LXD120" s="1"/>
      <c r="LXE120" s="1"/>
      <c r="LXF120" s="1"/>
      <c r="LXG120" s="1"/>
      <c r="LXH120" s="1"/>
      <c r="LXI120" s="1"/>
      <c r="LXJ120" s="1"/>
      <c r="LXK120" s="1"/>
      <c r="LXL120" s="1"/>
      <c r="LXM120" s="1"/>
      <c r="LXN120" s="1"/>
      <c r="LXO120" s="1"/>
      <c r="LXP120" s="1"/>
      <c r="LXQ120" s="1"/>
      <c r="LXR120" s="1"/>
      <c r="LXS120" s="1"/>
      <c r="LXT120" s="1"/>
      <c r="LXU120" s="1"/>
      <c r="LXV120" s="1"/>
      <c r="LXW120" s="1"/>
      <c r="LXX120" s="1"/>
      <c r="LXY120" s="1"/>
      <c r="LXZ120" s="1"/>
      <c r="LYA120" s="1"/>
      <c r="LYB120" s="1"/>
      <c r="LYC120" s="1"/>
      <c r="LYD120" s="1"/>
      <c r="LYE120" s="1"/>
      <c r="LYF120" s="1"/>
      <c r="LYG120" s="1"/>
      <c r="LYH120" s="1"/>
      <c r="LYI120" s="1"/>
      <c r="LYJ120" s="1"/>
      <c r="LYK120" s="1"/>
      <c r="LYL120" s="1"/>
      <c r="LYM120" s="1"/>
      <c r="LYN120" s="1"/>
      <c r="LYO120" s="1"/>
      <c r="LYP120" s="1"/>
      <c r="LYQ120" s="1"/>
      <c r="LYR120" s="1"/>
      <c r="LYS120" s="1"/>
      <c r="LYT120" s="1"/>
      <c r="LYU120" s="1"/>
      <c r="LYV120" s="1"/>
      <c r="LYW120" s="1"/>
      <c r="LYX120" s="1"/>
      <c r="LYY120" s="1"/>
      <c r="LYZ120" s="1"/>
      <c r="LZA120" s="1"/>
      <c r="LZB120" s="1"/>
      <c r="LZC120" s="1"/>
      <c r="LZD120" s="1"/>
      <c r="LZE120" s="1"/>
      <c r="LZF120" s="1"/>
      <c r="LZG120" s="1"/>
      <c r="LZH120" s="1"/>
      <c r="LZI120" s="1"/>
      <c r="LZJ120" s="1"/>
      <c r="LZK120" s="1"/>
      <c r="LZL120" s="1"/>
      <c r="LZM120" s="1"/>
      <c r="LZN120" s="1"/>
      <c r="LZO120" s="1"/>
      <c r="LZP120" s="1"/>
      <c r="LZQ120" s="1"/>
      <c r="LZR120" s="1"/>
      <c r="LZS120" s="1"/>
      <c r="LZT120" s="1"/>
      <c r="LZU120" s="1"/>
      <c r="LZV120" s="1"/>
      <c r="LZW120" s="1"/>
      <c r="LZX120" s="1"/>
      <c r="LZY120" s="1"/>
      <c r="LZZ120" s="1"/>
      <c r="MAA120" s="1"/>
      <c r="MAB120" s="1"/>
      <c r="MAC120" s="1"/>
      <c r="MAD120" s="1"/>
      <c r="MAE120" s="1"/>
      <c r="MAF120" s="1"/>
      <c r="MAG120" s="1"/>
      <c r="MAH120" s="1"/>
      <c r="MAI120" s="1"/>
      <c r="MAJ120" s="1"/>
      <c r="MAK120" s="1"/>
      <c r="MAL120" s="1"/>
      <c r="MAM120" s="1"/>
      <c r="MAN120" s="1"/>
      <c r="MAO120" s="1"/>
      <c r="MAP120" s="1"/>
      <c r="MAQ120" s="1"/>
      <c r="MAR120" s="1"/>
      <c r="MAS120" s="1"/>
      <c r="MAT120" s="1"/>
      <c r="MAU120" s="1"/>
      <c r="MAV120" s="1"/>
      <c r="MAW120" s="1"/>
      <c r="MAX120" s="1"/>
      <c r="MAY120" s="1"/>
      <c r="MAZ120" s="1"/>
      <c r="MBA120" s="1"/>
      <c r="MBB120" s="1"/>
      <c r="MBC120" s="1"/>
      <c r="MBD120" s="1"/>
      <c r="MBE120" s="1"/>
      <c r="MBF120" s="1"/>
      <c r="MBG120" s="1"/>
      <c r="MBH120" s="1"/>
      <c r="MBI120" s="1"/>
      <c r="MBJ120" s="1"/>
      <c r="MBK120" s="1"/>
      <c r="MBL120" s="1"/>
      <c r="MBM120" s="1"/>
      <c r="MBN120" s="1"/>
      <c r="MBO120" s="1"/>
      <c r="MBP120" s="1"/>
      <c r="MBQ120" s="1"/>
      <c r="MBR120" s="1"/>
      <c r="MBS120" s="1"/>
      <c r="MBT120" s="1"/>
      <c r="MBU120" s="1"/>
      <c r="MBV120" s="1"/>
      <c r="MBW120" s="1"/>
      <c r="MBX120" s="1"/>
      <c r="MBY120" s="1"/>
      <c r="MBZ120" s="1"/>
      <c r="MCA120" s="1"/>
      <c r="MCB120" s="1"/>
      <c r="MCC120" s="1"/>
      <c r="MCD120" s="1"/>
      <c r="MCE120" s="1"/>
      <c r="MCF120" s="1"/>
      <c r="MCG120" s="1"/>
      <c r="MCH120" s="1"/>
      <c r="MCI120" s="1"/>
      <c r="MCJ120" s="1"/>
      <c r="MCK120" s="1"/>
      <c r="MCL120" s="1"/>
      <c r="MCM120" s="1"/>
      <c r="MCN120" s="1"/>
      <c r="MCO120" s="1"/>
      <c r="MCP120" s="1"/>
      <c r="MCQ120" s="1"/>
      <c r="MCR120" s="1"/>
      <c r="MCS120" s="1"/>
      <c r="MCT120" s="1"/>
      <c r="MCU120" s="1"/>
      <c r="MCV120" s="1"/>
      <c r="MCW120" s="1"/>
      <c r="MCX120" s="1"/>
      <c r="MCY120" s="1"/>
      <c r="MCZ120" s="1"/>
      <c r="MDA120" s="1"/>
      <c r="MDB120" s="1"/>
      <c r="MDC120" s="1"/>
      <c r="MDD120" s="1"/>
      <c r="MDE120" s="1"/>
      <c r="MDF120" s="1"/>
      <c r="MDG120" s="1"/>
      <c r="MDH120" s="1"/>
      <c r="MDI120" s="1"/>
      <c r="MDJ120" s="1"/>
      <c r="MDK120" s="1"/>
      <c r="MDL120" s="1"/>
      <c r="MDM120" s="1"/>
      <c r="MDN120" s="1"/>
      <c r="MDO120" s="1"/>
      <c r="MDP120" s="1"/>
      <c r="MDQ120" s="1"/>
      <c r="MDR120" s="1"/>
      <c r="MDS120" s="1"/>
      <c r="MDT120" s="1"/>
      <c r="MDU120" s="1"/>
      <c r="MDV120" s="1"/>
      <c r="MDW120" s="1"/>
      <c r="MDX120" s="1"/>
      <c r="MDY120" s="1"/>
      <c r="MDZ120" s="1"/>
      <c r="MEA120" s="1"/>
      <c r="MEB120" s="1"/>
      <c r="MEC120" s="1"/>
      <c r="MED120" s="1"/>
      <c r="MEE120" s="1"/>
      <c r="MEF120" s="1"/>
      <c r="MEG120" s="1"/>
      <c r="MEH120" s="1"/>
      <c r="MEI120" s="1"/>
      <c r="MEJ120" s="1"/>
      <c r="MEK120" s="1"/>
      <c r="MEL120" s="1"/>
      <c r="MEM120" s="1"/>
      <c r="MEN120" s="1"/>
      <c r="MEO120" s="1"/>
      <c r="MEP120" s="1"/>
      <c r="MEQ120" s="1"/>
      <c r="MER120" s="1"/>
      <c r="MES120" s="1"/>
      <c r="MET120" s="1"/>
      <c r="MEU120" s="1"/>
      <c r="MEV120" s="1"/>
      <c r="MEW120" s="1"/>
      <c r="MEX120" s="1"/>
      <c r="MEY120" s="1"/>
      <c r="MEZ120" s="1"/>
      <c r="MFA120" s="1"/>
      <c r="MFB120" s="1"/>
      <c r="MFC120" s="1"/>
      <c r="MFD120" s="1"/>
      <c r="MFE120" s="1"/>
      <c r="MFF120" s="1"/>
      <c r="MFG120" s="1"/>
      <c r="MFH120" s="1"/>
      <c r="MFI120" s="1"/>
      <c r="MFJ120" s="1"/>
      <c r="MFK120" s="1"/>
      <c r="MFL120" s="1"/>
      <c r="MFM120" s="1"/>
      <c r="MFN120" s="1"/>
      <c r="MFO120" s="1"/>
      <c r="MFP120" s="1"/>
      <c r="MFQ120" s="1"/>
      <c r="MFR120" s="1"/>
      <c r="MFS120" s="1"/>
      <c r="MFT120" s="1"/>
      <c r="MFU120" s="1"/>
      <c r="MFV120" s="1"/>
      <c r="MFW120" s="1"/>
      <c r="MFX120" s="1"/>
      <c r="MFY120" s="1"/>
      <c r="MFZ120" s="1"/>
      <c r="MGA120" s="1"/>
      <c r="MGB120" s="1"/>
      <c r="MGC120" s="1"/>
      <c r="MGD120" s="1"/>
      <c r="MGE120" s="1"/>
      <c r="MGF120" s="1"/>
      <c r="MGG120" s="1"/>
      <c r="MGH120" s="1"/>
      <c r="MGI120" s="1"/>
      <c r="MGJ120" s="1"/>
      <c r="MGK120" s="1"/>
      <c r="MGL120" s="1"/>
      <c r="MGM120" s="1"/>
      <c r="MGN120" s="1"/>
      <c r="MGO120" s="1"/>
      <c r="MGP120" s="1"/>
      <c r="MGQ120" s="1"/>
      <c r="MGR120" s="1"/>
      <c r="MGS120" s="1"/>
      <c r="MGT120" s="1"/>
      <c r="MGU120" s="1"/>
      <c r="MGV120" s="1"/>
      <c r="MGW120" s="1"/>
      <c r="MGX120" s="1"/>
      <c r="MGY120" s="1"/>
      <c r="MGZ120" s="1"/>
      <c r="MHA120" s="1"/>
      <c r="MHB120" s="1"/>
      <c r="MHC120" s="1"/>
      <c r="MHD120" s="1"/>
      <c r="MHE120" s="1"/>
      <c r="MHF120" s="1"/>
      <c r="MHG120" s="1"/>
      <c r="MHH120" s="1"/>
      <c r="MHI120" s="1"/>
      <c r="MHJ120" s="1"/>
      <c r="MHK120" s="1"/>
      <c r="MHL120" s="1"/>
      <c r="MHM120" s="1"/>
      <c r="MHN120" s="1"/>
      <c r="MHO120" s="1"/>
      <c r="MHP120" s="1"/>
      <c r="MHQ120" s="1"/>
      <c r="MHR120" s="1"/>
      <c r="MHS120" s="1"/>
      <c r="MHT120" s="1"/>
      <c r="MHU120" s="1"/>
      <c r="MHV120" s="1"/>
      <c r="MHW120" s="1"/>
      <c r="MHX120" s="1"/>
      <c r="MHY120" s="1"/>
      <c r="MHZ120" s="1"/>
      <c r="MIA120" s="1"/>
      <c r="MIB120" s="1"/>
      <c r="MIC120" s="1"/>
      <c r="MID120" s="1"/>
      <c r="MIE120" s="1"/>
      <c r="MIF120" s="1"/>
      <c r="MIG120" s="1"/>
      <c r="MIH120" s="1"/>
      <c r="MII120" s="1"/>
      <c r="MIJ120" s="1"/>
      <c r="MIK120" s="1"/>
      <c r="MIL120" s="1"/>
      <c r="MIM120" s="1"/>
      <c r="MIN120" s="1"/>
      <c r="MIO120" s="1"/>
      <c r="MIP120" s="1"/>
      <c r="MIQ120" s="1"/>
      <c r="MIR120" s="1"/>
      <c r="MIS120" s="1"/>
      <c r="MIT120" s="1"/>
      <c r="MIU120" s="1"/>
      <c r="MIV120" s="1"/>
      <c r="MIW120" s="1"/>
      <c r="MIX120" s="1"/>
      <c r="MIY120" s="1"/>
      <c r="MIZ120" s="1"/>
      <c r="MJA120" s="1"/>
      <c r="MJB120" s="1"/>
      <c r="MJC120" s="1"/>
      <c r="MJD120" s="1"/>
      <c r="MJE120" s="1"/>
      <c r="MJF120" s="1"/>
      <c r="MJG120" s="1"/>
      <c r="MJH120" s="1"/>
      <c r="MJI120" s="1"/>
      <c r="MJJ120" s="1"/>
      <c r="MJK120" s="1"/>
      <c r="MJL120" s="1"/>
      <c r="MJM120" s="1"/>
      <c r="MJN120" s="1"/>
      <c r="MJO120" s="1"/>
      <c r="MJP120" s="1"/>
      <c r="MJQ120" s="1"/>
      <c r="MJR120" s="1"/>
      <c r="MJS120" s="1"/>
      <c r="MJT120" s="1"/>
      <c r="MJU120" s="1"/>
      <c r="MJV120" s="1"/>
      <c r="MJW120" s="1"/>
      <c r="MJX120" s="1"/>
      <c r="MJY120" s="1"/>
      <c r="MJZ120" s="1"/>
      <c r="MKA120" s="1"/>
      <c r="MKB120" s="1"/>
      <c r="MKC120" s="1"/>
      <c r="MKD120" s="1"/>
      <c r="MKE120" s="1"/>
      <c r="MKF120" s="1"/>
      <c r="MKG120" s="1"/>
      <c r="MKH120" s="1"/>
      <c r="MKI120" s="1"/>
      <c r="MKJ120" s="1"/>
      <c r="MKK120" s="1"/>
      <c r="MKL120" s="1"/>
      <c r="MKM120" s="1"/>
      <c r="MKN120" s="1"/>
      <c r="MKO120" s="1"/>
      <c r="MKP120" s="1"/>
      <c r="MKQ120" s="1"/>
      <c r="MKR120" s="1"/>
      <c r="MKS120" s="1"/>
      <c r="MKT120" s="1"/>
      <c r="MKU120" s="1"/>
      <c r="MKV120" s="1"/>
      <c r="MKW120" s="1"/>
      <c r="MKX120" s="1"/>
      <c r="MKY120" s="1"/>
      <c r="MKZ120" s="1"/>
      <c r="MLA120" s="1"/>
      <c r="MLB120" s="1"/>
      <c r="MLC120" s="1"/>
      <c r="MLD120" s="1"/>
      <c r="MLE120" s="1"/>
      <c r="MLF120" s="1"/>
      <c r="MLG120" s="1"/>
      <c r="MLH120" s="1"/>
      <c r="MLI120" s="1"/>
      <c r="MLJ120" s="1"/>
      <c r="MLK120" s="1"/>
      <c r="MLL120" s="1"/>
      <c r="MLM120" s="1"/>
      <c r="MLN120" s="1"/>
      <c r="MLO120" s="1"/>
      <c r="MLP120" s="1"/>
      <c r="MLQ120" s="1"/>
      <c r="MLR120" s="1"/>
      <c r="MLS120" s="1"/>
      <c r="MLT120" s="1"/>
      <c r="MLU120" s="1"/>
      <c r="MLV120" s="1"/>
      <c r="MLW120" s="1"/>
      <c r="MLX120" s="1"/>
      <c r="MLY120" s="1"/>
      <c r="MLZ120" s="1"/>
      <c r="MMA120" s="1"/>
      <c r="MMB120" s="1"/>
      <c r="MMC120" s="1"/>
      <c r="MMD120" s="1"/>
      <c r="MME120" s="1"/>
      <c r="MMF120" s="1"/>
      <c r="MMG120" s="1"/>
      <c r="MMH120" s="1"/>
      <c r="MMI120" s="1"/>
      <c r="MMJ120" s="1"/>
      <c r="MMK120" s="1"/>
      <c r="MML120" s="1"/>
      <c r="MMM120" s="1"/>
      <c r="MMN120" s="1"/>
      <c r="MMO120" s="1"/>
      <c r="MMP120" s="1"/>
      <c r="MMQ120" s="1"/>
      <c r="MMR120" s="1"/>
      <c r="MMS120" s="1"/>
      <c r="MMT120" s="1"/>
      <c r="MMU120" s="1"/>
      <c r="MMV120" s="1"/>
      <c r="MMW120" s="1"/>
      <c r="MMX120" s="1"/>
      <c r="MMY120" s="1"/>
      <c r="MMZ120" s="1"/>
      <c r="MNA120" s="1"/>
      <c r="MNB120" s="1"/>
      <c r="MNC120" s="1"/>
      <c r="MND120" s="1"/>
      <c r="MNE120" s="1"/>
      <c r="MNF120" s="1"/>
      <c r="MNG120" s="1"/>
      <c r="MNH120" s="1"/>
      <c r="MNI120" s="1"/>
      <c r="MNJ120" s="1"/>
      <c r="MNK120" s="1"/>
      <c r="MNL120" s="1"/>
      <c r="MNM120" s="1"/>
      <c r="MNN120" s="1"/>
      <c r="MNO120" s="1"/>
      <c r="MNP120" s="1"/>
      <c r="MNQ120" s="1"/>
      <c r="MNR120" s="1"/>
      <c r="MNS120" s="1"/>
      <c r="MNT120" s="1"/>
      <c r="MNU120" s="1"/>
      <c r="MNV120" s="1"/>
      <c r="MNW120" s="1"/>
      <c r="MNX120" s="1"/>
      <c r="MNY120" s="1"/>
      <c r="MNZ120" s="1"/>
      <c r="MOA120" s="1"/>
      <c r="MOB120" s="1"/>
      <c r="MOC120" s="1"/>
      <c r="MOD120" s="1"/>
      <c r="MOE120" s="1"/>
      <c r="MOF120" s="1"/>
      <c r="MOG120" s="1"/>
      <c r="MOH120" s="1"/>
      <c r="MOI120" s="1"/>
      <c r="MOJ120" s="1"/>
      <c r="MOK120" s="1"/>
      <c r="MOL120" s="1"/>
      <c r="MOM120" s="1"/>
      <c r="MON120" s="1"/>
      <c r="MOO120" s="1"/>
      <c r="MOP120" s="1"/>
      <c r="MOQ120" s="1"/>
      <c r="MOR120" s="1"/>
      <c r="MOS120" s="1"/>
      <c r="MOT120" s="1"/>
      <c r="MOU120" s="1"/>
      <c r="MOV120" s="1"/>
      <c r="MOW120" s="1"/>
      <c r="MOX120" s="1"/>
      <c r="MOY120" s="1"/>
      <c r="MOZ120" s="1"/>
      <c r="MPA120" s="1"/>
      <c r="MPB120" s="1"/>
      <c r="MPC120" s="1"/>
      <c r="MPD120" s="1"/>
      <c r="MPE120" s="1"/>
      <c r="MPF120" s="1"/>
      <c r="MPG120" s="1"/>
      <c r="MPH120" s="1"/>
      <c r="MPI120" s="1"/>
      <c r="MPJ120" s="1"/>
      <c r="MPK120" s="1"/>
      <c r="MPL120" s="1"/>
      <c r="MPM120" s="1"/>
      <c r="MPN120" s="1"/>
      <c r="MPO120" s="1"/>
      <c r="MPP120" s="1"/>
      <c r="MPQ120" s="1"/>
      <c r="MPR120" s="1"/>
      <c r="MPS120" s="1"/>
      <c r="MPT120" s="1"/>
      <c r="MPU120" s="1"/>
      <c r="MPV120" s="1"/>
      <c r="MPW120" s="1"/>
      <c r="MPX120" s="1"/>
      <c r="MPY120" s="1"/>
      <c r="MPZ120" s="1"/>
      <c r="MQA120" s="1"/>
      <c r="MQB120" s="1"/>
      <c r="MQC120" s="1"/>
      <c r="MQD120" s="1"/>
      <c r="MQE120" s="1"/>
      <c r="MQF120" s="1"/>
      <c r="MQG120" s="1"/>
      <c r="MQH120" s="1"/>
      <c r="MQI120" s="1"/>
      <c r="MQJ120" s="1"/>
      <c r="MQK120" s="1"/>
      <c r="MQL120" s="1"/>
      <c r="MQM120" s="1"/>
      <c r="MQN120" s="1"/>
      <c r="MQO120" s="1"/>
      <c r="MQP120" s="1"/>
      <c r="MQQ120" s="1"/>
      <c r="MQR120" s="1"/>
      <c r="MQS120" s="1"/>
      <c r="MQT120" s="1"/>
      <c r="MQU120" s="1"/>
      <c r="MQV120" s="1"/>
      <c r="MQW120" s="1"/>
      <c r="MQX120" s="1"/>
      <c r="MQY120" s="1"/>
      <c r="MQZ120" s="1"/>
      <c r="MRA120" s="1"/>
      <c r="MRB120" s="1"/>
      <c r="MRC120" s="1"/>
      <c r="MRD120" s="1"/>
      <c r="MRE120" s="1"/>
      <c r="MRF120" s="1"/>
      <c r="MRG120" s="1"/>
      <c r="MRH120" s="1"/>
      <c r="MRI120" s="1"/>
      <c r="MRJ120" s="1"/>
      <c r="MRK120" s="1"/>
      <c r="MRL120" s="1"/>
      <c r="MRM120" s="1"/>
      <c r="MRN120" s="1"/>
      <c r="MRO120" s="1"/>
      <c r="MRP120" s="1"/>
      <c r="MRQ120" s="1"/>
      <c r="MRR120" s="1"/>
      <c r="MRS120" s="1"/>
      <c r="MRT120" s="1"/>
      <c r="MRU120" s="1"/>
      <c r="MRV120" s="1"/>
      <c r="MRW120" s="1"/>
      <c r="MRX120" s="1"/>
      <c r="MRY120" s="1"/>
      <c r="MRZ120" s="1"/>
      <c r="MSA120" s="1"/>
      <c r="MSB120" s="1"/>
      <c r="MSC120" s="1"/>
      <c r="MSD120" s="1"/>
      <c r="MSE120" s="1"/>
      <c r="MSF120" s="1"/>
      <c r="MSG120" s="1"/>
      <c r="MSH120" s="1"/>
      <c r="MSI120" s="1"/>
      <c r="MSJ120" s="1"/>
      <c r="MSK120" s="1"/>
      <c r="MSL120" s="1"/>
      <c r="MSM120" s="1"/>
      <c r="MSN120" s="1"/>
      <c r="MSO120" s="1"/>
      <c r="MSP120" s="1"/>
      <c r="MSQ120" s="1"/>
      <c r="MSR120" s="1"/>
      <c r="MSS120" s="1"/>
      <c r="MST120" s="1"/>
      <c r="MSU120" s="1"/>
      <c r="MSV120" s="1"/>
      <c r="MSW120" s="1"/>
      <c r="MSX120" s="1"/>
      <c r="MSY120" s="1"/>
      <c r="MSZ120" s="1"/>
      <c r="MTA120" s="1"/>
      <c r="MTB120" s="1"/>
      <c r="MTC120" s="1"/>
      <c r="MTD120" s="1"/>
      <c r="MTE120" s="1"/>
      <c r="MTF120" s="1"/>
      <c r="MTG120" s="1"/>
      <c r="MTH120" s="1"/>
      <c r="MTI120" s="1"/>
      <c r="MTJ120" s="1"/>
      <c r="MTK120" s="1"/>
      <c r="MTL120" s="1"/>
      <c r="MTM120" s="1"/>
      <c r="MTN120" s="1"/>
      <c r="MTO120" s="1"/>
      <c r="MTP120" s="1"/>
      <c r="MTQ120" s="1"/>
      <c r="MTR120" s="1"/>
      <c r="MTS120" s="1"/>
      <c r="MTT120" s="1"/>
      <c r="MTU120" s="1"/>
      <c r="MTV120" s="1"/>
      <c r="MTW120" s="1"/>
      <c r="MTX120" s="1"/>
      <c r="MTY120" s="1"/>
      <c r="MTZ120" s="1"/>
      <c r="MUA120" s="1"/>
      <c r="MUB120" s="1"/>
      <c r="MUC120" s="1"/>
      <c r="MUD120" s="1"/>
      <c r="MUE120" s="1"/>
      <c r="MUF120" s="1"/>
      <c r="MUG120" s="1"/>
      <c r="MUH120" s="1"/>
      <c r="MUI120" s="1"/>
      <c r="MUJ120" s="1"/>
      <c r="MUK120" s="1"/>
      <c r="MUL120" s="1"/>
      <c r="MUM120" s="1"/>
      <c r="MUN120" s="1"/>
      <c r="MUO120" s="1"/>
      <c r="MUP120" s="1"/>
      <c r="MUQ120" s="1"/>
      <c r="MUR120" s="1"/>
      <c r="MUS120" s="1"/>
      <c r="MUT120" s="1"/>
      <c r="MUU120" s="1"/>
      <c r="MUV120" s="1"/>
      <c r="MUW120" s="1"/>
      <c r="MUX120" s="1"/>
      <c r="MUY120" s="1"/>
      <c r="MUZ120" s="1"/>
      <c r="MVA120" s="1"/>
      <c r="MVB120" s="1"/>
      <c r="MVC120" s="1"/>
      <c r="MVD120" s="1"/>
      <c r="MVE120" s="1"/>
      <c r="MVF120" s="1"/>
      <c r="MVG120" s="1"/>
      <c r="MVH120" s="1"/>
      <c r="MVI120" s="1"/>
      <c r="MVJ120" s="1"/>
      <c r="MVK120" s="1"/>
      <c r="MVL120" s="1"/>
      <c r="MVM120" s="1"/>
      <c r="MVN120" s="1"/>
      <c r="MVO120" s="1"/>
      <c r="MVP120" s="1"/>
      <c r="MVQ120" s="1"/>
      <c r="MVR120" s="1"/>
      <c r="MVS120" s="1"/>
      <c r="MVT120" s="1"/>
      <c r="MVU120" s="1"/>
      <c r="MVV120" s="1"/>
      <c r="MVW120" s="1"/>
      <c r="MVX120" s="1"/>
      <c r="MVY120" s="1"/>
      <c r="MVZ120" s="1"/>
      <c r="MWA120" s="1"/>
      <c r="MWB120" s="1"/>
      <c r="MWC120" s="1"/>
      <c r="MWD120" s="1"/>
      <c r="MWE120" s="1"/>
      <c r="MWF120" s="1"/>
      <c r="MWG120" s="1"/>
      <c r="MWH120" s="1"/>
      <c r="MWI120" s="1"/>
      <c r="MWJ120" s="1"/>
      <c r="MWK120" s="1"/>
      <c r="MWL120" s="1"/>
      <c r="MWM120" s="1"/>
      <c r="MWN120" s="1"/>
      <c r="MWO120" s="1"/>
      <c r="MWP120" s="1"/>
      <c r="MWQ120" s="1"/>
      <c r="MWR120" s="1"/>
      <c r="MWS120" s="1"/>
      <c r="MWT120" s="1"/>
      <c r="MWU120" s="1"/>
      <c r="MWV120" s="1"/>
      <c r="MWW120" s="1"/>
      <c r="MWX120" s="1"/>
      <c r="MWY120" s="1"/>
      <c r="MWZ120" s="1"/>
      <c r="MXA120" s="1"/>
      <c r="MXB120" s="1"/>
      <c r="MXC120" s="1"/>
      <c r="MXD120" s="1"/>
      <c r="MXE120" s="1"/>
      <c r="MXF120" s="1"/>
      <c r="MXG120" s="1"/>
      <c r="MXH120" s="1"/>
      <c r="MXI120" s="1"/>
      <c r="MXJ120" s="1"/>
      <c r="MXK120" s="1"/>
      <c r="MXL120" s="1"/>
      <c r="MXM120" s="1"/>
      <c r="MXN120" s="1"/>
      <c r="MXO120" s="1"/>
      <c r="MXP120" s="1"/>
      <c r="MXQ120" s="1"/>
      <c r="MXR120" s="1"/>
      <c r="MXS120" s="1"/>
      <c r="MXT120" s="1"/>
      <c r="MXU120" s="1"/>
      <c r="MXV120" s="1"/>
      <c r="MXW120" s="1"/>
      <c r="MXX120" s="1"/>
      <c r="MXY120" s="1"/>
      <c r="MXZ120" s="1"/>
      <c r="MYA120" s="1"/>
      <c r="MYB120" s="1"/>
      <c r="MYC120" s="1"/>
      <c r="MYD120" s="1"/>
      <c r="MYE120" s="1"/>
      <c r="MYF120" s="1"/>
      <c r="MYG120" s="1"/>
      <c r="MYH120" s="1"/>
      <c r="MYI120" s="1"/>
      <c r="MYJ120" s="1"/>
      <c r="MYK120" s="1"/>
      <c r="MYL120" s="1"/>
      <c r="MYM120" s="1"/>
      <c r="MYN120" s="1"/>
      <c r="MYO120" s="1"/>
      <c r="MYP120" s="1"/>
      <c r="MYQ120" s="1"/>
      <c r="MYR120" s="1"/>
      <c r="MYS120" s="1"/>
      <c r="MYT120" s="1"/>
      <c r="MYU120" s="1"/>
      <c r="MYV120" s="1"/>
      <c r="MYW120" s="1"/>
      <c r="MYX120" s="1"/>
      <c r="MYY120" s="1"/>
      <c r="MYZ120" s="1"/>
      <c r="MZA120" s="1"/>
      <c r="MZB120" s="1"/>
      <c r="MZC120" s="1"/>
      <c r="MZD120" s="1"/>
      <c r="MZE120" s="1"/>
      <c r="MZF120" s="1"/>
      <c r="MZG120" s="1"/>
      <c r="MZH120" s="1"/>
      <c r="MZI120" s="1"/>
      <c r="MZJ120" s="1"/>
      <c r="MZK120" s="1"/>
      <c r="MZL120" s="1"/>
      <c r="MZM120" s="1"/>
      <c r="MZN120" s="1"/>
      <c r="MZO120" s="1"/>
      <c r="MZP120" s="1"/>
      <c r="MZQ120" s="1"/>
      <c r="MZR120" s="1"/>
      <c r="MZS120" s="1"/>
      <c r="MZT120" s="1"/>
      <c r="MZU120" s="1"/>
      <c r="MZV120" s="1"/>
      <c r="MZW120" s="1"/>
      <c r="MZX120" s="1"/>
      <c r="MZY120" s="1"/>
      <c r="MZZ120" s="1"/>
      <c r="NAA120" s="1"/>
      <c r="NAB120" s="1"/>
      <c r="NAC120" s="1"/>
      <c r="NAD120" s="1"/>
      <c r="NAE120" s="1"/>
      <c r="NAF120" s="1"/>
      <c r="NAG120" s="1"/>
      <c r="NAH120" s="1"/>
      <c r="NAI120" s="1"/>
      <c r="NAJ120" s="1"/>
      <c r="NAK120" s="1"/>
      <c r="NAL120" s="1"/>
      <c r="NAM120" s="1"/>
      <c r="NAN120" s="1"/>
      <c r="NAO120" s="1"/>
      <c r="NAP120" s="1"/>
      <c r="NAQ120" s="1"/>
      <c r="NAR120" s="1"/>
      <c r="NAS120" s="1"/>
      <c r="NAT120" s="1"/>
      <c r="NAU120" s="1"/>
      <c r="NAV120" s="1"/>
      <c r="NAW120" s="1"/>
      <c r="NAX120" s="1"/>
      <c r="NAY120" s="1"/>
      <c r="NAZ120" s="1"/>
      <c r="NBA120" s="1"/>
      <c r="NBB120" s="1"/>
      <c r="NBC120" s="1"/>
      <c r="NBD120" s="1"/>
      <c r="NBE120" s="1"/>
      <c r="NBF120" s="1"/>
      <c r="NBG120" s="1"/>
      <c r="NBH120" s="1"/>
      <c r="NBI120" s="1"/>
      <c r="NBJ120" s="1"/>
      <c r="NBK120" s="1"/>
      <c r="NBL120" s="1"/>
      <c r="NBM120" s="1"/>
      <c r="NBN120" s="1"/>
      <c r="NBO120" s="1"/>
      <c r="NBP120" s="1"/>
      <c r="NBQ120" s="1"/>
      <c r="NBR120" s="1"/>
      <c r="NBS120" s="1"/>
      <c r="NBT120" s="1"/>
      <c r="NBU120" s="1"/>
      <c r="NBV120" s="1"/>
      <c r="NBW120" s="1"/>
      <c r="NBX120" s="1"/>
      <c r="NBY120" s="1"/>
      <c r="NBZ120" s="1"/>
      <c r="NCA120" s="1"/>
      <c r="NCB120" s="1"/>
      <c r="NCC120" s="1"/>
      <c r="NCD120" s="1"/>
      <c r="NCE120" s="1"/>
      <c r="NCF120" s="1"/>
      <c r="NCG120" s="1"/>
      <c r="NCH120" s="1"/>
      <c r="NCI120" s="1"/>
      <c r="NCJ120" s="1"/>
      <c r="NCK120" s="1"/>
      <c r="NCL120" s="1"/>
      <c r="NCM120" s="1"/>
      <c r="NCN120" s="1"/>
      <c r="NCO120" s="1"/>
      <c r="NCP120" s="1"/>
      <c r="NCQ120" s="1"/>
      <c r="NCR120" s="1"/>
      <c r="NCS120" s="1"/>
      <c r="NCT120" s="1"/>
      <c r="NCU120" s="1"/>
      <c r="NCV120" s="1"/>
      <c r="NCW120" s="1"/>
      <c r="NCX120" s="1"/>
      <c r="NCY120" s="1"/>
      <c r="NCZ120" s="1"/>
      <c r="NDA120" s="1"/>
      <c r="NDB120" s="1"/>
      <c r="NDC120" s="1"/>
      <c r="NDD120" s="1"/>
      <c r="NDE120" s="1"/>
      <c r="NDF120" s="1"/>
      <c r="NDG120" s="1"/>
      <c r="NDH120" s="1"/>
      <c r="NDI120" s="1"/>
      <c r="NDJ120" s="1"/>
      <c r="NDK120" s="1"/>
      <c r="NDL120" s="1"/>
      <c r="NDM120" s="1"/>
      <c r="NDN120" s="1"/>
      <c r="NDO120" s="1"/>
      <c r="NDP120" s="1"/>
      <c r="NDQ120" s="1"/>
      <c r="NDR120" s="1"/>
      <c r="NDS120" s="1"/>
      <c r="NDT120" s="1"/>
      <c r="NDU120" s="1"/>
      <c r="NDV120" s="1"/>
      <c r="NDW120" s="1"/>
      <c r="NDX120" s="1"/>
      <c r="NDY120" s="1"/>
      <c r="NDZ120" s="1"/>
      <c r="NEA120" s="1"/>
      <c r="NEB120" s="1"/>
      <c r="NEC120" s="1"/>
      <c r="NED120" s="1"/>
      <c r="NEE120" s="1"/>
      <c r="NEF120" s="1"/>
      <c r="NEG120" s="1"/>
      <c r="NEH120" s="1"/>
      <c r="NEI120" s="1"/>
      <c r="NEJ120" s="1"/>
      <c r="NEK120" s="1"/>
      <c r="NEL120" s="1"/>
      <c r="NEM120" s="1"/>
      <c r="NEN120" s="1"/>
      <c r="NEO120" s="1"/>
      <c r="NEP120" s="1"/>
      <c r="NEQ120" s="1"/>
      <c r="NER120" s="1"/>
      <c r="NES120" s="1"/>
      <c r="NET120" s="1"/>
      <c r="NEU120" s="1"/>
      <c r="NEV120" s="1"/>
      <c r="NEW120" s="1"/>
      <c r="NEX120" s="1"/>
      <c r="NEY120" s="1"/>
      <c r="NEZ120" s="1"/>
      <c r="NFA120" s="1"/>
      <c r="NFB120" s="1"/>
      <c r="NFC120" s="1"/>
      <c r="NFD120" s="1"/>
      <c r="NFE120" s="1"/>
      <c r="NFF120" s="1"/>
      <c r="NFG120" s="1"/>
      <c r="NFH120" s="1"/>
      <c r="NFI120" s="1"/>
      <c r="NFJ120" s="1"/>
      <c r="NFK120" s="1"/>
      <c r="NFL120" s="1"/>
      <c r="NFM120" s="1"/>
      <c r="NFN120" s="1"/>
      <c r="NFO120" s="1"/>
      <c r="NFP120" s="1"/>
      <c r="NFQ120" s="1"/>
      <c r="NFR120" s="1"/>
      <c r="NFS120" s="1"/>
      <c r="NFT120" s="1"/>
      <c r="NFU120" s="1"/>
      <c r="NFV120" s="1"/>
      <c r="NFW120" s="1"/>
      <c r="NFX120" s="1"/>
      <c r="NFY120" s="1"/>
      <c r="NFZ120" s="1"/>
      <c r="NGA120" s="1"/>
      <c r="NGB120" s="1"/>
      <c r="NGC120" s="1"/>
      <c r="NGD120" s="1"/>
      <c r="NGE120" s="1"/>
      <c r="NGF120" s="1"/>
      <c r="NGG120" s="1"/>
      <c r="NGH120" s="1"/>
      <c r="NGI120" s="1"/>
      <c r="NGJ120" s="1"/>
      <c r="NGK120" s="1"/>
      <c r="NGL120" s="1"/>
      <c r="NGM120" s="1"/>
      <c r="NGN120" s="1"/>
      <c r="NGO120" s="1"/>
      <c r="NGP120" s="1"/>
      <c r="NGQ120" s="1"/>
      <c r="NGR120" s="1"/>
      <c r="NGS120" s="1"/>
      <c r="NGT120" s="1"/>
      <c r="NGU120" s="1"/>
      <c r="NGV120" s="1"/>
      <c r="NGW120" s="1"/>
      <c r="NGX120" s="1"/>
      <c r="NGY120" s="1"/>
      <c r="NGZ120" s="1"/>
      <c r="NHA120" s="1"/>
      <c r="NHB120" s="1"/>
      <c r="NHC120" s="1"/>
      <c r="NHD120" s="1"/>
      <c r="NHE120" s="1"/>
      <c r="NHF120" s="1"/>
      <c r="NHG120" s="1"/>
      <c r="NHH120" s="1"/>
      <c r="NHI120" s="1"/>
      <c r="NHJ120" s="1"/>
      <c r="NHK120" s="1"/>
      <c r="NHL120" s="1"/>
      <c r="NHM120" s="1"/>
      <c r="NHN120" s="1"/>
      <c r="NHO120" s="1"/>
      <c r="NHP120" s="1"/>
      <c r="NHQ120" s="1"/>
      <c r="NHR120" s="1"/>
      <c r="NHS120" s="1"/>
      <c r="NHT120" s="1"/>
      <c r="NHU120" s="1"/>
      <c r="NHV120" s="1"/>
      <c r="NHW120" s="1"/>
      <c r="NHX120" s="1"/>
      <c r="NHY120" s="1"/>
      <c r="NHZ120" s="1"/>
      <c r="NIA120" s="1"/>
      <c r="NIB120" s="1"/>
      <c r="NIC120" s="1"/>
      <c r="NID120" s="1"/>
      <c r="NIE120" s="1"/>
      <c r="NIF120" s="1"/>
      <c r="NIG120" s="1"/>
      <c r="NIH120" s="1"/>
      <c r="NII120" s="1"/>
      <c r="NIJ120" s="1"/>
      <c r="NIK120" s="1"/>
      <c r="NIL120" s="1"/>
      <c r="NIM120" s="1"/>
      <c r="NIN120" s="1"/>
      <c r="NIO120" s="1"/>
      <c r="NIP120" s="1"/>
      <c r="NIQ120" s="1"/>
      <c r="NIR120" s="1"/>
      <c r="NIS120" s="1"/>
      <c r="NIT120" s="1"/>
      <c r="NIU120" s="1"/>
      <c r="NIV120" s="1"/>
      <c r="NIW120" s="1"/>
      <c r="NIX120" s="1"/>
      <c r="NIY120" s="1"/>
      <c r="NIZ120" s="1"/>
      <c r="NJA120" s="1"/>
      <c r="NJB120" s="1"/>
      <c r="NJC120" s="1"/>
      <c r="NJD120" s="1"/>
      <c r="NJE120" s="1"/>
      <c r="NJF120" s="1"/>
      <c r="NJG120" s="1"/>
      <c r="NJH120" s="1"/>
      <c r="NJI120" s="1"/>
      <c r="NJJ120" s="1"/>
      <c r="NJK120" s="1"/>
      <c r="NJL120" s="1"/>
      <c r="NJM120" s="1"/>
      <c r="NJN120" s="1"/>
      <c r="NJO120" s="1"/>
      <c r="NJP120" s="1"/>
      <c r="NJQ120" s="1"/>
      <c r="NJR120" s="1"/>
      <c r="NJS120" s="1"/>
      <c r="NJT120" s="1"/>
      <c r="NJU120" s="1"/>
      <c r="NJV120" s="1"/>
      <c r="NJW120" s="1"/>
      <c r="NJX120" s="1"/>
      <c r="NJY120" s="1"/>
      <c r="NJZ120" s="1"/>
      <c r="NKA120" s="1"/>
      <c r="NKB120" s="1"/>
      <c r="NKC120" s="1"/>
      <c r="NKD120" s="1"/>
      <c r="NKE120" s="1"/>
      <c r="NKF120" s="1"/>
      <c r="NKG120" s="1"/>
      <c r="NKH120" s="1"/>
      <c r="NKI120" s="1"/>
      <c r="NKJ120" s="1"/>
      <c r="NKK120" s="1"/>
      <c r="NKL120" s="1"/>
      <c r="NKM120" s="1"/>
      <c r="NKN120" s="1"/>
      <c r="NKO120" s="1"/>
      <c r="NKP120" s="1"/>
      <c r="NKQ120" s="1"/>
      <c r="NKR120" s="1"/>
      <c r="NKS120" s="1"/>
      <c r="NKT120" s="1"/>
      <c r="NKU120" s="1"/>
      <c r="NKV120" s="1"/>
      <c r="NKW120" s="1"/>
      <c r="NKX120" s="1"/>
      <c r="NKY120" s="1"/>
      <c r="NKZ120" s="1"/>
      <c r="NLA120" s="1"/>
      <c r="NLB120" s="1"/>
      <c r="NLC120" s="1"/>
      <c r="NLD120" s="1"/>
      <c r="NLE120" s="1"/>
      <c r="NLF120" s="1"/>
      <c r="NLG120" s="1"/>
      <c r="NLH120" s="1"/>
      <c r="NLI120" s="1"/>
      <c r="NLJ120" s="1"/>
      <c r="NLK120" s="1"/>
      <c r="NLL120" s="1"/>
      <c r="NLM120" s="1"/>
      <c r="NLN120" s="1"/>
      <c r="NLO120" s="1"/>
      <c r="NLP120" s="1"/>
      <c r="NLQ120" s="1"/>
      <c r="NLR120" s="1"/>
      <c r="NLS120" s="1"/>
      <c r="NLT120" s="1"/>
      <c r="NLU120" s="1"/>
      <c r="NLV120" s="1"/>
      <c r="NLW120" s="1"/>
      <c r="NLX120" s="1"/>
      <c r="NLY120" s="1"/>
      <c r="NLZ120" s="1"/>
      <c r="NMA120" s="1"/>
      <c r="NMB120" s="1"/>
      <c r="NMC120" s="1"/>
      <c r="NMD120" s="1"/>
      <c r="NME120" s="1"/>
      <c r="NMF120" s="1"/>
      <c r="NMG120" s="1"/>
      <c r="NMH120" s="1"/>
      <c r="NMI120" s="1"/>
      <c r="NMJ120" s="1"/>
      <c r="NMK120" s="1"/>
      <c r="NML120" s="1"/>
      <c r="NMM120" s="1"/>
      <c r="NMN120" s="1"/>
      <c r="NMO120" s="1"/>
      <c r="NMP120" s="1"/>
      <c r="NMQ120" s="1"/>
      <c r="NMR120" s="1"/>
      <c r="NMS120" s="1"/>
      <c r="NMT120" s="1"/>
      <c r="NMU120" s="1"/>
      <c r="NMV120" s="1"/>
      <c r="NMW120" s="1"/>
      <c r="NMX120" s="1"/>
      <c r="NMY120" s="1"/>
      <c r="NMZ120" s="1"/>
      <c r="NNA120" s="1"/>
      <c r="NNB120" s="1"/>
      <c r="NNC120" s="1"/>
      <c r="NND120" s="1"/>
      <c r="NNE120" s="1"/>
      <c r="NNF120" s="1"/>
      <c r="NNG120" s="1"/>
      <c r="NNH120" s="1"/>
      <c r="NNI120" s="1"/>
      <c r="NNJ120" s="1"/>
      <c r="NNK120" s="1"/>
      <c r="NNL120" s="1"/>
      <c r="NNM120" s="1"/>
      <c r="NNN120" s="1"/>
      <c r="NNO120" s="1"/>
      <c r="NNP120" s="1"/>
      <c r="NNQ120" s="1"/>
      <c r="NNR120" s="1"/>
      <c r="NNS120" s="1"/>
      <c r="NNT120" s="1"/>
      <c r="NNU120" s="1"/>
      <c r="NNV120" s="1"/>
      <c r="NNW120" s="1"/>
      <c r="NNX120" s="1"/>
      <c r="NNY120" s="1"/>
      <c r="NNZ120" s="1"/>
      <c r="NOA120" s="1"/>
      <c r="NOB120" s="1"/>
      <c r="NOC120" s="1"/>
      <c r="NOD120" s="1"/>
      <c r="NOE120" s="1"/>
      <c r="NOF120" s="1"/>
      <c r="NOG120" s="1"/>
      <c r="NOH120" s="1"/>
      <c r="NOI120" s="1"/>
      <c r="NOJ120" s="1"/>
      <c r="NOK120" s="1"/>
      <c r="NOL120" s="1"/>
      <c r="NOM120" s="1"/>
      <c r="NON120" s="1"/>
      <c r="NOO120" s="1"/>
      <c r="NOP120" s="1"/>
      <c r="NOQ120" s="1"/>
      <c r="NOR120" s="1"/>
      <c r="NOS120" s="1"/>
      <c r="NOT120" s="1"/>
      <c r="NOU120" s="1"/>
      <c r="NOV120" s="1"/>
      <c r="NOW120" s="1"/>
      <c r="NOX120" s="1"/>
      <c r="NOY120" s="1"/>
      <c r="NOZ120" s="1"/>
      <c r="NPA120" s="1"/>
      <c r="NPB120" s="1"/>
      <c r="NPC120" s="1"/>
      <c r="NPD120" s="1"/>
      <c r="NPE120" s="1"/>
      <c r="NPF120" s="1"/>
      <c r="NPG120" s="1"/>
      <c r="NPH120" s="1"/>
      <c r="NPI120" s="1"/>
      <c r="NPJ120" s="1"/>
      <c r="NPK120" s="1"/>
      <c r="NPL120" s="1"/>
      <c r="NPM120" s="1"/>
      <c r="NPN120" s="1"/>
      <c r="NPO120" s="1"/>
      <c r="NPP120" s="1"/>
      <c r="NPQ120" s="1"/>
      <c r="NPR120" s="1"/>
      <c r="NPS120" s="1"/>
      <c r="NPT120" s="1"/>
      <c r="NPU120" s="1"/>
      <c r="NPV120" s="1"/>
      <c r="NPW120" s="1"/>
      <c r="NPX120" s="1"/>
      <c r="NPY120" s="1"/>
      <c r="NPZ120" s="1"/>
      <c r="NQA120" s="1"/>
      <c r="NQB120" s="1"/>
      <c r="NQC120" s="1"/>
      <c r="NQD120" s="1"/>
      <c r="NQE120" s="1"/>
      <c r="NQF120" s="1"/>
      <c r="NQG120" s="1"/>
      <c r="NQH120" s="1"/>
      <c r="NQI120" s="1"/>
      <c r="NQJ120" s="1"/>
      <c r="NQK120" s="1"/>
      <c r="NQL120" s="1"/>
      <c r="NQM120" s="1"/>
      <c r="NQN120" s="1"/>
      <c r="NQO120" s="1"/>
      <c r="NQP120" s="1"/>
      <c r="NQQ120" s="1"/>
      <c r="NQR120" s="1"/>
      <c r="NQS120" s="1"/>
      <c r="NQT120" s="1"/>
      <c r="NQU120" s="1"/>
      <c r="NQV120" s="1"/>
      <c r="NQW120" s="1"/>
      <c r="NQX120" s="1"/>
      <c r="NQY120" s="1"/>
      <c r="NQZ120" s="1"/>
      <c r="NRA120" s="1"/>
      <c r="NRB120" s="1"/>
      <c r="NRC120" s="1"/>
      <c r="NRD120" s="1"/>
      <c r="NRE120" s="1"/>
      <c r="NRF120" s="1"/>
      <c r="NRG120" s="1"/>
      <c r="NRH120" s="1"/>
      <c r="NRI120" s="1"/>
      <c r="NRJ120" s="1"/>
      <c r="NRK120" s="1"/>
      <c r="NRL120" s="1"/>
      <c r="NRM120" s="1"/>
      <c r="NRN120" s="1"/>
      <c r="NRO120" s="1"/>
      <c r="NRP120" s="1"/>
      <c r="NRQ120" s="1"/>
      <c r="NRR120" s="1"/>
      <c r="NRS120" s="1"/>
      <c r="NRT120" s="1"/>
      <c r="NRU120" s="1"/>
      <c r="NRV120" s="1"/>
      <c r="NRW120" s="1"/>
      <c r="NRX120" s="1"/>
      <c r="NRY120" s="1"/>
      <c r="NRZ120" s="1"/>
      <c r="NSA120" s="1"/>
      <c r="NSB120" s="1"/>
      <c r="NSC120" s="1"/>
      <c r="NSD120" s="1"/>
      <c r="NSE120" s="1"/>
      <c r="NSF120" s="1"/>
      <c r="NSG120" s="1"/>
      <c r="NSH120" s="1"/>
      <c r="NSI120" s="1"/>
      <c r="NSJ120" s="1"/>
      <c r="NSK120" s="1"/>
      <c r="NSL120" s="1"/>
      <c r="NSM120" s="1"/>
      <c r="NSN120" s="1"/>
      <c r="NSO120" s="1"/>
      <c r="NSP120" s="1"/>
      <c r="NSQ120" s="1"/>
      <c r="NSR120" s="1"/>
      <c r="NSS120" s="1"/>
      <c r="NST120" s="1"/>
      <c r="NSU120" s="1"/>
      <c r="NSV120" s="1"/>
      <c r="NSW120" s="1"/>
      <c r="NSX120" s="1"/>
      <c r="NSY120" s="1"/>
      <c r="NSZ120" s="1"/>
      <c r="NTA120" s="1"/>
      <c r="NTB120" s="1"/>
      <c r="NTC120" s="1"/>
      <c r="NTD120" s="1"/>
      <c r="NTE120" s="1"/>
      <c r="NTF120" s="1"/>
      <c r="NTG120" s="1"/>
      <c r="NTH120" s="1"/>
      <c r="NTI120" s="1"/>
      <c r="NTJ120" s="1"/>
      <c r="NTK120" s="1"/>
      <c r="NTL120" s="1"/>
      <c r="NTM120" s="1"/>
      <c r="NTN120" s="1"/>
      <c r="NTO120" s="1"/>
      <c r="NTP120" s="1"/>
      <c r="NTQ120" s="1"/>
      <c r="NTR120" s="1"/>
      <c r="NTS120" s="1"/>
      <c r="NTT120" s="1"/>
      <c r="NTU120" s="1"/>
      <c r="NTV120" s="1"/>
      <c r="NTW120" s="1"/>
      <c r="NTX120" s="1"/>
      <c r="NTY120" s="1"/>
      <c r="NTZ120" s="1"/>
      <c r="NUA120" s="1"/>
      <c r="NUB120" s="1"/>
      <c r="NUC120" s="1"/>
      <c r="NUD120" s="1"/>
      <c r="NUE120" s="1"/>
      <c r="NUF120" s="1"/>
      <c r="NUG120" s="1"/>
      <c r="NUH120" s="1"/>
      <c r="NUI120" s="1"/>
      <c r="NUJ120" s="1"/>
      <c r="NUK120" s="1"/>
      <c r="NUL120" s="1"/>
      <c r="NUM120" s="1"/>
      <c r="NUN120" s="1"/>
      <c r="NUO120" s="1"/>
      <c r="NUP120" s="1"/>
      <c r="NUQ120" s="1"/>
      <c r="NUR120" s="1"/>
      <c r="NUS120" s="1"/>
      <c r="NUT120" s="1"/>
      <c r="NUU120" s="1"/>
      <c r="NUV120" s="1"/>
      <c r="NUW120" s="1"/>
      <c r="NUX120" s="1"/>
      <c r="NUY120" s="1"/>
      <c r="NUZ120" s="1"/>
      <c r="NVA120" s="1"/>
      <c r="NVB120" s="1"/>
      <c r="NVC120" s="1"/>
      <c r="NVD120" s="1"/>
      <c r="NVE120" s="1"/>
      <c r="NVF120" s="1"/>
      <c r="NVG120" s="1"/>
      <c r="NVH120" s="1"/>
      <c r="NVI120" s="1"/>
      <c r="NVJ120" s="1"/>
      <c r="NVK120" s="1"/>
      <c r="NVL120" s="1"/>
      <c r="NVM120" s="1"/>
      <c r="NVN120" s="1"/>
      <c r="NVO120" s="1"/>
      <c r="NVP120" s="1"/>
      <c r="NVQ120" s="1"/>
      <c r="NVR120" s="1"/>
      <c r="NVS120" s="1"/>
      <c r="NVT120" s="1"/>
      <c r="NVU120" s="1"/>
      <c r="NVV120" s="1"/>
      <c r="NVW120" s="1"/>
      <c r="NVX120" s="1"/>
      <c r="NVY120" s="1"/>
      <c r="NVZ120" s="1"/>
      <c r="NWA120" s="1"/>
      <c r="NWB120" s="1"/>
      <c r="NWC120" s="1"/>
      <c r="NWD120" s="1"/>
      <c r="NWE120" s="1"/>
      <c r="NWF120" s="1"/>
      <c r="NWG120" s="1"/>
      <c r="NWH120" s="1"/>
      <c r="NWI120" s="1"/>
      <c r="NWJ120" s="1"/>
      <c r="NWK120" s="1"/>
      <c r="NWL120" s="1"/>
      <c r="NWM120" s="1"/>
      <c r="NWN120" s="1"/>
      <c r="NWO120" s="1"/>
      <c r="NWP120" s="1"/>
      <c r="NWQ120" s="1"/>
      <c r="NWR120" s="1"/>
      <c r="NWS120" s="1"/>
      <c r="NWT120" s="1"/>
      <c r="NWU120" s="1"/>
      <c r="NWV120" s="1"/>
      <c r="NWW120" s="1"/>
      <c r="NWX120" s="1"/>
      <c r="NWY120" s="1"/>
      <c r="NWZ120" s="1"/>
      <c r="NXA120" s="1"/>
      <c r="NXB120" s="1"/>
      <c r="NXC120" s="1"/>
      <c r="NXD120" s="1"/>
      <c r="NXE120" s="1"/>
      <c r="NXF120" s="1"/>
      <c r="NXG120" s="1"/>
      <c r="NXH120" s="1"/>
      <c r="NXI120" s="1"/>
      <c r="NXJ120" s="1"/>
      <c r="NXK120" s="1"/>
      <c r="NXL120" s="1"/>
      <c r="NXM120" s="1"/>
      <c r="NXN120" s="1"/>
      <c r="NXO120" s="1"/>
      <c r="NXP120" s="1"/>
      <c r="NXQ120" s="1"/>
      <c r="NXR120" s="1"/>
      <c r="NXS120" s="1"/>
      <c r="NXT120" s="1"/>
      <c r="NXU120" s="1"/>
      <c r="NXV120" s="1"/>
      <c r="NXW120" s="1"/>
      <c r="NXX120" s="1"/>
      <c r="NXY120" s="1"/>
      <c r="NXZ120" s="1"/>
      <c r="NYA120" s="1"/>
      <c r="NYB120" s="1"/>
      <c r="NYC120" s="1"/>
      <c r="NYD120" s="1"/>
      <c r="NYE120" s="1"/>
      <c r="NYF120" s="1"/>
      <c r="NYG120" s="1"/>
      <c r="NYH120" s="1"/>
      <c r="NYI120" s="1"/>
      <c r="NYJ120" s="1"/>
      <c r="NYK120" s="1"/>
      <c r="NYL120" s="1"/>
      <c r="NYM120" s="1"/>
      <c r="NYN120" s="1"/>
      <c r="NYO120" s="1"/>
      <c r="NYP120" s="1"/>
      <c r="NYQ120" s="1"/>
      <c r="NYR120" s="1"/>
      <c r="NYS120" s="1"/>
      <c r="NYT120" s="1"/>
      <c r="NYU120" s="1"/>
      <c r="NYV120" s="1"/>
      <c r="NYW120" s="1"/>
      <c r="NYX120" s="1"/>
      <c r="NYY120" s="1"/>
      <c r="NYZ120" s="1"/>
      <c r="NZA120" s="1"/>
      <c r="NZB120" s="1"/>
      <c r="NZC120" s="1"/>
      <c r="NZD120" s="1"/>
      <c r="NZE120" s="1"/>
      <c r="NZF120" s="1"/>
      <c r="NZG120" s="1"/>
      <c r="NZH120" s="1"/>
      <c r="NZI120" s="1"/>
      <c r="NZJ120" s="1"/>
      <c r="NZK120" s="1"/>
      <c r="NZL120" s="1"/>
      <c r="NZM120" s="1"/>
      <c r="NZN120" s="1"/>
      <c r="NZO120" s="1"/>
      <c r="NZP120" s="1"/>
      <c r="NZQ120" s="1"/>
      <c r="NZR120" s="1"/>
      <c r="NZS120" s="1"/>
      <c r="NZT120" s="1"/>
      <c r="NZU120" s="1"/>
      <c r="NZV120" s="1"/>
      <c r="NZW120" s="1"/>
      <c r="NZX120" s="1"/>
      <c r="NZY120" s="1"/>
      <c r="NZZ120" s="1"/>
      <c r="OAA120" s="1"/>
      <c r="OAB120" s="1"/>
      <c r="OAC120" s="1"/>
      <c r="OAD120" s="1"/>
      <c r="OAE120" s="1"/>
      <c r="OAF120" s="1"/>
      <c r="OAG120" s="1"/>
      <c r="OAH120" s="1"/>
      <c r="OAI120" s="1"/>
      <c r="OAJ120" s="1"/>
      <c r="OAK120" s="1"/>
      <c r="OAL120" s="1"/>
      <c r="OAM120" s="1"/>
      <c r="OAN120" s="1"/>
      <c r="OAO120" s="1"/>
      <c r="OAP120" s="1"/>
      <c r="OAQ120" s="1"/>
      <c r="OAR120" s="1"/>
      <c r="OAS120" s="1"/>
      <c r="OAT120" s="1"/>
      <c r="OAU120" s="1"/>
      <c r="OAV120" s="1"/>
      <c r="OAW120" s="1"/>
      <c r="OAX120" s="1"/>
      <c r="OAY120" s="1"/>
      <c r="OAZ120" s="1"/>
      <c r="OBA120" s="1"/>
      <c r="OBB120" s="1"/>
      <c r="OBC120" s="1"/>
      <c r="OBD120" s="1"/>
      <c r="OBE120" s="1"/>
      <c r="OBF120" s="1"/>
      <c r="OBG120" s="1"/>
      <c r="OBH120" s="1"/>
      <c r="OBI120" s="1"/>
      <c r="OBJ120" s="1"/>
      <c r="OBK120" s="1"/>
      <c r="OBL120" s="1"/>
      <c r="OBM120" s="1"/>
      <c r="OBN120" s="1"/>
      <c r="OBO120" s="1"/>
      <c r="OBP120" s="1"/>
      <c r="OBQ120" s="1"/>
      <c r="OBR120" s="1"/>
      <c r="OBS120" s="1"/>
      <c r="OBT120" s="1"/>
      <c r="OBU120" s="1"/>
      <c r="OBV120" s="1"/>
      <c r="OBW120" s="1"/>
      <c r="OBX120" s="1"/>
      <c r="OBY120" s="1"/>
      <c r="OBZ120" s="1"/>
      <c r="OCA120" s="1"/>
      <c r="OCB120" s="1"/>
      <c r="OCC120" s="1"/>
      <c r="OCD120" s="1"/>
      <c r="OCE120" s="1"/>
      <c r="OCF120" s="1"/>
      <c r="OCG120" s="1"/>
      <c r="OCH120" s="1"/>
      <c r="OCI120" s="1"/>
      <c r="OCJ120" s="1"/>
      <c r="OCK120" s="1"/>
      <c r="OCL120" s="1"/>
      <c r="OCM120" s="1"/>
      <c r="OCN120" s="1"/>
      <c r="OCO120" s="1"/>
      <c r="OCP120" s="1"/>
      <c r="OCQ120" s="1"/>
      <c r="OCR120" s="1"/>
      <c r="OCS120" s="1"/>
      <c r="OCT120" s="1"/>
      <c r="OCU120" s="1"/>
      <c r="OCV120" s="1"/>
      <c r="OCW120" s="1"/>
      <c r="OCX120" s="1"/>
      <c r="OCY120" s="1"/>
      <c r="OCZ120" s="1"/>
      <c r="ODA120" s="1"/>
      <c r="ODB120" s="1"/>
      <c r="ODC120" s="1"/>
      <c r="ODD120" s="1"/>
      <c r="ODE120" s="1"/>
      <c r="ODF120" s="1"/>
      <c r="ODG120" s="1"/>
      <c r="ODH120" s="1"/>
      <c r="ODI120" s="1"/>
      <c r="ODJ120" s="1"/>
      <c r="ODK120" s="1"/>
      <c r="ODL120" s="1"/>
      <c r="ODM120" s="1"/>
      <c r="ODN120" s="1"/>
      <c r="ODO120" s="1"/>
      <c r="ODP120" s="1"/>
      <c r="ODQ120" s="1"/>
      <c r="ODR120" s="1"/>
      <c r="ODS120" s="1"/>
      <c r="ODT120" s="1"/>
      <c r="ODU120" s="1"/>
      <c r="ODV120" s="1"/>
      <c r="ODW120" s="1"/>
      <c r="ODX120" s="1"/>
      <c r="ODY120" s="1"/>
      <c r="ODZ120" s="1"/>
      <c r="OEA120" s="1"/>
      <c r="OEB120" s="1"/>
      <c r="OEC120" s="1"/>
      <c r="OED120" s="1"/>
      <c r="OEE120" s="1"/>
      <c r="OEF120" s="1"/>
      <c r="OEG120" s="1"/>
      <c r="OEH120" s="1"/>
      <c r="OEI120" s="1"/>
      <c r="OEJ120" s="1"/>
      <c r="OEK120" s="1"/>
      <c r="OEL120" s="1"/>
      <c r="OEM120" s="1"/>
      <c r="OEN120" s="1"/>
      <c r="OEO120" s="1"/>
      <c r="OEP120" s="1"/>
      <c r="OEQ120" s="1"/>
      <c r="OER120" s="1"/>
      <c r="OES120" s="1"/>
      <c r="OET120" s="1"/>
      <c r="OEU120" s="1"/>
      <c r="OEV120" s="1"/>
      <c r="OEW120" s="1"/>
      <c r="OEX120" s="1"/>
      <c r="OEY120" s="1"/>
      <c r="OEZ120" s="1"/>
      <c r="OFA120" s="1"/>
      <c r="OFB120" s="1"/>
      <c r="OFC120" s="1"/>
      <c r="OFD120" s="1"/>
      <c r="OFE120" s="1"/>
      <c r="OFF120" s="1"/>
      <c r="OFG120" s="1"/>
      <c r="OFH120" s="1"/>
      <c r="OFI120" s="1"/>
      <c r="OFJ120" s="1"/>
      <c r="OFK120" s="1"/>
      <c r="OFL120" s="1"/>
      <c r="OFM120" s="1"/>
      <c r="OFN120" s="1"/>
      <c r="OFO120" s="1"/>
      <c r="OFP120" s="1"/>
      <c r="OFQ120" s="1"/>
      <c r="OFR120" s="1"/>
      <c r="OFS120" s="1"/>
      <c r="OFT120" s="1"/>
      <c r="OFU120" s="1"/>
      <c r="OFV120" s="1"/>
      <c r="OFW120" s="1"/>
      <c r="OFX120" s="1"/>
      <c r="OFY120" s="1"/>
      <c r="OFZ120" s="1"/>
      <c r="OGA120" s="1"/>
      <c r="OGB120" s="1"/>
      <c r="OGC120" s="1"/>
      <c r="OGD120" s="1"/>
      <c r="OGE120" s="1"/>
      <c r="OGF120" s="1"/>
      <c r="OGG120" s="1"/>
      <c r="OGH120" s="1"/>
      <c r="OGI120" s="1"/>
      <c r="OGJ120" s="1"/>
      <c r="OGK120" s="1"/>
      <c r="OGL120" s="1"/>
      <c r="OGM120" s="1"/>
      <c r="OGN120" s="1"/>
      <c r="OGO120" s="1"/>
      <c r="OGP120" s="1"/>
      <c r="OGQ120" s="1"/>
      <c r="OGR120" s="1"/>
      <c r="OGS120" s="1"/>
      <c r="OGT120" s="1"/>
      <c r="OGU120" s="1"/>
      <c r="OGV120" s="1"/>
      <c r="OGW120" s="1"/>
      <c r="OGX120" s="1"/>
      <c r="OGY120" s="1"/>
      <c r="OGZ120" s="1"/>
      <c r="OHA120" s="1"/>
      <c r="OHB120" s="1"/>
      <c r="OHC120" s="1"/>
      <c r="OHD120" s="1"/>
      <c r="OHE120" s="1"/>
      <c r="OHF120" s="1"/>
      <c r="OHG120" s="1"/>
      <c r="OHH120" s="1"/>
      <c r="OHI120" s="1"/>
      <c r="OHJ120" s="1"/>
      <c r="OHK120" s="1"/>
      <c r="OHL120" s="1"/>
      <c r="OHM120" s="1"/>
      <c r="OHN120" s="1"/>
      <c r="OHO120" s="1"/>
      <c r="OHP120" s="1"/>
      <c r="OHQ120" s="1"/>
      <c r="OHR120" s="1"/>
      <c r="OHS120" s="1"/>
      <c r="OHT120" s="1"/>
      <c r="OHU120" s="1"/>
      <c r="OHV120" s="1"/>
      <c r="OHW120" s="1"/>
      <c r="OHX120" s="1"/>
      <c r="OHY120" s="1"/>
      <c r="OHZ120" s="1"/>
      <c r="OIA120" s="1"/>
      <c r="OIB120" s="1"/>
      <c r="OIC120" s="1"/>
      <c r="OID120" s="1"/>
      <c r="OIE120" s="1"/>
      <c r="OIF120" s="1"/>
      <c r="OIG120" s="1"/>
      <c r="OIH120" s="1"/>
      <c r="OII120" s="1"/>
      <c r="OIJ120" s="1"/>
      <c r="OIK120" s="1"/>
      <c r="OIL120" s="1"/>
      <c r="OIM120" s="1"/>
      <c r="OIN120" s="1"/>
      <c r="OIO120" s="1"/>
      <c r="OIP120" s="1"/>
      <c r="OIQ120" s="1"/>
      <c r="OIR120" s="1"/>
      <c r="OIS120" s="1"/>
      <c r="OIT120" s="1"/>
      <c r="OIU120" s="1"/>
      <c r="OIV120" s="1"/>
      <c r="OIW120" s="1"/>
      <c r="OIX120" s="1"/>
      <c r="OIY120" s="1"/>
      <c r="OIZ120" s="1"/>
      <c r="OJA120" s="1"/>
      <c r="OJB120" s="1"/>
      <c r="OJC120" s="1"/>
      <c r="OJD120" s="1"/>
      <c r="OJE120" s="1"/>
      <c r="OJF120" s="1"/>
      <c r="OJG120" s="1"/>
      <c r="OJH120" s="1"/>
      <c r="OJI120" s="1"/>
      <c r="OJJ120" s="1"/>
      <c r="OJK120" s="1"/>
      <c r="OJL120" s="1"/>
      <c r="OJM120" s="1"/>
      <c r="OJN120" s="1"/>
      <c r="OJO120" s="1"/>
      <c r="OJP120" s="1"/>
      <c r="OJQ120" s="1"/>
      <c r="OJR120" s="1"/>
      <c r="OJS120" s="1"/>
      <c r="OJT120" s="1"/>
      <c r="OJU120" s="1"/>
      <c r="OJV120" s="1"/>
      <c r="OJW120" s="1"/>
      <c r="OJX120" s="1"/>
      <c r="OJY120" s="1"/>
      <c r="OJZ120" s="1"/>
      <c r="OKA120" s="1"/>
      <c r="OKB120" s="1"/>
      <c r="OKC120" s="1"/>
      <c r="OKD120" s="1"/>
      <c r="OKE120" s="1"/>
      <c r="OKF120" s="1"/>
      <c r="OKG120" s="1"/>
      <c r="OKH120" s="1"/>
      <c r="OKI120" s="1"/>
      <c r="OKJ120" s="1"/>
      <c r="OKK120" s="1"/>
      <c r="OKL120" s="1"/>
      <c r="OKM120" s="1"/>
      <c r="OKN120" s="1"/>
      <c r="OKO120" s="1"/>
      <c r="OKP120" s="1"/>
      <c r="OKQ120" s="1"/>
      <c r="OKR120" s="1"/>
      <c r="OKS120" s="1"/>
      <c r="OKT120" s="1"/>
      <c r="OKU120" s="1"/>
      <c r="OKV120" s="1"/>
      <c r="OKW120" s="1"/>
      <c r="OKX120" s="1"/>
      <c r="OKY120" s="1"/>
      <c r="OKZ120" s="1"/>
      <c r="OLA120" s="1"/>
      <c r="OLB120" s="1"/>
      <c r="OLC120" s="1"/>
      <c r="OLD120" s="1"/>
      <c r="OLE120" s="1"/>
      <c r="OLF120" s="1"/>
      <c r="OLG120" s="1"/>
      <c r="OLH120" s="1"/>
      <c r="OLI120" s="1"/>
      <c r="OLJ120" s="1"/>
      <c r="OLK120" s="1"/>
      <c r="OLL120" s="1"/>
      <c r="OLM120" s="1"/>
      <c r="OLN120" s="1"/>
      <c r="OLO120" s="1"/>
      <c r="OLP120" s="1"/>
      <c r="OLQ120" s="1"/>
      <c r="OLR120" s="1"/>
      <c r="OLS120" s="1"/>
      <c r="OLT120" s="1"/>
      <c r="OLU120" s="1"/>
      <c r="OLV120" s="1"/>
      <c r="OLW120" s="1"/>
      <c r="OLX120" s="1"/>
      <c r="OLY120" s="1"/>
      <c r="OLZ120" s="1"/>
      <c r="OMA120" s="1"/>
      <c r="OMB120" s="1"/>
      <c r="OMC120" s="1"/>
      <c r="OMD120" s="1"/>
      <c r="OME120" s="1"/>
      <c r="OMF120" s="1"/>
      <c r="OMG120" s="1"/>
      <c r="OMH120" s="1"/>
      <c r="OMI120" s="1"/>
      <c r="OMJ120" s="1"/>
      <c r="OMK120" s="1"/>
      <c r="OML120" s="1"/>
      <c r="OMM120" s="1"/>
      <c r="OMN120" s="1"/>
      <c r="OMO120" s="1"/>
      <c r="OMP120" s="1"/>
      <c r="OMQ120" s="1"/>
      <c r="OMR120" s="1"/>
      <c r="OMS120" s="1"/>
      <c r="OMT120" s="1"/>
      <c r="OMU120" s="1"/>
      <c r="OMV120" s="1"/>
      <c r="OMW120" s="1"/>
      <c r="OMX120" s="1"/>
      <c r="OMY120" s="1"/>
      <c r="OMZ120" s="1"/>
      <c r="ONA120" s="1"/>
      <c r="ONB120" s="1"/>
      <c r="ONC120" s="1"/>
      <c r="OND120" s="1"/>
      <c r="ONE120" s="1"/>
      <c r="ONF120" s="1"/>
      <c r="ONG120" s="1"/>
      <c r="ONH120" s="1"/>
      <c r="ONI120" s="1"/>
      <c r="ONJ120" s="1"/>
      <c r="ONK120" s="1"/>
      <c r="ONL120" s="1"/>
      <c r="ONM120" s="1"/>
      <c r="ONN120" s="1"/>
      <c r="ONO120" s="1"/>
      <c r="ONP120" s="1"/>
      <c r="ONQ120" s="1"/>
      <c r="ONR120" s="1"/>
      <c r="ONS120" s="1"/>
      <c r="ONT120" s="1"/>
      <c r="ONU120" s="1"/>
      <c r="ONV120" s="1"/>
      <c r="ONW120" s="1"/>
      <c r="ONX120" s="1"/>
      <c r="ONY120" s="1"/>
      <c r="ONZ120" s="1"/>
      <c r="OOA120" s="1"/>
      <c r="OOB120" s="1"/>
      <c r="OOC120" s="1"/>
      <c r="OOD120" s="1"/>
      <c r="OOE120" s="1"/>
      <c r="OOF120" s="1"/>
      <c r="OOG120" s="1"/>
      <c r="OOH120" s="1"/>
      <c r="OOI120" s="1"/>
      <c r="OOJ120" s="1"/>
      <c r="OOK120" s="1"/>
      <c r="OOL120" s="1"/>
      <c r="OOM120" s="1"/>
      <c r="OON120" s="1"/>
      <c r="OOO120" s="1"/>
      <c r="OOP120" s="1"/>
      <c r="OOQ120" s="1"/>
      <c r="OOR120" s="1"/>
      <c r="OOS120" s="1"/>
      <c r="OOT120" s="1"/>
      <c r="OOU120" s="1"/>
      <c r="OOV120" s="1"/>
      <c r="OOW120" s="1"/>
      <c r="OOX120" s="1"/>
      <c r="OOY120" s="1"/>
      <c r="OOZ120" s="1"/>
      <c r="OPA120" s="1"/>
      <c r="OPB120" s="1"/>
      <c r="OPC120" s="1"/>
      <c r="OPD120" s="1"/>
      <c r="OPE120" s="1"/>
      <c r="OPF120" s="1"/>
      <c r="OPG120" s="1"/>
      <c r="OPH120" s="1"/>
      <c r="OPI120" s="1"/>
      <c r="OPJ120" s="1"/>
      <c r="OPK120" s="1"/>
      <c r="OPL120" s="1"/>
      <c r="OPM120" s="1"/>
      <c r="OPN120" s="1"/>
      <c r="OPO120" s="1"/>
      <c r="OPP120" s="1"/>
      <c r="OPQ120" s="1"/>
      <c r="OPR120" s="1"/>
      <c r="OPS120" s="1"/>
      <c r="OPT120" s="1"/>
      <c r="OPU120" s="1"/>
      <c r="OPV120" s="1"/>
      <c r="OPW120" s="1"/>
      <c r="OPX120" s="1"/>
      <c r="OPY120" s="1"/>
      <c r="OPZ120" s="1"/>
      <c r="OQA120" s="1"/>
      <c r="OQB120" s="1"/>
      <c r="OQC120" s="1"/>
      <c r="OQD120" s="1"/>
      <c r="OQE120" s="1"/>
      <c r="OQF120" s="1"/>
      <c r="OQG120" s="1"/>
      <c r="OQH120" s="1"/>
      <c r="OQI120" s="1"/>
      <c r="OQJ120" s="1"/>
      <c r="OQK120" s="1"/>
      <c r="OQL120" s="1"/>
      <c r="OQM120" s="1"/>
      <c r="OQN120" s="1"/>
      <c r="OQO120" s="1"/>
      <c r="OQP120" s="1"/>
      <c r="OQQ120" s="1"/>
      <c r="OQR120" s="1"/>
      <c r="OQS120" s="1"/>
      <c r="OQT120" s="1"/>
      <c r="OQU120" s="1"/>
      <c r="OQV120" s="1"/>
      <c r="OQW120" s="1"/>
      <c r="OQX120" s="1"/>
      <c r="OQY120" s="1"/>
      <c r="OQZ120" s="1"/>
      <c r="ORA120" s="1"/>
      <c r="ORB120" s="1"/>
      <c r="ORC120" s="1"/>
      <c r="ORD120" s="1"/>
      <c r="ORE120" s="1"/>
      <c r="ORF120" s="1"/>
      <c r="ORG120" s="1"/>
      <c r="ORH120" s="1"/>
      <c r="ORI120" s="1"/>
      <c r="ORJ120" s="1"/>
      <c r="ORK120" s="1"/>
      <c r="ORL120" s="1"/>
      <c r="ORM120" s="1"/>
      <c r="ORN120" s="1"/>
      <c r="ORO120" s="1"/>
      <c r="ORP120" s="1"/>
      <c r="ORQ120" s="1"/>
      <c r="ORR120" s="1"/>
      <c r="ORS120" s="1"/>
      <c r="ORT120" s="1"/>
      <c r="ORU120" s="1"/>
      <c r="ORV120" s="1"/>
      <c r="ORW120" s="1"/>
      <c r="ORX120" s="1"/>
      <c r="ORY120" s="1"/>
      <c r="ORZ120" s="1"/>
      <c r="OSA120" s="1"/>
      <c r="OSB120" s="1"/>
      <c r="OSC120" s="1"/>
      <c r="OSD120" s="1"/>
      <c r="OSE120" s="1"/>
      <c r="OSF120" s="1"/>
      <c r="OSG120" s="1"/>
      <c r="OSH120" s="1"/>
      <c r="OSI120" s="1"/>
      <c r="OSJ120" s="1"/>
      <c r="OSK120" s="1"/>
      <c r="OSL120" s="1"/>
      <c r="OSM120" s="1"/>
      <c r="OSN120" s="1"/>
      <c r="OSO120" s="1"/>
      <c r="OSP120" s="1"/>
      <c r="OSQ120" s="1"/>
      <c r="OSR120" s="1"/>
      <c r="OSS120" s="1"/>
      <c r="OST120" s="1"/>
      <c r="OSU120" s="1"/>
      <c r="OSV120" s="1"/>
      <c r="OSW120" s="1"/>
      <c r="OSX120" s="1"/>
      <c r="OSY120" s="1"/>
      <c r="OSZ120" s="1"/>
      <c r="OTA120" s="1"/>
      <c r="OTB120" s="1"/>
      <c r="OTC120" s="1"/>
      <c r="OTD120" s="1"/>
      <c r="OTE120" s="1"/>
      <c r="OTF120" s="1"/>
      <c r="OTG120" s="1"/>
      <c r="OTH120" s="1"/>
      <c r="OTI120" s="1"/>
      <c r="OTJ120" s="1"/>
      <c r="OTK120" s="1"/>
      <c r="OTL120" s="1"/>
      <c r="OTM120" s="1"/>
      <c r="OTN120" s="1"/>
      <c r="OTO120" s="1"/>
      <c r="OTP120" s="1"/>
      <c r="OTQ120" s="1"/>
      <c r="OTR120" s="1"/>
      <c r="OTS120" s="1"/>
      <c r="OTT120" s="1"/>
      <c r="OTU120" s="1"/>
      <c r="OTV120" s="1"/>
      <c r="OTW120" s="1"/>
      <c r="OTX120" s="1"/>
      <c r="OTY120" s="1"/>
      <c r="OTZ120" s="1"/>
      <c r="OUA120" s="1"/>
      <c r="OUB120" s="1"/>
      <c r="OUC120" s="1"/>
      <c r="OUD120" s="1"/>
      <c r="OUE120" s="1"/>
      <c r="OUF120" s="1"/>
      <c r="OUG120" s="1"/>
      <c r="OUH120" s="1"/>
      <c r="OUI120" s="1"/>
      <c r="OUJ120" s="1"/>
      <c r="OUK120" s="1"/>
      <c r="OUL120" s="1"/>
      <c r="OUM120" s="1"/>
      <c r="OUN120" s="1"/>
      <c r="OUO120" s="1"/>
      <c r="OUP120" s="1"/>
      <c r="OUQ120" s="1"/>
      <c r="OUR120" s="1"/>
      <c r="OUS120" s="1"/>
      <c r="OUT120" s="1"/>
      <c r="OUU120" s="1"/>
      <c r="OUV120" s="1"/>
      <c r="OUW120" s="1"/>
      <c r="OUX120" s="1"/>
      <c r="OUY120" s="1"/>
      <c r="OUZ120" s="1"/>
      <c r="OVA120" s="1"/>
      <c r="OVB120" s="1"/>
      <c r="OVC120" s="1"/>
      <c r="OVD120" s="1"/>
      <c r="OVE120" s="1"/>
      <c r="OVF120" s="1"/>
      <c r="OVG120" s="1"/>
      <c r="OVH120" s="1"/>
      <c r="OVI120" s="1"/>
      <c r="OVJ120" s="1"/>
      <c r="OVK120" s="1"/>
      <c r="OVL120" s="1"/>
      <c r="OVM120" s="1"/>
      <c r="OVN120" s="1"/>
      <c r="OVO120" s="1"/>
      <c r="OVP120" s="1"/>
      <c r="OVQ120" s="1"/>
      <c r="OVR120" s="1"/>
      <c r="OVS120" s="1"/>
      <c r="OVT120" s="1"/>
      <c r="OVU120" s="1"/>
      <c r="OVV120" s="1"/>
      <c r="OVW120" s="1"/>
      <c r="OVX120" s="1"/>
      <c r="OVY120" s="1"/>
      <c r="OVZ120" s="1"/>
      <c r="OWA120" s="1"/>
      <c r="OWB120" s="1"/>
      <c r="OWC120" s="1"/>
      <c r="OWD120" s="1"/>
      <c r="OWE120" s="1"/>
      <c r="OWF120" s="1"/>
      <c r="OWG120" s="1"/>
      <c r="OWH120" s="1"/>
      <c r="OWI120" s="1"/>
      <c r="OWJ120" s="1"/>
      <c r="OWK120" s="1"/>
      <c r="OWL120" s="1"/>
      <c r="OWM120" s="1"/>
      <c r="OWN120" s="1"/>
      <c r="OWO120" s="1"/>
      <c r="OWP120" s="1"/>
      <c r="OWQ120" s="1"/>
      <c r="OWR120" s="1"/>
      <c r="OWS120" s="1"/>
      <c r="OWT120" s="1"/>
      <c r="OWU120" s="1"/>
      <c r="OWV120" s="1"/>
      <c r="OWW120" s="1"/>
      <c r="OWX120" s="1"/>
      <c r="OWY120" s="1"/>
      <c r="OWZ120" s="1"/>
      <c r="OXA120" s="1"/>
      <c r="OXB120" s="1"/>
      <c r="OXC120" s="1"/>
      <c r="OXD120" s="1"/>
      <c r="OXE120" s="1"/>
      <c r="OXF120" s="1"/>
      <c r="OXG120" s="1"/>
      <c r="OXH120" s="1"/>
      <c r="OXI120" s="1"/>
      <c r="OXJ120" s="1"/>
      <c r="OXK120" s="1"/>
      <c r="OXL120" s="1"/>
      <c r="OXM120" s="1"/>
      <c r="OXN120" s="1"/>
      <c r="OXO120" s="1"/>
      <c r="OXP120" s="1"/>
      <c r="OXQ120" s="1"/>
      <c r="OXR120" s="1"/>
      <c r="OXS120" s="1"/>
      <c r="OXT120" s="1"/>
      <c r="OXU120" s="1"/>
      <c r="OXV120" s="1"/>
      <c r="OXW120" s="1"/>
      <c r="OXX120" s="1"/>
      <c r="OXY120" s="1"/>
      <c r="OXZ120" s="1"/>
      <c r="OYA120" s="1"/>
      <c r="OYB120" s="1"/>
      <c r="OYC120" s="1"/>
      <c r="OYD120" s="1"/>
      <c r="OYE120" s="1"/>
      <c r="OYF120" s="1"/>
      <c r="OYG120" s="1"/>
      <c r="OYH120" s="1"/>
      <c r="OYI120" s="1"/>
      <c r="OYJ120" s="1"/>
      <c r="OYK120" s="1"/>
      <c r="OYL120" s="1"/>
      <c r="OYM120" s="1"/>
      <c r="OYN120" s="1"/>
      <c r="OYO120" s="1"/>
      <c r="OYP120" s="1"/>
      <c r="OYQ120" s="1"/>
      <c r="OYR120" s="1"/>
      <c r="OYS120" s="1"/>
      <c r="OYT120" s="1"/>
      <c r="OYU120" s="1"/>
      <c r="OYV120" s="1"/>
      <c r="OYW120" s="1"/>
      <c r="OYX120" s="1"/>
      <c r="OYY120" s="1"/>
      <c r="OYZ120" s="1"/>
      <c r="OZA120" s="1"/>
      <c r="OZB120" s="1"/>
      <c r="OZC120" s="1"/>
      <c r="OZD120" s="1"/>
      <c r="OZE120" s="1"/>
      <c r="OZF120" s="1"/>
      <c r="OZG120" s="1"/>
      <c r="OZH120" s="1"/>
      <c r="OZI120" s="1"/>
      <c r="OZJ120" s="1"/>
      <c r="OZK120" s="1"/>
      <c r="OZL120" s="1"/>
      <c r="OZM120" s="1"/>
      <c r="OZN120" s="1"/>
      <c r="OZO120" s="1"/>
      <c r="OZP120" s="1"/>
      <c r="OZQ120" s="1"/>
      <c r="OZR120" s="1"/>
      <c r="OZS120" s="1"/>
      <c r="OZT120" s="1"/>
      <c r="OZU120" s="1"/>
      <c r="OZV120" s="1"/>
      <c r="OZW120" s="1"/>
      <c r="OZX120" s="1"/>
      <c r="OZY120" s="1"/>
      <c r="OZZ120" s="1"/>
      <c r="PAA120" s="1"/>
      <c r="PAB120" s="1"/>
      <c r="PAC120" s="1"/>
      <c r="PAD120" s="1"/>
      <c r="PAE120" s="1"/>
      <c r="PAF120" s="1"/>
      <c r="PAG120" s="1"/>
      <c r="PAH120" s="1"/>
      <c r="PAI120" s="1"/>
      <c r="PAJ120" s="1"/>
      <c r="PAK120" s="1"/>
      <c r="PAL120" s="1"/>
      <c r="PAM120" s="1"/>
      <c r="PAN120" s="1"/>
      <c r="PAO120" s="1"/>
      <c r="PAP120" s="1"/>
      <c r="PAQ120" s="1"/>
      <c r="PAR120" s="1"/>
      <c r="PAS120" s="1"/>
      <c r="PAT120" s="1"/>
      <c r="PAU120" s="1"/>
      <c r="PAV120" s="1"/>
      <c r="PAW120" s="1"/>
      <c r="PAX120" s="1"/>
      <c r="PAY120" s="1"/>
      <c r="PAZ120" s="1"/>
      <c r="PBA120" s="1"/>
      <c r="PBB120" s="1"/>
      <c r="PBC120" s="1"/>
      <c r="PBD120" s="1"/>
      <c r="PBE120" s="1"/>
      <c r="PBF120" s="1"/>
      <c r="PBG120" s="1"/>
      <c r="PBH120" s="1"/>
      <c r="PBI120" s="1"/>
      <c r="PBJ120" s="1"/>
      <c r="PBK120" s="1"/>
      <c r="PBL120" s="1"/>
      <c r="PBM120" s="1"/>
      <c r="PBN120" s="1"/>
      <c r="PBO120" s="1"/>
      <c r="PBP120" s="1"/>
      <c r="PBQ120" s="1"/>
      <c r="PBR120" s="1"/>
      <c r="PBS120" s="1"/>
      <c r="PBT120" s="1"/>
      <c r="PBU120" s="1"/>
      <c r="PBV120" s="1"/>
      <c r="PBW120" s="1"/>
      <c r="PBX120" s="1"/>
      <c r="PBY120" s="1"/>
      <c r="PBZ120" s="1"/>
      <c r="PCA120" s="1"/>
      <c r="PCB120" s="1"/>
      <c r="PCC120" s="1"/>
      <c r="PCD120" s="1"/>
      <c r="PCE120" s="1"/>
      <c r="PCF120" s="1"/>
      <c r="PCG120" s="1"/>
      <c r="PCH120" s="1"/>
      <c r="PCI120" s="1"/>
      <c r="PCJ120" s="1"/>
      <c r="PCK120" s="1"/>
      <c r="PCL120" s="1"/>
      <c r="PCM120" s="1"/>
      <c r="PCN120" s="1"/>
      <c r="PCO120" s="1"/>
      <c r="PCP120" s="1"/>
      <c r="PCQ120" s="1"/>
      <c r="PCR120" s="1"/>
      <c r="PCS120" s="1"/>
      <c r="PCT120" s="1"/>
      <c r="PCU120" s="1"/>
      <c r="PCV120" s="1"/>
      <c r="PCW120" s="1"/>
      <c r="PCX120" s="1"/>
      <c r="PCY120" s="1"/>
      <c r="PCZ120" s="1"/>
      <c r="PDA120" s="1"/>
      <c r="PDB120" s="1"/>
      <c r="PDC120" s="1"/>
      <c r="PDD120" s="1"/>
      <c r="PDE120" s="1"/>
      <c r="PDF120" s="1"/>
      <c r="PDG120" s="1"/>
      <c r="PDH120" s="1"/>
      <c r="PDI120" s="1"/>
      <c r="PDJ120" s="1"/>
      <c r="PDK120" s="1"/>
      <c r="PDL120" s="1"/>
      <c r="PDM120" s="1"/>
      <c r="PDN120" s="1"/>
      <c r="PDO120" s="1"/>
      <c r="PDP120" s="1"/>
      <c r="PDQ120" s="1"/>
      <c r="PDR120" s="1"/>
      <c r="PDS120" s="1"/>
      <c r="PDT120" s="1"/>
      <c r="PDU120" s="1"/>
      <c r="PDV120" s="1"/>
      <c r="PDW120" s="1"/>
      <c r="PDX120" s="1"/>
      <c r="PDY120" s="1"/>
      <c r="PDZ120" s="1"/>
      <c r="PEA120" s="1"/>
      <c r="PEB120" s="1"/>
      <c r="PEC120" s="1"/>
      <c r="PED120" s="1"/>
      <c r="PEE120" s="1"/>
      <c r="PEF120" s="1"/>
      <c r="PEG120" s="1"/>
      <c r="PEH120" s="1"/>
      <c r="PEI120" s="1"/>
      <c r="PEJ120" s="1"/>
      <c r="PEK120" s="1"/>
      <c r="PEL120" s="1"/>
      <c r="PEM120" s="1"/>
      <c r="PEN120" s="1"/>
      <c r="PEO120" s="1"/>
      <c r="PEP120" s="1"/>
      <c r="PEQ120" s="1"/>
      <c r="PER120" s="1"/>
      <c r="PES120" s="1"/>
      <c r="PET120" s="1"/>
      <c r="PEU120" s="1"/>
      <c r="PEV120" s="1"/>
      <c r="PEW120" s="1"/>
      <c r="PEX120" s="1"/>
      <c r="PEY120" s="1"/>
      <c r="PEZ120" s="1"/>
      <c r="PFA120" s="1"/>
      <c r="PFB120" s="1"/>
      <c r="PFC120" s="1"/>
      <c r="PFD120" s="1"/>
      <c r="PFE120" s="1"/>
      <c r="PFF120" s="1"/>
      <c r="PFG120" s="1"/>
      <c r="PFH120" s="1"/>
      <c r="PFI120" s="1"/>
      <c r="PFJ120" s="1"/>
      <c r="PFK120" s="1"/>
      <c r="PFL120" s="1"/>
      <c r="PFM120" s="1"/>
      <c r="PFN120" s="1"/>
      <c r="PFO120" s="1"/>
      <c r="PFP120" s="1"/>
      <c r="PFQ120" s="1"/>
      <c r="PFR120" s="1"/>
      <c r="PFS120" s="1"/>
      <c r="PFT120" s="1"/>
      <c r="PFU120" s="1"/>
      <c r="PFV120" s="1"/>
      <c r="PFW120" s="1"/>
      <c r="PFX120" s="1"/>
      <c r="PFY120" s="1"/>
      <c r="PFZ120" s="1"/>
      <c r="PGA120" s="1"/>
      <c r="PGB120" s="1"/>
      <c r="PGC120" s="1"/>
      <c r="PGD120" s="1"/>
      <c r="PGE120" s="1"/>
      <c r="PGF120" s="1"/>
      <c r="PGG120" s="1"/>
      <c r="PGH120" s="1"/>
      <c r="PGI120" s="1"/>
      <c r="PGJ120" s="1"/>
      <c r="PGK120" s="1"/>
      <c r="PGL120" s="1"/>
      <c r="PGM120" s="1"/>
      <c r="PGN120" s="1"/>
      <c r="PGO120" s="1"/>
      <c r="PGP120" s="1"/>
      <c r="PGQ120" s="1"/>
      <c r="PGR120" s="1"/>
      <c r="PGS120" s="1"/>
      <c r="PGT120" s="1"/>
      <c r="PGU120" s="1"/>
      <c r="PGV120" s="1"/>
      <c r="PGW120" s="1"/>
      <c r="PGX120" s="1"/>
      <c r="PGY120" s="1"/>
      <c r="PGZ120" s="1"/>
      <c r="PHA120" s="1"/>
      <c r="PHB120" s="1"/>
      <c r="PHC120" s="1"/>
      <c r="PHD120" s="1"/>
      <c r="PHE120" s="1"/>
      <c r="PHF120" s="1"/>
      <c r="PHG120" s="1"/>
      <c r="PHH120" s="1"/>
      <c r="PHI120" s="1"/>
      <c r="PHJ120" s="1"/>
      <c r="PHK120" s="1"/>
      <c r="PHL120" s="1"/>
      <c r="PHM120" s="1"/>
      <c r="PHN120" s="1"/>
      <c r="PHO120" s="1"/>
      <c r="PHP120" s="1"/>
      <c r="PHQ120" s="1"/>
      <c r="PHR120" s="1"/>
      <c r="PHS120" s="1"/>
      <c r="PHT120" s="1"/>
      <c r="PHU120" s="1"/>
      <c r="PHV120" s="1"/>
      <c r="PHW120" s="1"/>
      <c r="PHX120" s="1"/>
      <c r="PHY120" s="1"/>
      <c r="PHZ120" s="1"/>
      <c r="PIA120" s="1"/>
      <c r="PIB120" s="1"/>
      <c r="PIC120" s="1"/>
      <c r="PID120" s="1"/>
      <c r="PIE120" s="1"/>
      <c r="PIF120" s="1"/>
      <c r="PIG120" s="1"/>
      <c r="PIH120" s="1"/>
      <c r="PII120" s="1"/>
      <c r="PIJ120" s="1"/>
      <c r="PIK120" s="1"/>
      <c r="PIL120" s="1"/>
      <c r="PIM120" s="1"/>
      <c r="PIN120" s="1"/>
      <c r="PIO120" s="1"/>
      <c r="PIP120" s="1"/>
      <c r="PIQ120" s="1"/>
      <c r="PIR120" s="1"/>
      <c r="PIS120" s="1"/>
      <c r="PIT120" s="1"/>
      <c r="PIU120" s="1"/>
      <c r="PIV120" s="1"/>
      <c r="PIW120" s="1"/>
      <c r="PIX120" s="1"/>
      <c r="PIY120" s="1"/>
      <c r="PIZ120" s="1"/>
      <c r="PJA120" s="1"/>
      <c r="PJB120" s="1"/>
      <c r="PJC120" s="1"/>
      <c r="PJD120" s="1"/>
      <c r="PJE120" s="1"/>
      <c r="PJF120" s="1"/>
      <c r="PJG120" s="1"/>
      <c r="PJH120" s="1"/>
      <c r="PJI120" s="1"/>
      <c r="PJJ120" s="1"/>
      <c r="PJK120" s="1"/>
      <c r="PJL120" s="1"/>
      <c r="PJM120" s="1"/>
      <c r="PJN120" s="1"/>
      <c r="PJO120" s="1"/>
      <c r="PJP120" s="1"/>
      <c r="PJQ120" s="1"/>
      <c r="PJR120" s="1"/>
      <c r="PJS120" s="1"/>
      <c r="PJT120" s="1"/>
      <c r="PJU120" s="1"/>
      <c r="PJV120" s="1"/>
      <c r="PJW120" s="1"/>
      <c r="PJX120" s="1"/>
      <c r="PJY120" s="1"/>
      <c r="PJZ120" s="1"/>
      <c r="PKA120" s="1"/>
      <c r="PKB120" s="1"/>
      <c r="PKC120" s="1"/>
      <c r="PKD120" s="1"/>
      <c r="PKE120" s="1"/>
      <c r="PKF120" s="1"/>
      <c r="PKG120" s="1"/>
      <c r="PKH120" s="1"/>
      <c r="PKI120" s="1"/>
      <c r="PKJ120" s="1"/>
      <c r="PKK120" s="1"/>
      <c r="PKL120" s="1"/>
      <c r="PKM120" s="1"/>
      <c r="PKN120" s="1"/>
      <c r="PKO120" s="1"/>
      <c r="PKP120" s="1"/>
      <c r="PKQ120" s="1"/>
      <c r="PKR120" s="1"/>
      <c r="PKS120" s="1"/>
      <c r="PKT120" s="1"/>
      <c r="PKU120" s="1"/>
      <c r="PKV120" s="1"/>
      <c r="PKW120" s="1"/>
      <c r="PKX120" s="1"/>
      <c r="PKY120" s="1"/>
      <c r="PKZ120" s="1"/>
      <c r="PLA120" s="1"/>
      <c r="PLB120" s="1"/>
      <c r="PLC120" s="1"/>
      <c r="PLD120" s="1"/>
      <c r="PLE120" s="1"/>
      <c r="PLF120" s="1"/>
      <c r="PLG120" s="1"/>
      <c r="PLH120" s="1"/>
      <c r="PLI120" s="1"/>
      <c r="PLJ120" s="1"/>
      <c r="PLK120" s="1"/>
      <c r="PLL120" s="1"/>
      <c r="PLM120" s="1"/>
      <c r="PLN120" s="1"/>
      <c r="PLO120" s="1"/>
      <c r="PLP120" s="1"/>
      <c r="PLQ120" s="1"/>
      <c r="PLR120" s="1"/>
      <c r="PLS120" s="1"/>
      <c r="PLT120" s="1"/>
      <c r="PLU120" s="1"/>
      <c r="PLV120" s="1"/>
      <c r="PLW120" s="1"/>
      <c r="PLX120" s="1"/>
      <c r="PLY120" s="1"/>
      <c r="PLZ120" s="1"/>
      <c r="PMA120" s="1"/>
      <c r="PMB120" s="1"/>
      <c r="PMC120" s="1"/>
      <c r="PMD120" s="1"/>
      <c r="PME120" s="1"/>
      <c r="PMF120" s="1"/>
      <c r="PMG120" s="1"/>
      <c r="PMH120" s="1"/>
      <c r="PMI120" s="1"/>
      <c r="PMJ120" s="1"/>
      <c r="PMK120" s="1"/>
      <c r="PML120" s="1"/>
      <c r="PMM120" s="1"/>
      <c r="PMN120" s="1"/>
      <c r="PMO120" s="1"/>
      <c r="PMP120" s="1"/>
      <c r="PMQ120" s="1"/>
      <c r="PMR120" s="1"/>
      <c r="PMS120" s="1"/>
      <c r="PMT120" s="1"/>
      <c r="PMU120" s="1"/>
      <c r="PMV120" s="1"/>
      <c r="PMW120" s="1"/>
      <c r="PMX120" s="1"/>
      <c r="PMY120" s="1"/>
      <c r="PMZ120" s="1"/>
      <c r="PNA120" s="1"/>
      <c r="PNB120" s="1"/>
      <c r="PNC120" s="1"/>
      <c r="PND120" s="1"/>
      <c r="PNE120" s="1"/>
      <c r="PNF120" s="1"/>
      <c r="PNG120" s="1"/>
      <c r="PNH120" s="1"/>
      <c r="PNI120" s="1"/>
      <c r="PNJ120" s="1"/>
      <c r="PNK120" s="1"/>
      <c r="PNL120" s="1"/>
      <c r="PNM120" s="1"/>
      <c r="PNN120" s="1"/>
      <c r="PNO120" s="1"/>
      <c r="PNP120" s="1"/>
      <c r="PNQ120" s="1"/>
      <c r="PNR120" s="1"/>
      <c r="PNS120" s="1"/>
      <c r="PNT120" s="1"/>
      <c r="PNU120" s="1"/>
      <c r="PNV120" s="1"/>
      <c r="PNW120" s="1"/>
      <c r="PNX120" s="1"/>
      <c r="PNY120" s="1"/>
      <c r="PNZ120" s="1"/>
      <c r="POA120" s="1"/>
      <c r="POB120" s="1"/>
      <c r="POC120" s="1"/>
      <c r="POD120" s="1"/>
      <c r="POE120" s="1"/>
      <c r="POF120" s="1"/>
      <c r="POG120" s="1"/>
      <c r="POH120" s="1"/>
      <c r="POI120" s="1"/>
      <c r="POJ120" s="1"/>
      <c r="POK120" s="1"/>
      <c r="POL120" s="1"/>
      <c r="POM120" s="1"/>
      <c r="PON120" s="1"/>
      <c r="POO120" s="1"/>
      <c r="POP120" s="1"/>
      <c r="POQ120" s="1"/>
      <c r="POR120" s="1"/>
      <c r="POS120" s="1"/>
      <c r="POT120" s="1"/>
      <c r="POU120" s="1"/>
      <c r="POV120" s="1"/>
      <c r="POW120" s="1"/>
      <c r="POX120" s="1"/>
      <c r="POY120" s="1"/>
      <c r="POZ120" s="1"/>
      <c r="PPA120" s="1"/>
      <c r="PPB120" s="1"/>
      <c r="PPC120" s="1"/>
      <c r="PPD120" s="1"/>
      <c r="PPE120" s="1"/>
      <c r="PPF120" s="1"/>
      <c r="PPG120" s="1"/>
      <c r="PPH120" s="1"/>
      <c r="PPI120" s="1"/>
      <c r="PPJ120" s="1"/>
      <c r="PPK120" s="1"/>
      <c r="PPL120" s="1"/>
      <c r="PPM120" s="1"/>
      <c r="PPN120" s="1"/>
      <c r="PPO120" s="1"/>
      <c r="PPP120" s="1"/>
      <c r="PPQ120" s="1"/>
      <c r="PPR120" s="1"/>
      <c r="PPS120" s="1"/>
      <c r="PPT120" s="1"/>
      <c r="PPU120" s="1"/>
      <c r="PPV120" s="1"/>
      <c r="PPW120" s="1"/>
      <c r="PPX120" s="1"/>
      <c r="PPY120" s="1"/>
      <c r="PPZ120" s="1"/>
      <c r="PQA120" s="1"/>
      <c r="PQB120" s="1"/>
      <c r="PQC120" s="1"/>
      <c r="PQD120" s="1"/>
      <c r="PQE120" s="1"/>
      <c r="PQF120" s="1"/>
      <c r="PQG120" s="1"/>
      <c r="PQH120" s="1"/>
      <c r="PQI120" s="1"/>
      <c r="PQJ120" s="1"/>
      <c r="PQK120" s="1"/>
      <c r="PQL120" s="1"/>
      <c r="PQM120" s="1"/>
      <c r="PQN120" s="1"/>
      <c r="PQO120" s="1"/>
      <c r="PQP120" s="1"/>
      <c r="PQQ120" s="1"/>
      <c r="PQR120" s="1"/>
      <c r="PQS120" s="1"/>
      <c r="PQT120" s="1"/>
      <c r="PQU120" s="1"/>
      <c r="PQV120" s="1"/>
      <c r="PQW120" s="1"/>
      <c r="PQX120" s="1"/>
      <c r="PQY120" s="1"/>
      <c r="PQZ120" s="1"/>
      <c r="PRA120" s="1"/>
      <c r="PRB120" s="1"/>
      <c r="PRC120" s="1"/>
      <c r="PRD120" s="1"/>
      <c r="PRE120" s="1"/>
      <c r="PRF120" s="1"/>
      <c r="PRG120" s="1"/>
      <c r="PRH120" s="1"/>
      <c r="PRI120" s="1"/>
      <c r="PRJ120" s="1"/>
      <c r="PRK120" s="1"/>
      <c r="PRL120" s="1"/>
      <c r="PRM120" s="1"/>
      <c r="PRN120" s="1"/>
      <c r="PRO120" s="1"/>
      <c r="PRP120" s="1"/>
      <c r="PRQ120" s="1"/>
      <c r="PRR120" s="1"/>
      <c r="PRS120" s="1"/>
      <c r="PRT120" s="1"/>
      <c r="PRU120" s="1"/>
      <c r="PRV120" s="1"/>
      <c r="PRW120" s="1"/>
      <c r="PRX120" s="1"/>
      <c r="PRY120" s="1"/>
      <c r="PRZ120" s="1"/>
      <c r="PSA120" s="1"/>
      <c r="PSB120" s="1"/>
      <c r="PSC120" s="1"/>
      <c r="PSD120" s="1"/>
      <c r="PSE120" s="1"/>
      <c r="PSF120" s="1"/>
      <c r="PSG120" s="1"/>
      <c r="PSH120" s="1"/>
      <c r="PSI120" s="1"/>
      <c r="PSJ120" s="1"/>
      <c r="PSK120" s="1"/>
      <c r="PSL120" s="1"/>
      <c r="PSM120" s="1"/>
      <c r="PSN120" s="1"/>
      <c r="PSO120" s="1"/>
      <c r="PSP120" s="1"/>
      <c r="PSQ120" s="1"/>
      <c r="PSR120" s="1"/>
      <c r="PSS120" s="1"/>
      <c r="PST120" s="1"/>
      <c r="PSU120" s="1"/>
      <c r="PSV120" s="1"/>
      <c r="PSW120" s="1"/>
      <c r="PSX120" s="1"/>
      <c r="PSY120" s="1"/>
      <c r="PSZ120" s="1"/>
      <c r="PTA120" s="1"/>
      <c r="PTB120" s="1"/>
      <c r="PTC120" s="1"/>
      <c r="PTD120" s="1"/>
      <c r="PTE120" s="1"/>
      <c r="PTF120" s="1"/>
      <c r="PTG120" s="1"/>
      <c r="PTH120" s="1"/>
      <c r="PTI120" s="1"/>
      <c r="PTJ120" s="1"/>
      <c r="PTK120" s="1"/>
      <c r="PTL120" s="1"/>
      <c r="PTM120" s="1"/>
      <c r="PTN120" s="1"/>
      <c r="PTO120" s="1"/>
      <c r="PTP120" s="1"/>
      <c r="PTQ120" s="1"/>
      <c r="PTR120" s="1"/>
      <c r="PTS120" s="1"/>
      <c r="PTT120" s="1"/>
      <c r="PTU120" s="1"/>
      <c r="PTV120" s="1"/>
      <c r="PTW120" s="1"/>
      <c r="PTX120" s="1"/>
      <c r="PTY120" s="1"/>
      <c r="PTZ120" s="1"/>
      <c r="PUA120" s="1"/>
      <c r="PUB120" s="1"/>
      <c r="PUC120" s="1"/>
      <c r="PUD120" s="1"/>
      <c r="PUE120" s="1"/>
      <c r="PUF120" s="1"/>
      <c r="PUG120" s="1"/>
      <c r="PUH120" s="1"/>
      <c r="PUI120" s="1"/>
      <c r="PUJ120" s="1"/>
      <c r="PUK120" s="1"/>
      <c r="PUL120" s="1"/>
      <c r="PUM120" s="1"/>
      <c r="PUN120" s="1"/>
      <c r="PUO120" s="1"/>
      <c r="PUP120" s="1"/>
      <c r="PUQ120" s="1"/>
      <c r="PUR120" s="1"/>
      <c r="PUS120" s="1"/>
      <c r="PUT120" s="1"/>
      <c r="PUU120" s="1"/>
      <c r="PUV120" s="1"/>
      <c r="PUW120" s="1"/>
      <c r="PUX120" s="1"/>
      <c r="PUY120" s="1"/>
      <c r="PUZ120" s="1"/>
      <c r="PVA120" s="1"/>
      <c r="PVB120" s="1"/>
      <c r="PVC120" s="1"/>
      <c r="PVD120" s="1"/>
      <c r="PVE120" s="1"/>
      <c r="PVF120" s="1"/>
      <c r="PVG120" s="1"/>
      <c r="PVH120" s="1"/>
      <c r="PVI120" s="1"/>
      <c r="PVJ120" s="1"/>
      <c r="PVK120" s="1"/>
      <c r="PVL120" s="1"/>
      <c r="PVM120" s="1"/>
      <c r="PVN120" s="1"/>
      <c r="PVO120" s="1"/>
      <c r="PVP120" s="1"/>
      <c r="PVQ120" s="1"/>
      <c r="PVR120" s="1"/>
      <c r="PVS120" s="1"/>
      <c r="PVT120" s="1"/>
      <c r="PVU120" s="1"/>
      <c r="PVV120" s="1"/>
      <c r="PVW120" s="1"/>
      <c r="PVX120" s="1"/>
      <c r="PVY120" s="1"/>
      <c r="PVZ120" s="1"/>
      <c r="PWA120" s="1"/>
      <c r="PWB120" s="1"/>
      <c r="PWC120" s="1"/>
      <c r="PWD120" s="1"/>
      <c r="PWE120" s="1"/>
      <c r="PWF120" s="1"/>
      <c r="PWG120" s="1"/>
      <c r="PWH120" s="1"/>
      <c r="PWI120" s="1"/>
      <c r="PWJ120" s="1"/>
      <c r="PWK120" s="1"/>
      <c r="PWL120" s="1"/>
      <c r="PWM120" s="1"/>
      <c r="PWN120" s="1"/>
      <c r="PWO120" s="1"/>
      <c r="PWP120" s="1"/>
      <c r="PWQ120" s="1"/>
      <c r="PWR120" s="1"/>
      <c r="PWS120" s="1"/>
      <c r="PWT120" s="1"/>
      <c r="PWU120" s="1"/>
      <c r="PWV120" s="1"/>
      <c r="PWW120" s="1"/>
      <c r="PWX120" s="1"/>
      <c r="PWY120" s="1"/>
      <c r="PWZ120" s="1"/>
      <c r="PXA120" s="1"/>
      <c r="PXB120" s="1"/>
      <c r="PXC120" s="1"/>
      <c r="PXD120" s="1"/>
      <c r="PXE120" s="1"/>
      <c r="PXF120" s="1"/>
      <c r="PXG120" s="1"/>
      <c r="PXH120" s="1"/>
      <c r="PXI120" s="1"/>
      <c r="PXJ120" s="1"/>
      <c r="PXK120" s="1"/>
      <c r="PXL120" s="1"/>
      <c r="PXM120" s="1"/>
      <c r="PXN120" s="1"/>
      <c r="PXO120" s="1"/>
      <c r="PXP120" s="1"/>
      <c r="PXQ120" s="1"/>
      <c r="PXR120" s="1"/>
      <c r="PXS120" s="1"/>
      <c r="PXT120" s="1"/>
      <c r="PXU120" s="1"/>
      <c r="PXV120" s="1"/>
      <c r="PXW120" s="1"/>
      <c r="PXX120" s="1"/>
      <c r="PXY120" s="1"/>
      <c r="PXZ120" s="1"/>
      <c r="PYA120" s="1"/>
      <c r="PYB120" s="1"/>
      <c r="PYC120" s="1"/>
      <c r="PYD120" s="1"/>
      <c r="PYE120" s="1"/>
      <c r="PYF120" s="1"/>
      <c r="PYG120" s="1"/>
      <c r="PYH120" s="1"/>
      <c r="PYI120" s="1"/>
      <c r="PYJ120" s="1"/>
      <c r="PYK120" s="1"/>
      <c r="PYL120" s="1"/>
      <c r="PYM120" s="1"/>
      <c r="PYN120" s="1"/>
      <c r="PYO120" s="1"/>
      <c r="PYP120" s="1"/>
      <c r="PYQ120" s="1"/>
      <c r="PYR120" s="1"/>
      <c r="PYS120" s="1"/>
      <c r="PYT120" s="1"/>
      <c r="PYU120" s="1"/>
      <c r="PYV120" s="1"/>
      <c r="PYW120" s="1"/>
      <c r="PYX120" s="1"/>
      <c r="PYY120" s="1"/>
      <c r="PYZ120" s="1"/>
      <c r="PZA120" s="1"/>
      <c r="PZB120" s="1"/>
      <c r="PZC120" s="1"/>
      <c r="PZD120" s="1"/>
      <c r="PZE120" s="1"/>
      <c r="PZF120" s="1"/>
      <c r="PZG120" s="1"/>
      <c r="PZH120" s="1"/>
      <c r="PZI120" s="1"/>
      <c r="PZJ120" s="1"/>
      <c r="PZK120" s="1"/>
      <c r="PZL120" s="1"/>
      <c r="PZM120" s="1"/>
      <c r="PZN120" s="1"/>
      <c r="PZO120" s="1"/>
      <c r="PZP120" s="1"/>
      <c r="PZQ120" s="1"/>
      <c r="PZR120" s="1"/>
      <c r="PZS120" s="1"/>
      <c r="PZT120" s="1"/>
      <c r="PZU120" s="1"/>
      <c r="PZV120" s="1"/>
      <c r="PZW120" s="1"/>
      <c r="PZX120" s="1"/>
      <c r="PZY120" s="1"/>
      <c r="PZZ120" s="1"/>
      <c r="QAA120" s="1"/>
      <c r="QAB120" s="1"/>
      <c r="QAC120" s="1"/>
      <c r="QAD120" s="1"/>
      <c r="QAE120" s="1"/>
      <c r="QAF120" s="1"/>
      <c r="QAG120" s="1"/>
      <c r="QAH120" s="1"/>
      <c r="QAI120" s="1"/>
      <c r="QAJ120" s="1"/>
      <c r="QAK120" s="1"/>
      <c r="QAL120" s="1"/>
      <c r="QAM120" s="1"/>
      <c r="QAN120" s="1"/>
      <c r="QAO120" s="1"/>
      <c r="QAP120" s="1"/>
      <c r="QAQ120" s="1"/>
      <c r="QAR120" s="1"/>
      <c r="QAS120" s="1"/>
      <c r="QAT120" s="1"/>
      <c r="QAU120" s="1"/>
      <c r="QAV120" s="1"/>
      <c r="QAW120" s="1"/>
      <c r="QAX120" s="1"/>
      <c r="QAY120" s="1"/>
      <c r="QAZ120" s="1"/>
      <c r="QBA120" s="1"/>
      <c r="QBB120" s="1"/>
      <c r="QBC120" s="1"/>
      <c r="QBD120" s="1"/>
      <c r="QBE120" s="1"/>
      <c r="QBF120" s="1"/>
      <c r="QBG120" s="1"/>
      <c r="QBH120" s="1"/>
      <c r="QBI120" s="1"/>
      <c r="QBJ120" s="1"/>
      <c r="QBK120" s="1"/>
      <c r="QBL120" s="1"/>
      <c r="QBM120" s="1"/>
      <c r="QBN120" s="1"/>
      <c r="QBO120" s="1"/>
      <c r="QBP120" s="1"/>
      <c r="QBQ120" s="1"/>
      <c r="QBR120" s="1"/>
      <c r="QBS120" s="1"/>
      <c r="QBT120" s="1"/>
      <c r="QBU120" s="1"/>
      <c r="QBV120" s="1"/>
      <c r="QBW120" s="1"/>
      <c r="QBX120" s="1"/>
      <c r="QBY120" s="1"/>
      <c r="QBZ120" s="1"/>
      <c r="QCA120" s="1"/>
      <c r="QCB120" s="1"/>
      <c r="QCC120" s="1"/>
      <c r="QCD120" s="1"/>
      <c r="QCE120" s="1"/>
      <c r="QCF120" s="1"/>
      <c r="QCG120" s="1"/>
      <c r="QCH120" s="1"/>
      <c r="QCI120" s="1"/>
      <c r="QCJ120" s="1"/>
      <c r="QCK120" s="1"/>
      <c r="QCL120" s="1"/>
      <c r="QCM120" s="1"/>
      <c r="QCN120" s="1"/>
      <c r="QCO120" s="1"/>
      <c r="QCP120" s="1"/>
      <c r="QCQ120" s="1"/>
      <c r="QCR120" s="1"/>
      <c r="QCS120" s="1"/>
      <c r="QCT120" s="1"/>
      <c r="QCU120" s="1"/>
      <c r="QCV120" s="1"/>
      <c r="QCW120" s="1"/>
      <c r="QCX120" s="1"/>
      <c r="QCY120" s="1"/>
      <c r="QCZ120" s="1"/>
      <c r="QDA120" s="1"/>
      <c r="QDB120" s="1"/>
      <c r="QDC120" s="1"/>
      <c r="QDD120" s="1"/>
      <c r="QDE120" s="1"/>
      <c r="QDF120" s="1"/>
      <c r="QDG120" s="1"/>
      <c r="QDH120" s="1"/>
      <c r="QDI120" s="1"/>
      <c r="QDJ120" s="1"/>
      <c r="QDK120" s="1"/>
      <c r="QDL120" s="1"/>
      <c r="QDM120" s="1"/>
      <c r="QDN120" s="1"/>
      <c r="QDO120" s="1"/>
      <c r="QDP120" s="1"/>
      <c r="QDQ120" s="1"/>
      <c r="QDR120" s="1"/>
      <c r="QDS120" s="1"/>
      <c r="QDT120" s="1"/>
      <c r="QDU120" s="1"/>
      <c r="QDV120" s="1"/>
      <c r="QDW120" s="1"/>
      <c r="QDX120" s="1"/>
      <c r="QDY120" s="1"/>
      <c r="QDZ120" s="1"/>
      <c r="QEA120" s="1"/>
      <c r="QEB120" s="1"/>
      <c r="QEC120" s="1"/>
      <c r="QED120" s="1"/>
      <c r="QEE120" s="1"/>
      <c r="QEF120" s="1"/>
      <c r="QEG120" s="1"/>
      <c r="QEH120" s="1"/>
      <c r="QEI120" s="1"/>
      <c r="QEJ120" s="1"/>
      <c r="QEK120" s="1"/>
      <c r="QEL120" s="1"/>
      <c r="QEM120" s="1"/>
      <c r="QEN120" s="1"/>
      <c r="QEO120" s="1"/>
      <c r="QEP120" s="1"/>
      <c r="QEQ120" s="1"/>
      <c r="QER120" s="1"/>
      <c r="QES120" s="1"/>
      <c r="QET120" s="1"/>
      <c r="QEU120" s="1"/>
      <c r="QEV120" s="1"/>
      <c r="QEW120" s="1"/>
      <c r="QEX120" s="1"/>
      <c r="QEY120" s="1"/>
      <c r="QEZ120" s="1"/>
      <c r="QFA120" s="1"/>
      <c r="QFB120" s="1"/>
      <c r="QFC120" s="1"/>
      <c r="QFD120" s="1"/>
      <c r="QFE120" s="1"/>
      <c r="QFF120" s="1"/>
      <c r="QFG120" s="1"/>
      <c r="QFH120" s="1"/>
      <c r="QFI120" s="1"/>
      <c r="QFJ120" s="1"/>
      <c r="QFK120" s="1"/>
      <c r="QFL120" s="1"/>
      <c r="QFM120" s="1"/>
      <c r="QFN120" s="1"/>
      <c r="QFO120" s="1"/>
      <c r="QFP120" s="1"/>
      <c r="QFQ120" s="1"/>
      <c r="QFR120" s="1"/>
      <c r="QFS120" s="1"/>
      <c r="QFT120" s="1"/>
      <c r="QFU120" s="1"/>
      <c r="QFV120" s="1"/>
      <c r="QFW120" s="1"/>
      <c r="QFX120" s="1"/>
      <c r="QFY120" s="1"/>
      <c r="QFZ120" s="1"/>
      <c r="QGA120" s="1"/>
      <c r="QGB120" s="1"/>
      <c r="QGC120" s="1"/>
      <c r="QGD120" s="1"/>
      <c r="QGE120" s="1"/>
      <c r="QGF120" s="1"/>
      <c r="QGG120" s="1"/>
      <c r="QGH120" s="1"/>
      <c r="QGI120" s="1"/>
      <c r="QGJ120" s="1"/>
      <c r="QGK120" s="1"/>
      <c r="QGL120" s="1"/>
      <c r="QGM120" s="1"/>
      <c r="QGN120" s="1"/>
      <c r="QGO120" s="1"/>
      <c r="QGP120" s="1"/>
      <c r="QGQ120" s="1"/>
      <c r="QGR120" s="1"/>
      <c r="QGS120" s="1"/>
      <c r="QGT120" s="1"/>
      <c r="QGU120" s="1"/>
      <c r="QGV120" s="1"/>
      <c r="QGW120" s="1"/>
      <c r="QGX120" s="1"/>
      <c r="QGY120" s="1"/>
      <c r="QGZ120" s="1"/>
      <c r="QHA120" s="1"/>
      <c r="QHB120" s="1"/>
      <c r="QHC120" s="1"/>
      <c r="QHD120" s="1"/>
      <c r="QHE120" s="1"/>
      <c r="QHF120" s="1"/>
      <c r="QHG120" s="1"/>
      <c r="QHH120" s="1"/>
      <c r="QHI120" s="1"/>
      <c r="QHJ120" s="1"/>
      <c r="QHK120" s="1"/>
      <c r="QHL120" s="1"/>
      <c r="QHM120" s="1"/>
      <c r="QHN120" s="1"/>
      <c r="QHO120" s="1"/>
      <c r="QHP120" s="1"/>
      <c r="QHQ120" s="1"/>
      <c r="QHR120" s="1"/>
      <c r="QHS120" s="1"/>
      <c r="QHT120" s="1"/>
      <c r="QHU120" s="1"/>
      <c r="QHV120" s="1"/>
      <c r="QHW120" s="1"/>
      <c r="QHX120" s="1"/>
      <c r="QHY120" s="1"/>
      <c r="QHZ120" s="1"/>
      <c r="QIA120" s="1"/>
      <c r="QIB120" s="1"/>
      <c r="QIC120" s="1"/>
      <c r="QID120" s="1"/>
      <c r="QIE120" s="1"/>
      <c r="QIF120" s="1"/>
      <c r="QIG120" s="1"/>
      <c r="QIH120" s="1"/>
      <c r="QII120" s="1"/>
      <c r="QIJ120" s="1"/>
      <c r="QIK120" s="1"/>
      <c r="QIL120" s="1"/>
      <c r="QIM120" s="1"/>
      <c r="QIN120" s="1"/>
      <c r="QIO120" s="1"/>
      <c r="QIP120" s="1"/>
      <c r="QIQ120" s="1"/>
      <c r="QIR120" s="1"/>
      <c r="QIS120" s="1"/>
      <c r="QIT120" s="1"/>
      <c r="QIU120" s="1"/>
      <c r="QIV120" s="1"/>
      <c r="QIW120" s="1"/>
      <c r="QIX120" s="1"/>
      <c r="QIY120" s="1"/>
      <c r="QIZ120" s="1"/>
      <c r="QJA120" s="1"/>
      <c r="QJB120" s="1"/>
      <c r="QJC120" s="1"/>
      <c r="QJD120" s="1"/>
      <c r="QJE120" s="1"/>
      <c r="QJF120" s="1"/>
      <c r="QJG120" s="1"/>
      <c r="QJH120" s="1"/>
      <c r="QJI120" s="1"/>
      <c r="QJJ120" s="1"/>
      <c r="QJK120" s="1"/>
      <c r="QJL120" s="1"/>
      <c r="QJM120" s="1"/>
      <c r="QJN120" s="1"/>
      <c r="QJO120" s="1"/>
      <c r="QJP120" s="1"/>
      <c r="QJQ120" s="1"/>
      <c r="QJR120" s="1"/>
      <c r="QJS120" s="1"/>
      <c r="QJT120" s="1"/>
      <c r="QJU120" s="1"/>
      <c r="QJV120" s="1"/>
      <c r="QJW120" s="1"/>
      <c r="QJX120" s="1"/>
      <c r="QJY120" s="1"/>
      <c r="QJZ120" s="1"/>
      <c r="QKA120" s="1"/>
      <c r="QKB120" s="1"/>
      <c r="QKC120" s="1"/>
      <c r="QKD120" s="1"/>
      <c r="QKE120" s="1"/>
      <c r="QKF120" s="1"/>
      <c r="QKG120" s="1"/>
      <c r="QKH120" s="1"/>
      <c r="QKI120" s="1"/>
      <c r="QKJ120" s="1"/>
      <c r="QKK120" s="1"/>
      <c r="QKL120" s="1"/>
      <c r="QKM120" s="1"/>
      <c r="QKN120" s="1"/>
      <c r="QKO120" s="1"/>
      <c r="QKP120" s="1"/>
      <c r="QKQ120" s="1"/>
      <c r="QKR120" s="1"/>
      <c r="QKS120" s="1"/>
      <c r="QKT120" s="1"/>
      <c r="QKU120" s="1"/>
      <c r="QKV120" s="1"/>
      <c r="QKW120" s="1"/>
      <c r="QKX120" s="1"/>
      <c r="QKY120" s="1"/>
      <c r="QKZ120" s="1"/>
      <c r="QLA120" s="1"/>
      <c r="QLB120" s="1"/>
      <c r="QLC120" s="1"/>
      <c r="QLD120" s="1"/>
      <c r="QLE120" s="1"/>
      <c r="QLF120" s="1"/>
      <c r="QLG120" s="1"/>
      <c r="QLH120" s="1"/>
      <c r="QLI120" s="1"/>
      <c r="QLJ120" s="1"/>
      <c r="QLK120" s="1"/>
      <c r="QLL120" s="1"/>
      <c r="QLM120" s="1"/>
      <c r="QLN120" s="1"/>
      <c r="QLO120" s="1"/>
      <c r="QLP120" s="1"/>
      <c r="QLQ120" s="1"/>
      <c r="QLR120" s="1"/>
      <c r="QLS120" s="1"/>
      <c r="QLT120" s="1"/>
      <c r="QLU120" s="1"/>
      <c r="QLV120" s="1"/>
      <c r="QLW120" s="1"/>
      <c r="QLX120" s="1"/>
      <c r="QLY120" s="1"/>
      <c r="QLZ120" s="1"/>
      <c r="QMA120" s="1"/>
      <c r="QMB120" s="1"/>
      <c r="QMC120" s="1"/>
      <c r="QMD120" s="1"/>
      <c r="QME120" s="1"/>
      <c r="QMF120" s="1"/>
      <c r="QMG120" s="1"/>
      <c r="QMH120" s="1"/>
      <c r="QMI120" s="1"/>
      <c r="QMJ120" s="1"/>
      <c r="QMK120" s="1"/>
      <c r="QML120" s="1"/>
      <c r="QMM120" s="1"/>
      <c r="QMN120" s="1"/>
      <c r="QMO120" s="1"/>
      <c r="QMP120" s="1"/>
      <c r="QMQ120" s="1"/>
      <c r="QMR120" s="1"/>
      <c r="QMS120" s="1"/>
      <c r="QMT120" s="1"/>
      <c r="QMU120" s="1"/>
      <c r="QMV120" s="1"/>
      <c r="QMW120" s="1"/>
      <c r="QMX120" s="1"/>
      <c r="QMY120" s="1"/>
      <c r="QMZ120" s="1"/>
      <c r="QNA120" s="1"/>
      <c r="QNB120" s="1"/>
      <c r="QNC120" s="1"/>
      <c r="QND120" s="1"/>
      <c r="QNE120" s="1"/>
      <c r="QNF120" s="1"/>
      <c r="QNG120" s="1"/>
      <c r="QNH120" s="1"/>
      <c r="QNI120" s="1"/>
      <c r="QNJ120" s="1"/>
      <c r="QNK120" s="1"/>
      <c r="QNL120" s="1"/>
      <c r="QNM120" s="1"/>
      <c r="QNN120" s="1"/>
      <c r="QNO120" s="1"/>
      <c r="QNP120" s="1"/>
      <c r="QNQ120" s="1"/>
      <c r="QNR120" s="1"/>
      <c r="QNS120" s="1"/>
      <c r="QNT120" s="1"/>
      <c r="QNU120" s="1"/>
      <c r="QNV120" s="1"/>
      <c r="QNW120" s="1"/>
      <c r="QNX120" s="1"/>
      <c r="QNY120" s="1"/>
      <c r="QNZ120" s="1"/>
      <c r="QOA120" s="1"/>
      <c r="QOB120" s="1"/>
      <c r="QOC120" s="1"/>
      <c r="QOD120" s="1"/>
      <c r="QOE120" s="1"/>
      <c r="QOF120" s="1"/>
      <c r="QOG120" s="1"/>
      <c r="QOH120" s="1"/>
      <c r="QOI120" s="1"/>
      <c r="QOJ120" s="1"/>
      <c r="QOK120" s="1"/>
      <c r="QOL120" s="1"/>
      <c r="QOM120" s="1"/>
      <c r="QON120" s="1"/>
      <c r="QOO120" s="1"/>
      <c r="QOP120" s="1"/>
      <c r="QOQ120" s="1"/>
      <c r="QOR120" s="1"/>
      <c r="QOS120" s="1"/>
      <c r="QOT120" s="1"/>
      <c r="QOU120" s="1"/>
      <c r="QOV120" s="1"/>
      <c r="QOW120" s="1"/>
      <c r="QOX120" s="1"/>
      <c r="QOY120" s="1"/>
      <c r="QOZ120" s="1"/>
      <c r="QPA120" s="1"/>
      <c r="QPB120" s="1"/>
      <c r="QPC120" s="1"/>
      <c r="QPD120" s="1"/>
      <c r="QPE120" s="1"/>
      <c r="QPF120" s="1"/>
      <c r="QPG120" s="1"/>
      <c r="QPH120" s="1"/>
      <c r="QPI120" s="1"/>
      <c r="QPJ120" s="1"/>
      <c r="QPK120" s="1"/>
      <c r="QPL120" s="1"/>
      <c r="QPM120" s="1"/>
      <c r="QPN120" s="1"/>
      <c r="QPO120" s="1"/>
      <c r="QPP120" s="1"/>
      <c r="QPQ120" s="1"/>
      <c r="QPR120" s="1"/>
      <c r="QPS120" s="1"/>
      <c r="QPT120" s="1"/>
      <c r="QPU120" s="1"/>
      <c r="QPV120" s="1"/>
      <c r="QPW120" s="1"/>
      <c r="QPX120" s="1"/>
      <c r="QPY120" s="1"/>
      <c r="QPZ120" s="1"/>
      <c r="QQA120" s="1"/>
      <c r="QQB120" s="1"/>
      <c r="QQC120" s="1"/>
      <c r="QQD120" s="1"/>
      <c r="QQE120" s="1"/>
      <c r="QQF120" s="1"/>
      <c r="QQG120" s="1"/>
      <c r="QQH120" s="1"/>
      <c r="QQI120" s="1"/>
      <c r="QQJ120" s="1"/>
      <c r="QQK120" s="1"/>
      <c r="QQL120" s="1"/>
      <c r="QQM120" s="1"/>
      <c r="QQN120" s="1"/>
      <c r="QQO120" s="1"/>
      <c r="QQP120" s="1"/>
      <c r="QQQ120" s="1"/>
      <c r="QQR120" s="1"/>
      <c r="QQS120" s="1"/>
      <c r="QQT120" s="1"/>
      <c r="QQU120" s="1"/>
      <c r="QQV120" s="1"/>
      <c r="QQW120" s="1"/>
      <c r="QQX120" s="1"/>
      <c r="QQY120" s="1"/>
      <c r="QQZ120" s="1"/>
      <c r="QRA120" s="1"/>
      <c r="QRB120" s="1"/>
      <c r="QRC120" s="1"/>
      <c r="QRD120" s="1"/>
      <c r="QRE120" s="1"/>
      <c r="QRF120" s="1"/>
      <c r="QRG120" s="1"/>
      <c r="QRH120" s="1"/>
      <c r="QRI120" s="1"/>
      <c r="QRJ120" s="1"/>
      <c r="QRK120" s="1"/>
      <c r="QRL120" s="1"/>
      <c r="QRM120" s="1"/>
      <c r="QRN120" s="1"/>
      <c r="QRO120" s="1"/>
      <c r="QRP120" s="1"/>
      <c r="QRQ120" s="1"/>
      <c r="QRR120" s="1"/>
      <c r="QRS120" s="1"/>
      <c r="QRT120" s="1"/>
      <c r="QRU120" s="1"/>
      <c r="QRV120" s="1"/>
      <c r="QRW120" s="1"/>
      <c r="QRX120" s="1"/>
      <c r="QRY120" s="1"/>
      <c r="QRZ120" s="1"/>
      <c r="QSA120" s="1"/>
      <c r="QSB120" s="1"/>
      <c r="QSC120" s="1"/>
      <c r="QSD120" s="1"/>
      <c r="QSE120" s="1"/>
      <c r="QSF120" s="1"/>
      <c r="QSG120" s="1"/>
      <c r="QSH120" s="1"/>
      <c r="QSI120" s="1"/>
      <c r="QSJ120" s="1"/>
      <c r="QSK120" s="1"/>
      <c r="QSL120" s="1"/>
      <c r="QSM120" s="1"/>
      <c r="QSN120" s="1"/>
      <c r="QSO120" s="1"/>
      <c r="QSP120" s="1"/>
      <c r="QSQ120" s="1"/>
      <c r="QSR120" s="1"/>
      <c r="QSS120" s="1"/>
      <c r="QST120" s="1"/>
      <c r="QSU120" s="1"/>
      <c r="QSV120" s="1"/>
      <c r="QSW120" s="1"/>
      <c r="QSX120" s="1"/>
      <c r="QSY120" s="1"/>
      <c r="QSZ120" s="1"/>
      <c r="QTA120" s="1"/>
      <c r="QTB120" s="1"/>
      <c r="QTC120" s="1"/>
      <c r="QTD120" s="1"/>
      <c r="QTE120" s="1"/>
      <c r="QTF120" s="1"/>
      <c r="QTG120" s="1"/>
      <c r="QTH120" s="1"/>
      <c r="QTI120" s="1"/>
      <c r="QTJ120" s="1"/>
      <c r="QTK120" s="1"/>
      <c r="QTL120" s="1"/>
      <c r="QTM120" s="1"/>
      <c r="QTN120" s="1"/>
      <c r="QTO120" s="1"/>
      <c r="QTP120" s="1"/>
      <c r="QTQ120" s="1"/>
      <c r="QTR120" s="1"/>
      <c r="QTS120" s="1"/>
      <c r="QTT120" s="1"/>
      <c r="QTU120" s="1"/>
      <c r="QTV120" s="1"/>
      <c r="QTW120" s="1"/>
      <c r="QTX120" s="1"/>
      <c r="QTY120" s="1"/>
      <c r="QTZ120" s="1"/>
      <c r="QUA120" s="1"/>
      <c r="QUB120" s="1"/>
      <c r="QUC120" s="1"/>
      <c r="QUD120" s="1"/>
      <c r="QUE120" s="1"/>
      <c r="QUF120" s="1"/>
      <c r="QUG120" s="1"/>
      <c r="QUH120" s="1"/>
      <c r="QUI120" s="1"/>
      <c r="QUJ120" s="1"/>
      <c r="QUK120" s="1"/>
      <c r="QUL120" s="1"/>
      <c r="QUM120" s="1"/>
      <c r="QUN120" s="1"/>
      <c r="QUO120" s="1"/>
      <c r="QUP120" s="1"/>
      <c r="QUQ120" s="1"/>
      <c r="QUR120" s="1"/>
      <c r="QUS120" s="1"/>
      <c r="QUT120" s="1"/>
      <c r="QUU120" s="1"/>
      <c r="QUV120" s="1"/>
      <c r="QUW120" s="1"/>
      <c r="QUX120" s="1"/>
      <c r="QUY120" s="1"/>
      <c r="QUZ120" s="1"/>
      <c r="QVA120" s="1"/>
      <c r="QVB120" s="1"/>
      <c r="QVC120" s="1"/>
      <c r="QVD120" s="1"/>
      <c r="QVE120" s="1"/>
      <c r="QVF120" s="1"/>
      <c r="QVG120" s="1"/>
      <c r="QVH120" s="1"/>
      <c r="QVI120" s="1"/>
      <c r="QVJ120" s="1"/>
      <c r="QVK120" s="1"/>
      <c r="QVL120" s="1"/>
      <c r="QVM120" s="1"/>
      <c r="QVN120" s="1"/>
      <c r="QVO120" s="1"/>
      <c r="QVP120" s="1"/>
      <c r="QVQ120" s="1"/>
      <c r="QVR120" s="1"/>
      <c r="QVS120" s="1"/>
      <c r="QVT120" s="1"/>
      <c r="QVU120" s="1"/>
      <c r="QVV120" s="1"/>
      <c r="QVW120" s="1"/>
      <c r="QVX120" s="1"/>
      <c r="QVY120" s="1"/>
      <c r="QVZ120" s="1"/>
      <c r="QWA120" s="1"/>
      <c r="QWB120" s="1"/>
      <c r="QWC120" s="1"/>
      <c r="QWD120" s="1"/>
      <c r="QWE120" s="1"/>
      <c r="QWF120" s="1"/>
      <c r="QWG120" s="1"/>
      <c r="QWH120" s="1"/>
      <c r="QWI120" s="1"/>
      <c r="QWJ120" s="1"/>
      <c r="QWK120" s="1"/>
      <c r="QWL120" s="1"/>
      <c r="QWM120" s="1"/>
      <c r="QWN120" s="1"/>
      <c r="QWO120" s="1"/>
      <c r="QWP120" s="1"/>
      <c r="QWQ120" s="1"/>
      <c r="QWR120" s="1"/>
      <c r="QWS120" s="1"/>
      <c r="QWT120" s="1"/>
      <c r="QWU120" s="1"/>
      <c r="QWV120" s="1"/>
      <c r="QWW120" s="1"/>
      <c r="QWX120" s="1"/>
      <c r="QWY120" s="1"/>
      <c r="QWZ120" s="1"/>
      <c r="QXA120" s="1"/>
      <c r="QXB120" s="1"/>
      <c r="QXC120" s="1"/>
      <c r="QXD120" s="1"/>
      <c r="QXE120" s="1"/>
      <c r="QXF120" s="1"/>
      <c r="QXG120" s="1"/>
      <c r="QXH120" s="1"/>
      <c r="QXI120" s="1"/>
      <c r="QXJ120" s="1"/>
      <c r="QXK120" s="1"/>
      <c r="QXL120" s="1"/>
      <c r="QXM120" s="1"/>
      <c r="QXN120" s="1"/>
      <c r="QXO120" s="1"/>
      <c r="QXP120" s="1"/>
      <c r="QXQ120" s="1"/>
      <c r="QXR120" s="1"/>
      <c r="QXS120" s="1"/>
      <c r="QXT120" s="1"/>
      <c r="QXU120" s="1"/>
      <c r="QXV120" s="1"/>
      <c r="QXW120" s="1"/>
      <c r="QXX120" s="1"/>
      <c r="QXY120" s="1"/>
      <c r="QXZ120" s="1"/>
      <c r="QYA120" s="1"/>
      <c r="QYB120" s="1"/>
      <c r="QYC120" s="1"/>
      <c r="QYD120" s="1"/>
      <c r="QYE120" s="1"/>
      <c r="QYF120" s="1"/>
      <c r="QYG120" s="1"/>
      <c r="QYH120" s="1"/>
      <c r="QYI120" s="1"/>
      <c r="QYJ120" s="1"/>
      <c r="QYK120" s="1"/>
      <c r="QYL120" s="1"/>
      <c r="QYM120" s="1"/>
      <c r="QYN120" s="1"/>
      <c r="QYO120" s="1"/>
      <c r="QYP120" s="1"/>
      <c r="QYQ120" s="1"/>
      <c r="QYR120" s="1"/>
      <c r="QYS120" s="1"/>
      <c r="QYT120" s="1"/>
      <c r="QYU120" s="1"/>
      <c r="QYV120" s="1"/>
      <c r="QYW120" s="1"/>
      <c r="QYX120" s="1"/>
      <c r="QYY120" s="1"/>
      <c r="QYZ120" s="1"/>
      <c r="QZA120" s="1"/>
      <c r="QZB120" s="1"/>
      <c r="QZC120" s="1"/>
      <c r="QZD120" s="1"/>
      <c r="QZE120" s="1"/>
      <c r="QZF120" s="1"/>
      <c r="QZG120" s="1"/>
      <c r="QZH120" s="1"/>
      <c r="QZI120" s="1"/>
      <c r="QZJ120" s="1"/>
      <c r="QZK120" s="1"/>
      <c r="QZL120" s="1"/>
      <c r="QZM120" s="1"/>
      <c r="QZN120" s="1"/>
      <c r="QZO120" s="1"/>
      <c r="QZP120" s="1"/>
      <c r="QZQ120" s="1"/>
      <c r="QZR120" s="1"/>
      <c r="QZS120" s="1"/>
      <c r="QZT120" s="1"/>
      <c r="QZU120" s="1"/>
      <c r="QZV120" s="1"/>
      <c r="QZW120" s="1"/>
      <c r="QZX120" s="1"/>
      <c r="QZY120" s="1"/>
      <c r="QZZ120" s="1"/>
      <c r="RAA120" s="1"/>
      <c r="RAB120" s="1"/>
      <c r="RAC120" s="1"/>
      <c r="RAD120" s="1"/>
      <c r="RAE120" s="1"/>
      <c r="RAF120" s="1"/>
      <c r="RAG120" s="1"/>
      <c r="RAH120" s="1"/>
      <c r="RAI120" s="1"/>
      <c r="RAJ120" s="1"/>
      <c r="RAK120" s="1"/>
      <c r="RAL120" s="1"/>
      <c r="RAM120" s="1"/>
      <c r="RAN120" s="1"/>
      <c r="RAO120" s="1"/>
      <c r="RAP120" s="1"/>
      <c r="RAQ120" s="1"/>
      <c r="RAR120" s="1"/>
      <c r="RAS120" s="1"/>
      <c r="RAT120" s="1"/>
      <c r="RAU120" s="1"/>
      <c r="RAV120" s="1"/>
      <c r="RAW120" s="1"/>
      <c r="RAX120" s="1"/>
      <c r="RAY120" s="1"/>
      <c r="RAZ120" s="1"/>
      <c r="RBA120" s="1"/>
      <c r="RBB120" s="1"/>
      <c r="RBC120" s="1"/>
      <c r="RBD120" s="1"/>
      <c r="RBE120" s="1"/>
      <c r="RBF120" s="1"/>
      <c r="RBG120" s="1"/>
      <c r="RBH120" s="1"/>
      <c r="RBI120" s="1"/>
      <c r="RBJ120" s="1"/>
      <c r="RBK120" s="1"/>
      <c r="RBL120" s="1"/>
      <c r="RBM120" s="1"/>
      <c r="RBN120" s="1"/>
      <c r="RBO120" s="1"/>
      <c r="RBP120" s="1"/>
      <c r="RBQ120" s="1"/>
      <c r="RBR120" s="1"/>
      <c r="RBS120" s="1"/>
      <c r="RBT120" s="1"/>
      <c r="RBU120" s="1"/>
      <c r="RBV120" s="1"/>
      <c r="RBW120" s="1"/>
      <c r="RBX120" s="1"/>
      <c r="RBY120" s="1"/>
      <c r="RBZ120" s="1"/>
      <c r="RCA120" s="1"/>
      <c r="RCB120" s="1"/>
      <c r="RCC120" s="1"/>
      <c r="RCD120" s="1"/>
      <c r="RCE120" s="1"/>
      <c r="RCF120" s="1"/>
      <c r="RCG120" s="1"/>
      <c r="RCH120" s="1"/>
      <c r="RCI120" s="1"/>
      <c r="RCJ120" s="1"/>
      <c r="RCK120" s="1"/>
      <c r="RCL120" s="1"/>
      <c r="RCM120" s="1"/>
      <c r="RCN120" s="1"/>
      <c r="RCO120" s="1"/>
      <c r="RCP120" s="1"/>
      <c r="RCQ120" s="1"/>
      <c r="RCR120" s="1"/>
      <c r="RCS120" s="1"/>
      <c r="RCT120" s="1"/>
      <c r="RCU120" s="1"/>
      <c r="RCV120" s="1"/>
      <c r="RCW120" s="1"/>
      <c r="RCX120" s="1"/>
      <c r="RCY120" s="1"/>
      <c r="RCZ120" s="1"/>
      <c r="RDA120" s="1"/>
      <c r="RDB120" s="1"/>
      <c r="RDC120" s="1"/>
      <c r="RDD120" s="1"/>
      <c r="RDE120" s="1"/>
      <c r="RDF120" s="1"/>
      <c r="RDG120" s="1"/>
      <c r="RDH120" s="1"/>
      <c r="RDI120" s="1"/>
      <c r="RDJ120" s="1"/>
      <c r="RDK120" s="1"/>
      <c r="RDL120" s="1"/>
      <c r="RDM120" s="1"/>
      <c r="RDN120" s="1"/>
      <c r="RDO120" s="1"/>
      <c r="RDP120" s="1"/>
      <c r="RDQ120" s="1"/>
      <c r="RDR120" s="1"/>
      <c r="RDS120" s="1"/>
      <c r="RDT120" s="1"/>
      <c r="RDU120" s="1"/>
      <c r="RDV120" s="1"/>
      <c r="RDW120" s="1"/>
      <c r="RDX120" s="1"/>
      <c r="RDY120" s="1"/>
      <c r="RDZ120" s="1"/>
      <c r="REA120" s="1"/>
      <c r="REB120" s="1"/>
      <c r="REC120" s="1"/>
      <c r="RED120" s="1"/>
      <c r="REE120" s="1"/>
      <c r="REF120" s="1"/>
      <c r="REG120" s="1"/>
      <c r="REH120" s="1"/>
      <c r="REI120" s="1"/>
      <c r="REJ120" s="1"/>
      <c r="REK120" s="1"/>
      <c r="REL120" s="1"/>
      <c r="REM120" s="1"/>
      <c r="REN120" s="1"/>
      <c r="REO120" s="1"/>
      <c r="REP120" s="1"/>
      <c r="REQ120" s="1"/>
      <c r="RER120" s="1"/>
      <c r="RES120" s="1"/>
      <c r="RET120" s="1"/>
      <c r="REU120" s="1"/>
      <c r="REV120" s="1"/>
      <c r="REW120" s="1"/>
      <c r="REX120" s="1"/>
      <c r="REY120" s="1"/>
      <c r="REZ120" s="1"/>
      <c r="RFA120" s="1"/>
      <c r="RFB120" s="1"/>
      <c r="RFC120" s="1"/>
      <c r="RFD120" s="1"/>
      <c r="RFE120" s="1"/>
      <c r="RFF120" s="1"/>
      <c r="RFG120" s="1"/>
      <c r="RFH120" s="1"/>
      <c r="RFI120" s="1"/>
      <c r="RFJ120" s="1"/>
      <c r="RFK120" s="1"/>
      <c r="RFL120" s="1"/>
      <c r="RFM120" s="1"/>
      <c r="RFN120" s="1"/>
      <c r="RFO120" s="1"/>
      <c r="RFP120" s="1"/>
      <c r="RFQ120" s="1"/>
      <c r="RFR120" s="1"/>
      <c r="RFS120" s="1"/>
      <c r="RFT120" s="1"/>
      <c r="RFU120" s="1"/>
      <c r="RFV120" s="1"/>
      <c r="RFW120" s="1"/>
      <c r="RFX120" s="1"/>
      <c r="RFY120" s="1"/>
      <c r="RFZ120" s="1"/>
      <c r="RGA120" s="1"/>
      <c r="RGB120" s="1"/>
      <c r="RGC120" s="1"/>
      <c r="RGD120" s="1"/>
      <c r="RGE120" s="1"/>
      <c r="RGF120" s="1"/>
      <c r="RGG120" s="1"/>
      <c r="RGH120" s="1"/>
      <c r="RGI120" s="1"/>
      <c r="RGJ120" s="1"/>
      <c r="RGK120" s="1"/>
      <c r="RGL120" s="1"/>
      <c r="RGM120" s="1"/>
      <c r="RGN120" s="1"/>
      <c r="RGO120" s="1"/>
      <c r="RGP120" s="1"/>
      <c r="RGQ120" s="1"/>
      <c r="RGR120" s="1"/>
      <c r="RGS120" s="1"/>
      <c r="RGT120" s="1"/>
      <c r="RGU120" s="1"/>
      <c r="RGV120" s="1"/>
      <c r="RGW120" s="1"/>
      <c r="RGX120" s="1"/>
      <c r="RGY120" s="1"/>
      <c r="RGZ120" s="1"/>
      <c r="RHA120" s="1"/>
      <c r="RHB120" s="1"/>
      <c r="RHC120" s="1"/>
      <c r="RHD120" s="1"/>
      <c r="RHE120" s="1"/>
      <c r="RHF120" s="1"/>
      <c r="RHG120" s="1"/>
      <c r="RHH120" s="1"/>
      <c r="RHI120" s="1"/>
      <c r="RHJ120" s="1"/>
      <c r="RHK120" s="1"/>
      <c r="RHL120" s="1"/>
      <c r="RHM120" s="1"/>
      <c r="RHN120" s="1"/>
      <c r="RHO120" s="1"/>
      <c r="RHP120" s="1"/>
      <c r="RHQ120" s="1"/>
      <c r="RHR120" s="1"/>
      <c r="RHS120" s="1"/>
      <c r="RHT120" s="1"/>
      <c r="RHU120" s="1"/>
      <c r="RHV120" s="1"/>
      <c r="RHW120" s="1"/>
      <c r="RHX120" s="1"/>
      <c r="RHY120" s="1"/>
      <c r="RHZ120" s="1"/>
      <c r="RIA120" s="1"/>
      <c r="RIB120" s="1"/>
      <c r="RIC120" s="1"/>
      <c r="RID120" s="1"/>
      <c r="RIE120" s="1"/>
      <c r="RIF120" s="1"/>
      <c r="RIG120" s="1"/>
      <c r="RIH120" s="1"/>
      <c r="RII120" s="1"/>
      <c r="RIJ120" s="1"/>
      <c r="RIK120" s="1"/>
      <c r="RIL120" s="1"/>
      <c r="RIM120" s="1"/>
      <c r="RIN120" s="1"/>
      <c r="RIO120" s="1"/>
      <c r="RIP120" s="1"/>
      <c r="RIQ120" s="1"/>
      <c r="RIR120" s="1"/>
      <c r="RIS120" s="1"/>
      <c r="RIT120" s="1"/>
      <c r="RIU120" s="1"/>
      <c r="RIV120" s="1"/>
      <c r="RIW120" s="1"/>
      <c r="RIX120" s="1"/>
      <c r="RIY120" s="1"/>
      <c r="RIZ120" s="1"/>
      <c r="RJA120" s="1"/>
      <c r="RJB120" s="1"/>
      <c r="RJC120" s="1"/>
      <c r="RJD120" s="1"/>
      <c r="RJE120" s="1"/>
      <c r="RJF120" s="1"/>
      <c r="RJG120" s="1"/>
      <c r="RJH120" s="1"/>
      <c r="RJI120" s="1"/>
      <c r="RJJ120" s="1"/>
      <c r="RJK120" s="1"/>
      <c r="RJL120" s="1"/>
      <c r="RJM120" s="1"/>
      <c r="RJN120" s="1"/>
      <c r="RJO120" s="1"/>
      <c r="RJP120" s="1"/>
      <c r="RJQ120" s="1"/>
      <c r="RJR120" s="1"/>
      <c r="RJS120" s="1"/>
      <c r="RJT120" s="1"/>
      <c r="RJU120" s="1"/>
      <c r="RJV120" s="1"/>
      <c r="RJW120" s="1"/>
      <c r="RJX120" s="1"/>
      <c r="RJY120" s="1"/>
      <c r="RJZ120" s="1"/>
      <c r="RKA120" s="1"/>
      <c r="RKB120" s="1"/>
      <c r="RKC120" s="1"/>
      <c r="RKD120" s="1"/>
      <c r="RKE120" s="1"/>
      <c r="RKF120" s="1"/>
      <c r="RKG120" s="1"/>
      <c r="RKH120" s="1"/>
      <c r="RKI120" s="1"/>
      <c r="RKJ120" s="1"/>
      <c r="RKK120" s="1"/>
      <c r="RKL120" s="1"/>
      <c r="RKM120" s="1"/>
      <c r="RKN120" s="1"/>
      <c r="RKO120" s="1"/>
      <c r="RKP120" s="1"/>
      <c r="RKQ120" s="1"/>
      <c r="RKR120" s="1"/>
      <c r="RKS120" s="1"/>
      <c r="RKT120" s="1"/>
      <c r="RKU120" s="1"/>
      <c r="RKV120" s="1"/>
      <c r="RKW120" s="1"/>
      <c r="RKX120" s="1"/>
      <c r="RKY120" s="1"/>
      <c r="RKZ120" s="1"/>
      <c r="RLA120" s="1"/>
      <c r="RLB120" s="1"/>
      <c r="RLC120" s="1"/>
      <c r="RLD120" s="1"/>
      <c r="RLE120" s="1"/>
      <c r="RLF120" s="1"/>
      <c r="RLG120" s="1"/>
      <c r="RLH120" s="1"/>
      <c r="RLI120" s="1"/>
      <c r="RLJ120" s="1"/>
      <c r="RLK120" s="1"/>
      <c r="RLL120" s="1"/>
      <c r="RLM120" s="1"/>
      <c r="RLN120" s="1"/>
      <c r="RLO120" s="1"/>
      <c r="RLP120" s="1"/>
      <c r="RLQ120" s="1"/>
      <c r="RLR120" s="1"/>
      <c r="RLS120" s="1"/>
      <c r="RLT120" s="1"/>
      <c r="RLU120" s="1"/>
      <c r="RLV120" s="1"/>
      <c r="RLW120" s="1"/>
      <c r="RLX120" s="1"/>
      <c r="RLY120" s="1"/>
      <c r="RLZ120" s="1"/>
      <c r="RMA120" s="1"/>
      <c r="RMB120" s="1"/>
      <c r="RMC120" s="1"/>
      <c r="RMD120" s="1"/>
      <c r="RME120" s="1"/>
      <c r="RMF120" s="1"/>
      <c r="RMG120" s="1"/>
      <c r="RMH120" s="1"/>
      <c r="RMI120" s="1"/>
      <c r="RMJ120" s="1"/>
      <c r="RMK120" s="1"/>
      <c r="RML120" s="1"/>
      <c r="RMM120" s="1"/>
      <c r="RMN120" s="1"/>
      <c r="RMO120" s="1"/>
      <c r="RMP120" s="1"/>
      <c r="RMQ120" s="1"/>
      <c r="RMR120" s="1"/>
      <c r="RMS120" s="1"/>
      <c r="RMT120" s="1"/>
      <c r="RMU120" s="1"/>
      <c r="RMV120" s="1"/>
      <c r="RMW120" s="1"/>
      <c r="RMX120" s="1"/>
      <c r="RMY120" s="1"/>
      <c r="RMZ120" s="1"/>
      <c r="RNA120" s="1"/>
      <c r="RNB120" s="1"/>
      <c r="RNC120" s="1"/>
      <c r="RND120" s="1"/>
      <c r="RNE120" s="1"/>
      <c r="RNF120" s="1"/>
      <c r="RNG120" s="1"/>
      <c r="RNH120" s="1"/>
      <c r="RNI120" s="1"/>
      <c r="RNJ120" s="1"/>
      <c r="RNK120" s="1"/>
      <c r="RNL120" s="1"/>
      <c r="RNM120" s="1"/>
      <c r="RNN120" s="1"/>
      <c r="RNO120" s="1"/>
      <c r="RNP120" s="1"/>
      <c r="RNQ120" s="1"/>
      <c r="RNR120" s="1"/>
      <c r="RNS120" s="1"/>
      <c r="RNT120" s="1"/>
      <c r="RNU120" s="1"/>
      <c r="RNV120" s="1"/>
      <c r="RNW120" s="1"/>
      <c r="RNX120" s="1"/>
      <c r="RNY120" s="1"/>
      <c r="RNZ120" s="1"/>
      <c r="ROA120" s="1"/>
      <c r="ROB120" s="1"/>
      <c r="ROC120" s="1"/>
      <c r="ROD120" s="1"/>
      <c r="ROE120" s="1"/>
      <c r="ROF120" s="1"/>
      <c r="ROG120" s="1"/>
      <c r="ROH120" s="1"/>
      <c r="ROI120" s="1"/>
      <c r="ROJ120" s="1"/>
      <c r="ROK120" s="1"/>
      <c r="ROL120" s="1"/>
      <c r="ROM120" s="1"/>
      <c r="RON120" s="1"/>
      <c r="ROO120" s="1"/>
      <c r="ROP120" s="1"/>
      <c r="ROQ120" s="1"/>
      <c r="ROR120" s="1"/>
      <c r="ROS120" s="1"/>
      <c r="ROT120" s="1"/>
      <c r="ROU120" s="1"/>
      <c r="ROV120" s="1"/>
      <c r="ROW120" s="1"/>
      <c r="ROX120" s="1"/>
      <c r="ROY120" s="1"/>
      <c r="ROZ120" s="1"/>
      <c r="RPA120" s="1"/>
      <c r="RPB120" s="1"/>
      <c r="RPC120" s="1"/>
      <c r="RPD120" s="1"/>
      <c r="RPE120" s="1"/>
      <c r="RPF120" s="1"/>
      <c r="RPG120" s="1"/>
      <c r="RPH120" s="1"/>
      <c r="RPI120" s="1"/>
      <c r="RPJ120" s="1"/>
      <c r="RPK120" s="1"/>
      <c r="RPL120" s="1"/>
      <c r="RPM120" s="1"/>
      <c r="RPN120" s="1"/>
      <c r="RPO120" s="1"/>
      <c r="RPP120" s="1"/>
      <c r="RPQ120" s="1"/>
      <c r="RPR120" s="1"/>
      <c r="RPS120" s="1"/>
      <c r="RPT120" s="1"/>
      <c r="RPU120" s="1"/>
      <c r="RPV120" s="1"/>
      <c r="RPW120" s="1"/>
      <c r="RPX120" s="1"/>
      <c r="RPY120" s="1"/>
      <c r="RPZ120" s="1"/>
      <c r="RQA120" s="1"/>
      <c r="RQB120" s="1"/>
      <c r="RQC120" s="1"/>
      <c r="RQD120" s="1"/>
      <c r="RQE120" s="1"/>
      <c r="RQF120" s="1"/>
      <c r="RQG120" s="1"/>
      <c r="RQH120" s="1"/>
      <c r="RQI120" s="1"/>
      <c r="RQJ120" s="1"/>
      <c r="RQK120" s="1"/>
      <c r="RQL120" s="1"/>
      <c r="RQM120" s="1"/>
      <c r="RQN120" s="1"/>
      <c r="RQO120" s="1"/>
      <c r="RQP120" s="1"/>
      <c r="RQQ120" s="1"/>
      <c r="RQR120" s="1"/>
      <c r="RQS120" s="1"/>
      <c r="RQT120" s="1"/>
      <c r="RQU120" s="1"/>
      <c r="RQV120" s="1"/>
      <c r="RQW120" s="1"/>
      <c r="RQX120" s="1"/>
      <c r="RQY120" s="1"/>
      <c r="RQZ120" s="1"/>
      <c r="RRA120" s="1"/>
      <c r="RRB120" s="1"/>
      <c r="RRC120" s="1"/>
      <c r="RRD120" s="1"/>
      <c r="RRE120" s="1"/>
      <c r="RRF120" s="1"/>
      <c r="RRG120" s="1"/>
      <c r="RRH120" s="1"/>
      <c r="RRI120" s="1"/>
      <c r="RRJ120" s="1"/>
      <c r="RRK120" s="1"/>
      <c r="RRL120" s="1"/>
      <c r="RRM120" s="1"/>
      <c r="RRN120" s="1"/>
      <c r="RRO120" s="1"/>
      <c r="RRP120" s="1"/>
      <c r="RRQ120" s="1"/>
      <c r="RRR120" s="1"/>
      <c r="RRS120" s="1"/>
      <c r="RRT120" s="1"/>
      <c r="RRU120" s="1"/>
      <c r="RRV120" s="1"/>
      <c r="RRW120" s="1"/>
      <c r="RRX120" s="1"/>
      <c r="RRY120" s="1"/>
      <c r="RRZ120" s="1"/>
      <c r="RSA120" s="1"/>
      <c r="RSB120" s="1"/>
      <c r="RSC120" s="1"/>
      <c r="RSD120" s="1"/>
      <c r="RSE120" s="1"/>
      <c r="RSF120" s="1"/>
      <c r="RSG120" s="1"/>
      <c r="RSH120" s="1"/>
      <c r="RSI120" s="1"/>
      <c r="RSJ120" s="1"/>
      <c r="RSK120" s="1"/>
      <c r="RSL120" s="1"/>
      <c r="RSM120" s="1"/>
      <c r="RSN120" s="1"/>
      <c r="RSO120" s="1"/>
      <c r="RSP120" s="1"/>
      <c r="RSQ120" s="1"/>
      <c r="RSR120" s="1"/>
      <c r="RSS120" s="1"/>
      <c r="RST120" s="1"/>
      <c r="RSU120" s="1"/>
      <c r="RSV120" s="1"/>
      <c r="RSW120" s="1"/>
      <c r="RSX120" s="1"/>
      <c r="RSY120" s="1"/>
      <c r="RSZ120" s="1"/>
      <c r="RTA120" s="1"/>
      <c r="RTB120" s="1"/>
      <c r="RTC120" s="1"/>
      <c r="RTD120" s="1"/>
      <c r="RTE120" s="1"/>
      <c r="RTF120" s="1"/>
      <c r="RTG120" s="1"/>
      <c r="RTH120" s="1"/>
      <c r="RTI120" s="1"/>
      <c r="RTJ120" s="1"/>
      <c r="RTK120" s="1"/>
      <c r="RTL120" s="1"/>
      <c r="RTM120" s="1"/>
      <c r="RTN120" s="1"/>
      <c r="RTO120" s="1"/>
      <c r="RTP120" s="1"/>
      <c r="RTQ120" s="1"/>
      <c r="RTR120" s="1"/>
      <c r="RTS120" s="1"/>
      <c r="RTT120" s="1"/>
      <c r="RTU120" s="1"/>
      <c r="RTV120" s="1"/>
      <c r="RTW120" s="1"/>
      <c r="RTX120" s="1"/>
      <c r="RTY120" s="1"/>
      <c r="RTZ120" s="1"/>
      <c r="RUA120" s="1"/>
      <c r="RUB120" s="1"/>
      <c r="RUC120" s="1"/>
      <c r="RUD120" s="1"/>
      <c r="RUE120" s="1"/>
      <c r="RUF120" s="1"/>
      <c r="RUG120" s="1"/>
      <c r="RUH120" s="1"/>
      <c r="RUI120" s="1"/>
      <c r="RUJ120" s="1"/>
      <c r="RUK120" s="1"/>
      <c r="RUL120" s="1"/>
      <c r="RUM120" s="1"/>
      <c r="RUN120" s="1"/>
      <c r="RUO120" s="1"/>
      <c r="RUP120" s="1"/>
      <c r="RUQ120" s="1"/>
      <c r="RUR120" s="1"/>
      <c r="RUS120" s="1"/>
      <c r="RUT120" s="1"/>
      <c r="RUU120" s="1"/>
      <c r="RUV120" s="1"/>
      <c r="RUW120" s="1"/>
      <c r="RUX120" s="1"/>
      <c r="RUY120" s="1"/>
      <c r="RUZ120" s="1"/>
      <c r="RVA120" s="1"/>
      <c r="RVB120" s="1"/>
      <c r="RVC120" s="1"/>
      <c r="RVD120" s="1"/>
      <c r="RVE120" s="1"/>
      <c r="RVF120" s="1"/>
      <c r="RVG120" s="1"/>
      <c r="RVH120" s="1"/>
      <c r="RVI120" s="1"/>
      <c r="RVJ120" s="1"/>
      <c r="RVK120" s="1"/>
      <c r="RVL120" s="1"/>
      <c r="RVM120" s="1"/>
      <c r="RVN120" s="1"/>
      <c r="RVO120" s="1"/>
      <c r="RVP120" s="1"/>
      <c r="RVQ120" s="1"/>
      <c r="RVR120" s="1"/>
      <c r="RVS120" s="1"/>
      <c r="RVT120" s="1"/>
      <c r="RVU120" s="1"/>
      <c r="RVV120" s="1"/>
      <c r="RVW120" s="1"/>
      <c r="RVX120" s="1"/>
      <c r="RVY120" s="1"/>
      <c r="RVZ120" s="1"/>
      <c r="RWA120" s="1"/>
      <c r="RWB120" s="1"/>
      <c r="RWC120" s="1"/>
      <c r="RWD120" s="1"/>
      <c r="RWE120" s="1"/>
      <c r="RWF120" s="1"/>
      <c r="RWG120" s="1"/>
      <c r="RWH120" s="1"/>
      <c r="RWI120" s="1"/>
      <c r="RWJ120" s="1"/>
      <c r="RWK120" s="1"/>
      <c r="RWL120" s="1"/>
      <c r="RWM120" s="1"/>
      <c r="RWN120" s="1"/>
      <c r="RWO120" s="1"/>
      <c r="RWP120" s="1"/>
      <c r="RWQ120" s="1"/>
      <c r="RWR120" s="1"/>
      <c r="RWS120" s="1"/>
      <c r="RWT120" s="1"/>
      <c r="RWU120" s="1"/>
      <c r="RWV120" s="1"/>
      <c r="RWW120" s="1"/>
      <c r="RWX120" s="1"/>
      <c r="RWY120" s="1"/>
      <c r="RWZ120" s="1"/>
      <c r="RXA120" s="1"/>
      <c r="RXB120" s="1"/>
      <c r="RXC120" s="1"/>
      <c r="RXD120" s="1"/>
      <c r="RXE120" s="1"/>
      <c r="RXF120" s="1"/>
      <c r="RXG120" s="1"/>
      <c r="RXH120" s="1"/>
      <c r="RXI120" s="1"/>
      <c r="RXJ120" s="1"/>
      <c r="RXK120" s="1"/>
      <c r="RXL120" s="1"/>
      <c r="RXM120" s="1"/>
      <c r="RXN120" s="1"/>
      <c r="RXO120" s="1"/>
      <c r="RXP120" s="1"/>
      <c r="RXQ120" s="1"/>
      <c r="RXR120" s="1"/>
      <c r="RXS120" s="1"/>
      <c r="RXT120" s="1"/>
      <c r="RXU120" s="1"/>
      <c r="RXV120" s="1"/>
      <c r="RXW120" s="1"/>
      <c r="RXX120" s="1"/>
      <c r="RXY120" s="1"/>
      <c r="RXZ120" s="1"/>
      <c r="RYA120" s="1"/>
      <c r="RYB120" s="1"/>
      <c r="RYC120" s="1"/>
      <c r="RYD120" s="1"/>
      <c r="RYE120" s="1"/>
      <c r="RYF120" s="1"/>
      <c r="RYG120" s="1"/>
      <c r="RYH120" s="1"/>
      <c r="RYI120" s="1"/>
      <c r="RYJ120" s="1"/>
      <c r="RYK120" s="1"/>
      <c r="RYL120" s="1"/>
      <c r="RYM120" s="1"/>
      <c r="RYN120" s="1"/>
      <c r="RYO120" s="1"/>
      <c r="RYP120" s="1"/>
      <c r="RYQ120" s="1"/>
      <c r="RYR120" s="1"/>
      <c r="RYS120" s="1"/>
      <c r="RYT120" s="1"/>
      <c r="RYU120" s="1"/>
      <c r="RYV120" s="1"/>
      <c r="RYW120" s="1"/>
      <c r="RYX120" s="1"/>
      <c r="RYY120" s="1"/>
      <c r="RYZ120" s="1"/>
      <c r="RZA120" s="1"/>
      <c r="RZB120" s="1"/>
      <c r="RZC120" s="1"/>
      <c r="RZD120" s="1"/>
      <c r="RZE120" s="1"/>
      <c r="RZF120" s="1"/>
      <c r="RZG120" s="1"/>
      <c r="RZH120" s="1"/>
      <c r="RZI120" s="1"/>
      <c r="RZJ120" s="1"/>
      <c r="RZK120" s="1"/>
      <c r="RZL120" s="1"/>
      <c r="RZM120" s="1"/>
      <c r="RZN120" s="1"/>
      <c r="RZO120" s="1"/>
      <c r="RZP120" s="1"/>
      <c r="RZQ120" s="1"/>
      <c r="RZR120" s="1"/>
      <c r="RZS120" s="1"/>
      <c r="RZT120" s="1"/>
      <c r="RZU120" s="1"/>
      <c r="RZV120" s="1"/>
      <c r="RZW120" s="1"/>
      <c r="RZX120" s="1"/>
      <c r="RZY120" s="1"/>
      <c r="RZZ120" s="1"/>
      <c r="SAA120" s="1"/>
      <c r="SAB120" s="1"/>
      <c r="SAC120" s="1"/>
      <c r="SAD120" s="1"/>
      <c r="SAE120" s="1"/>
      <c r="SAF120" s="1"/>
      <c r="SAG120" s="1"/>
      <c r="SAH120" s="1"/>
      <c r="SAI120" s="1"/>
      <c r="SAJ120" s="1"/>
      <c r="SAK120" s="1"/>
      <c r="SAL120" s="1"/>
      <c r="SAM120" s="1"/>
      <c r="SAN120" s="1"/>
      <c r="SAO120" s="1"/>
      <c r="SAP120" s="1"/>
      <c r="SAQ120" s="1"/>
      <c r="SAR120" s="1"/>
      <c r="SAS120" s="1"/>
      <c r="SAT120" s="1"/>
      <c r="SAU120" s="1"/>
      <c r="SAV120" s="1"/>
      <c r="SAW120" s="1"/>
      <c r="SAX120" s="1"/>
      <c r="SAY120" s="1"/>
      <c r="SAZ120" s="1"/>
      <c r="SBA120" s="1"/>
      <c r="SBB120" s="1"/>
      <c r="SBC120" s="1"/>
      <c r="SBD120" s="1"/>
      <c r="SBE120" s="1"/>
      <c r="SBF120" s="1"/>
      <c r="SBG120" s="1"/>
      <c r="SBH120" s="1"/>
      <c r="SBI120" s="1"/>
      <c r="SBJ120" s="1"/>
      <c r="SBK120" s="1"/>
      <c r="SBL120" s="1"/>
      <c r="SBM120" s="1"/>
      <c r="SBN120" s="1"/>
      <c r="SBO120" s="1"/>
      <c r="SBP120" s="1"/>
      <c r="SBQ120" s="1"/>
      <c r="SBR120" s="1"/>
      <c r="SBS120" s="1"/>
      <c r="SBT120" s="1"/>
      <c r="SBU120" s="1"/>
      <c r="SBV120" s="1"/>
      <c r="SBW120" s="1"/>
      <c r="SBX120" s="1"/>
      <c r="SBY120" s="1"/>
      <c r="SBZ120" s="1"/>
      <c r="SCA120" s="1"/>
      <c r="SCB120" s="1"/>
      <c r="SCC120" s="1"/>
      <c r="SCD120" s="1"/>
      <c r="SCE120" s="1"/>
      <c r="SCF120" s="1"/>
      <c r="SCG120" s="1"/>
      <c r="SCH120" s="1"/>
      <c r="SCI120" s="1"/>
      <c r="SCJ120" s="1"/>
      <c r="SCK120" s="1"/>
      <c r="SCL120" s="1"/>
      <c r="SCM120" s="1"/>
      <c r="SCN120" s="1"/>
      <c r="SCO120" s="1"/>
      <c r="SCP120" s="1"/>
      <c r="SCQ120" s="1"/>
      <c r="SCR120" s="1"/>
      <c r="SCS120" s="1"/>
      <c r="SCT120" s="1"/>
      <c r="SCU120" s="1"/>
      <c r="SCV120" s="1"/>
      <c r="SCW120" s="1"/>
      <c r="SCX120" s="1"/>
      <c r="SCY120" s="1"/>
      <c r="SCZ120" s="1"/>
      <c r="SDA120" s="1"/>
      <c r="SDB120" s="1"/>
      <c r="SDC120" s="1"/>
      <c r="SDD120" s="1"/>
      <c r="SDE120" s="1"/>
      <c r="SDF120" s="1"/>
      <c r="SDG120" s="1"/>
      <c r="SDH120" s="1"/>
      <c r="SDI120" s="1"/>
      <c r="SDJ120" s="1"/>
      <c r="SDK120" s="1"/>
      <c r="SDL120" s="1"/>
      <c r="SDM120" s="1"/>
      <c r="SDN120" s="1"/>
      <c r="SDO120" s="1"/>
      <c r="SDP120" s="1"/>
      <c r="SDQ120" s="1"/>
      <c r="SDR120" s="1"/>
      <c r="SDS120" s="1"/>
      <c r="SDT120" s="1"/>
      <c r="SDU120" s="1"/>
      <c r="SDV120" s="1"/>
      <c r="SDW120" s="1"/>
      <c r="SDX120" s="1"/>
      <c r="SDY120" s="1"/>
      <c r="SDZ120" s="1"/>
      <c r="SEA120" s="1"/>
      <c r="SEB120" s="1"/>
      <c r="SEC120" s="1"/>
      <c r="SED120" s="1"/>
      <c r="SEE120" s="1"/>
      <c r="SEF120" s="1"/>
      <c r="SEG120" s="1"/>
      <c r="SEH120" s="1"/>
      <c r="SEI120" s="1"/>
      <c r="SEJ120" s="1"/>
      <c r="SEK120" s="1"/>
      <c r="SEL120" s="1"/>
      <c r="SEM120" s="1"/>
      <c r="SEN120" s="1"/>
      <c r="SEO120" s="1"/>
      <c r="SEP120" s="1"/>
      <c r="SEQ120" s="1"/>
      <c r="SER120" s="1"/>
      <c r="SES120" s="1"/>
      <c r="SET120" s="1"/>
      <c r="SEU120" s="1"/>
      <c r="SEV120" s="1"/>
      <c r="SEW120" s="1"/>
      <c r="SEX120" s="1"/>
      <c r="SEY120" s="1"/>
      <c r="SEZ120" s="1"/>
      <c r="SFA120" s="1"/>
      <c r="SFB120" s="1"/>
      <c r="SFC120" s="1"/>
      <c r="SFD120" s="1"/>
      <c r="SFE120" s="1"/>
      <c r="SFF120" s="1"/>
      <c r="SFG120" s="1"/>
      <c r="SFH120" s="1"/>
      <c r="SFI120" s="1"/>
      <c r="SFJ120" s="1"/>
      <c r="SFK120" s="1"/>
      <c r="SFL120" s="1"/>
      <c r="SFM120" s="1"/>
      <c r="SFN120" s="1"/>
      <c r="SFO120" s="1"/>
      <c r="SFP120" s="1"/>
      <c r="SFQ120" s="1"/>
      <c r="SFR120" s="1"/>
      <c r="SFS120" s="1"/>
      <c r="SFT120" s="1"/>
      <c r="SFU120" s="1"/>
      <c r="SFV120" s="1"/>
      <c r="SFW120" s="1"/>
      <c r="SFX120" s="1"/>
      <c r="SFY120" s="1"/>
      <c r="SFZ120" s="1"/>
      <c r="SGA120" s="1"/>
      <c r="SGB120" s="1"/>
      <c r="SGC120" s="1"/>
      <c r="SGD120" s="1"/>
      <c r="SGE120" s="1"/>
      <c r="SGF120" s="1"/>
      <c r="SGG120" s="1"/>
      <c r="SGH120" s="1"/>
      <c r="SGI120" s="1"/>
      <c r="SGJ120" s="1"/>
      <c r="SGK120" s="1"/>
      <c r="SGL120" s="1"/>
      <c r="SGM120" s="1"/>
      <c r="SGN120" s="1"/>
      <c r="SGO120" s="1"/>
      <c r="SGP120" s="1"/>
      <c r="SGQ120" s="1"/>
      <c r="SGR120" s="1"/>
      <c r="SGS120" s="1"/>
      <c r="SGT120" s="1"/>
      <c r="SGU120" s="1"/>
      <c r="SGV120" s="1"/>
      <c r="SGW120" s="1"/>
      <c r="SGX120" s="1"/>
      <c r="SGY120" s="1"/>
      <c r="SGZ120" s="1"/>
      <c r="SHA120" s="1"/>
      <c r="SHB120" s="1"/>
      <c r="SHC120" s="1"/>
      <c r="SHD120" s="1"/>
      <c r="SHE120" s="1"/>
      <c r="SHF120" s="1"/>
      <c r="SHG120" s="1"/>
      <c r="SHH120" s="1"/>
      <c r="SHI120" s="1"/>
      <c r="SHJ120" s="1"/>
      <c r="SHK120" s="1"/>
      <c r="SHL120" s="1"/>
      <c r="SHM120" s="1"/>
      <c r="SHN120" s="1"/>
      <c r="SHO120" s="1"/>
      <c r="SHP120" s="1"/>
      <c r="SHQ120" s="1"/>
      <c r="SHR120" s="1"/>
      <c r="SHS120" s="1"/>
      <c r="SHT120" s="1"/>
      <c r="SHU120" s="1"/>
      <c r="SHV120" s="1"/>
      <c r="SHW120" s="1"/>
      <c r="SHX120" s="1"/>
      <c r="SHY120" s="1"/>
      <c r="SHZ120" s="1"/>
      <c r="SIA120" s="1"/>
      <c r="SIB120" s="1"/>
      <c r="SIC120" s="1"/>
      <c r="SID120" s="1"/>
      <c r="SIE120" s="1"/>
      <c r="SIF120" s="1"/>
      <c r="SIG120" s="1"/>
      <c r="SIH120" s="1"/>
      <c r="SII120" s="1"/>
      <c r="SIJ120" s="1"/>
      <c r="SIK120" s="1"/>
      <c r="SIL120" s="1"/>
      <c r="SIM120" s="1"/>
      <c r="SIN120" s="1"/>
      <c r="SIO120" s="1"/>
      <c r="SIP120" s="1"/>
      <c r="SIQ120" s="1"/>
      <c r="SIR120" s="1"/>
      <c r="SIS120" s="1"/>
      <c r="SIT120" s="1"/>
      <c r="SIU120" s="1"/>
      <c r="SIV120" s="1"/>
      <c r="SIW120" s="1"/>
      <c r="SIX120" s="1"/>
      <c r="SIY120" s="1"/>
      <c r="SIZ120" s="1"/>
      <c r="SJA120" s="1"/>
      <c r="SJB120" s="1"/>
      <c r="SJC120" s="1"/>
      <c r="SJD120" s="1"/>
      <c r="SJE120" s="1"/>
      <c r="SJF120" s="1"/>
      <c r="SJG120" s="1"/>
      <c r="SJH120" s="1"/>
      <c r="SJI120" s="1"/>
      <c r="SJJ120" s="1"/>
      <c r="SJK120" s="1"/>
      <c r="SJL120" s="1"/>
      <c r="SJM120" s="1"/>
      <c r="SJN120" s="1"/>
      <c r="SJO120" s="1"/>
      <c r="SJP120" s="1"/>
      <c r="SJQ120" s="1"/>
      <c r="SJR120" s="1"/>
      <c r="SJS120" s="1"/>
      <c r="SJT120" s="1"/>
      <c r="SJU120" s="1"/>
      <c r="SJV120" s="1"/>
      <c r="SJW120" s="1"/>
      <c r="SJX120" s="1"/>
      <c r="SJY120" s="1"/>
      <c r="SJZ120" s="1"/>
      <c r="SKA120" s="1"/>
      <c r="SKB120" s="1"/>
      <c r="SKC120" s="1"/>
      <c r="SKD120" s="1"/>
      <c r="SKE120" s="1"/>
      <c r="SKF120" s="1"/>
      <c r="SKG120" s="1"/>
      <c r="SKH120" s="1"/>
      <c r="SKI120" s="1"/>
      <c r="SKJ120" s="1"/>
      <c r="SKK120" s="1"/>
      <c r="SKL120" s="1"/>
      <c r="SKM120" s="1"/>
      <c r="SKN120" s="1"/>
      <c r="SKO120" s="1"/>
      <c r="SKP120" s="1"/>
      <c r="SKQ120" s="1"/>
      <c r="SKR120" s="1"/>
      <c r="SKS120" s="1"/>
      <c r="SKT120" s="1"/>
      <c r="SKU120" s="1"/>
      <c r="SKV120" s="1"/>
      <c r="SKW120" s="1"/>
      <c r="SKX120" s="1"/>
      <c r="SKY120" s="1"/>
      <c r="SKZ120" s="1"/>
      <c r="SLA120" s="1"/>
      <c r="SLB120" s="1"/>
      <c r="SLC120" s="1"/>
      <c r="SLD120" s="1"/>
      <c r="SLE120" s="1"/>
      <c r="SLF120" s="1"/>
      <c r="SLG120" s="1"/>
      <c r="SLH120" s="1"/>
      <c r="SLI120" s="1"/>
      <c r="SLJ120" s="1"/>
      <c r="SLK120" s="1"/>
      <c r="SLL120" s="1"/>
      <c r="SLM120" s="1"/>
      <c r="SLN120" s="1"/>
      <c r="SLO120" s="1"/>
      <c r="SLP120" s="1"/>
      <c r="SLQ120" s="1"/>
      <c r="SLR120" s="1"/>
      <c r="SLS120" s="1"/>
      <c r="SLT120" s="1"/>
      <c r="SLU120" s="1"/>
      <c r="SLV120" s="1"/>
      <c r="SLW120" s="1"/>
      <c r="SLX120" s="1"/>
      <c r="SLY120" s="1"/>
      <c r="SLZ120" s="1"/>
      <c r="SMA120" s="1"/>
      <c r="SMB120" s="1"/>
      <c r="SMC120" s="1"/>
      <c r="SMD120" s="1"/>
      <c r="SME120" s="1"/>
      <c r="SMF120" s="1"/>
      <c r="SMG120" s="1"/>
      <c r="SMH120" s="1"/>
      <c r="SMI120" s="1"/>
      <c r="SMJ120" s="1"/>
      <c r="SMK120" s="1"/>
      <c r="SML120" s="1"/>
      <c r="SMM120" s="1"/>
      <c r="SMN120" s="1"/>
      <c r="SMO120" s="1"/>
      <c r="SMP120" s="1"/>
      <c r="SMQ120" s="1"/>
      <c r="SMR120" s="1"/>
      <c r="SMS120" s="1"/>
      <c r="SMT120" s="1"/>
      <c r="SMU120" s="1"/>
      <c r="SMV120" s="1"/>
      <c r="SMW120" s="1"/>
      <c r="SMX120" s="1"/>
      <c r="SMY120" s="1"/>
      <c r="SMZ120" s="1"/>
      <c r="SNA120" s="1"/>
      <c r="SNB120" s="1"/>
      <c r="SNC120" s="1"/>
      <c r="SND120" s="1"/>
      <c r="SNE120" s="1"/>
      <c r="SNF120" s="1"/>
      <c r="SNG120" s="1"/>
      <c r="SNH120" s="1"/>
      <c r="SNI120" s="1"/>
      <c r="SNJ120" s="1"/>
      <c r="SNK120" s="1"/>
      <c r="SNL120" s="1"/>
      <c r="SNM120" s="1"/>
      <c r="SNN120" s="1"/>
      <c r="SNO120" s="1"/>
      <c r="SNP120" s="1"/>
      <c r="SNQ120" s="1"/>
      <c r="SNR120" s="1"/>
      <c r="SNS120" s="1"/>
      <c r="SNT120" s="1"/>
      <c r="SNU120" s="1"/>
      <c r="SNV120" s="1"/>
      <c r="SNW120" s="1"/>
      <c r="SNX120" s="1"/>
      <c r="SNY120" s="1"/>
      <c r="SNZ120" s="1"/>
      <c r="SOA120" s="1"/>
      <c r="SOB120" s="1"/>
      <c r="SOC120" s="1"/>
      <c r="SOD120" s="1"/>
      <c r="SOE120" s="1"/>
      <c r="SOF120" s="1"/>
      <c r="SOG120" s="1"/>
      <c r="SOH120" s="1"/>
      <c r="SOI120" s="1"/>
      <c r="SOJ120" s="1"/>
      <c r="SOK120" s="1"/>
      <c r="SOL120" s="1"/>
      <c r="SOM120" s="1"/>
      <c r="SON120" s="1"/>
      <c r="SOO120" s="1"/>
      <c r="SOP120" s="1"/>
      <c r="SOQ120" s="1"/>
      <c r="SOR120" s="1"/>
      <c r="SOS120" s="1"/>
      <c r="SOT120" s="1"/>
      <c r="SOU120" s="1"/>
      <c r="SOV120" s="1"/>
      <c r="SOW120" s="1"/>
      <c r="SOX120" s="1"/>
      <c r="SOY120" s="1"/>
      <c r="SOZ120" s="1"/>
      <c r="SPA120" s="1"/>
      <c r="SPB120" s="1"/>
      <c r="SPC120" s="1"/>
      <c r="SPD120" s="1"/>
      <c r="SPE120" s="1"/>
      <c r="SPF120" s="1"/>
      <c r="SPG120" s="1"/>
      <c r="SPH120" s="1"/>
      <c r="SPI120" s="1"/>
      <c r="SPJ120" s="1"/>
      <c r="SPK120" s="1"/>
      <c r="SPL120" s="1"/>
      <c r="SPM120" s="1"/>
      <c r="SPN120" s="1"/>
      <c r="SPO120" s="1"/>
      <c r="SPP120" s="1"/>
      <c r="SPQ120" s="1"/>
      <c r="SPR120" s="1"/>
      <c r="SPS120" s="1"/>
      <c r="SPT120" s="1"/>
      <c r="SPU120" s="1"/>
      <c r="SPV120" s="1"/>
      <c r="SPW120" s="1"/>
      <c r="SPX120" s="1"/>
      <c r="SPY120" s="1"/>
      <c r="SPZ120" s="1"/>
      <c r="SQA120" s="1"/>
      <c r="SQB120" s="1"/>
      <c r="SQC120" s="1"/>
      <c r="SQD120" s="1"/>
      <c r="SQE120" s="1"/>
      <c r="SQF120" s="1"/>
      <c r="SQG120" s="1"/>
      <c r="SQH120" s="1"/>
      <c r="SQI120" s="1"/>
      <c r="SQJ120" s="1"/>
      <c r="SQK120" s="1"/>
      <c r="SQL120" s="1"/>
      <c r="SQM120" s="1"/>
      <c r="SQN120" s="1"/>
      <c r="SQO120" s="1"/>
      <c r="SQP120" s="1"/>
      <c r="SQQ120" s="1"/>
      <c r="SQR120" s="1"/>
      <c r="SQS120" s="1"/>
      <c r="SQT120" s="1"/>
      <c r="SQU120" s="1"/>
      <c r="SQV120" s="1"/>
      <c r="SQW120" s="1"/>
      <c r="SQX120" s="1"/>
      <c r="SQY120" s="1"/>
      <c r="SQZ120" s="1"/>
      <c r="SRA120" s="1"/>
      <c r="SRB120" s="1"/>
      <c r="SRC120" s="1"/>
      <c r="SRD120" s="1"/>
      <c r="SRE120" s="1"/>
      <c r="SRF120" s="1"/>
      <c r="SRG120" s="1"/>
      <c r="SRH120" s="1"/>
      <c r="SRI120" s="1"/>
      <c r="SRJ120" s="1"/>
      <c r="SRK120" s="1"/>
      <c r="SRL120" s="1"/>
      <c r="SRM120" s="1"/>
      <c r="SRN120" s="1"/>
      <c r="SRO120" s="1"/>
      <c r="SRP120" s="1"/>
      <c r="SRQ120" s="1"/>
      <c r="SRR120" s="1"/>
      <c r="SRS120" s="1"/>
      <c r="SRT120" s="1"/>
      <c r="SRU120" s="1"/>
      <c r="SRV120" s="1"/>
      <c r="SRW120" s="1"/>
      <c r="SRX120" s="1"/>
      <c r="SRY120" s="1"/>
      <c r="SRZ120" s="1"/>
      <c r="SSA120" s="1"/>
      <c r="SSB120" s="1"/>
      <c r="SSC120" s="1"/>
      <c r="SSD120" s="1"/>
      <c r="SSE120" s="1"/>
      <c r="SSF120" s="1"/>
      <c r="SSG120" s="1"/>
      <c r="SSH120" s="1"/>
      <c r="SSI120" s="1"/>
      <c r="SSJ120" s="1"/>
      <c r="SSK120" s="1"/>
      <c r="SSL120" s="1"/>
      <c r="SSM120" s="1"/>
      <c r="SSN120" s="1"/>
      <c r="SSO120" s="1"/>
      <c r="SSP120" s="1"/>
      <c r="SSQ120" s="1"/>
      <c r="SSR120" s="1"/>
      <c r="SSS120" s="1"/>
      <c r="SST120" s="1"/>
      <c r="SSU120" s="1"/>
      <c r="SSV120" s="1"/>
      <c r="SSW120" s="1"/>
      <c r="SSX120" s="1"/>
      <c r="SSY120" s="1"/>
      <c r="SSZ120" s="1"/>
      <c r="STA120" s="1"/>
      <c r="STB120" s="1"/>
      <c r="STC120" s="1"/>
      <c r="STD120" s="1"/>
      <c r="STE120" s="1"/>
      <c r="STF120" s="1"/>
      <c r="STG120" s="1"/>
      <c r="STH120" s="1"/>
      <c r="STI120" s="1"/>
      <c r="STJ120" s="1"/>
      <c r="STK120" s="1"/>
      <c r="STL120" s="1"/>
      <c r="STM120" s="1"/>
      <c r="STN120" s="1"/>
      <c r="STO120" s="1"/>
      <c r="STP120" s="1"/>
      <c r="STQ120" s="1"/>
      <c r="STR120" s="1"/>
      <c r="STS120" s="1"/>
      <c r="STT120" s="1"/>
      <c r="STU120" s="1"/>
      <c r="STV120" s="1"/>
      <c r="STW120" s="1"/>
      <c r="STX120" s="1"/>
      <c r="STY120" s="1"/>
      <c r="STZ120" s="1"/>
      <c r="SUA120" s="1"/>
      <c r="SUB120" s="1"/>
      <c r="SUC120" s="1"/>
      <c r="SUD120" s="1"/>
      <c r="SUE120" s="1"/>
      <c r="SUF120" s="1"/>
      <c r="SUG120" s="1"/>
      <c r="SUH120" s="1"/>
      <c r="SUI120" s="1"/>
      <c r="SUJ120" s="1"/>
      <c r="SUK120" s="1"/>
      <c r="SUL120" s="1"/>
      <c r="SUM120" s="1"/>
      <c r="SUN120" s="1"/>
      <c r="SUO120" s="1"/>
      <c r="SUP120" s="1"/>
      <c r="SUQ120" s="1"/>
      <c r="SUR120" s="1"/>
      <c r="SUS120" s="1"/>
      <c r="SUT120" s="1"/>
      <c r="SUU120" s="1"/>
      <c r="SUV120" s="1"/>
      <c r="SUW120" s="1"/>
      <c r="SUX120" s="1"/>
      <c r="SUY120" s="1"/>
      <c r="SUZ120" s="1"/>
      <c r="SVA120" s="1"/>
      <c r="SVB120" s="1"/>
      <c r="SVC120" s="1"/>
      <c r="SVD120" s="1"/>
      <c r="SVE120" s="1"/>
      <c r="SVF120" s="1"/>
      <c r="SVG120" s="1"/>
      <c r="SVH120" s="1"/>
      <c r="SVI120" s="1"/>
      <c r="SVJ120" s="1"/>
      <c r="SVK120" s="1"/>
      <c r="SVL120" s="1"/>
      <c r="SVM120" s="1"/>
      <c r="SVN120" s="1"/>
      <c r="SVO120" s="1"/>
      <c r="SVP120" s="1"/>
      <c r="SVQ120" s="1"/>
      <c r="SVR120" s="1"/>
      <c r="SVS120" s="1"/>
      <c r="SVT120" s="1"/>
      <c r="SVU120" s="1"/>
      <c r="SVV120" s="1"/>
      <c r="SVW120" s="1"/>
      <c r="SVX120" s="1"/>
      <c r="SVY120" s="1"/>
      <c r="SVZ120" s="1"/>
      <c r="SWA120" s="1"/>
      <c r="SWB120" s="1"/>
      <c r="SWC120" s="1"/>
      <c r="SWD120" s="1"/>
      <c r="SWE120" s="1"/>
      <c r="SWF120" s="1"/>
      <c r="SWG120" s="1"/>
      <c r="SWH120" s="1"/>
      <c r="SWI120" s="1"/>
      <c r="SWJ120" s="1"/>
      <c r="SWK120" s="1"/>
      <c r="SWL120" s="1"/>
      <c r="SWM120" s="1"/>
      <c r="SWN120" s="1"/>
      <c r="SWO120" s="1"/>
      <c r="SWP120" s="1"/>
      <c r="SWQ120" s="1"/>
      <c r="SWR120" s="1"/>
      <c r="SWS120" s="1"/>
      <c r="SWT120" s="1"/>
      <c r="SWU120" s="1"/>
      <c r="SWV120" s="1"/>
      <c r="SWW120" s="1"/>
      <c r="SWX120" s="1"/>
      <c r="SWY120" s="1"/>
      <c r="SWZ120" s="1"/>
      <c r="SXA120" s="1"/>
      <c r="SXB120" s="1"/>
      <c r="SXC120" s="1"/>
      <c r="SXD120" s="1"/>
      <c r="SXE120" s="1"/>
      <c r="SXF120" s="1"/>
      <c r="SXG120" s="1"/>
      <c r="SXH120" s="1"/>
      <c r="SXI120" s="1"/>
      <c r="SXJ120" s="1"/>
      <c r="SXK120" s="1"/>
      <c r="SXL120" s="1"/>
      <c r="SXM120" s="1"/>
      <c r="SXN120" s="1"/>
      <c r="SXO120" s="1"/>
      <c r="SXP120" s="1"/>
      <c r="SXQ120" s="1"/>
      <c r="SXR120" s="1"/>
      <c r="SXS120" s="1"/>
      <c r="SXT120" s="1"/>
      <c r="SXU120" s="1"/>
      <c r="SXV120" s="1"/>
      <c r="SXW120" s="1"/>
      <c r="SXX120" s="1"/>
      <c r="SXY120" s="1"/>
      <c r="SXZ120" s="1"/>
      <c r="SYA120" s="1"/>
      <c r="SYB120" s="1"/>
      <c r="SYC120" s="1"/>
      <c r="SYD120" s="1"/>
      <c r="SYE120" s="1"/>
      <c r="SYF120" s="1"/>
      <c r="SYG120" s="1"/>
      <c r="SYH120" s="1"/>
      <c r="SYI120" s="1"/>
      <c r="SYJ120" s="1"/>
      <c r="SYK120" s="1"/>
      <c r="SYL120" s="1"/>
      <c r="SYM120" s="1"/>
      <c r="SYN120" s="1"/>
      <c r="SYO120" s="1"/>
      <c r="SYP120" s="1"/>
      <c r="SYQ120" s="1"/>
      <c r="SYR120" s="1"/>
      <c r="SYS120" s="1"/>
      <c r="SYT120" s="1"/>
      <c r="SYU120" s="1"/>
      <c r="SYV120" s="1"/>
      <c r="SYW120" s="1"/>
      <c r="SYX120" s="1"/>
      <c r="SYY120" s="1"/>
      <c r="SYZ120" s="1"/>
      <c r="SZA120" s="1"/>
      <c r="SZB120" s="1"/>
      <c r="SZC120" s="1"/>
      <c r="SZD120" s="1"/>
      <c r="SZE120" s="1"/>
      <c r="SZF120" s="1"/>
      <c r="SZG120" s="1"/>
      <c r="SZH120" s="1"/>
      <c r="SZI120" s="1"/>
      <c r="SZJ120" s="1"/>
      <c r="SZK120" s="1"/>
      <c r="SZL120" s="1"/>
      <c r="SZM120" s="1"/>
      <c r="SZN120" s="1"/>
      <c r="SZO120" s="1"/>
      <c r="SZP120" s="1"/>
      <c r="SZQ120" s="1"/>
      <c r="SZR120" s="1"/>
      <c r="SZS120" s="1"/>
      <c r="SZT120" s="1"/>
      <c r="SZU120" s="1"/>
      <c r="SZV120" s="1"/>
      <c r="SZW120" s="1"/>
      <c r="SZX120" s="1"/>
      <c r="SZY120" s="1"/>
      <c r="SZZ120" s="1"/>
      <c r="TAA120" s="1"/>
      <c r="TAB120" s="1"/>
      <c r="TAC120" s="1"/>
      <c r="TAD120" s="1"/>
      <c r="TAE120" s="1"/>
      <c r="TAF120" s="1"/>
      <c r="TAG120" s="1"/>
      <c r="TAH120" s="1"/>
      <c r="TAI120" s="1"/>
      <c r="TAJ120" s="1"/>
      <c r="TAK120" s="1"/>
      <c r="TAL120" s="1"/>
      <c r="TAM120" s="1"/>
      <c r="TAN120" s="1"/>
      <c r="TAO120" s="1"/>
      <c r="TAP120" s="1"/>
      <c r="TAQ120" s="1"/>
      <c r="TAR120" s="1"/>
      <c r="TAS120" s="1"/>
      <c r="TAT120" s="1"/>
      <c r="TAU120" s="1"/>
      <c r="TAV120" s="1"/>
      <c r="TAW120" s="1"/>
      <c r="TAX120" s="1"/>
      <c r="TAY120" s="1"/>
      <c r="TAZ120" s="1"/>
      <c r="TBA120" s="1"/>
      <c r="TBB120" s="1"/>
      <c r="TBC120" s="1"/>
      <c r="TBD120" s="1"/>
      <c r="TBE120" s="1"/>
      <c r="TBF120" s="1"/>
      <c r="TBG120" s="1"/>
      <c r="TBH120" s="1"/>
      <c r="TBI120" s="1"/>
      <c r="TBJ120" s="1"/>
      <c r="TBK120" s="1"/>
      <c r="TBL120" s="1"/>
      <c r="TBM120" s="1"/>
      <c r="TBN120" s="1"/>
      <c r="TBO120" s="1"/>
      <c r="TBP120" s="1"/>
      <c r="TBQ120" s="1"/>
      <c r="TBR120" s="1"/>
      <c r="TBS120" s="1"/>
      <c r="TBT120" s="1"/>
      <c r="TBU120" s="1"/>
      <c r="TBV120" s="1"/>
      <c r="TBW120" s="1"/>
      <c r="TBX120" s="1"/>
      <c r="TBY120" s="1"/>
      <c r="TBZ120" s="1"/>
      <c r="TCA120" s="1"/>
      <c r="TCB120" s="1"/>
      <c r="TCC120" s="1"/>
      <c r="TCD120" s="1"/>
      <c r="TCE120" s="1"/>
      <c r="TCF120" s="1"/>
      <c r="TCG120" s="1"/>
      <c r="TCH120" s="1"/>
      <c r="TCI120" s="1"/>
      <c r="TCJ120" s="1"/>
      <c r="TCK120" s="1"/>
      <c r="TCL120" s="1"/>
      <c r="TCM120" s="1"/>
      <c r="TCN120" s="1"/>
      <c r="TCO120" s="1"/>
      <c r="TCP120" s="1"/>
      <c r="TCQ120" s="1"/>
      <c r="TCR120" s="1"/>
      <c r="TCS120" s="1"/>
      <c r="TCT120" s="1"/>
      <c r="TCU120" s="1"/>
      <c r="TCV120" s="1"/>
      <c r="TCW120" s="1"/>
      <c r="TCX120" s="1"/>
      <c r="TCY120" s="1"/>
      <c r="TCZ120" s="1"/>
      <c r="TDA120" s="1"/>
      <c r="TDB120" s="1"/>
      <c r="TDC120" s="1"/>
      <c r="TDD120" s="1"/>
      <c r="TDE120" s="1"/>
      <c r="TDF120" s="1"/>
      <c r="TDG120" s="1"/>
      <c r="TDH120" s="1"/>
      <c r="TDI120" s="1"/>
      <c r="TDJ120" s="1"/>
      <c r="TDK120" s="1"/>
      <c r="TDL120" s="1"/>
      <c r="TDM120" s="1"/>
      <c r="TDN120" s="1"/>
      <c r="TDO120" s="1"/>
      <c r="TDP120" s="1"/>
      <c r="TDQ120" s="1"/>
      <c r="TDR120" s="1"/>
      <c r="TDS120" s="1"/>
      <c r="TDT120" s="1"/>
      <c r="TDU120" s="1"/>
      <c r="TDV120" s="1"/>
      <c r="TDW120" s="1"/>
      <c r="TDX120" s="1"/>
      <c r="TDY120" s="1"/>
      <c r="TDZ120" s="1"/>
      <c r="TEA120" s="1"/>
      <c r="TEB120" s="1"/>
      <c r="TEC120" s="1"/>
      <c r="TED120" s="1"/>
      <c r="TEE120" s="1"/>
      <c r="TEF120" s="1"/>
      <c r="TEG120" s="1"/>
      <c r="TEH120" s="1"/>
      <c r="TEI120" s="1"/>
      <c r="TEJ120" s="1"/>
      <c r="TEK120" s="1"/>
      <c r="TEL120" s="1"/>
      <c r="TEM120" s="1"/>
      <c r="TEN120" s="1"/>
      <c r="TEO120" s="1"/>
      <c r="TEP120" s="1"/>
      <c r="TEQ120" s="1"/>
      <c r="TER120" s="1"/>
      <c r="TES120" s="1"/>
      <c r="TET120" s="1"/>
      <c r="TEU120" s="1"/>
      <c r="TEV120" s="1"/>
      <c r="TEW120" s="1"/>
      <c r="TEX120" s="1"/>
      <c r="TEY120" s="1"/>
      <c r="TEZ120" s="1"/>
      <c r="TFA120" s="1"/>
      <c r="TFB120" s="1"/>
      <c r="TFC120" s="1"/>
      <c r="TFD120" s="1"/>
      <c r="TFE120" s="1"/>
      <c r="TFF120" s="1"/>
      <c r="TFG120" s="1"/>
      <c r="TFH120" s="1"/>
      <c r="TFI120" s="1"/>
      <c r="TFJ120" s="1"/>
      <c r="TFK120" s="1"/>
      <c r="TFL120" s="1"/>
      <c r="TFM120" s="1"/>
      <c r="TFN120" s="1"/>
      <c r="TFO120" s="1"/>
      <c r="TFP120" s="1"/>
      <c r="TFQ120" s="1"/>
      <c r="TFR120" s="1"/>
      <c r="TFS120" s="1"/>
      <c r="TFT120" s="1"/>
      <c r="TFU120" s="1"/>
      <c r="TFV120" s="1"/>
      <c r="TFW120" s="1"/>
      <c r="TFX120" s="1"/>
      <c r="TFY120" s="1"/>
      <c r="TFZ120" s="1"/>
      <c r="TGA120" s="1"/>
      <c r="TGB120" s="1"/>
      <c r="TGC120" s="1"/>
      <c r="TGD120" s="1"/>
      <c r="TGE120" s="1"/>
      <c r="TGF120" s="1"/>
      <c r="TGG120" s="1"/>
      <c r="TGH120" s="1"/>
      <c r="TGI120" s="1"/>
      <c r="TGJ120" s="1"/>
      <c r="TGK120" s="1"/>
      <c r="TGL120" s="1"/>
      <c r="TGM120" s="1"/>
      <c r="TGN120" s="1"/>
      <c r="TGO120" s="1"/>
      <c r="TGP120" s="1"/>
      <c r="TGQ120" s="1"/>
      <c r="TGR120" s="1"/>
      <c r="TGS120" s="1"/>
      <c r="TGT120" s="1"/>
      <c r="TGU120" s="1"/>
      <c r="TGV120" s="1"/>
      <c r="TGW120" s="1"/>
      <c r="TGX120" s="1"/>
      <c r="TGY120" s="1"/>
      <c r="TGZ120" s="1"/>
      <c r="THA120" s="1"/>
      <c r="THB120" s="1"/>
      <c r="THC120" s="1"/>
      <c r="THD120" s="1"/>
      <c r="THE120" s="1"/>
      <c r="THF120" s="1"/>
      <c r="THG120" s="1"/>
      <c r="THH120" s="1"/>
      <c r="THI120" s="1"/>
      <c r="THJ120" s="1"/>
      <c r="THK120" s="1"/>
      <c r="THL120" s="1"/>
      <c r="THM120" s="1"/>
      <c r="THN120" s="1"/>
      <c r="THO120" s="1"/>
      <c r="THP120" s="1"/>
      <c r="THQ120" s="1"/>
      <c r="THR120" s="1"/>
      <c r="THS120" s="1"/>
      <c r="THT120" s="1"/>
      <c r="THU120" s="1"/>
      <c r="THV120" s="1"/>
      <c r="THW120" s="1"/>
      <c r="THX120" s="1"/>
      <c r="THY120" s="1"/>
      <c r="THZ120" s="1"/>
      <c r="TIA120" s="1"/>
      <c r="TIB120" s="1"/>
      <c r="TIC120" s="1"/>
      <c r="TID120" s="1"/>
      <c r="TIE120" s="1"/>
      <c r="TIF120" s="1"/>
      <c r="TIG120" s="1"/>
      <c r="TIH120" s="1"/>
      <c r="TII120" s="1"/>
      <c r="TIJ120" s="1"/>
      <c r="TIK120" s="1"/>
      <c r="TIL120" s="1"/>
      <c r="TIM120" s="1"/>
      <c r="TIN120" s="1"/>
      <c r="TIO120" s="1"/>
      <c r="TIP120" s="1"/>
      <c r="TIQ120" s="1"/>
      <c r="TIR120" s="1"/>
      <c r="TIS120" s="1"/>
      <c r="TIT120" s="1"/>
      <c r="TIU120" s="1"/>
      <c r="TIV120" s="1"/>
      <c r="TIW120" s="1"/>
      <c r="TIX120" s="1"/>
      <c r="TIY120" s="1"/>
      <c r="TIZ120" s="1"/>
      <c r="TJA120" s="1"/>
      <c r="TJB120" s="1"/>
      <c r="TJC120" s="1"/>
      <c r="TJD120" s="1"/>
      <c r="TJE120" s="1"/>
      <c r="TJF120" s="1"/>
      <c r="TJG120" s="1"/>
      <c r="TJH120" s="1"/>
      <c r="TJI120" s="1"/>
      <c r="TJJ120" s="1"/>
      <c r="TJK120" s="1"/>
      <c r="TJL120" s="1"/>
      <c r="TJM120" s="1"/>
      <c r="TJN120" s="1"/>
      <c r="TJO120" s="1"/>
      <c r="TJP120" s="1"/>
      <c r="TJQ120" s="1"/>
      <c r="TJR120" s="1"/>
      <c r="TJS120" s="1"/>
      <c r="TJT120" s="1"/>
      <c r="TJU120" s="1"/>
      <c r="TJV120" s="1"/>
      <c r="TJW120" s="1"/>
      <c r="TJX120" s="1"/>
      <c r="TJY120" s="1"/>
      <c r="TJZ120" s="1"/>
      <c r="TKA120" s="1"/>
      <c r="TKB120" s="1"/>
      <c r="TKC120" s="1"/>
      <c r="TKD120" s="1"/>
      <c r="TKE120" s="1"/>
      <c r="TKF120" s="1"/>
      <c r="TKG120" s="1"/>
      <c r="TKH120" s="1"/>
      <c r="TKI120" s="1"/>
      <c r="TKJ120" s="1"/>
      <c r="TKK120" s="1"/>
      <c r="TKL120" s="1"/>
      <c r="TKM120" s="1"/>
      <c r="TKN120" s="1"/>
      <c r="TKO120" s="1"/>
      <c r="TKP120" s="1"/>
      <c r="TKQ120" s="1"/>
      <c r="TKR120" s="1"/>
      <c r="TKS120" s="1"/>
      <c r="TKT120" s="1"/>
      <c r="TKU120" s="1"/>
      <c r="TKV120" s="1"/>
      <c r="TKW120" s="1"/>
      <c r="TKX120" s="1"/>
      <c r="TKY120" s="1"/>
      <c r="TKZ120" s="1"/>
      <c r="TLA120" s="1"/>
      <c r="TLB120" s="1"/>
      <c r="TLC120" s="1"/>
      <c r="TLD120" s="1"/>
      <c r="TLE120" s="1"/>
      <c r="TLF120" s="1"/>
      <c r="TLG120" s="1"/>
      <c r="TLH120" s="1"/>
      <c r="TLI120" s="1"/>
      <c r="TLJ120" s="1"/>
      <c r="TLK120" s="1"/>
      <c r="TLL120" s="1"/>
      <c r="TLM120" s="1"/>
      <c r="TLN120" s="1"/>
      <c r="TLO120" s="1"/>
      <c r="TLP120" s="1"/>
      <c r="TLQ120" s="1"/>
      <c r="TLR120" s="1"/>
      <c r="TLS120" s="1"/>
      <c r="TLT120" s="1"/>
      <c r="TLU120" s="1"/>
      <c r="TLV120" s="1"/>
      <c r="TLW120" s="1"/>
      <c r="TLX120" s="1"/>
      <c r="TLY120" s="1"/>
      <c r="TLZ120" s="1"/>
      <c r="TMA120" s="1"/>
      <c r="TMB120" s="1"/>
      <c r="TMC120" s="1"/>
      <c r="TMD120" s="1"/>
      <c r="TME120" s="1"/>
      <c r="TMF120" s="1"/>
      <c r="TMG120" s="1"/>
      <c r="TMH120" s="1"/>
      <c r="TMI120" s="1"/>
      <c r="TMJ120" s="1"/>
      <c r="TMK120" s="1"/>
      <c r="TML120" s="1"/>
      <c r="TMM120" s="1"/>
      <c r="TMN120" s="1"/>
      <c r="TMO120" s="1"/>
      <c r="TMP120" s="1"/>
      <c r="TMQ120" s="1"/>
      <c r="TMR120" s="1"/>
      <c r="TMS120" s="1"/>
      <c r="TMT120" s="1"/>
      <c r="TMU120" s="1"/>
      <c r="TMV120" s="1"/>
      <c r="TMW120" s="1"/>
      <c r="TMX120" s="1"/>
      <c r="TMY120" s="1"/>
      <c r="TMZ120" s="1"/>
      <c r="TNA120" s="1"/>
      <c r="TNB120" s="1"/>
      <c r="TNC120" s="1"/>
      <c r="TND120" s="1"/>
      <c r="TNE120" s="1"/>
      <c r="TNF120" s="1"/>
      <c r="TNG120" s="1"/>
      <c r="TNH120" s="1"/>
      <c r="TNI120" s="1"/>
      <c r="TNJ120" s="1"/>
      <c r="TNK120" s="1"/>
      <c r="TNL120" s="1"/>
      <c r="TNM120" s="1"/>
      <c r="TNN120" s="1"/>
      <c r="TNO120" s="1"/>
      <c r="TNP120" s="1"/>
      <c r="TNQ120" s="1"/>
      <c r="TNR120" s="1"/>
      <c r="TNS120" s="1"/>
      <c r="TNT120" s="1"/>
      <c r="TNU120" s="1"/>
      <c r="TNV120" s="1"/>
      <c r="TNW120" s="1"/>
      <c r="TNX120" s="1"/>
      <c r="TNY120" s="1"/>
      <c r="TNZ120" s="1"/>
      <c r="TOA120" s="1"/>
      <c r="TOB120" s="1"/>
      <c r="TOC120" s="1"/>
      <c r="TOD120" s="1"/>
      <c r="TOE120" s="1"/>
      <c r="TOF120" s="1"/>
      <c r="TOG120" s="1"/>
      <c r="TOH120" s="1"/>
      <c r="TOI120" s="1"/>
      <c r="TOJ120" s="1"/>
      <c r="TOK120" s="1"/>
      <c r="TOL120" s="1"/>
      <c r="TOM120" s="1"/>
      <c r="TON120" s="1"/>
      <c r="TOO120" s="1"/>
      <c r="TOP120" s="1"/>
      <c r="TOQ120" s="1"/>
      <c r="TOR120" s="1"/>
      <c r="TOS120" s="1"/>
      <c r="TOT120" s="1"/>
      <c r="TOU120" s="1"/>
      <c r="TOV120" s="1"/>
      <c r="TOW120" s="1"/>
      <c r="TOX120" s="1"/>
      <c r="TOY120" s="1"/>
      <c r="TOZ120" s="1"/>
      <c r="TPA120" s="1"/>
      <c r="TPB120" s="1"/>
      <c r="TPC120" s="1"/>
      <c r="TPD120" s="1"/>
      <c r="TPE120" s="1"/>
      <c r="TPF120" s="1"/>
      <c r="TPG120" s="1"/>
      <c r="TPH120" s="1"/>
      <c r="TPI120" s="1"/>
      <c r="TPJ120" s="1"/>
      <c r="TPK120" s="1"/>
      <c r="TPL120" s="1"/>
      <c r="TPM120" s="1"/>
      <c r="TPN120" s="1"/>
      <c r="TPO120" s="1"/>
      <c r="TPP120" s="1"/>
      <c r="TPQ120" s="1"/>
      <c r="TPR120" s="1"/>
      <c r="TPS120" s="1"/>
      <c r="TPT120" s="1"/>
      <c r="TPU120" s="1"/>
      <c r="TPV120" s="1"/>
      <c r="TPW120" s="1"/>
      <c r="TPX120" s="1"/>
      <c r="TPY120" s="1"/>
      <c r="TPZ120" s="1"/>
      <c r="TQA120" s="1"/>
      <c r="TQB120" s="1"/>
      <c r="TQC120" s="1"/>
      <c r="TQD120" s="1"/>
      <c r="TQE120" s="1"/>
      <c r="TQF120" s="1"/>
      <c r="TQG120" s="1"/>
      <c r="TQH120" s="1"/>
      <c r="TQI120" s="1"/>
      <c r="TQJ120" s="1"/>
      <c r="TQK120" s="1"/>
      <c r="TQL120" s="1"/>
      <c r="TQM120" s="1"/>
      <c r="TQN120" s="1"/>
      <c r="TQO120" s="1"/>
      <c r="TQP120" s="1"/>
      <c r="TQQ120" s="1"/>
      <c r="TQR120" s="1"/>
      <c r="TQS120" s="1"/>
      <c r="TQT120" s="1"/>
      <c r="TQU120" s="1"/>
      <c r="TQV120" s="1"/>
      <c r="TQW120" s="1"/>
      <c r="TQX120" s="1"/>
      <c r="TQY120" s="1"/>
      <c r="TQZ120" s="1"/>
      <c r="TRA120" s="1"/>
      <c r="TRB120" s="1"/>
      <c r="TRC120" s="1"/>
      <c r="TRD120" s="1"/>
      <c r="TRE120" s="1"/>
      <c r="TRF120" s="1"/>
      <c r="TRG120" s="1"/>
      <c r="TRH120" s="1"/>
      <c r="TRI120" s="1"/>
      <c r="TRJ120" s="1"/>
      <c r="TRK120" s="1"/>
      <c r="TRL120" s="1"/>
      <c r="TRM120" s="1"/>
      <c r="TRN120" s="1"/>
      <c r="TRO120" s="1"/>
      <c r="TRP120" s="1"/>
      <c r="TRQ120" s="1"/>
      <c r="TRR120" s="1"/>
      <c r="TRS120" s="1"/>
      <c r="TRT120" s="1"/>
      <c r="TRU120" s="1"/>
      <c r="TRV120" s="1"/>
      <c r="TRW120" s="1"/>
      <c r="TRX120" s="1"/>
      <c r="TRY120" s="1"/>
      <c r="TRZ120" s="1"/>
      <c r="TSA120" s="1"/>
      <c r="TSB120" s="1"/>
      <c r="TSC120" s="1"/>
      <c r="TSD120" s="1"/>
      <c r="TSE120" s="1"/>
      <c r="TSF120" s="1"/>
      <c r="TSG120" s="1"/>
      <c r="TSH120" s="1"/>
      <c r="TSI120" s="1"/>
      <c r="TSJ120" s="1"/>
      <c r="TSK120" s="1"/>
      <c r="TSL120" s="1"/>
      <c r="TSM120" s="1"/>
      <c r="TSN120" s="1"/>
      <c r="TSO120" s="1"/>
      <c r="TSP120" s="1"/>
      <c r="TSQ120" s="1"/>
      <c r="TSR120" s="1"/>
      <c r="TSS120" s="1"/>
      <c r="TST120" s="1"/>
      <c r="TSU120" s="1"/>
      <c r="TSV120" s="1"/>
      <c r="TSW120" s="1"/>
      <c r="TSX120" s="1"/>
      <c r="TSY120" s="1"/>
      <c r="TSZ120" s="1"/>
      <c r="TTA120" s="1"/>
      <c r="TTB120" s="1"/>
      <c r="TTC120" s="1"/>
      <c r="TTD120" s="1"/>
      <c r="TTE120" s="1"/>
      <c r="TTF120" s="1"/>
      <c r="TTG120" s="1"/>
      <c r="TTH120" s="1"/>
      <c r="TTI120" s="1"/>
      <c r="TTJ120" s="1"/>
      <c r="TTK120" s="1"/>
      <c r="TTL120" s="1"/>
      <c r="TTM120" s="1"/>
      <c r="TTN120" s="1"/>
      <c r="TTO120" s="1"/>
      <c r="TTP120" s="1"/>
      <c r="TTQ120" s="1"/>
      <c r="TTR120" s="1"/>
      <c r="TTS120" s="1"/>
      <c r="TTT120" s="1"/>
      <c r="TTU120" s="1"/>
      <c r="TTV120" s="1"/>
      <c r="TTW120" s="1"/>
      <c r="TTX120" s="1"/>
      <c r="TTY120" s="1"/>
      <c r="TTZ120" s="1"/>
      <c r="TUA120" s="1"/>
      <c r="TUB120" s="1"/>
      <c r="TUC120" s="1"/>
      <c r="TUD120" s="1"/>
      <c r="TUE120" s="1"/>
      <c r="TUF120" s="1"/>
      <c r="TUG120" s="1"/>
      <c r="TUH120" s="1"/>
      <c r="TUI120" s="1"/>
      <c r="TUJ120" s="1"/>
      <c r="TUK120" s="1"/>
      <c r="TUL120" s="1"/>
      <c r="TUM120" s="1"/>
      <c r="TUN120" s="1"/>
      <c r="TUO120" s="1"/>
      <c r="TUP120" s="1"/>
      <c r="TUQ120" s="1"/>
      <c r="TUR120" s="1"/>
      <c r="TUS120" s="1"/>
      <c r="TUT120" s="1"/>
      <c r="TUU120" s="1"/>
      <c r="TUV120" s="1"/>
      <c r="TUW120" s="1"/>
      <c r="TUX120" s="1"/>
      <c r="TUY120" s="1"/>
      <c r="TUZ120" s="1"/>
      <c r="TVA120" s="1"/>
      <c r="TVB120" s="1"/>
      <c r="TVC120" s="1"/>
      <c r="TVD120" s="1"/>
      <c r="TVE120" s="1"/>
      <c r="TVF120" s="1"/>
      <c r="TVG120" s="1"/>
      <c r="TVH120" s="1"/>
      <c r="TVI120" s="1"/>
      <c r="TVJ120" s="1"/>
      <c r="TVK120" s="1"/>
      <c r="TVL120" s="1"/>
      <c r="TVM120" s="1"/>
      <c r="TVN120" s="1"/>
      <c r="TVO120" s="1"/>
      <c r="TVP120" s="1"/>
      <c r="TVQ120" s="1"/>
      <c r="TVR120" s="1"/>
      <c r="TVS120" s="1"/>
      <c r="TVT120" s="1"/>
      <c r="TVU120" s="1"/>
      <c r="TVV120" s="1"/>
      <c r="TVW120" s="1"/>
      <c r="TVX120" s="1"/>
      <c r="TVY120" s="1"/>
      <c r="TVZ120" s="1"/>
      <c r="TWA120" s="1"/>
      <c r="TWB120" s="1"/>
      <c r="TWC120" s="1"/>
      <c r="TWD120" s="1"/>
      <c r="TWE120" s="1"/>
      <c r="TWF120" s="1"/>
      <c r="TWG120" s="1"/>
      <c r="TWH120" s="1"/>
      <c r="TWI120" s="1"/>
      <c r="TWJ120" s="1"/>
      <c r="TWK120" s="1"/>
      <c r="TWL120" s="1"/>
      <c r="TWM120" s="1"/>
      <c r="TWN120" s="1"/>
      <c r="TWO120" s="1"/>
      <c r="TWP120" s="1"/>
      <c r="TWQ120" s="1"/>
      <c r="TWR120" s="1"/>
      <c r="TWS120" s="1"/>
      <c r="TWT120" s="1"/>
      <c r="TWU120" s="1"/>
      <c r="TWV120" s="1"/>
      <c r="TWW120" s="1"/>
      <c r="TWX120" s="1"/>
      <c r="TWY120" s="1"/>
      <c r="TWZ120" s="1"/>
      <c r="TXA120" s="1"/>
      <c r="TXB120" s="1"/>
      <c r="TXC120" s="1"/>
      <c r="TXD120" s="1"/>
      <c r="TXE120" s="1"/>
      <c r="TXF120" s="1"/>
      <c r="TXG120" s="1"/>
      <c r="TXH120" s="1"/>
      <c r="TXI120" s="1"/>
      <c r="TXJ120" s="1"/>
      <c r="TXK120" s="1"/>
      <c r="TXL120" s="1"/>
      <c r="TXM120" s="1"/>
      <c r="TXN120" s="1"/>
      <c r="TXO120" s="1"/>
      <c r="TXP120" s="1"/>
      <c r="TXQ120" s="1"/>
      <c r="TXR120" s="1"/>
      <c r="TXS120" s="1"/>
      <c r="TXT120" s="1"/>
      <c r="TXU120" s="1"/>
      <c r="TXV120" s="1"/>
      <c r="TXW120" s="1"/>
      <c r="TXX120" s="1"/>
      <c r="TXY120" s="1"/>
      <c r="TXZ120" s="1"/>
      <c r="TYA120" s="1"/>
      <c r="TYB120" s="1"/>
      <c r="TYC120" s="1"/>
      <c r="TYD120" s="1"/>
      <c r="TYE120" s="1"/>
      <c r="TYF120" s="1"/>
      <c r="TYG120" s="1"/>
      <c r="TYH120" s="1"/>
      <c r="TYI120" s="1"/>
      <c r="TYJ120" s="1"/>
      <c r="TYK120" s="1"/>
      <c r="TYL120" s="1"/>
      <c r="TYM120" s="1"/>
      <c r="TYN120" s="1"/>
      <c r="TYO120" s="1"/>
      <c r="TYP120" s="1"/>
      <c r="TYQ120" s="1"/>
      <c r="TYR120" s="1"/>
      <c r="TYS120" s="1"/>
      <c r="TYT120" s="1"/>
      <c r="TYU120" s="1"/>
      <c r="TYV120" s="1"/>
      <c r="TYW120" s="1"/>
      <c r="TYX120" s="1"/>
      <c r="TYY120" s="1"/>
      <c r="TYZ120" s="1"/>
      <c r="TZA120" s="1"/>
      <c r="TZB120" s="1"/>
      <c r="TZC120" s="1"/>
      <c r="TZD120" s="1"/>
      <c r="TZE120" s="1"/>
      <c r="TZF120" s="1"/>
      <c r="TZG120" s="1"/>
      <c r="TZH120" s="1"/>
      <c r="TZI120" s="1"/>
      <c r="TZJ120" s="1"/>
      <c r="TZK120" s="1"/>
      <c r="TZL120" s="1"/>
      <c r="TZM120" s="1"/>
      <c r="TZN120" s="1"/>
      <c r="TZO120" s="1"/>
      <c r="TZP120" s="1"/>
      <c r="TZQ120" s="1"/>
      <c r="TZR120" s="1"/>
      <c r="TZS120" s="1"/>
      <c r="TZT120" s="1"/>
      <c r="TZU120" s="1"/>
      <c r="TZV120" s="1"/>
      <c r="TZW120" s="1"/>
      <c r="TZX120" s="1"/>
      <c r="TZY120" s="1"/>
      <c r="TZZ120" s="1"/>
      <c r="UAA120" s="1"/>
      <c r="UAB120" s="1"/>
      <c r="UAC120" s="1"/>
      <c r="UAD120" s="1"/>
      <c r="UAE120" s="1"/>
      <c r="UAF120" s="1"/>
      <c r="UAG120" s="1"/>
      <c r="UAH120" s="1"/>
      <c r="UAI120" s="1"/>
      <c r="UAJ120" s="1"/>
      <c r="UAK120" s="1"/>
      <c r="UAL120" s="1"/>
      <c r="UAM120" s="1"/>
      <c r="UAN120" s="1"/>
      <c r="UAO120" s="1"/>
      <c r="UAP120" s="1"/>
      <c r="UAQ120" s="1"/>
      <c r="UAR120" s="1"/>
      <c r="UAS120" s="1"/>
      <c r="UAT120" s="1"/>
      <c r="UAU120" s="1"/>
      <c r="UAV120" s="1"/>
      <c r="UAW120" s="1"/>
      <c r="UAX120" s="1"/>
      <c r="UAY120" s="1"/>
      <c r="UAZ120" s="1"/>
      <c r="UBA120" s="1"/>
      <c r="UBB120" s="1"/>
      <c r="UBC120" s="1"/>
      <c r="UBD120" s="1"/>
      <c r="UBE120" s="1"/>
      <c r="UBF120" s="1"/>
      <c r="UBG120" s="1"/>
      <c r="UBH120" s="1"/>
      <c r="UBI120" s="1"/>
      <c r="UBJ120" s="1"/>
      <c r="UBK120" s="1"/>
      <c r="UBL120" s="1"/>
      <c r="UBM120" s="1"/>
      <c r="UBN120" s="1"/>
      <c r="UBO120" s="1"/>
      <c r="UBP120" s="1"/>
      <c r="UBQ120" s="1"/>
      <c r="UBR120" s="1"/>
      <c r="UBS120" s="1"/>
      <c r="UBT120" s="1"/>
      <c r="UBU120" s="1"/>
      <c r="UBV120" s="1"/>
      <c r="UBW120" s="1"/>
      <c r="UBX120" s="1"/>
      <c r="UBY120" s="1"/>
      <c r="UBZ120" s="1"/>
      <c r="UCA120" s="1"/>
      <c r="UCB120" s="1"/>
      <c r="UCC120" s="1"/>
      <c r="UCD120" s="1"/>
      <c r="UCE120" s="1"/>
      <c r="UCF120" s="1"/>
      <c r="UCG120" s="1"/>
      <c r="UCH120" s="1"/>
      <c r="UCI120" s="1"/>
      <c r="UCJ120" s="1"/>
      <c r="UCK120" s="1"/>
      <c r="UCL120" s="1"/>
      <c r="UCM120" s="1"/>
      <c r="UCN120" s="1"/>
      <c r="UCO120" s="1"/>
      <c r="UCP120" s="1"/>
      <c r="UCQ120" s="1"/>
      <c r="UCR120" s="1"/>
      <c r="UCS120" s="1"/>
      <c r="UCT120" s="1"/>
      <c r="UCU120" s="1"/>
      <c r="UCV120" s="1"/>
      <c r="UCW120" s="1"/>
      <c r="UCX120" s="1"/>
      <c r="UCY120" s="1"/>
      <c r="UCZ120" s="1"/>
      <c r="UDA120" s="1"/>
      <c r="UDB120" s="1"/>
      <c r="UDC120" s="1"/>
      <c r="UDD120" s="1"/>
      <c r="UDE120" s="1"/>
      <c r="UDF120" s="1"/>
      <c r="UDG120" s="1"/>
      <c r="UDH120" s="1"/>
      <c r="UDI120" s="1"/>
      <c r="UDJ120" s="1"/>
      <c r="UDK120" s="1"/>
      <c r="UDL120" s="1"/>
      <c r="UDM120" s="1"/>
      <c r="UDN120" s="1"/>
      <c r="UDO120" s="1"/>
      <c r="UDP120" s="1"/>
      <c r="UDQ120" s="1"/>
      <c r="UDR120" s="1"/>
      <c r="UDS120" s="1"/>
      <c r="UDT120" s="1"/>
      <c r="UDU120" s="1"/>
      <c r="UDV120" s="1"/>
      <c r="UDW120" s="1"/>
      <c r="UDX120" s="1"/>
      <c r="UDY120" s="1"/>
      <c r="UDZ120" s="1"/>
      <c r="UEA120" s="1"/>
      <c r="UEB120" s="1"/>
      <c r="UEC120" s="1"/>
      <c r="UED120" s="1"/>
      <c r="UEE120" s="1"/>
      <c r="UEF120" s="1"/>
      <c r="UEG120" s="1"/>
      <c r="UEH120" s="1"/>
      <c r="UEI120" s="1"/>
      <c r="UEJ120" s="1"/>
      <c r="UEK120" s="1"/>
      <c r="UEL120" s="1"/>
      <c r="UEM120" s="1"/>
      <c r="UEN120" s="1"/>
      <c r="UEO120" s="1"/>
      <c r="UEP120" s="1"/>
      <c r="UEQ120" s="1"/>
      <c r="UER120" s="1"/>
      <c r="UES120" s="1"/>
      <c r="UET120" s="1"/>
      <c r="UEU120" s="1"/>
      <c r="UEV120" s="1"/>
      <c r="UEW120" s="1"/>
      <c r="UEX120" s="1"/>
      <c r="UEY120" s="1"/>
      <c r="UEZ120" s="1"/>
      <c r="UFA120" s="1"/>
      <c r="UFB120" s="1"/>
      <c r="UFC120" s="1"/>
      <c r="UFD120" s="1"/>
      <c r="UFE120" s="1"/>
      <c r="UFF120" s="1"/>
      <c r="UFG120" s="1"/>
      <c r="UFH120" s="1"/>
      <c r="UFI120" s="1"/>
      <c r="UFJ120" s="1"/>
      <c r="UFK120" s="1"/>
      <c r="UFL120" s="1"/>
      <c r="UFM120" s="1"/>
      <c r="UFN120" s="1"/>
      <c r="UFO120" s="1"/>
      <c r="UFP120" s="1"/>
      <c r="UFQ120" s="1"/>
      <c r="UFR120" s="1"/>
      <c r="UFS120" s="1"/>
      <c r="UFT120" s="1"/>
      <c r="UFU120" s="1"/>
      <c r="UFV120" s="1"/>
      <c r="UFW120" s="1"/>
      <c r="UFX120" s="1"/>
      <c r="UFY120" s="1"/>
      <c r="UFZ120" s="1"/>
      <c r="UGA120" s="1"/>
      <c r="UGB120" s="1"/>
      <c r="UGC120" s="1"/>
      <c r="UGD120" s="1"/>
      <c r="UGE120" s="1"/>
      <c r="UGF120" s="1"/>
      <c r="UGG120" s="1"/>
      <c r="UGH120" s="1"/>
      <c r="UGI120" s="1"/>
      <c r="UGJ120" s="1"/>
      <c r="UGK120" s="1"/>
      <c r="UGL120" s="1"/>
      <c r="UGM120" s="1"/>
      <c r="UGN120" s="1"/>
      <c r="UGO120" s="1"/>
      <c r="UGP120" s="1"/>
      <c r="UGQ120" s="1"/>
      <c r="UGR120" s="1"/>
      <c r="UGS120" s="1"/>
      <c r="UGT120" s="1"/>
      <c r="UGU120" s="1"/>
      <c r="UGV120" s="1"/>
      <c r="UGW120" s="1"/>
      <c r="UGX120" s="1"/>
      <c r="UGY120" s="1"/>
      <c r="UGZ120" s="1"/>
      <c r="UHA120" s="1"/>
      <c r="UHB120" s="1"/>
      <c r="UHC120" s="1"/>
      <c r="UHD120" s="1"/>
      <c r="UHE120" s="1"/>
      <c r="UHF120" s="1"/>
      <c r="UHG120" s="1"/>
      <c r="UHH120" s="1"/>
      <c r="UHI120" s="1"/>
      <c r="UHJ120" s="1"/>
      <c r="UHK120" s="1"/>
      <c r="UHL120" s="1"/>
      <c r="UHM120" s="1"/>
      <c r="UHN120" s="1"/>
      <c r="UHO120" s="1"/>
      <c r="UHP120" s="1"/>
      <c r="UHQ120" s="1"/>
      <c r="UHR120" s="1"/>
      <c r="UHS120" s="1"/>
      <c r="UHT120" s="1"/>
      <c r="UHU120" s="1"/>
      <c r="UHV120" s="1"/>
      <c r="UHW120" s="1"/>
      <c r="UHX120" s="1"/>
      <c r="UHY120" s="1"/>
      <c r="UHZ120" s="1"/>
      <c r="UIA120" s="1"/>
      <c r="UIB120" s="1"/>
      <c r="UIC120" s="1"/>
      <c r="UID120" s="1"/>
      <c r="UIE120" s="1"/>
      <c r="UIF120" s="1"/>
      <c r="UIG120" s="1"/>
      <c r="UIH120" s="1"/>
      <c r="UII120" s="1"/>
      <c r="UIJ120" s="1"/>
      <c r="UIK120" s="1"/>
      <c r="UIL120" s="1"/>
      <c r="UIM120" s="1"/>
      <c r="UIN120" s="1"/>
      <c r="UIO120" s="1"/>
      <c r="UIP120" s="1"/>
      <c r="UIQ120" s="1"/>
      <c r="UIR120" s="1"/>
      <c r="UIS120" s="1"/>
      <c r="UIT120" s="1"/>
      <c r="UIU120" s="1"/>
      <c r="UIV120" s="1"/>
      <c r="UIW120" s="1"/>
      <c r="UIX120" s="1"/>
      <c r="UIY120" s="1"/>
      <c r="UIZ120" s="1"/>
      <c r="UJA120" s="1"/>
      <c r="UJB120" s="1"/>
      <c r="UJC120" s="1"/>
      <c r="UJD120" s="1"/>
      <c r="UJE120" s="1"/>
      <c r="UJF120" s="1"/>
      <c r="UJG120" s="1"/>
      <c r="UJH120" s="1"/>
      <c r="UJI120" s="1"/>
      <c r="UJJ120" s="1"/>
      <c r="UJK120" s="1"/>
      <c r="UJL120" s="1"/>
      <c r="UJM120" s="1"/>
      <c r="UJN120" s="1"/>
      <c r="UJO120" s="1"/>
      <c r="UJP120" s="1"/>
      <c r="UJQ120" s="1"/>
      <c r="UJR120" s="1"/>
      <c r="UJS120" s="1"/>
      <c r="UJT120" s="1"/>
      <c r="UJU120" s="1"/>
      <c r="UJV120" s="1"/>
      <c r="UJW120" s="1"/>
      <c r="UJX120" s="1"/>
      <c r="UJY120" s="1"/>
      <c r="UJZ120" s="1"/>
      <c r="UKA120" s="1"/>
      <c r="UKB120" s="1"/>
      <c r="UKC120" s="1"/>
      <c r="UKD120" s="1"/>
      <c r="UKE120" s="1"/>
      <c r="UKF120" s="1"/>
      <c r="UKG120" s="1"/>
      <c r="UKH120" s="1"/>
      <c r="UKI120" s="1"/>
      <c r="UKJ120" s="1"/>
      <c r="UKK120" s="1"/>
      <c r="UKL120" s="1"/>
      <c r="UKM120" s="1"/>
      <c r="UKN120" s="1"/>
      <c r="UKO120" s="1"/>
      <c r="UKP120" s="1"/>
      <c r="UKQ120" s="1"/>
      <c r="UKR120" s="1"/>
      <c r="UKS120" s="1"/>
      <c r="UKT120" s="1"/>
      <c r="UKU120" s="1"/>
      <c r="UKV120" s="1"/>
      <c r="UKW120" s="1"/>
      <c r="UKX120" s="1"/>
      <c r="UKY120" s="1"/>
      <c r="UKZ120" s="1"/>
      <c r="ULA120" s="1"/>
      <c r="ULB120" s="1"/>
      <c r="ULC120" s="1"/>
      <c r="ULD120" s="1"/>
      <c r="ULE120" s="1"/>
      <c r="ULF120" s="1"/>
      <c r="ULG120" s="1"/>
      <c r="ULH120" s="1"/>
      <c r="ULI120" s="1"/>
      <c r="ULJ120" s="1"/>
      <c r="ULK120" s="1"/>
      <c r="ULL120" s="1"/>
      <c r="ULM120" s="1"/>
      <c r="ULN120" s="1"/>
      <c r="ULO120" s="1"/>
      <c r="ULP120" s="1"/>
      <c r="ULQ120" s="1"/>
      <c r="ULR120" s="1"/>
      <c r="ULS120" s="1"/>
      <c r="ULT120" s="1"/>
      <c r="ULU120" s="1"/>
      <c r="ULV120" s="1"/>
      <c r="ULW120" s="1"/>
      <c r="ULX120" s="1"/>
      <c r="ULY120" s="1"/>
      <c r="ULZ120" s="1"/>
      <c r="UMA120" s="1"/>
      <c r="UMB120" s="1"/>
      <c r="UMC120" s="1"/>
      <c r="UMD120" s="1"/>
      <c r="UME120" s="1"/>
      <c r="UMF120" s="1"/>
      <c r="UMG120" s="1"/>
      <c r="UMH120" s="1"/>
      <c r="UMI120" s="1"/>
      <c r="UMJ120" s="1"/>
      <c r="UMK120" s="1"/>
      <c r="UML120" s="1"/>
      <c r="UMM120" s="1"/>
      <c r="UMN120" s="1"/>
      <c r="UMO120" s="1"/>
      <c r="UMP120" s="1"/>
      <c r="UMQ120" s="1"/>
      <c r="UMR120" s="1"/>
      <c r="UMS120" s="1"/>
      <c r="UMT120" s="1"/>
      <c r="UMU120" s="1"/>
      <c r="UMV120" s="1"/>
      <c r="UMW120" s="1"/>
      <c r="UMX120" s="1"/>
      <c r="UMY120" s="1"/>
      <c r="UMZ120" s="1"/>
      <c r="UNA120" s="1"/>
      <c r="UNB120" s="1"/>
      <c r="UNC120" s="1"/>
      <c r="UND120" s="1"/>
      <c r="UNE120" s="1"/>
      <c r="UNF120" s="1"/>
      <c r="UNG120" s="1"/>
      <c r="UNH120" s="1"/>
      <c r="UNI120" s="1"/>
      <c r="UNJ120" s="1"/>
      <c r="UNK120" s="1"/>
      <c r="UNL120" s="1"/>
      <c r="UNM120" s="1"/>
      <c r="UNN120" s="1"/>
      <c r="UNO120" s="1"/>
      <c r="UNP120" s="1"/>
      <c r="UNQ120" s="1"/>
      <c r="UNR120" s="1"/>
      <c r="UNS120" s="1"/>
      <c r="UNT120" s="1"/>
      <c r="UNU120" s="1"/>
      <c r="UNV120" s="1"/>
      <c r="UNW120" s="1"/>
      <c r="UNX120" s="1"/>
      <c r="UNY120" s="1"/>
      <c r="UNZ120" s="1"/>
      <c r="UOA120" s="1"/>
      <c r="UOB120" s="1"/>
      <c r="UOC120" s="1"/>
      <c r="UOD120" s="1"/>
      <c r="UOE120" s="1"/>
      <c r="UOF120" s="1"/>
      <c r="UOG120" s="1"/>
      <c r="UOH120" s="1"/>
      <c r="UOI120" s="1"/>
      <c r="UOJ120" s="1"/>
      <c r="UOK120" s="1"/>
      <c r="UOL120" s="1"/>
      <c r="UOM120" s="1"/>
      <c r="UON120" s="1"/>
      <c r="UOO120" s="1"/>
      <c r="UOP120" s="1"/>
      <c r="UOQ120" s="1"/>
      <c r="UOR120" s="1"/>
      <c r="UOS120" s="1"/>
      <c r="UOT120" s="1"/>
      <c r="UOU120" s="1"/>
      <c r="UOV120" s="1"/>
      <c r="UOW120" s="1"/>
      <c r="UOX120" s="1"/>
      <c r="UOY120" s="1"/>
      <c r="UOZ120" s="1"/>
      <c r="UPA120" s="1"/>
      <c r="UPB120" s="1"/>
      <c r="UPC120" s="1"/>
      <c r="UPD120" s="1"/>
      <c r="UPE120" s="1"/>
      <c r="UPF120" s="1"/>
      <c r="UPG120" s="1"/>
      <c r="UPH120" s="1"/>
      <c r="UPI120" s="1"/>
      <c r="UPJ120" s="1"/>
      <c r="UPK120" s="1"/>
      <c r="UPL120" s="1"/>
      <c r="UPM120" s="1"/>
      <c r="UPN120" s="1"/>
      <c r="UPO120" s="1"/>
      <c r="UPP120" s="1"/>
      <c r="UPQ120" s="1"/>
      <c r="UPR120" s="1"/>
      <c r="UPS120" s="1"/>
      <c r="UPT120" s="1"/>
      <c r="UPU120" s="1"/>
      <c r="UPV120" s="1"/>
      <c r="UPW120" s="1"/>
      <c r="UPX120" s="1"/>
      <c r="UPY120" s="1"/>
      <c r="UPZ120" s="1"/>
      <c r="UQA120" s="1"/>
      <c r="UQB120" s="1"/>
      <c r="UQC120" s="1"/>
      <c r="UQD120" s="1"/>
      <c r="UQE120" s="1"/>
      <c r="UQF120" s="1"/>
      <c r="UQG120" s="1"/>
      <c r="UQH120" s="1"/>
      <c r="UQI120" s="1"/>
      <c r="UQJ120" s="1"/>
      <c r="UQK120" s="1"/>
      <c r="UQL120" s="1"/>
      <c r="UQM120" s="1"/>
      <c r="UQN120" s="1"/>
      <c r="UQO120" s="1"/>
      <c r="UQP120" s="1"/>
      <c r="UQQ120" s="1"/>
      <c r="UQR120" s="1"/>
      <c r="UQS120" s="1"/>
      <c r="UQT120" s="1"/>
      <c r="UQU120" s="1"/>
      <c r="UQV120" s="1"/>
      <c r="UQW120" s="1"/>
      <c r="UQX120" s="1"/>
      <c r="UQY120" s="1"/>
      <c r="UQZ120" s="1"/>
      <c r="URA120" s="1"/>
      <c r="URB120" s="1"/>
      <c r="URC120" s="1"/>
      <c r="URD120" s="1"/>
      <c r="URE120" s="1"/>
      <c r="URF120" s="1"/>
      <c r="URG120" s="1"/>
      <c r="URH120" s="1"/>
      <c r="URI120" s="1"/>
      <c r="URJ120" s="1"/>
      <c r="URK120" s="1"/>
      <c r="URL120" s="1"/>
      <c r="URM120" s="1"/>
      <c r="URN120" s="1"/>
      <c r="URO120" s="1"/>
      <c r="URP120" s="1"/>
      <c r="URQ120" s="1"/>
      <c r="URR120" s="1"/>
      <c r="URS120" s="1"/>
      <c r="URT120" s="1"/>
      <c r="URU120" s="1"/>
      <c r="URV120" s="1"/>
      <c r="URW120" s="1"/>
      <c r="URX120" s="1"/>
      <c r="URY120" s="1"/>
      <c r="URZ120" s="1"/>
      <c r="USA120" s="1"/>
      <c r="USB120" s="1"/>
      <c r="USC120" s="1"/>
      <c r="USD120" s="1"/>
      <c r="USE120" s="1"/>
      <c r="USF120" s="1"/>
      <c r="USG120" s="1"/>
      <c r="USH120" s="1"/>
      <c r="USI120" s="1"/>
      <c r="USJ120" s="1"/>
      <c r="USK120" s="1"/>
      <c r="USL120" s="1"/>
      <c r="USM120" s="1"/>
      <c r="USN120" s="1"/>
      <c r="USO120" s="1"/>
      <c r="USP120" s="1"/>
      <c r="USQ120" s="1"/>
      <c r="USR120" s="1"/>
      <c r="USS120" s="1"/>
      <c r="UST120" s="1"/>
      <c r="USU120" s="1"/>
      <c r="USV120" s="1"/>
      <c r="USW120" s="1"/>
      <c r="USX120" s="1"/>
      <c r="USY120" s="1"/>
      <c r="USZ120" s="1"/>
      <c r="UTA120" s="1"/>
      <c r="UTB120" s="1"/>
      <c r="UTC120" s="1"/>
      <c r="UTD120" s="1"/>
      <c r="UTE120" s="1"/>
      <c r="UTF120" s="1"/>
      <c r="UTG120" s="1"/>
      <c r="UTH120" s="1"/>
      <c r="UTI120" s="1"/>
      <c r="UTJ120" s="1"/>
      <c r="UTK120" s="1"/>
      <c r="UTL120" s="1"/>
      <c r="UTM120" s="1"/>
      <c r="UTN120" s="1"/>
      <c r="UTO120" s="1"/>
      <c r="UTP120" s="1"/>
      <c r="UTQ120" s="1"/>
      <c r="UTR120" s="1"/>
      <c r="UTS120" s="1"/>
      <c r="UTT120" s="1"/>
      <c r="UTU120" s="1"/>
      <c r="UTV120" s="1"/>
      <c r="UTW120" s="1"/>
      <c r="UTX120" s="1"/>
      <c r="UTY120" s="1"/>
      <c r="UTZ120" s="1"/>
      <c r="UUA120" s="1"/>
      <c r="UUB120" s="1"/>
      <c r="UUC120" s="1"/>
      <c r="UUD120" s="1"/>
      <c r="UUE120" s="1"/>
      <c r="UUF120" s="1"/>
      <c r="UUG120" s="1"/>
      <c r="UUH120" s="1"/>
      <c r="UUI120" s="1"/>
      <c r="UUJ120" s="1"/>
      <c r="UUK120" s="1"/>
      <c r="UUL120" s="1"/>
      <c r="UUM120" s="1"/>
      <c r="UUN120" s="1"/>
      <c r="UUO120" s="1"/>
      <c r="UUP120" s="1"/>
      <c r="UUQ120" s="1"/>
      <c r="UUR120" s="1"/>
      <c r="UUS120" s="1"/>
      <c r="UUT120" s="1"/>
      <c r="UUU120" s="1"/>
      <c r="UUV120" s="1"/>
      <c r="UUW120" s="1"/>
      <c r="UUX120" s="1"/>
      <c r="UUY120" s="1"/>
      <c r="UUZ120" s="1"/>
      <c r="UVA120" s="1"/>
      <c r="UVB120" s="1"/>
      <c r="UVC120" s="1"/>
      <c r="UVD120" s="1"/>
      <c r="UVE120" s="1"/>
      <c r="UVF120" s="1"/>
      <c r="UVG120" s="1"/>
      <c r="UVH120" s="1"/>
      <c r="UVI120" s="1"/>
      <c r="UVJ120" s="1"/>
      <c r="UVK120" s="1"/>
      <c r="UVL120" s="1"/>
      <c r="UVM120" s="1"/>
      <c r="UVN120" s="1"/>
      <c r="UVO120" s="1"/>
      <c r="UVP120" s="1"/>
      <c r="UVQ120" s="1"/>
      <c r="UVR120" s="1"/>
      <c r="UVS120" s="1"/>
      <c r="UVT120" s="1"/>
      <c r="UVU120" s="1"/>
      <c r="UVV120" s="1"/>
      <c r="UVW120" s="1"/>
      <c r="UVX120" s="1"/>
      <c r="UVY120" s="1"/>
      <c r="UVZ120" s="1"/>
      <c r="UWA120" s="1"/>
      <c r="UWB120" s="1"/>
      <c r="UWC120" s="1"/>
      <c r="UWD120" s="1"/>
      <c r="UWE120" s="1"/>
      <c r="UWF120" s="1"/>
      <c r="UWG120" s="1"/>
      <c r="UWH120" s="1"/>
      <c r="UWI120" s="1"/>
      <c r="UWJ120" s="1"/>
      <c r="UWK120" s="1"/>
      <c r="UWL120" s="1"/>
      <c r="UWM120" s="1"/>
      <c r="UWN120" s="1"/>
      <c r="UWO120" s="1"/>
      <c r="UWP120" s="1"/>
      <c r="UWQ120" s="1"/>
      <c r="UWR120" s="1"/>
      <c r="UWS120" s="1"/>
      <c r="UWT120" s="1"/>
      <c r="UWU120" s="1"/>
      <c r="UWV120" s="1"/>
      <c r="UWW120" s="1"/>
      <c r="UWX120" s="1"/>
      <c r="UWY120" s="1"/>
      <c r="UWZ120" s="1"/>
      <c r="UXA120" s="1"/>
      <c r="UXB120" s="1"/>
      <c r="UXC120" s="1"/>
      <c r="UXD120" s="1"/>
      <c r="UXE120" s="1"/>
      <c r="UXF120" s="1"/>
      <c r="UXG120" s="1"/>
      <c r="UXH120" s="1"/>
      <c r="UXI120" s="1"/>
      <c r="UXJ120" s="1"/>
      <c r="UXK120" s="1"/>
      <c r="UXL120" s="1"/>
      <c r="UXM120" s="1"/>
      <c r="UXN120" s="1"/>
      <c r="UXO120" s="1"/>
      <c r="UXP120" s="1"/>
      <c r="UXQ120" s="1"/>
      <c r="UXR120" s="1"/>
      <c r="UXS120" s="1"/>
      <c r="UXT120" s="1"/>
      <c r="UXU120" s="1"/>
      <c r="UXV120" s="1"/>
      <c r="UXW120" s="1"/>
      <c r="UXX120" s="1"/>
      <c r="UXY120" s="1"/>
      <c r="UXZ120" s="1"/>
      <c r="UYA120" s="1"/>
      <c r="UYB120" s="1"/>
      <c r="UYC120" s="1"/>
      <c r="UYD120" s="1"/>
      <c r="UYE120" s="1"/>
      <c r="UYF120" s="1"/>
      <c r="UYG120" s="1"/>
      <c r="UYH120" s="1"/>
      <c r="UYI120" s="1"/>
      <c r="UYJ120" s="1"/>
      <c r="UYK120" s="1"/>
      <c r="UYL120" s="1"/>
      <c r="UYM120" s="1"/>
      <c r="UYN120" s="1"/>
      <c r="UYO120" s="1"/>
      <c r="UYP120" s="1"/>
      <c r="UYQ120" s="1"/>
      <c r="UYR120" s="1"/>
      <c r="UYS120" s="1"/>
      <c r="UYT120" s="1"/>
      <c r="UYU120" s="1"/>
      <c r="UYV120" s="1"/>
      <c r="UYW120" s="1"/>
      <c r="UYX120" s="1"/>
      <c r="UYY120" s="1"/>
      <c r="UYZ120" s="1"/>
      <c r="UZA120" s="1"/>
      <c r="UZB120" s="1"/>
      <c r="UZC120" s="1"/>
      <c r="UZD120" s="1"/>
      <c r="UZE120" s="1"/>
      <c r="UZF120" s="1"/>
      <c r="UZG120" s="1"/>
      <c r="UZH120" s="1"/>
      <c r="UZI120" s="1"/>
      <c r="UZJ120" s="1"/>
      <c r="UZK120" s="1"/>
      <c r="UZL120" s="1"/>
      <c r="UZM120" s="1"/>
      <c r="UZN120" s="1"/>
      <c r="UZO120" s="1"/>
      <c r="UZP120" s="1"/>
      <c r="UZQ120" s="1"/>
      <c r="UZR120" s="1"/>
      <c r="UZS120" s="1"/>
      <c r="UZT120" s="1"/>
      <c r="UZU120" s="1"/>
      <c r="UZV120" s="1"/>
      <c r="UZW120" s="1"/>
      <c r="UZX120" s="1"/>
      <c r="UZY120" s="1"/>
      <c r="UZZ120" s="1"/>
      <c r="VAA120" s="1"/>
      <c r="VAB120" s="1"/>
      <c r="VAC120" s="1"/>
      <c r="VAD120" s="1"/>
      <c r="VAE120" s="1"/>
      <c r="VAF120" s="1"/>
      <c r="VAG120" s="1"/>
      <c r="VAH120" s="1"/>
      <c r="VAI120" s="1"/>
      <c r="VAJ120" s="1"/>
      <c r="VAK120" s="1"/>
      <c r="VAL120" s="1"/>
      <c r="VAM120" s="1"/>
      <c r="VAN120" s="1"/>
      <c r="VAO120" s="1"/>
      <c r="VAP120" s="1"/>
      <c r="VAQ120" s="1"/>
      <c r="VAR120" s="1"/>
      <c r="VAS120" s="1"/>
      <c r="VAT120" s="1"/>
      <c r="VAU120" s="1"/>
      <c r="VAV120" s="1"/>
      <c r="VAW120" s="1"/>
      <c r="VAX120" s="1"/>
      <c r="VAY120" s="1"/>
      <c r="VAZ120" s="1"/>
      <c r="VBA120" s="1"/>
      <c r="VBB120" s="1"/>
      <c r="VBC120" s="1"/>
      <c r="VBD120" s="1"/>
      <c r="VBE120" s="1"/>
      <c r="VBF120" s="1"/>
      <c r="VBG120" s="1"/>
      <c r="VBH120" s="1"/>
      <c r="VBI120" s="1"/>
      <c r="VBJ120" s="1"/>
      <c r="VBK120" s="1"/>
      <c r="VBL120" s="1"/>
      <c r="VBM120" s="1"/>
      <c r="VBN120" s="1"/>
      <c r="VBO120" s="1"/>
      <c r="VBP120" s="1"/>
      <c r="VBQ120" s="1"/>
      <c r="VBR120" s="1"/>
      <c r="VBS120" s="1"/>
      <c r="VBT120" s="1"/>
      <c r="VBU120" s="1"/>
      <c r="VBV120" s="1"/>
      <c r="VBW120" s="1"/>
      <c r="VBX120" s="1"/>
      <c r="VBY120" s="1"/>
      <c r="VBZ120" s="1"/>
      <c r="VCA120" s="1"/>
      <c r="VCB120" s="1"/>
      <c r="VCC120" s="1"/>
      <c r="VCD120" s="1"/>
      <c r="VCE120" s="1"/>
      <c r="VCF120" s="1"/>
      <c r="VCG120" s="1"/>
      <c r="VCH120" s="1"/>
      <c r="VCI120" s="1"/>
      <c r="VCJ120" s="1"/>
      <c r="VCK120" s="1"/>
      <c r="VCL120" s="1"/>
      <c r="VCM120" s="1"/>
      <c r="VCN120" s="1"/>
      <c r="VCO120" s="1"/>
      <c r="VCP120" s="1"/>
      <c r="VCQ120" s="1"/>
      <c r="VCR120" s="1"/>
      <c r="VCS120" s="1"/>
      <c r="VCT120" s="1"/>
      <c r="VCU120" s="1"/>
      <c r="VCV120" s="1"/>
      <c r="VCW120" s="1"/>
      <c r="VCX120" s="1"/>
      <c r="VCY120" s="1"/>
      <c r="VCZ120" s="1"/>
      <c r="VDA120" s="1"/>
      <c r="VDB120" s="1"/>
      <c r="VDC120" s="1"/>
      <c r="VDD120" s="1"/>
      <c r="VDE120" s="1"/>
      <c r="VDF120" s="1"/>
      <c r="VDG120" s="1"/>
      <c r="VDH120" s="1"/>
      <c r="VDI120" s="1"/>
      <c r="VDJ120" s="1"/>
      <c r="VDK120" s="1"/>
      <c r="VDL120" s="1"/>
      <c r="VDM120" s="1"/>
      <c r="VDN120" s="1"/>
      <c r="VDO120" s="1"/>
      <c r="VDP120" s="1"/>
      <c r="VDQ120" s="1"/>
      <c r="VDR120" s="1"/>
      <c r="VDS120" s="1"/>
      <c r="VDT120" s="1"/>
      <c r="VDU120" s="1"/>
      <c r="VDV120" s="1"/>
      <c r="VDW120" s="1"/>
      <c r="VDX120" s="1"/>
      <c r="VDY120" s="1"/>
      <c r="VDZ120" s="1"/>
      <c r="VEA120" s="1"/>
      <c r="VEB120" s="1"/>
      <c r="VEC120" s="1"/>
      <c r="VED120" s="1"/>
      <c r="VEE120" s="1"/>
      <c r="VEF120" s="1"/>
      <c r="VEG120" s="1"/>
      <c r="VEH120" s="1"/>
      <c r="VEI120" s="1"/>
      <c r="VEJ120" s="1"/>
      <c r="VEK120" s="1"/>
      <c r="VEL120" s="1"/>
      <c r="VEM120" s="1"/>
      <c r="VEN120" s="1"/>
      <c r="VEO120" s="1"/>
      <c r="VEP120" s="1"/>
      <c r="VEQ120" s="1"/>
      <c r="VER120" s="1"/>
      <c r="VES120" s="1"/>
      <c r="VET120" s="1"/>
      <c r="VEU120" s="1"/>
      <c r="VEV120" s="1"/>
      <c r="VEW120" s="1"/>
      <c r="VEX120" s="1"/>
      <c r="VEY120" s="1"/>
      <c r="VEZ120" s="1"/>
      <c r="VFA120" s="1"/>
      <c r="VFB120" s="1"/>
      <c r="VFC120" s="1"/>
      <c r="VFD120" s="1"/>
      <c r="VFE120" s="1"/>
      <c r="VFF120" s="1"/>
      <c r="VFG120" s="1"/>
      <c r="VFH120" s="1"/>
      <c r="VFI120" s="1"/>
      <c r="VFJ120" s="1"/>
      <c r="VFK120" s="1"/>
      <c r="VFL120" s="1"/>
      <c r="VFM120" s="1"/>
      <c r="VFN120" s="1"/>
      <c r="VFO120" s="1"/>
      <c r="VFP120" s="1"/>
      <c r="VFQ120" s="1"/>
      <c r="VFR120" s="1"/>
      <c r="VFS120" s="1"/>
      <c r="VFT120" s="1"/>
      <c r="VFU120" s="1"/>
      <c r="VFV120" s="1"/>
      <c r="VFW120" s="1"/>
      <c r="VFX120" s="1"/>
      <c r="VFY120" s="1"/>
      <c r="VFZ120" s="1"/>
      <c r="VGA120" s="1"/>
      <c r="VGB120" s="1"/>
      <c r="VGC120" s="1"/>
      <c r="VGD120" s="1"/>
      <c r="VGE120" s="1"/>
      <c r="VGF120" s="1"/>
      <c r="VGG120" s="1"/>
      <c r="VGH120" s="1"/>
      <c r="VGI120" s="1"/>
      <c r="VGJ120" s="1"/>
      <c r="VGK120" s="1"/>
      <c r="VGL120" s="1"/>
      <c r="VGM120" s="1"/>
      <c r="VGN120" s="1"/>
      <c r="VGO120" s="1"/>
      <c r="VGP120" s="1"/>
      <c r="VGQ120" s="1"/>
      <c r="VGR120" s="1"/>
      <c r="VGS120" s="1"/>
      <c r="VGT120" s="1"/>
      <c r="VGU120" s="1"/>
      <c r="VGV120" s="1"/>
      <c r="VGW120" s="1"/>
      <c r="VGX120" s="1"/>
      <c r="VGY120" s="1"/>
      <c r="VGZ120" s="1"/>
      <c r="VHA120" s="1"/>
      <c r="VHB120" s="1"/>
      <c r="VHC120" s="1"/>
      <c r="VHD120" s="1"/>
      <c r="VHE120" s="1"/>
      <c r="VHF120" s="1"/>
      <c r="VHG120" s="1"/>
      <c r="VHH120" s="1"/>
      <c r="VHI120" s="1"/>
      <c r="VHJ120" s="1"/>
      <c r="VHK120" s="1"/>
      <c r="VHL120" s="1"/>
      <c r="VHM120" s="1"/>
      <c r="VHN120" s="1"/>
      <c r="VHO120" s="1"/>
      <c r="VHP120" s="1"/>
      <c r="VHQ120" s="1"/>
      <c r="VHR120" s="1"/>
      <c r="VHS120" s="1"/>
      <c r="VHT120" s="1"/>
      <c r="VHU120" s="1"/>
      <c r="VHV120" s="1"/>
      <c r="VHW120" s="1"/>
      <c r="VHX120" s="1"/>
      <c r="VHY120" s="1"/>
      <c r="VHZ120" s="1"/>
      <c r="VIA120" s="1"/>
      <c r="VIB120" s="1"/>
      <c r="VIC120" s="1"/>
      <c r="VID120" s="1"/>
      <c r="VIE120" s="1"/>
      <c r="VIF120" s="1"/>
      <c r="VIG120" s="1"/>
      <c r="VIH120" s="1"/>
      <c r="VII120" s="1"/>
      <c r="VIJ120" s="1"/>
      <c r="VIK120" s="1"/>
      <c r="VIL120" s="1"/>
      <c r="VIM120" s="1"/>
      <c r="VIN120" s="1"/>
      <c r="VIO120" s="1"/>
      <c r="VIP120" s="1"/>
      <c r="VIQ120" s="1"/>
      <c r="VIR120" s="1"/>
      <c r="VIS120" s="1"/>
      <c r="VIT120" s="1"/>
      <c r="VIU120" s="1"/>
      <c r="VIV120" s="1"/>
      <c r="VIW120" s="1"/>
      <c r="VIX120" s="1"/>
      <c r="VIY120" s="1"/>
      <c r="VIZ120" s="1"/>
      <c r="VJA120" s="1"/>
      <c r="VJB120" s="1"/>
      <c r="VJC120" s="1"/>
      <c r="VJD120" s="1"/>
      <c r="VJE120" s="1"/>
      <c r="VJF120" s="1"/>
      <c r="VJG120" s="1"/>
      <c r="VJH120" s="1"/>
      <c r="VJI120" s="1"/>
      <c r="VJJ120" s="1"/>
      <c r="VJK120" s="1"/>
      <c r="VJL120" s="1"/>
      <c r="VJM120" s="1"/>
      <c r="VJN120" s="1"/>
      <c r="VJO120" s="1"/>
      <c r="VJP120" s="1"/>
      <c r="VJQ120" s="1"/>
      <c r="VJR120" s="1"/>
      <c r="VJS120" s="1"/>
      <c r="VJT120" s="1"/>
      <c r="VJU120" s="1"/>
      <c r="VJV120" s="1"/>
      <c r="VJW120" s="1"/>
      <c r="VJX120" s="1"/>
      <c r="VJY120" s="1"/>
      <c r="VJZ120" s="1"/>
      <c r="VKA120" s="1"/>
      <c r="VKB120" s="1"/>
      <c r="VKC120" s="1"/>
      <c r="VKD120" s="1"/>
      <c r="VKE120" s="1"/>
      <c r="VKF120" s="1"/>
      <c r="VKG120" s="1"/>
      <c r="VKH120" s="1"/>
      <c r="VKI120" s="1"/>
      <c r="VKJ120" s="1"/>
      <c r="VKK120" s="1"/>
      <c r="VKL120" s="1"/>
      <c r="VKM120" s="1"/>
      <c r="VKN120" s="1"/>
      <c r="VKO120" s="1"/>
      <c r="VKP120" s="1"/>
      <c r="VKQ120" s="1"/>
      <c r="VKR120" s="1"/>
      <c r="VKS120" s="1"/>
      <c r="VKT120" s="1"/>
      <c r="VKU120" s="1"/>
      <c r="VKV120" s="1"/>
      <c r="VKW120" s="1"/>
      <c r="VKX120" s="1"/>
      <c r="VKY120" s="1"/>
      <c r="VKZ120" s="1"/>
      <c r="VLA120" s="1"/>
      <c r="VLB120" s="1"/>
      <c r="VLC120" s="1"/>
      <c r="VLD120" s="1"/>
      <c r="VLE120" s="1"/>
      <c r="VLF120" s="1"/>
      <c r="VLG120" s="1"/>
      <c r="VLH120" s="1"/>
      <c r="VLI120" s="1"/>
      <c r="VLJ120" s="1"/>
      <c r="VLK120" s="1"/>
      <c r="VLL120" s="1"/>
      <c r="VLM120" s="1"/>
      <c r="VLN120" s="1"/>
      <c r="VLO120" s="1"/>
      <c r="VLP120" s="1"/>
      <c r="VLQ120" s="1"/>
      <c r="VLR120" s="1"/>
      <c r="VLS120" s="1"/>
      <c r="VLT120" s="1"/>
      <c r="VLU120" s="1"/>
      <c r="VLV120" s="1"/>
      <c r="VLW120" s="1"/>
      <c r="VLX120" s="1"/>
      <c r="VLY120" s="1"/>
      <c r="VLZ120" s="1"/>
      <c r="VMA120" s="1"/>
      <c r="VMB120" s="1"/>
      <c r="VMC120" s="1"/>
      <c r="VMD120" s="1"/>
      <c r="VME120" s="1"/>
      <c r="VMF120" s="1"/>
      <c r="VMG120" s="1"/>
      <c r="VMH120" s="1"/>
      <c r="VMI120" s="1"/>
      <c r="VMJ120" s="1"/>
      <c r="VMK120" s="1"/>
      <c r="VML120" s="1"/>
      <c r="VMM120" s="1"/>
      <c r="VMN120" s="1"/>
      <c r="VMO120" s="1"/>
      <c r="VMP120" s="1"/>
      <c r="VMQ120" s="1"/>
      <c r="VMR120" s="1"/>
      <c r="VMS120" s="1"/>
      <c r="VMT120" s="1"/>
      <c r="VMU120" s="1"/>
      <c r="VMV120" s="1"/>
      <c r="VMW120" s="1"/>
      <c r="VMX120" s="1"/>
      <c r="VMY120" s="1"/>
      <c r="VMZ120" s="1"/>
      <c r="VNA120" s="1"/>
      <c r="VNB120" s="1"/>
      <c r="VNC120" s="1"/>
      <c r="VND120" s="1"/>
      <c r="VNE120" s="1"/>
      <c r="VNF120" s="1"/>
      <c r="VNG120" s="1"/>
      <c r="VNH120" s="1"/>
      <c r="VNI120" s="1"/>
      <c r="VNJ120" s="1"/>
      <c r="VNK120" s="1"/>
      <c r="VNL120" s="1"/>
      <c r="VNM120" s="1"/>
      <c r="VNN120" s="1"/>
      <c r="VNO120" s="1"/>
      <c r="VNP120" s="1"/>
      <c r="VNQ120" s="1"/>
      <c r="VNR120" s="1"/>
      <c r="VNS120" s="1"/>
      <c r="VNT120" s="1"/>
      <c r="VNU120" s="1"/>
      <c r="VNV120" s="1"/>
      <c r="VNW120" s="1"/>
      <c r="VNX120" s="1"/>
      <c r="VNY120" s="1"/>
      <c r="VNZ120" s="1"/>
      <c r="VOA120" s="1"/>
      <c r="VOB120" s="1"/>
      <c r="VOC120" s="1"/>
      <c r="VOD120" s="1"/>
      <c r="VOE120" s="1"/>
      <c r="VOF120" s="1"/>
      <c r="VOG120" s="1"/>
      <c r="VOH120" s="1"/>
      <c r="VOI120" s="1"/>
      <c r="VOJ120" s="1"/>
      <c r="VOK120" s="1"/>
      <c r="VOL120" s="1"/>
      <c r="VOM120" s="1"/>
      <c r="VON120" s="1"/>
      <c r="VOO120" s="1"/>
      <c r="VOP120" s="1"/>
      <c r="VOQ120" s="1"/>
      <c r="VOR120" s="1"/>
      <c r="VOS120" s="1"/>
      <c r="VOT120" s="1"/>
      <c r="VOU120" s="1"/>
      <c r="VOV120" s="1"/>
      <c r="VOW120" s="1"/>
      <c r="VOX120" s="1"/>
      <c r="VOY120" s="1"/>
      <c r="VOZ120" s="1"/>
      <c r="VPA120" s="1"/>
      <c r="VPB120" s="1"/>
      <c r="VPC120" s="1"/>
      <c r="VPD120" s="1"/>
      <c r="VPE120" s="1"/>
      <c r="VPF120" s="1"/>
      <c r="VPG120" s="1"/>
      <c r="VPH120" s="1"/>
      <c r="VPI120" s="1"/>
      <c r="VPJ120" s="1"/>
      <c r="VPK120" s="1"/>
      <c r="VPL120" s="1"/>
      <c r="VPM120" s="1"/>
      <c r="VPN120" s="1"/>
      <c r="VPO120" s="1"/>
      <c r="VPP120" s="1"/>
      <c r="VPQ120" s="1"/>
      <c r="VPR120" s="1"/>
      <c r="VPS120" s="1"/>
      <c r="VPT120" s="1"/>
      <c r="VPU120" s="1"/>
      <c r="VPV120" s="1"/>
      <c r="VPW120" s="1"/>
      <c r="VPX120" s="1"/>
      <c r="VPY120" s="1"/>
      <c r="VPZ120" s="1"/>
      <c r="VQA120" s="1"/>
      <c r="VQB120" s="1"/>
      <c r="VQC120" s="1"/>
      <c r="VQD120" s="1"/>
      <c r="VQE120" s="1"/>
      <c r="VQF120" s="1"/>
      <c r="VQG120" s="1"/>
      <c r="VQH120" s="1"/>
      <c r="VQI120" s="1"/>
      <c r="VQJ120" s="1"/>
      <c r="VQK120" s="1"/>
      <c r="VQL120" s="1"/>
      <c r="VQM120" s="1"/>
      <c r="VQN120" s="1"/>
      <c r="VQO120" s="1"/>
      <c r="VQP120" s="1"/>
      <c r="VQQ120" s="1"/>
      <c r="VQR120" s="1"/>
      <c r="VQS120" s="1"/>
      <c r="VQT120" s="1"/>
      <c r="VQU120" s="1"/>
      <c r="VQV120" s="1"/>
      <c r="VQW120" s="1"/>
      <c r="VQX120" s="1"/>
      <c r="VQY120" s="1"/>
      <c r="VQZ120" s="1"/>
      <c r="VRA120" s="1"/>
      <c r="VRB120" s="1"/>
      <c r="VRC120" s="1"/>
      <c r="VRD120" s="1"/>
      <c r="VRE120" s="1"/>
      <c r="VRF120" s="1"/>
      <c r="VRG120" s="1"/>
      <c r="VRH120" s="1"/>
      <c r="VRI120" s="1"/>
      <c r="VRJ120" s="1"/>
      <c r="VRK120" s="1"/>
      <c r="VRL120" s="1"/>
      <c r="VRM120" s="1"/>
      <c r="VRN120" s="1"/>
      <c r="VRO120" s="1"/>
      <c r="VRP120" s="1"/>
      <c r="VRQ120" s="1"/>
      <c r="VRR120" s="1"/>
      <c r="VRS120" s="1"/>
      <c r="VRT120" s="1"/>
      <c r="VRU120" s="1"/>
      <c r="VRV120" s="1"/>
      <c r="VRW120" s="1"/>
      <c r="VRX120" s="1"/>
      <c r="VRY120" s="1"/>
      <c r="VRZ120" s="1"/>
      <c r="VSA120" s="1"/>
      <c r="VSB120" s="1"/>
      <c r="VSC120" s="1"/>
      <c r="VSD120" s="1"/>
      <c r="VSE120" s="1"/>
      <c r="VSF120" s="1"/>
      <c r="VSG120" s="1"/>
      <c r="VSH120" s="1"/>
      <c r="VSI120" s="1"/>
      <c r="VSJ120" s="1"/>
      <c r="VSK120" s="1"/>
      <c r="VSL120" s="1"/>
      <c r="VSM120" s="1"/>
      <c r="VSN120" s="1"/>
      <c r="VSO120" s="1"/>
      <c r="VSP120" s="1"/>
      <c r="VSQ120" s="1"/>
      <c r="VSR120" s="1"/>
      <c r="VSS120" s="1"/>
      <c r="VST120" s="1"/>
      <c r="VSU120" s="1"/>
      <c r="VSV120" s="1"/>
      <c r="VSW120" s="1"/>
      <c r="VSX120" s="1"/>
      <c r="VSY120" s="1"/>
      <c r="VSZ120" s="1"/>
      <c r="VTA120" s="1"/>
      <c r="VTB120" s="1"/>
      <c r="VTC120" s="1"/>
      <c r="VTD120" s="1"/>
      <c r="VTE120" s="1"/>
      <c r="VTF120" s="1"/>
      <c r="VTG120" s="1"/>
      <c r="VTH120" s="1"/>
      <c r="VTI120" s="1"/>
      <c r="VTJ120" s="1"/>
      <c r="VTK120" s="1"/>
      <c r="VTL120" s="1"/>
      <c r="VTM120" s="1"/>
      <c r="VTN120" s="1"/>
      <c r="VTO120" s="1"/>
      <c r="VTP120" s="1"/>
      <c r="VTQ120" s="1"/>
      <c r="VTR120" s="1"/>
      <c r="VTS120" s="1"/>
      <c r="VTT120" s="1"/>
      <c r="VTU120" s="1"/>
      <c r="VTV120" s="1"/>
      <c r="VTW120" s="1"/>
      <c r="VTX120" s="1"/>
      <c r="VTY120" s="1"/>
      <c r="VTZ120" s="1"/>
      <c r="VUA120" s="1"/>
      <c r="VUB120" s="1"/>
      <c r="VUC120" s="1"/>
      <c r="VUD120" s="1"/>
      <c r="VUE120" s="1"/>
      <c r="VUF120" s="1"/>
      <c r="VUG120" s="1"/>
      <c r="VUH120" s="1"/>
      <c r="VUI120" s="1"/>
      <c r="VUJ120" s="1"/>
      <c r="VUK120" s="1"/>
      <c r="VUL120" s="1"/>
      <c r="VUM120" s="1"/>
      <c r="VUN120" s="1"/>
      <c r="VUO120" s="1"/>
      <c r="VUP120" s="1"/>
      <c r="VUQ120" s="1"/>
      <c r="VUR120" s="1"/>
      <c r="VUS120" s="1"/>
      <c r="VUT120" s="1"/>
      <c r="VUU120" s="1"/>
      <c r="VUV120" s="1"/>
      <c r="VUW120" s="1"/>
      <c r="VUX120" s="1"/>
      <c r="VUY120" s="1"/>
      <c r="VUZ120" s="1"/>
      <c r="VVA120" s="1"/>
      <c r="VVB120" s="1"/>
      <c r="VVC120" s="1"/>
      <c r="VVD120" s="1"/>
      <c r="VVE120" s="1"/>
      <c r="VVF120" s="1"/>
      <c r="VVG120" s="1"/>
      <c r="VVH120" s="1"/>
      <c r="VVI120" s="1"/>
      <c r="VVJ120" s="1"/>
      <c r="VVK120" s="1"/>
      <c r="VVL120" s="1"/>
      <c r="VVM120" s="1"/>
      <c r="VVN120" s="1"/>
      <c r="VVO120" s="1"/>
      <c r="VVP120" s="1"/>
      <c r="VVQ120" s="1"/>
      <c r="VVR120" s="1"/>
      <c r="VVS120" s="1"/>
      <c r="VVT120" s="1"/>
      <c r="VVU120" s="1"/>
      <c r="VVV120" s="1"/>
      <c r="VVW120" s="1"/>
      <c r="VVX120" s="1"/>
      <c r="VVY120" s="1"/>
      <c r="VVZ120" s="1"/>
      <c r="VWA120" s="1"/>
      <c r="VWB120" s="1"/>
      <c r="VWC120" s="1"/>
      <c r="VWD120" s="1"/>
      <c r="VWE120" s="1"/>
      <c r="VWF120" s="1"/>
      <c r="VWG120" s="1"/>
      <c r="VWH120" s="1"/>
      <c r="VWI120" s="1"/>
      <c r="VWJ120" s="1"/>
      <c r="VWK120" s="1"/>
      <c r="VWL120" s="1"/>
      <c r="VWM120" s="1"/>
      <c r="VWN120" s="1"/>
      <c r="VWO120" s="1"/>
      <c r="VWP120" s="1"/>
      <c r="VWQ120" s="1"/>
      <c r="VWR120" s="1"/>
      <c r="VWS120" s="1"/>
      <c r="VWT120" s="1"/>
      <c r="VWU120" s="1"/>
      <c r="VWV120" s="1"/>
      <c r="VWW120" s="1"/>
      <c r="VWX120" s="1"/>
      <c r="VWY120" s="1"/>
      <c r="VWZ120" s="1"/>
      <c r="VXA120" s="1"/>
      <c r="VXB120" s="1"/>
      <c r="VXC120" s="1"/>
      <c r="VXD120" s="1"/>
      <c r="VXE120" s="1"/>
      <c r="VXF120" s="1"/>
      <c r="VXG120" s="1"/>
      <c r="VXH120" s="1"/>
      <c r="VXI120" s="1"/>
      <c r="VXJ120" s="1"/>
      <c r="VXK120" s="1"/>
      <c r="VXL120" s="1"/>
      <c r="VXM120" s="1"/>
      <c r="VXN120" s="1"/>
      <c r="VXO120" s="1"/>
      <c r="VXP120" s="1"/>
      <c r="VXQ120" s="1"/>
      <c r="VXR120" s="1"/>
      <c r="VXS120" s="1"/>
      <c r="VXT120" s="1"/>
      <c r="VXU120" s="1"/>
      <c r="VXV120" s="1"/>
      <c r="VXW120" s="1"/>
      <c r="VXX120" s="1"/>
      <c r="VXY120" s="1"/>
      <c r="VXZ120" s="1"/>
      <c r="VYA120" s="1"/>
      <c r="VYB120" s="1"/>
      <c r="VYC120" s="1"/>
      <c r="VYD120" s="1"/>
      <c r="VYE120" s="1"/>
      <c r="VYF120" s="1"/>
      <c r="VYG120" s="1"/>
      <c r="VYH120" s="1"/>
      <c r="VYI120" s="1"/>
      <c r="VYJ120" s="1"/>
      <c r="VYK120" s="1"/>
      <c r="VYL120" s="1"/>
      <c r="VYM120" s="1"/>
      <c r="VYN120" s="1"/>
      <c r="VYO120" s="1"/>
      <c r="VYP120" s="1"/>
      <c r="VYQ120" s="1"/>
      <c r="VYR120" s="1"/>
      <c r="VYS120" s="1"/>
      <c r="VYT120" s="1"/>
      <c r="VYU120" s="1"/>
      <c r="VYV120" s="1"/>
      <c r="VYW120" s="1"/>
      <c r="VYX120" s="1"/>
      <c r="VYY120" s="1"/>
      <c r="VYZ120" s="1"/>
      <c r="VZA120" s="1"/>
      <c r="VZB120" s="1"/>
      <c r="VZC120" s="1"/>
      <c r="VZD120" s="1"/>
      <c r="VZE120" s="1"/>
      <c r="VZF120" s="1"/>
      <c r="VZG120" s="1"/>
      <c r="VZH120" s="1"/>
      <c r="VZI120" s="1"/>
      <c r="VZJ120" s="1"/>
      <c r="VZK120" s="1"/>
      <c r="VZL120" s="1"/>
      <c r="VZM120" s="1"/>
      <c r="VZN120" s="1"/>
      <c r="VZO120" s="1"/>
      <c r="VZP120" s="1"/>
      <c r="VZQ120" s="1"/>
      <c r="VZR120" s="1"/>
      <c r="VZS120" s="1"/>
      <c r="VZT120" s="1"/>
      <c r="VZU120" s="1"/>
      <c r="VZV120" s="1"/>
      <c r="VZW120" s="1"/>
      <c r="VZX120" s="1"/>
      <c r="VZY120" s="1"/>
      <c r="VZZ120" s="1"/>
      <c r="WAA120" s="1"/>
      <c r="WAB120" s="1"/>
      <c r="WAC120" s="1"/>
      <c r="WAD120" s="1"/>
      <c r="WAE120" s="1"/>
      <c r="WAF120" s="1"/>
      <c r="WAG120" s="1"/>
      <c r="WAH120" s="1"/>
      <c r="WAI120" s="1"/>
      <c r="WAJ120" s="1"/>
      <c r="WAK120" s="1"/>
      <c r="WAL120" s="1"/>
      <c r="WAM120" s="1"/>
      <c r="WAN120" s="1"/>
      <c r="WAO120" s="1"/>
      <c r="WAP120" s="1"/>
      <c r="WAQ120" s="1"/>
      <c r="WAR120" s="1"/>
      <c r="WAS120" s="1"/>
      <c r="WAT120" s="1"/>
      <c r="WAU120" s="1"/>
      <c r="WAV120" s="1"/>
      <c r="WAW120" s="1"/>
      <c r="WAX120" s="1"/>
      <c r="WAY120" s="1"/>
      <c r="WAZ120" s="1"/>
      <c r="WBA120" s="1"/>
      <c r="WBB120" s="1"/>
      <c r="WBC120" s="1"/>
      <c r="WBD120" s="1"/>
      <c r="WBE120" s="1"/>
      <c r="WBF120" s="1"/>
      <c r="WBG120" s="1"/>
      <c r="WBH120" s="1"/>
      <c r="WBI120" s="1"/>
      <c r="WBJ120" s="1"/>
      <c r="WBK120" s="1"/>
      <c r="WBL120" s="1"/>
      <c r="WBM120" s="1"/>
      <c r="WBN120" s="1"/>
      <c r="WBO120" s="1"/>
      <c r="WBP120" s="1"/>
      <c r="WBQ120" s="1"/>
      <c r="WBR120" s="1"/>
      <c r="WBS120" s="1"/>
      <c r="WBT120" s="1"/>
      <c r="WBU120" s="1"/>
      <c r="WBV120" s="1"/>
      <c r="WBW120" s="1"/>
      <c r="WBX120" s="1"/>
      <c r="WBY120" s="1"/>
      <c r="WBZ120" s="1"/>
      <c r="WCA120" s="1"/>
      <c r="WCB120" s="1"/>
      <c r="WCC120" s="1"/>
      <c r="WCD120" s="1"/>
      <c r="WCE120" s="1"/>
      <c r="WCF120" s="1"/>
      <c r="WCG120" s="1"/>
      <c r="WCH120" s="1"/>
      <c r="WCI120" s="1"/>
      <c r="WCJ120" s="1"/>
      <c r="WCK120" s="1"/>
      <c r="WCL120" s="1"/>
      <c r="WCM120" s="1"/>
      <c r="WCN120" s="1"/>
      <c r="WCO120" s="1"/>
      <c r="WCP120" s="1"/>
      <c r="WCQ120" s="1"/>
      <c r="WCR120" s="1"/>
      <c r="WCS120" s="1"/>
      <c r="WCT120" s="1"/>
      <c r="WCU120" s="1"/>
      <c r="WCV120" s="1"/>
      <c r="WCW120" s="1"/>
      <c r="WCX120" s="1"/>
      <c r="WCY120" s="1"/>
      <c r="WCZ120" s="1"/>
      <c r="WDA120" s="1"/>
      <c r="WDB120" s="1"/>
      <c r="WDC120" s="1"/>
      <c r="WDD120" s="1"/>
      <c r="WDE120" s="1"/>
      <c r="WDF120" s="1"/>
      <c r="WDG120" s="1"/>
      <c r="WDH120" s="1"/>
      <c r="WDI120" s="1"/>
      <c r="WDJ120" s="1"/>
      <c r="WDK120" s="1"/>
      <c r="WDL120" s="1"/>
      <c r="WDM120" s="1"/>
      <c r="WDN120" s="1"/>
      <c r="WDO120" s="1"/>
      <c r="WDP120" s="1"/>
      <c r="WDQ120" s="1"/>
      <c r="WDR120" s="1"/>
      <c r="WDS120" s="1"/>
      <c r="WDT120" s="1"/>
      <c r="WDU120" s="1"/>
      <c r="WDV120" s="1"/>
      <c r="WDW120" s="1"/>
      <c r="WDX120" s="1"/>
      <c r="WDY120" s="1"/>
      <c r="WDZ120" s="1"/>
      <c r="WEA120" s="1"/>
      <c r="WEB120" s="1"/>
      <c r="WEC120" s="1"/>
      <c r="WED120" s="1"/>
      <c r="WEE120" s="1"/>
      <c r="WEF120" s="1"/>
      <c r="WEG120" s="1"/>
      <c r="WEH120" s="1"/>
      <c r="WEI120" s="1"/>
      <c r="WEJ120" s="1"/>
      <c r="WEK120" s="1"/>
      <c r="WEL120" s="1"/>
      <c r="WEM120" s="1"/>
      <c r="WEN120" s="1"/>
      <c r="WEO120" s="1"/>
      <c r="WEP120" s="1"/>
      <c r="WEQ120" s="1"/>
      <c r="WER120" s="1"/>
      <c r="WES120" s="1"/>
      <c r="WET120" s="1"/>
      <c r="WEU120" s="1"/>
      <c r="WEV120" s="1"/>
      <c r="WEW120" s="1"/>
      <c r="WEX120" s="1"/>
      <c r="WEY120" s="1"/>
      <c r="WEZ120" s="1"/>
      <c r="WFA120" s="1"/>
      <c r="WFB120" s="1"/>
      <c r="WFC120" s="1"/>
      <c r="WFD120" s="1"/>
      <c r="WFE120" s="1"/>
      <c r="WFF120" s="1"/>
      <c r="WFG120" s="1"/>
      <c r="WFH120" s="1"/>
      <c r="WFI120" s="1"/>
      <c r="WFJ120" s="1"/>
      <c r="WFK120" s="1"/>
      <c r="WFL120" s="1"/>
      <c r="WFM120" s="1"/>
      <c r="WFN120" s="1"/>
      <c r="WFO120" s="1"/>
      <c r="WFP120" s="1"/>
      <c r="WFQ120" s="1"/>
      <c r="WFR120" s="1"/>
      <c r="WFS120" s="1"/>
      <c r="WFT120" s="1"/>
      <c r="WFU120" s="1"/>
      <c r="WFV120" s="1"/>
      <c r="WFW120" s="1"/>
      <c r="WFX120" s="1"/>
      <c r="WFY120" s="1"/>
      <c r="WFZ120" s="1"/>
      <c r="WGA120" s="1"/>
      <c r="WGB120" s="1"/>
      <c r="WGC120" s="1"/>
      <c r="WGD120" s="1"/>
      <c r="WGE120" s="1"/>
      <c r="WGF120" s="1"/>
      <c r="WGG120" s="1"/>
      <c r="WGH120" s="1"/>
      <c r="WGI120" s="1"/>
      <c r="WGJ120" s="1"/>
      <c r="WGK120" s="1"/>
      <c r="WGL120" s="1"/>
      <c r="WGM120" s="1"/>
      <c r="WGN120" s="1"/>
      <c r="WGO120" s="1"/>
      <c r="WGP120" s="1"/>
      <c r="WGQ120" s="1"/>
      <c r="WGR120" s="1"/>
      <c r="WGS120" s="1"/>
      <c r="WGT120" s="1"/>
      <c r="WGU120" s="1"/>
      <c r="WGV120" s="1"/>
      <c r="WGW120" s="1"/>
      <c r="WGX120" s="1"/>
      <c r="WGY120" s="1"/>
      <c r="WGZ120" s="1"/>
      <c r="WHA120" s="1"/>
      <c r="WHB120" s="1"/>
      <c r="WHC120" s="1"/>
      <c r="WHD120" s="1"/>
      <c r="WHE120" s="1"/>
      <c r="WHF120" s="1"/>
      <c r="WHG120" s="1"/>
      <c r="WHH120" s="1"/>
      <c r="WHI120" s="1"/>
      <c r="WHJ120" s="1"/>
      <c r="WHK120" s="1"/>
      <c r="WHL120" s="1"/>
      <c r="WHM120" s="1"/>
      <c r="WHN120" s="1"/>
      <c r="WHO120" s="1"/>
      <c r="WHP120" s="1"/>
      <c r="WHQ120" s="1"/>
      <c r="WHR120" s="1"/>
      <c r="WHS120" s="1"/>
      <c r="WHT120" s="1"/>
      <c r="WHU120" s="1"/>
      <c r="WHV120" s="1"/>
      <c r="WHW120" s="1"/>
      <c r="WHX120" s="1"/>
      <c r="WHY120" s="1"/>
      <c r="WHZ120" s="1"/>
      <c r="WIA120" s="1"/>
      <c r="WIB120" s="1"/>
      <c r="WIC120" s="1"/>
      <c r="WID120" s="1"/>
      <c r="WIE120" s="1"/>
      <c r="WIF120" s="1"/>
      <c r="WIG120" s="1"/>
      <c r="WIH120" s="1"/>
      <c r="WII120" s="1"/>
      <c r="WIJ120" s="1"/>
      <c r="WIK120" s="1"/>
      <c r="WIL120" s="1"/>
      <c r="WIM120" s="1"/>
      <c r="WIN120" s="1"/>
      <c r="WIO120" s="1"/>
      <c r="WIP120" s="1"/>
      <c r="WIQ120" s="1"/>
      <c r="WIR120" s="1"/>
      <c r="WIS120" s="1"/>
      <c r="WIT120" s="1"/>
      <c r="WIU120" s="1"/>
      <c r="WIV120" s="1"/>
      <c r="WIW120" s="1"/>
      <c r="WIX120" s="1"/>
      <c r="WIY120" s="1"/>
      <c r="WIZ120" s="1"/>
      <c r="WJA120" s="1"/>
      <c r="WJB120" s="1"/>
      <c r="WJC120" s="1"/>
      <c r="WJD120" s="1"/>
      <c r="WJE120" s="1"/>
      <c r="WJF120" s="1"/>
      <c r="WJG120" s="1"/>
      <c r="WJH120" s="1"/>
      <c r="WJI120" s="1"/>
      <c r="WJJ120" s="1"/>
      <c r="WJK120" s="1"/>
      <c r="WJL120" s="1"/>
      <c r="WJM120" s="1"/>
      <c r="WJN120" s="1"/>
      <c r="WJO120" s="1"/>
      <c r="WJP120" s="1"/>
      <c r="WJQ120" s="1"/>
      <c r="WJR120" s="1"/>
      <c r="WJS120" s="1"/>
      <c r="WJT120" s="1"/>
      <c r="WJU120" s="1"/>
      <c r="WJV120" s="1"/>
      <c r="WJW120" s="1"/>
      <c r="WJX120" s="1"/>
      <c r="WJY120" s="1"/>
      <c r="WJZ120" s="1"/>
      <c r="WKA120" s="1"/>
      <c r="WKB120" s="1"/>
      <c r="WKC120" s="1"/>
      <c r="WKD120" s="1"/>
      <c r="WKE120" s="1"/>
      <c r="WKF120" s="1"/>
      <c r="WKG120" s="1"/>
      <c r="WKH120" s="1"/>
      <c r="WKI120" s="1"/>
      <c r="WKJ120" s="1"/>
      <c r="WKK120" s="1"/>
      <c r="WKL120" s="1"/>
      <c r="WKM120" s="1"/>
      <c r="WKN120" s="1"/>
      <c r="WKO120" s="1"/>
      <c r="WKP120" s="1"/>
      <c r="WKQ120" s="1"/>
      <c r="WKR120" s="1"/>
      <c r="WKS120" s="1"/>
      <c r="WKT120" s="1"/>
      <c r="WKU120" s="1"/>
      <c r="WKV120" s="1"/>
      <c r="WKW120" s="1"/>
      <c r="WKX120" s="1"/>
      <c r="WKY120" s="1"/>
      <c r="WKZ120" s="1"/>
      <c r="WLA120" s="1"/>
      <c r="WLB120" s="1"/>
      <c r="WLC120" s="1"/>
      <c r="WLD120" s="1"/>
      <c r="WLE120" s="1"/>
      <c r="WLF120" s="1"/>
      <c r="WLG120" s="1"/>
      <c r="WLH120" s="1"/>
      <c r="WLI120" s="1"/>
      <c r="WLJ120" s="1"/>
      <c r="WLK120" s="1"/>
      <c r="WLL120" s="1"/>
      <c r="WLM120" s="1"/>
      <c r="WLN120" s="1"/>
      <c r="WLO120" s="1"/>
      <c r="WLP120" s="1"/>
      <c r="WLQ120" s="1"/>
      <c r="WLR120" s="1"/>
      <c r="WLS120" s="1"/>
      <c r="WLT120" s="1"/>
      <c r="WLU120" s="1"/>
      <c r="WLV120" s="1"/>
      <c r="WLW120" s="1"/>
      <c r="WLX120" s="1"/>
      <c r="WLY120" s="1"/>
      <c r="WLZ120" s="1"/>
      <c r="WMA120" s="1"/>
      <c r="WMB120" s="1"/>
      <c r="WMC120" s="1"/>
      <c r="WMD120" s="1"/>
      <c r="WME120" s="1"/>
      <c r="WMF120" s="1"/>
      <c r="WMG120" s="1"/>
      <c r="WMH120" s="1"/>
      <c r="WMI120" s="1"/>
      <c r="WMJ120" s="1"/>
      <c r="WMK120" s="1"/>
      <c r="WML120" s="1"/>
      <c r="WMM120" s="1"/>
      <c r="WMN120" s="1"/>
      <c r="WMO120" s="1"/>
      <c r="WMP120" s="1"/>
      <c r="WMQ120" s="1"/>
      <c r="WMR120" s="1"/>
      <c r="WMS120" s="1"/>
      <c r="WMT120" s="1"/>
      <c r="WMU120" s="1"/>
      <c r="WMV120" s="1"/>
      <c r="WMW120" s="1"/>
      <c r="WMX120" s="1"/>
      <c r="WMY120" s="1"/>
      <c r="WMZ120" s="1"/>
      <c r="WNA120" s="1"/>
      <c r="WNB120" s="1"/>
      <c r="WNC120" s="1"/>
      <c r="WND120" s="1"/>
      <c r="WNE120" s="1"/>
      <c r="WNF120" s="1"/>
      <c r="WNG120" s="1"/>
      <c r="WNH120" s="1"/>
      <c r="WNI120" s="1"/>
      <c r="WNJ120" s="1"/>
      <c r="WNK120" s="1"/>
      <c r="WNL120" s="1"/>
      <c r="WNM120" s="1"/>
      <c r="WNN120" s="1"/>
      <c r="WNO120" s="1"/>
      <c r="WNP120" s="1"/>
      <c r="WNQ120" s="1"/>
      <c r="WNR120" s="1"/>
      <c r="WNS120" s="1"/>
      <c r="WNT120" s="1"/>
      <c r="WNU120" s="1"/>
      <c r="WNV120" s="1"/>
      <c r="WNW120" s="1"/>
      <c r="WNX120" s="1"/>
      <c r="WNY120" s="1"/>
      <c r="WNZ120" s="1"/>
      <c r="WOA120" s="1"/>
      <c r="WOB120" s="1"/>
      <c r="WOC120" s="1"/>
      <c r="WOD120" s="1"/>
      <c r="WOE120" s="1"/>
      <c r="WOF120" s="1"/>
      <c r="WOG120" s="1"/>
      <c r="WOH120" s="1"/>
      <c r="WOI120" s="1"/>
      <c r="WOJ120" s="1"/>
      <c r="WOK120" s="1"/>
      <c r="WOL120" s="1"/>
      <c r="WOM120" s="1"/>
      <c r="WON120" s="1"/>
      <c r="WOO120" s="1"/>
      <c r="WOP120" s="1"/>
      <c r="WOQ120" s="1"/>
      <c r="WOR120" s="1"/>
      <c r="WOS120" s="1"/>
      <c r="WOT120" s="1"/>
      <c r="WOU120" s="1"/>
      <c r="WOV120" s="1"/>
      <c r="WOW120" s="1"/>
      <c r="WOX120" s="1"/>
      <c r="WOY120" s="1"/>
      <c r="WOZ120" s="1"/>
      <c r="WPA120" s="1"/>
      <c r="WPB120" s="1"/>
      <c r="WPC120" s="1"/>
      <c r="WPD120" s="1"/>
      <c r="WPE120" s="1"/>
      <c r="WPF120" s="1"/>
      <c r="WPG120" s="1"/>
      <c r="WPH120" s="1"/>
      <c r="WPI120" s="1"/>
      <c r="WPJ120" s="1"/>
      <c r="WPK120" s="1"/>
      <c r="WPL120" s="1"/>
      <c r="WPM120" s="1"/>
      <c r="WPN120" s="1"/>
      <c r="WPO120" s="1"/>
      <c r="WPP120" s="1"/>
      <c r="WPQ120" s="1"/>
      <c r="WPR120" s="1"/>
      <c r="WPS120" s="1"/>
      <c r="WPT120" s="1"/>
      <c r="WPU120" s="1"/>
      <c r="WPV120" s="1"/>
      <c r="WPW120" s="1"/>
      <c r="WPX120" s="1"/>
      <c r="WPY120" s="1"/>
      <c r="WPZ120" s="1"/>
      <c r="WQA120" s="1"/>
      <c r="WQB120" s="1"/>
      <c r="WQC120" s="1"/>
      <c r="WQD120" s="1"/>
      <c r="WQE120" s="1"/>
      <c r="WQF120" s="1"/>
      <c r="WQG120" s="1"/>
      <c r="WQH120" s="1"/>
      <c r="WQI120" s="1"/>
      <c r="WQJ120" s="1"/>
      <c r="WQK120" s="1"/>
      <c r="WQL120" s="1"/>
      <c r="WQM120" s="1"/>
      <c r="WQN120" s="1"/>
      <c r="WQO120" s="1"/>
      <c r="WQP120" s="1"/>
      <c r="WQQ120" s="1"/>
      <c r="WQR120" s="1"/>
      <c r="WQS120" s="1"/>
      <c r="WQT120" s="1"/>
      <c r="WQU120" s="1"/>
      <c r="WQV120" s="1"/>
      <c r="WQW120" s="1"/>
      <c r="WQX120" s="1"/>
      <c r="WQY120" s="1"/>
      <c r="WQZ120" s="1"/>
      <c r="WRA120" s="1"/>
      <c r="WRB120" s="1"/>
      <c r="WRC120" s="1"/>
      <c r="WRD120" s="1"/>
      <c r="WRE120" s="1"/>
      <c r="WRF120" s="1"/>
      <c r="WRG120" s="1"/>
      <c r="WRH120" s="1"/>
      <c r="WRI120" s="1"/>
      <c r="WRJ120" s="1"/>
      <c r="WRK120" s="1"/>
      <c r="WRL120" s="1"/>
      <c r="WRM120" s="1"/>
      <c r="WRN120" s="1"/>
      <c r="WRO120" s="1"/>
      <c r="WRP120" s="1"/>
      <c r="WRQ120" s="1"/>
      <c r="WRR120" s="1"/>
      <c r="WRS120" s="1"/>
      <c r="WRT120" s="1"/>
      <c r="WRU120" s="1"/>
      <c r="WRV120" s="1"/>
      <c r="WRW120" s="1"/>
      <c r="WRX120" s="1"/>
      <c r="WRY120" s="1"/>
      <c r="WRZ120" s="1"/>
      <c r="WSA120" s="1"/>
      <c r="WSB120" s="1"/>
      <c r="WSC120" s="1"/>
      <c r="WSD120" s="1"/>
      <c r="WSE120" s="1"/>
      <c r="WSF120" s="1"/>
      <c r="WSG120" s="1"/>
      <c r="WSH120" s="1"/>
      <c r="WSI120" s="1"/>
      <c r="WSJ120" s="1"/>
      <c r="WSK120" s="1"/>
      <c r="WSL120" s="1"/>
      <c r="WSM120" s="1"/>
      <c r="WSN120" s="1"/>
      <c r="WSO120" s="1"/>
      <c r="WSP120" s="1"/>
      <c r="WSQ120" s="1"/>
      <c r="WSR120" s="1"/>
      <c r="WSS120" s="1"/>
      <c r="WST120" s="1"/>
      <c r="WSU120" s="1"/>
      <c r="WSV120" s="1"/>
      <c r="WSW120" s="1"/>
      <c r="WSX120" s="1"/>
      <c r="WSY120" s="1"/>
      <c r="WSZ120" s="1"/>
      <c r="WTA120" s="1"/>
      <c r="WTB120" s="1"/>
      <c r="WTC120" s="1"/>
      <c r="WTD120" s="1"/>
      <c r="WTE120" s="1"/>
      <c r="WTF120" s="1"/>
      <c r="WTG120" s="1"/>
      <c r="WTH120" s="1"/>
      <c r="WTI120" s="1"/>
      <c r="WTJ120" s="1"/>
      <c r="WTK120" s="1"/>
      <c r="WTL120" s="1"/>
      <c r="WTM120" s="1"/>
      <c r="WTN120" s="1"/>
      <c r="WTO120" s="1"/>
      <c r="WTP120" s="1"/>
      <c r="WTQ120" s="1"/>
      <c r="WTR120" s="1"/>
      <c r="WTS120" s="1"/>
      <c r="WTT120" s="1"/>
      <c r="WTU120" s="1"/>
      <c r="WTV120" s="1"/>
      <c r="WTW120" s="1"/>
      <c r="WTX120" s="1"/>
      <c r="WTY120" s="1"/>
      <c r="WTZ120" s="1"/>
      <c r="WUA120" s="1"/>
      <c r="WUB120" s="1"/>
      <c r="WUC120" s="1"/>
      <c r="WUD120" s="1"/>
      <c r="WUE120" s="1"/>
      <c r="WUF120" s="1"/>
      <c r="WUG120" s="1"/>
      <c r="WUH120" s="1"/>
      <c r="WUI120" s="1"/>
      <c r="WUJ120" s="1"/>
      <c r="WUK120" s="1"/>
      <c r="WUL120" s="1"/>
      <c r="WUM120" s="1"/>
      <c r="WUN120" s="1"/>
      <c r="WUO120" s="1"/>
      <c r="WUP120" s="1"/>
      <c r="WUQ120" s="1"/>
      <c r="WUR120" s="1"/>
      <c r="WUS120" s="1"/>
      <c r="WUT120" s="1"/>
      <c r="WUU120" s="1"/>
      <c r="WUV120" s="1"/>
      <c r="WUW120" s="1"/>
      <c r="WUX120" s="1"/>
      <c r="WUY120" s="1"/>
      <c r="WUZ120" s="1"/>
      <c r="WVA120" s="1"/>
      <c r="WVB120" s="1"/>
      <c r="WVC120" s="1"/>
      <c r="WVD120" s="1"/>
      <c r="WVE120" s="1"/>
      <c r="WVF120" s="1"/>
      <c r="WVG120" s="1"/>
      <c r="WVH120" s="1"/>
      <c r="WVI120" s="1"/>
      <c r="WVJ120" s="1"/>
      <c r="WVK120" s="1"/>
      <c r="WVL120" s="1"/>
      <c r="WVM120" s="1"/>
      <c r="WVN120" s="1"/>
      <c r="WVO120" s="1"/>
      <c r="WVP120" s="1"/>
      <c r="WVQ120" s="1"/>
      <c r="WVR120" s="1"/>
      <c r="WVS120" s="1"/>
      <c r="WVT120" s="1"/>
      <c r="WVU120" s="1"/>
      <c r="WVV120" s="1"/>
      <c r="WVW120" s="1"/>
      <c r="WVX120" s="1"/>
      <c r="WVY120" s="1"/>
      <c r="WVZ120" s="1"/>
      <c r="WWA120" s="1"/>
      <c r="WWB120" s="1"/>
      <c r="WWC120" s="1"/>
      <c r="WWD120" s="1"/>
      <c r="WWE120" s="1"/>
      <c r="WWF120" s="1"/>
      <c r="WWG120" s="1"/>
      <c r="WWH120" s="1"/>
      <c r="WWI120" s="1"/>
      <c r="WWJ120" s="1"/>
      <c r="WWK120" s="1"/>
      <c r="WWL120" s="1"/>
      <c r="WWM120" s="1"/>
      <c r="WWN120" s="1"/>
      <c r="WWO120" s="1"/>
      <c r="WWP120" s="1"/>
      <c r="WWQ120" s="1"/>
      <c r="WWR120" s="1"/>
      <c r="WWS120" s="1"/>
      <c r="WWT120" s="1"/>
      <c r="WWU120" s="1"/>
      <c r="WWV120" s="1"/>
      <c r="WWW120" s="1"/>
      <c r="WWX120" s="1"/>
      <c r="WWY120" s="1"/>
      <c r="WWZ120" s="1"/>
      <c r="WXA120" s="1"/>
      <c r="WXB120" s="1"/>
      <c r="WXC120" s="1"/>
      <c r="WXD120" s="1"/>
      <c r="WXE120" s="1"/>
      <c r="WXF120" s="1"/>
      <c r="WXG120" s="1"/>
      <c r="WXH120" s="1"/>
      <c r="WXI120" s="1"/>
      <c r="WXJ120" s="1"/>
      <c r="WXK120" s="1"/>
      <c r="WXL120" s="1"/>
      <c r="WXM120" s="1"/>
      <c r="WXN120" s="1"/>
      <c r="WXO120" s="1"/>
      <c r="WXP120" s="1"/>
      <c r="WXQ120" s="1"/>
      <c r="WXR120" s="1"/>
      <c r="WXS120" s="1"/>
      <c r="WXT120" s="1"/>
      <c r="WXU120" s="1"/>
      <c r="WXV120" s="1"/>
      <c r="WXW120" s="1"/>
      <c r="WXX120" s="1"/>
      <c r="WXY120" s="1"/>
      <c r="WXZ120" s="1"/>
      <c r="WYA120" s="1"/>
      <c r="WYB120" s="1"/>
      <c r="WYC120" s="1"/>
      <c r="WYD120" s="1"/>
      <c r="WYE120" s="1"/>
      <c r="WYF120" s="1"/>
      <c r="WYG120" s="1"/>
      <c r="WYH120" s="1"/>
      <c r="WYI120" s="1"/>
      <c r="WYJ120" s="1"/>
      <c r="WYK120" s="1"/>
      <c r="WYL120" s="1"/>
      <c r="WYM120" s="1"/>
      <c r="WYN120" s="1"/>
      <c r="WYO120" s="1"/>
      <c r="WYP120" s="1"/>
      <c r="WYQ120" s="1"/>
      <c r="WYR120" s="1"/>
      <c r="WYS120" s="1"/>
      <c r="WYT120" s="1"/>
      <c r="WYU120" s="1"/>
      <c r="WYV120" s="1"/>
      <c r="WYW120" s="1"/>
      <c r="WYX120" s="1"/>
      <c r="WYY120" s="1"/>
      <c r="WYZ120" s="1"/>
      <c r="WZA120" s="1"/>
      <c r="WZB120" s="1"/>
      <c r="WZC120" s="1"/>
      <c r="WZD120" s="1"/>
      <c r="WZE120" s="1"/>
      <c r="WZF120" s="1"/>
      <c r="WZG120" s="1"/>
      <c r="WZH120" s="1"/>
      <c r="WZI120" s="1"/>
      <c r="WZJ120" s="1"/>
      <c r="WZK120" s="1"/>
      <c r="WZL120" s="1"/>
      <c r="WZM120" s="1"/>
      <c r="WZN120" s="1"/>
      <c r="WZO120" s="1"/>
      <c r="WZP120" s="1"/>
      <c r="WZQ120" s="1"/>
      <c r="WZR120" s="1"/>
      <c r="WZS120" s="1"/>
      <c r="WZT120" s="1"/>
      <c r="WZU120" s="1"/>
      <c r="WZV120" s="1"/>
      <c r="WZW120" s="1"/>
      <c r="WZX120" s="1"/>
      <c r="WZY120" s="1"/>
      <c r="WZZ120" s="1"/>
      <c r="XAA120" s="1"/>
      <c r="XAB120" s="1"/>
      <c r="XAC120" s="1"/>
      <c r="XAD120" s="1"/>
      <c r="XAE120" s="1"/>
      <c r="XAF120" s="1"/>
      <c r="XAG120" s="1"/>
      <c r="XAH120" s="1"/>
      <c r="XAI120" s="1"/>
      <c r="XAJ120" s="1"/>
      <c r="XAK120" s="1"/>
      <c r="XAL120" s="1"/>
      <c r="XAM120" s="1"/>
      <c r="XAN120" s="1"/>
      <c r="XAO120" s="1"/>
      <c r="XAP120" s="1"/>
      <c r="XAQ120" s="1"/>
      <c r="XAR120" s="1"/>
      <c r="XAS120" s="1"/>
      <c r="XAT120" s="1"/>
      <c r="XAU120" s="1"/>
      <c r="XAV120" s="1"/>
      <c r="XAW120" s="1"/>
      <c r="XAX120" s="1"/>
      <c r="XAY120" s="1"/>
      <c r="XAZ120" s="1"/>
      <c r="XBA120" s="1"/>
      <c r="XBB120" s="1"/>
      <c r="XBC120" s="1"/>
      <c r="XBD120" s="1"/>
      <c r="XBE120" s="1"/>
      <c r="XBF120" s="1"/>
      <c r="XBG120" s="1"/>
      <c r="XBH120" s="1"/>
      <c r="XBI120" s="1"/>
      <c r="XBJ120" s="1"/>
      <c r="XBK120" s="1"/>
      <c r="XBL120" s="1"/>
      <c r="XBM120" s="1"/>
      <c r="XBN120" s="1"/>
      <c r="XBO120" s="1"/>
      <c r="XBP120" s="1"/>
      <c r="XBQ120" s="1"/>
      <c r="XBR120" s="1"/>
      <c r="XBS120" s="1"/>
      <c r="XBT120" s="1"/>
      <c r="XBU120" s="1"/>
      <c r="XBV120" s="1"/>
      <c r="XBW120" s="1"/>
      <c r="XBX120" s="1"/>
      <c r="XBY120" s="1"/>
      <c r="XBZ120" s="1"/>
      <c r="XCA120" s="1"/>
      <c r="XCB120" s="1"/>
      <c r="XCC120" s="1"/>
      <c r="XCD120" s="1"/>
      <c r="XCE120" s="1"/>
      <c r="XCF120" s="1"/>
      <c r="XCG120" s="1"/>
      <c r="XCH120" s="1"/>
      <c r="XCI120" s="1"/>
      <c r="XCJ120" s="1"/>
      <c r="XCK120" s="1"/>
      <c r="XCL120" s="1"/>
      <c r="XCM120" s="1"/>
      <c r="XCN120" s="1"/>
      <c r="XCO120" s="1"/>
      <c r="XCP120" s="1"/>
      <c r="XCQ120" s="1"/>
      <c r="XCR120" s="1"/>
      <c r="XCS120" s="1"/>
      <c r="XCT120" s="1"/>
      <c r="XCU120" s="1"/>
      <c r="XCV120" s="1"/>
      <c r="XCW120" s="1"/>
      <c r="XCX120" s="1"/>
      <c r="XCY120" s="1"/>
      <c r="XCZ120" s="1"/>
      <c r="XDA120" s="1"/>
      <c r="XDB120" s="1"/>
      <c r="XDC120" s="1"/>
      <c r="XDD120" s="1"/>
      <c r="XDE120" s="1"/>
      <c r="XDF120" s="1"/>
      <c r="XDG120" s="1"/>
      <c r="XDH120" s="1"/>
      <c r="XDI120" s="1"/>
      <c r="XDJ120" s="1"/>
      <c r="XDK120" s="1"/>
      <c r="XDL120" s="1"/>
      <c r="XDM120" s="1"/>
      <c r="XDN120" s="1"/>
      <c r="XDO120" s="1"/>
      <c r="XDP120" s="1"/>
      <c r="XDQ120" s="1"/>
      <c r="XDR120" s="1"/>
      <c r="XDS120" s="1"/>
      <c r="XDT120" s="1"/>
      <c r="XDU120" s="1"/>
      <c r="XDV120" s="1"/>
      <c r="XDW120" s="1"/>
      <c r="XDX120" s="1"/>
      <c r="XDY120" s="1"/>
      <c r="XDZ120" s="1"/>
      <c r="XEA120" s="1"/>
      <c r="XEB120" s="1"/>
      <c r="XEC120" s="1"/>
      <c r="XED120" s="1"/>
      <c r="XEE120" s="1"/>
      <c r="XEF120" s="1"/>
      <c r="XEG120" s="1"/>
      <c r="XEH120" s="1"/>
      <c r="XEI120" s="1"/>
      <c r="XEJ120" s="1"/>
      <c r="XEK120" s="1"/>
      <c r="XEL120" s="1"/>
      <c r="XEM120" s="1"/>
      <c r="XEN120" s="1"/>
      <c r="XEO120" s="1"/>
      <c r="XEP120" s="1"/>
      <c r="XEQ120" s="1"/>
      <c r="XER120" s="1"/>
      <c r="XES120" s="1"/>
      <c r="XET120" s="1"/>
      <c r="XEU120" s="1"/>
      <c r="XEV120" s="1"/>
      <c r="XEW120" s="1"/>
      <c r="XEX120" s="1"/>
      <c r="XEY120" s="1"/>
      <c r="XEZ120" s="1"/>
      <c r="XFA120" s="1"/>
      <c r="XFB120" s="1"/>
      <c r="XFC120" s="1"/>
      <c r="XFD120" s="1"/>
    </row>
    <row r="121" spans="2:16384" s="21" customFormat="1" x14ac:dyDescent="0.25">
      <c r="B121" s="192"/>
      <c r="C121" s="192"/>
      <c r="D121" s="192"/>
      <c r="E121" s="192"/>
      <c r="F121" s="192"/>
      <c r="G121" s="192"/>
      <c r="H121" s="192"/>
      <c r="I121" s="205"/>
      <c r="J121" s="205"/>
      <c r="K121" s="192"/>
      <c r="L121" s="192"/>
      <c r="M121" s="192"/>
      <c r="N121" s="192"/>
      <c r="O121" s="192"/>
      <c r="P121" s="192"/>
      <c r="Q121" s="192"/>
      <c r="R121" s="192"/>
      <c r="S121" s="192"/>
      <c r="T121" s="192"/>
      <c r="U121" s="192"/>
      <c r="V121" s="192"/>
      <c r="W121" s="204"/>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1"/>
      <c r="YB121" s="1"/>
      <c r="YC121" s="1"/>
      <c r="YD121" s="1"/>
      <c r="YE121" s="1"/>
      <c r="YF121" s="1"/>
      <c r="YG121" s="1"/>
      <c r="YH121" s="1"/>
      <c r="YI121" s="1"/>
      <c r="YJ121" s="1"/>
      <c r="YK121" s="1"/>
      <c r="YL121" s="1"/>
      <c r="YM121" s="1"/>
      <c r="YN121" s="1"/>
      <c r="YO121" s="1"/>
      <c r="YP121" s="1"/>
      <c r="YQ121" s="1"/>
      <c r="YR121" s="1"/>
      <c r="YS121" s="1"/>
      <c r="YT121" s="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1"/>
      <c r="ACI121" s="1"/>
      <c r="ACJ121" s="1"/>
      <c r="ACK121" s="1"/>
      <c r="ACL121" s="1"/>
      <c r="ACM121" s="1"/>
      <c r="ACN121" s="1"/>
      <c r="ACO121" s="1"/>
      <c r="ACP121" s="1"/>
      <c r="ACQ121" s="1"/>
      <c r="ACR121" s="1"/>
      <c r="ACS121" s="1"/>
      <c r="ACT121" s="1"/>
      <c r="ACU121" s="1"/>
      <c r="ACV121" s="1"/>
      <c r="ACW121" s="1"/>
      <c r="ACX121" s="1"/>
      <c r="ACY121" s="1"/>
      <c r="ACZ121" s="1"/>
      <c r="ADA121" s="1"/>
      <c r="ADB121" s="1"/>
      <c r="ADC121" s="1"/>
      <c r="ADD121" s="1"/>
      <c r="ADE121" s="1"/>
      <c r="ADF121" s="1"/>
      <c r="ADG121" s="1"/>
      <c r="ADH121" s="1"/>
      <c r="ADI121" s="1"/>
      <c r="ADJ121" s="1"/>
      <c r="ADK121" s="1"/>
      <c r="ADL121" s="1"/>
      <c r="ADM121" s="1"/>
      <c r="ADN121" s="1"/>
      <c r="ADO121" s="1"/>
      <c r="ADP121" s="1"/>
      <c r="ADQ121" s="1"/>
      <c r="ADR121" s="1"/>
      <c r="ADS121" s="1"/>
      <c r="ADT121" s="1"/>
      <c r="ADU121" s="1"/>
      <c r="ADV121" s="1"/>
      <c r="ADW121" s="1"/>
      <c r="ADX121" s="1"/>
      <c r="ADY121" s="1"/>
      <c r="ADZ121" s="1"/>
      <c r="AEA121" s="1"/>
      <c r="AEB121" s="1"/>
      <c r="AEC121" s="1"/>
      <c r="AED121" s="1"/>
      <c r="AEE121" s="1"/>
      <c r="AEF121" s="1"/>
      <c r="AEG121" s="1"/>
      <c r="AEH121" s="1"/>
      <c r="AEI121" s="1"/>
      <c r="AEJ121" s="1"/>
      <c r="AEK121" s="1"/>
      <c r="AEL121" s="1"/>
      <c r="AEM121" s="1"/>
      <c r="AEN121" s="1"/>
      <c r="AEO121" s="1"/>
      <c r="AEP121" s="1"/>
      <c r="AEQ121" s="1"/>
      <c r="AER121" s="1"/>
      <c r="AES121" s="1"/>
      <c r="AET121" s="1"/>
      <c r="AEU121" s="1"/>
      <c r="AEV121" s="1"/>
      <c r="AEW121" s="1"/>
      <c r="AEX121" s="1"/>
      <c r="AEY121" s="1"/>
      <c r="AEZ121" s="1"/>
      <c r="AFA121" s="1"/>
      <c r="AFB121" s="1"/>
      <c r="AFC121" s="1"/>
      <c r="AFD121" s="1"/>
      <c r="AFE121" s="1"/>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1"/>
      <c r="AGN121" s="1"/>
      <c r="AGO121" s="1"/>
      <c r="AGP121" s="1"/>
      <c r="AGQ121" s="1"/>
      <c r="AGR121" s="1"/>
      <c r="AGS121" s="1"/>
      <c r="AGT121" s="1"/>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c r="BOB121" s="1"/>
      <c r="BOC121" s="1"/>
      <c r="BOD121" s="1"/>
      <c r="BOE121" s="1"/>
      <c r="BOF121" s="1"/>
      <c r="BOG121" s="1"/>
      <c r="BOH121" s="1"/>
      <c r="BOI121" s="1"/>
      <c r="BOJ121" s="1"/>
      <c r="BOK121" s="1"/>
      <c r="BOL121" s="1"/>
      <c r="BOM121" s="1"/>
      <c r="BON121" s="1"/>
      <c r="BOO121" s="1"/>
      <c r="BOP121" s="1"/>
      <c r="BOQ121" s="1"/>
      <c r="BOR121" s="1"/>
      <c r="BOS121" s="1"/>
      <c r="BOT121" s="1"/>
      <c r="BOU121" s="1"/>
      <c r="BOV121" s="1"/>
      <c r="BOW121" s="1"/>
      <c r="BOX121" s="1"/>
      <c r="BOY121" s="1"/>
      <c r="BOZ121" s="1"/>
      <c r="BPA121" s="1"/>
      <c r="BPB121" s="1"/>
      <c r="BPC121" s="1"/>
      <c r="BPD121" s="1"/>
      <c r="BPE121" s="1"/>
      <c r="BPF121" s="1"/>
      <c r="BPG121" s="1"/>
      <c r="BPH121" s="1"/>
      <c r="BPI121" s="1"/>
      <c r="BPJ121" s="1"/>
      <c r="BPK121" s="1"/>
      <c r="BPL121" s="1"/>
      <c r="BPM121" s="1"/>
      <c r="BPN121" s="1"/>
      <c r="BPO121" s="1"/>
      <c r="BPP121" s="1"/>
      <c r="BPQ121" s="1"/>
      <c r="BPR121" s="1"/>
      <c r="BPS121" s="1"/>
      <c r="BPT121" s="1"/>
      <c r="BPU121" s="1"/>
      <c r="BPV121" s="1"/>
      <c r="BPW121" s="1"/>
      <c r="BPX121" s="1"/>
      <c r="BPY121" s="1"/>
      <c r="BPZ121" s="1"/>
      <c r="BQA121" s="1"/>
      <c r="BQB121" s="1"/>
      <c r="BQC121" s="1"/>
      <c r="BQD121" s="1"/>
      <c r="BQE121" s="1"/>
      <c r="BQF121" s="1"/>
      <c r="BQG121" s="1"/>
      <c r="BQH121" s="1"/>
      <c r="BQI121" s="1"/>
      <c r="BQJ121" s="1"/>
      <c r="BQK121" s="1"/>
      <c r="BQL121" s="1"/>
      <c r="BQM121" s="1"/>
      <c r="BQN121" s="1"/>
      <c r="BQO121" s="1"/>
      <c r="BQP121" s="1"/>
      <c r="BQQ121" s="1"/>
      <c r="BQR121" s="1"/>
      <c r="BQS121" s="1"/>
      <c r="BQT121" s="1"/>
      <c r="BQU121" s="1"/>
      <c r="BQV121" s="1"/>
      <c r="BQW121" s="1"/>
      <c r="BQX121" s="1"/>
      <c r="BQY121" s="1"/>
      <c r="BQZ121" s="1"/>
      <c r="BRA121" s="1"/>
      <c r="BRB121" s="1"/>
      <c r="BRC121" s="1"/>
      <c r="BRD121" s="1"/>
      <c r="BRE121" s="1"/>
      <c r="BRF121" s="1"/>
      <c r="BRG121" s="1"/>
      <c r="BRH121" s="1"/>
      <c r="BRI121" s="1"/>
      <c r="BRJ121" s="1"/>
      <c r="BRK121" s="1"/>
      <c r="BRL121" s="1"/>
      <c r="BRM121" s="1"/>
      <c r="BRN121" s="1"/>
      <c r="BRO121" s="1"/>
      <c r="BRP121" s="1"/>
      <c r="BRQ121" s="1"/>
      <c r="BRR121" s="1"/>
      <c r="BRS121" s="1"/>
      <c r="BRT121" s="1"/>
      <c r="BRU121" s="1"/>
      <c r="BRV121" s="1"/>
      <c r="BRW121" s="1"/>
      <c r="BRX121" s="1"/>
      <c r="BRY121" s="1"/>
      <c r="BRZ121" s="1"/>
      <c r="BSA121" s="1"/>
      <c r="BSB121" s="1"/>
      <c r="BSC121" s="1"/>
      <c r="BSD121" s="1"/>
      <c r="BSE121" s="1"/>
      <c r="BSF121" s="1"/>
      <c r="BSG121" s="1"/>
      <c r="BSH121" s="1"/>
      <c r="BSI121" s="1"/>
      <c r="BSJ121" s="1"/>
      <c r="BSK121" s="1"/>
      <c r="BSL121" s="1"/>
      <c r="BSM121" s="1"/>
      <c r="BSN121" s="1"/>
      <c r="BSO121" s="1"/>
      <c r="BSP121" s="1"/>
      <c r="BSQ121" s="1"/>
      <c r="BSR121" s="1"/>
      <c r="BSS121" s="1"/>
      <c r="BST121" s="1"/>
      <c r="BSU121" s="1"/>
      <c r="BSV121" s="1"/>
      <c r="BSW121" s="1"/>
      <c r="BSX121" s="1"/>
      <c r="BSY121" s="1"/>
      <c r="BSZ121" s="1"/>
      <c r="BTA121" s="1"/>
      <c r="BTB121" s="1"/>
      <c r="BTC121" s="1"/>
      <c r="BTD121" s="1"/>
      <c r="BTE121" s="1"/>
      <c r="BTF121" s="1"/>
      <c r="BTG121" s="1"/>
      <c r="BTH121" s="1"/>
      <c r="BTI121" s="1"/>
      <c r="BTJ121" s="1"/>
      <c r="BTK121" s="1"/>
      <c r="BTL121" s="1"/>
      <c r="BTM121" s="1"/>
      <c r="BTN121" s="1"/>
      <c r="BTO121" s="1"/>
      <c r="BTP121" s="1"/>
      <c r="BTQ121" s="1"/>
      <c r="BTR121" s="1"/>
      <c r="BTS121" s="1"/>
      <c r="BTT121" s="1"/>
      <c r="BTU121" s="1"/>
      <c r="BTV121" s="1"/>
      <c r="BTW121" s="1"/>
      <c r="BTX121" s="1"/>
      <c r="BTY121" s="1"/>
      <c r="BTZ121" s="1"/>
      <c r="BUA121" s="1"/>
      <c r="BUB121" s="1"/>
      <c r="BUC121" s="1"/>
      <c r="BUD121" s="1"/>
      <c r="BUE121" s="1"/>
      <c r="BUF121" s="1"/>
      <c r="BUG121" s="1"/>
      <c r="BUH121" s="1"/>
      <c r="BUI121" s="1"/>
      <c r="BUJ121" s="1"/>
      <c r="BUK121" s="1"/>
      <c r="BUL121" s="1"/>
      <c r="BUM121" s="1"/>
      <c r="BUN121" s="1"/>
      <c r="BUO121" s="1"/>
      <c r="BUP121" s="1"/>
      <c r="BUQ121" s="1"/>
      <c r="BUR121" s="1"/>
      <c r="BUS121" s="1"/>
      <c r="BUT121" s="1"/>
      <c r="BUU121" s="1"/>
      <c r="BUV121" s="1"/>
      <c r="BUW121" s="1"/>
      <c r="BUX121" s="1"/>
      <c r="BUY121" s="1"/>
      <c r="BUZ121" s="1"/>
      <c r="BVA121" s="1"/>
      <c r="BVB121" s="1"/>
      <c r="BVC121" s="1"/>
      <c r="BVD121" s="1"/>
      <c r="BVE121" s="1"/>
      <c r="BVF121" s="1"/>
      <c r="BVG121" s="1"/>
      <c r="BVH121" s="1"/>
      <c r="BVI121" s="1"/>
      <c r="BVJ121" s="1"/>
      <c r="BVK121" s="1"/>
      <c r="BVL121" s="1"/>
      <c r="BVM121" s="1"/>
      <c r="BVN121" s="1"/>
      <c r="BVO121" s="1"/>
      <c r="BVP121" s="1"/>
      <c r="BVQ121" s="1"/>
      <c r="BVR121" s="1"/>
      <c r="BVS121" s="1"/>
      <c r="BVT121" s="1"/>
      <c r="BVU121" s="1"/>
      <c r="BVV121" s="1"/>
      <c r="BVW121" s="1"/>
      <c r="BVX121" s="1"/>
      <c r="BVY121" s="1"/>
      <c r="BVZ121" s="1"/>
      <c r="BWA121" s="1"/>
      <c r="BWB121" s="1"/>
      <c r="BWC121" s="1"/>
      <c r="BWD121" s="1"/>
      <c r="BWE121" s="1"/>
      <c r="BWF121" s="1"/>
      <c r="BWG121" s="1"/>
      <c r="BWH121" s="1"/>
      <c r="BWI121" s="1"/>
      <c r="BWJ121" s="1"/>
      <c r="BWK121" s="1"/>
      <c r="BWL121" s="1"/>
      <c r="BWM121" s="1"/>
      <c r="BWN121" s="1"/>
      <c r="BWO121" s="1"/>
      <c r="BWP121" s="1"/>
      <c r="BWQ121" s="1"/>
      <c r="BWR121" s="1"/>
      <c r="BWS121" s="1"/>
      <c r="BWT121" s="1"/>
      <c r="BWU121" s="1"/>
      <c r="BWV121" s="1"/>
      <c r="BWW121" s="1"/>
      <c r="BWX121" s="1"/>
      <c r="BWY121" s="1"/>
      <c r="BWZ121" s="1"/>
      <c r="BXA121" s="1"/>
      <c r="BXB121" s="1"/>
      <c r="BXC121" s="1"/>
      <c r="BXD121" s="1"/>
      <c r="BXE121" s="1"/>
      <c r="BXF121" s="1"/>
      <c r="BXG121" s="1"/>
      <c r="BXH121" s="1"/>
      <c r="BXI121" s="1"/>
      <c r="BXJ121" s="1"/>
      <c r="BXK121" s="1"/>
      <c r="BXL121" s="1"/>
      <c r="BXM121" s="1"/>
      <c r="BXN121" s="1"/>
      <c r="BXO121" s="1"/>
      <c r="BXP121" s="1"/>
      <c r="BXQ121" s="1"/>
      <c r="BXR121" s="1"/>
      <c r="BXS121" s="1"/>
      <c r="BXT121" s="1"/>
      <c r="BXU121" s="1"/>
      <c r="BXV121" s="1"/>
      <c r="BXW121" s="1"/>
      <c r="BXX121" s="1"/>
      <c r="BXY121" s="1"/>
      <c r="BXZ121" s="1"/>
      <c r="BYA121" s="1"/>
      <c r="BYB121" s="1"/>
      <c r="BYC121" s="1"/>
      <c r="BYD121" s="1"/>
      <c r="BYE121" s="1"/>
      <c r="BYF121" s="1"/>
      <c r="BYG121" s="1"/>
      <c r="BYH121" s="1"/>
      <c r="BYI121" s="1"/>
      <c r="BYJ121" s="1"/>
      <c r="BYK121" s="1"/>
      <c r="BYL121" s="1"/>
      <c r="BYM121" s="1"/>
      <c r="BYN121" s="1"/>
      <c r="BYO121" s="1"/>
      <c r="BYP121" s="1"/>
      <c r="BYQ121" s="1"/>
      <c r="BYR121" s="1"/>
      <c r="BYS121" s="1"/>
      <c r="BYT121" s="1"/>
      <c r="BYU121" s="1"/>
      <c r="BYV121" s="1"/>
      <c r="BYW121" s="1"/>
      <c r="BYX121" s="1"/>
      <c r="BYY121" s="1"/>
      <c r="BYZ121" s="1"/>
      <c r="BZA121" s="1"/>
      <c r="BZB121" s="1"/>
      <c r="BZC121" s="1"/>
      <c r="BZD121" s="1"/>
      <c r="BZE121" s="1"/>
      <c r="BZF121" s="1"/>
      <c r="BZG121" s="1"/>
      <c r="BZH121" s="1"/>
      <c r="BZI121" s="1"/>
      <c r="BZJ121" s="1"/>
      <c r="BZK121" s="1"/>
      <c r="BZL121" s="1"/>
      <c r="BZM121" s="1"/>
      <c r="BZN121" s="1"/>
      <c r="BZO121" s="1"/>
      <c r="BZP121" s="1"/>
      <c r="BZQ121" s="1"/>
      <c r="BZR121" s="1"/>
      <c r="BZS121" s="1"/>
      <c r="BZT121" s="1"/>
      <c r="BZU121" s="1"/>
      <c r="BZV121" s="1"/>
      <c r="BZW121" s="1"/>
      <c r="BZX121" s="1"/>
      <c r="BZY121" s="1"/>
      <c r="BZZ121" s="1"/>
      <c r="CAA121" s="1"/>
      <c r="CAB121" s="1"/>
      <c r="CAC121" s="1"/>
      <c r="CAD121" s="1"/>
      <c r="CAE121" s="1"/>
      <c r="CAF121" s="1"/>
      <c r="CAG121" s="1"/>
      <c r="CAH121" s="1"/>
      <c r="CAI121" s="1"/>
      <c r="CAJ121" s="1"/>
      <c r="CAK121" s="1"/>
      <c r="CAL121" s="1"/>
      <c r="CAM121" s="1"/>
      <c r="CAN121" s="1"/>
      <c r="CAO121" s="1"/>
      <c r="CAP121" s="1"/>
      <c r="CAQ121" s="1"/>
      <c r="CAR121" s="1"/>
      <c r="CAS121" s="1"/>
      <c r="CAT121" s="1"/>
      <c r="CAU121" s="1"/>
      <c r="CAV121" s="1"/>
      <c r="CAW121" s="1"/>
      <c r="CAX121" s="1"/>
      <c r="CAY121" s="1"/>
      <c r="CAZ121" s="1"/>
      <c r="CBA121" s="1"/>
      <c r="CBB121" s="1"/>
      <c r="CBC121" s="1"/>
      <c r="CBD121" s="1"/>
      <c r="CBE121" s="1"/>
      <c r="CBF121" s="1"/>
      <c r="CBG121" s="1"/>
      <c r="CBH121" s="1"/>
      <c r="CBI121" s="1"/>
      <c r="CBJ121" s="1"/>
      <c r="CBK121" s="1"/>
      <c r="CBL121" s="1"/>
      <c r="CBM121" s="1"/>
      <c r="CBN121" s="1"/>
      <c r="CBO121" s="1"/>
      <c r="CBP121" s="1"/>
      <c r="CBQ121" s="1"/>
      <c r="CBR121" s="1"/>
      <c r="CBS121" s="1"/>
      <c r="CBT121" s="1"/>
      <c r="CBU121" s="1"/>
      <c r="CBV121" s="1"/>
      <c r="CBW121" s="1"/>
      <c r="CBX121" s="1"/>
      <c r="CBY121" s="1"/>
      <c r="CBZ121" s="1"/>
      <c r="CCA121" s="1"/>
      <c r="CCB121" s="1"/>
      <c r="CCC121" s="1"/>
      <c r="CCD121" s="1"/>
      <c r="CCE121" s="1"/>
      <c r="CCF121" s="1"/>
      <c r="CCG121" s="1"/>
      <c r="CCH121" s="1"/>
      <c r="CCI121" s="1"/>
      <c r="CCJ121" s="1"/>
      <c r="CCK121" s="1"/>
      <c r="CCL121" s="1"/>
      <c r="CCM121" s="1"/>
      <c r="CCN121" s="1"/>
      <c r="CCO121" s="1"/>
      <c r="CCP121" s="1"/>
      <c r="CCQ121" s="1"/>
      <c r="CCR121" s="1"/>
      <c r="CCS121" s="1"/>
      <c r="CCT121" s="1"/>
      <c r="CCU121" s="1"/>
      <c r="CCV121" s="1"/>
      <c r="CCW121" s="1"/>
      <c r="CCX121" s="1"/>
      <c r="CCY121" s="1"/>
      <c r="CCZ121" s="1"/>
      <c r="CDA121" s="1"/>
      <c r="CDB121" s="1"/>
      <c r="CDC121" s="1"/>
      <c r="CDD121" s="1"/>
      <c r="CDE121" s="1"/>
      <c r="CDF121" s="1"/>
      <c r="CDG121" s="1"/>
      <c r="CDH121" s="1"/>
      <c r="CDI121" s="1"/>
      <c r="CDJ121" s="1"/>
      <c r="CDK121" s="1"/>
      <c r="CDL121" s="1"/>
      <c r="CDM121" s="1"/>
      <c r="CDN121" s="1"/>
      <c r="CDO121" s="1"/>
      <c r="CDP121" s="1"/>
      <c r="CDQ121" s="1"/>
      <c r="CDR121" s="1"/>
      <c r="CDS121" s="1"/>
      <c r="CDT121" s="1"/>
      <c r="CDU121" s="1"/>
      <c r="CDV121" s="1"/>
      <c r="CDW121" s="1"/>
      <c r="CDX121" s="1"/>
      <c r="CDY121" s="1"/>
      <c r="CDZ121" s="1"/>
      <c r="CEA121" s="1"/>
      <c r="CEB121" s="1"/>
      <c r="CEC121" s="1"/>
      <c r="CED121" s="1"/>
      <c r="CEE121" s="1"/>
      <c r="CEF121" s="1"/>
      <c r="CEG121" s="1"/>
      <c r="CEH121" s="1"/>
      <c r="CEI121" s="1"/>
      <c r="CEJ121" s="1"/>
      <c r="CEK121" s="1"/>
      <c r="CEL121" s="1"/>
      <c r="CEM121" s="1"/>
      <c r="CEN121" s="1"/>
      <c r="CEO121" s="1"/>
      <c r="CEP121" s="1"/>
      <c r="CEQ121" s="1"/>
      <c r="CER121" s="1"/>
      <c r="CES121" s="1"/>
      <c r="CET121" s="1"/>
      <c r="CEU121" s="1"/>
      <c r="CEV121" s="1"/>
      <c r="CEW121" s="1"/>
      <c r="CEX121" s="1"/>
      <c r="CEY121" s="1"/>
      <c r="CEZ121" s="1"/>
      <c r="CFA121" s="1"/>
      <c r="CFB121" s="1"/>
      <c r="CFC121" s="1"/>
      <c r="CFD121" s="1"/>
      <c r="CFE121" s="1"/>
      <c r="CFF121" s="1"/>
      <c r="CFG121" s="1"/>
      <c r="CFH121" s="1"/>
      <c r="CFI121" s="1"/>
      <c r="CFJ121" s="1"/>
      <c r="CFK121" s="1"/>
      <c r="CFL121" s="1"/>
      <c r="CFM121" s="1"/>
      <c r="CFN121" s="1"/>
      <c r="CFO121" s="1"/>
      <c r="CFP121" s="1"/>
      <c r="CFQ121" s="1"/>
      <c r="CFR121" s="1"/>
      <c r="CFS121" s="1"/>
      <c r="CFT121" s="1"/>
      <c r="CFU121" s="1"/>
      <c r="CFV121" s="1"/>
      <c r="CFW121" s="1"/>
      <c r="CFX121" s="1"/>
      <c r="CFY121" s="1"/>
      <c r="CFZ121" s="1"/>
      <c r="CGA121" s="1"/>
      <c r="CGB121" s="1"/>
      <c r="CGC121" s="1"/>
      <c r="CGD121" s="1"/>
      <c r="CGE121" s="1"/>
      <c r="CGF121" s="1"/>
      <c r="CGG121" s="1"/>
      <c r="CGH121" s="1"/>
      <c r="CGI121" s="1"/>
      <c r="CGJ121" s="1"/>
      <c r="CGK121" s="1"/>
      <c r="CGL121" s="1"/>
      <c r="CGM121" s="1"/>
      <c r="CGN121" s="1"/>
      <c r="CGO121" s="1"/>
      <c r="CGP121" s="1"/>
      <c r="CGQ121" s="1"/>
      <c r="CGR121" s="1"/>
      <c r="CGS121" s="1"/>
      <c r="CGT121" s="1"/>
      <c r="CGU121" s="1"/>
      <c r="CGV121" s="1"/>
      <c r="CGW121" s="1"/>
      <c r="CGX121" s="1"/>
      <c r="CGY121" s="1"/>
      <c r="CGZ121" s="1"/>
      <c r="CHA121" s="1"/>
      <c r="CHB121" s="1"/>
      <c r="CHC121" s="1"/>
      <c r="CHD121" s="1"/>
      <c r="CHE121" s="1"/>
      <c r="CHF121" s="1"/>
      <c r="CHG121" s="1"/>
      <c r="CHH121" s="1"/>
      <c r="CHI121" s="1"/>
      <c r="CHJ121" s="1"/>
      <c r="CHK121" s="1"/>
      <c r="CHL121" s="1"/>
      <c r="CHM121" s="1"/>
      <c r="CHN121" s="1"/>
      <c r="CHO121" s="1"/>
      <c r="CHP121" s="1"/>
      <c r="CHQ121" s="1"/>
      <c r="CHR121" s="1"/>
      <c r="CHS121" s="1"/>
      <c r="CHT121" s="1"/>
      <c r="CHU121" s="1"/>
      <c r="CHV121" s="1"/>
      <c r="CHW121" s="1"/>
      <c r="CHX121" s="1"/>
      <c r="CHY121" s="1"/>
      <c r="CHZ121" s="1"/>
      <c r="CIA121" s="1"/>
      <c r="CIB121" s="1"/>
      <c r="CIC121" s="1"/>
      <c r="CID121" s="1"/>
      <c r="CIE121" s="1"/>
      <c r="CIF121" s="1"/>
      <c r="CIG121" s="1"/>
      <c r="CIH121" s="1"/>
      <c r="CII121" s="1"/>
      <c r="CIJ121" s="1"/>
      <c r="CIK121" s="1"/>
      <c r="CIL121" s="1"/>
      <c r="CIM121" s="1"/>
      <c r="CIN121" s="1"/>
      <c r="CIO121" s="1"/>
      <c r="CIP121" s="1"/>
      <c r="CIQ121" s="1"/>
      <c r="CIR121" s="1"/>
      <c r="CIS121" s="1"/>
      <c r="CIT121" s="1"/>
      <c r="CIU121" s="1"/>
      <c r="CIV121" s="1"/>
      <c r="CIW121" s="1"/>
      <c r="CIX121" s="1"/>
      <c r="CIY121" s="1"/>
      <c r="CIZ121" s="1"/>
      <c r="CJA121" s="1"/>
      <c r="CJB121" s="1"/>
      <c r="CJC121" s="1"/>
      <c r="CJD121" s="1"/>
      <c r="CJE121" s="1"/>
      <c r="CJF121" s="1"/>
      <c r="CJG121" s="1"/>
      <c r="CJH121" s="1"/>
      <c r="CJI121" s="1"/>
      <c r="CJJ121" s="1"/>
      <c r="CJK121" s="1"/>
      <c r="CJL121" s="1"/>
      <c r="CJM121" s="1"/>
      <c r="CJN121" s="1"/>
      <c r="CJO121" s="1"/>
      <c r="CJP121" s="1"/>
      <c r="CJQ121" s="1"/>
      <c r="CJR121" s="1"/>
      <c r="CJS121" s="1"/>
      <c r="CJT121" s="1"/>
      <c r="CJU121" s="1"/>
      <c r="CJV121" s="1"/>
      <c r="CJW121" s="1"/>
      <c r="CJX121" s="1"/>
      <c r="CJY121" s="1"/>
      <c r="CJZ121" s="1"/>
      <c r="CKA121" s="1"/>
      <c r="CKB121" s="1"/>
      <c r="CKC121" s="1"/>
      <c r="CKD121" s="1"/>
      <c r="CKE121" s="1"/>
      <c r="CKF121" s="1"/>
      <c r="CKG121" s="1"/>
      <c r="CKH121" s="1"/>
      <c r="CKI121" s="1"/>
      <c r="CKJ121" s="1"/>
      <c r="CKK121" s="1"/>
      <c r="CKL121" s="1"/>
      <c r="CKM121" s="1"/>
      <c r="CKN121" s="1"/>
      <c r="CKO121" s="1"/>
      <c r="CKP121" s="1"/>
      <c r="CKQ121" s="1"/>
      <c r="CKR121" s="1"/>
      <c r="CKS121" s="1"/>
      <c r="CKT121" s="1"/>
      <c r="CKU121" s="1"/>
      <c r="CKV121" s="1"/>
      <c r="CKW121" s="1"/>
      <c r="CKX121" s="1"/>
      <c r="CKY121" s="1"/>
      <c r="CKZ121" s="1"/>
      <c r="CLA121" s="1"/>
      <c r="CLB121" s="1"/>
      <c r="CLC121" s="1"/>
      <c r="CLD121" s="1"/>
      <c r="CLE121" s="1"/>
      <c r="CLF121" s="1"/>
      <c r="CLG121" s="1"/>
      <c r="CLH121" s="1"/>
      <c r="CLI121" s="1"/>
      <c r="CLJ121" s="1"/>
      <c r="CLK121" s="1"/>
      <c r="CLL121" s="1"/>
      <c r="CLM121" s="1"/>
      <c r="CLN121" s="1"/>
      <c r="CLO121" s="1"/>
      <c r="CLP121" s="1"/>
      <c r="CLQ121" s="1"/>
      <c r="CLR121" s="1"/>
      <c r="CLS121" s="1"/>
      <c r="CLT121" s="1"/>
      <c r="CLU121" s="1"/>
      <c r="CLV121" s="1"/>
      <c r="CLW121" s="1"/>
      <c r="CLX121" s="1"/>
      <c r="CLY121" s="1"/>
      <c r="CLZ121" s="1"/>
      <c r="CMA121" s="1"/>
      <c r="CMB121" s="1"/>
      <c r="CMC121" s="1"/>
      <c r="CMD121" s="1"/>
      <c r="CME121" s="1"/>
      <c r="CMF121" s="1"/>
      <c r="CMG121" s="1"/>
      <c r="CMH121" s="1"/>
      <c r="CMI121" s="1"/>
      <c r="CMJ121" s="1"/>
      <c r="CMK121" s="1"/>
      <c r="CML121" s="1"/>
      <c r="CMM121" s="1"/>
      <c r="CMN121" s="1"/>
      <c r="CMO121" s="1"/>
      <c r="CMP121" s="1"/>
      <c r="CMQ121" s="1"/>
      <c r="CMR121" s="1"/>
      <c r="CMS121" s="1"/>
      <c r="CMT121" s="1"/>
      <c r="CMU121" s="1"/>
      <c r="CMV121" s="1"/>
      <c r="CMW121" s="1"/>
      <c r="CMX121" s="1"/>
      <c r="CMY121" s="1"/>
      <c r="CMZ121" s="1"/>
      <c r="CNA121" s="1"/>
      <c r="CNB121" s="1"/>
      <c r="CNC121" s="1"/>
      <c r="CND121" s="1"/>
      <c r="CNE121" s="1"/>
      <c r="CNF121" s="1"/>
      <c r="CNG121" s="1"/>
      <c r="CNH121" s="1"/>
      <c r="CNI121" s="1"/>
      <c r="CNJ121" s="1"/>
      <c r="CNK121" s="1"/>
      <c r="CNL121" s="1"/>
      <c r="CNM121" s="1"/>
      <c r="CNN121" s="1"/>
      <c r="CNO121" s="1"/>
      <c r="CNP121" s="1"/>
      <c r="CNQ121" s="1"/>
      <c r="CNR121" s="1"/>
      <c r="CNS121" s="1"/>
      <c r="CNT121" s="1"/>
      <c r="CNU121" s="1"/>
      <c r="CNV121" s="1"/>
      <c r="CNW121" s="1"/>
      <c r="CNX121" s="1"/>
      <c r="CNY121" s="1"/>
      <c r="CNZ121" s="1"/>
      <c r="COA121" s="1"/>
      <c r="COB121" s="1"/>
      <c r="COC121" s="1"/>
      <c r="COD121" s="1"/>
      <c r="COE121" s="1"/>
      <c r="COF121" s="1"/>
      <c r="COG121" s="1"/>
      <c r="COH121" s="1"/>
      <c r="COI121" s="1"/>
      <c r="COJ121" s="1"/>
      <c r="COK121" s="1"/>
      <c r="COL121" s="1"/>
      <c r="COM121" s="1"/>
      <c r="CON121" s="1"/>
      <c r="COO121" s="1"/>
      <c r="COP121" s="1"/>
      <c r="COQ121" s="1"/>
      <c r="COR121" s="1"/>
      <c r="COS121" s="1"/>
      <c r="COT121" s="1"/>
      <c r="COU121" s="1"/>
      <c r="COV121" s="1"/>
      <c r="COW121" s="1"/>
      <c r="COX121" s="1"/>
      <c r="COY121" s="1"/>
      <c r="COZ121" s="1"/>
      <c r="CPA121" s="1"/>
      <c r="CPB121" s="1"/>
      <c r="CPC121" s="1"/>
      <c r="CPD121" s="1"/>
      <c r="CPE121" s="1"/>
      <c r="CPF121" s="1"/>
      <c r="CPG121" s="1"/>
      <c r="CPH121" s="1"/>
      <c r="CPI121" s="1"/>
      <c r="CPJ121" s="1"/>
      <c r="CPK121" s="1"/>
      <c r="CPL121" s="1"/>
      <c r="CPM121" s="1"/>
      <c r="CPN121" s="1"/>
      <c r="CPO121" s="1"/>
      <c r="CPP121" s="1"/>
      <c r="CPQ121" s="1"/>
      <c r="CPR121" s="1"/>
      <c r="CPS121" s="1"/>
      <c r="CPT121" s="1"/>
      <c r="CPU121" s="1"/>
      <c r="CPV121" s="1"/>
      <c r="CPW121" s="1"/>
      <c r="CPX121" s="1"/>
      <c r="CPY121" s="1"/>
      <c r="CPZ121" s="1"/>
      <c r="CQA121" s="1"/>
      <c r="CQB121" s="1"/>
      <c r="CQC121" s="1"/>
      <c r="CQD121" s="1"/>
      <c r="CQE121" s="1"/>
      <c r="CQF121" s="1"/>
      <c r="CQG121" s="1"/>
      <c r="CQH121" s="1"/>
      <c r="CQI121" s="1"/>
      <c r="CQJ121" s="1"/>
      <c r="CQK121" s="1"/>
      <c r="CQL121" s="1"/>
      <c r="CQM121" s="1"/>
      <c r="CQN121" s="1"/>
      <c r="CQO121" s="1"/>
      <c r="CQP121" s="1"/>
      <c r="CQQ121" s="1"/>
      <c r="CQR121" s="1"/>
      <c r="CQS121" s="1"/>
      <c r="CQT121" s="1"/>
      <c r="CQU121" s="1"/>
      <c r="CQV121" s="1"/>
      <c r="CQW121" s="1"/>
      <c r="CQX121" s="1"/>
      <c r="CQY121" s="1"/>
      <c r="CQZ121" s="1"/>
      <c r="CRA121" s="1"/>
      <c r="CRB121" s="1"/>
      <c r="CRC121" s="1"/>
      <c r="CRD121" s="1"/>
      <c r="CRE121" s="1"/>
      <c r="CRF121" s="1"/>
      <c r="CRG121" s="1"/>
      <c r="CRH121" s="1"/>
      <c r="CRI121" s="1"/>
      <c r="CRJ121" s="1"/>
      <c r="CRK121" s="1"/>
      <c r="CRL121" s="1"/>
      <c r="CRM121" s="1"/>
      <c r="CRN121" s="1"/>
      <c r="CRO121" s="1"/>
      <c r="CRP121" s="1"/>
      <c r="CRQ121" s="1"/>
      <c r="CRR121" s="1"/>
      <c r="CRS121" s="1"/>
      <c r="CRT121" s="1"/>
      <c r="CRU121" s="1"/>
      <c r="CRV121" s="1"/>
      <c r="CRW121" s="1"/>
      <c r="CRX121" s="1"/>
      <c r="CRY121" s="1"/>
      <c r="CRZ121" s="1"/>
      <c r="CSA121" s="1"/>
      <c r="CSB121" s="1"/>
      <c r="CSC121" s="1"/>
      <c r="CSD121" s="1"/>
      <c r="CSE121" s="1"/>
      <c r="CSF121" s="1"/>
      <c r="CSG121" s="1"/>
      <c r="CSH121" s="1"/>
      <c r="CSI121" s="1"/>
      <c r="CSJ121" s="1"/>
      <c r="CSK121" s="1"/>
      <c r="CSL121" s="1"/>
      <c r="CSM121" s="1"/>
      <c r="CSN121" s="1"/>
      <c r="CSO121" s="1"/>
      <c r="CSP121" s="1"/>
      <c r="CSQ121" s="1"/>
      <c r="CSR121" s="1"/>
      <c r="CSS121" s="1"/>
      <c r="CST121" s="1"/>
      <c r="CSU121" s="1"/>
      <c r="CSV121" s="1"/>
      <c r="CSW121" s="1"/>
      <c r="CSX121" s="1"/>
      <c r="CSY121" s="1"/>
      <c r="CSZ121" s="1"/>
      <c r="CTA121" s="1"/>
      <c r="CTB121" s="1"/>
      <c r="CTC121" s="1"/>
      <c r="CTD121" s="1"/>
      <c r="CTE121" s="1"/>
      <c r="CTF121" s="1"/>
      <c r="CTG121" s="1"/>
      <c r="CTH121" s="1"/>
      <c r="CTI121" s="1"/>
      <c r="CTJ121" s="1"/>
      <c r="CTK121" s="1"/>
      <c r="CTL121" s="1"/>
      <c r="CTM121" s="1"/>
      <c r="CTN121" s="1"/>
      <c r="CTO121" s="1"/>
      <c r="CTP121" s="1"/>
      <c r="CTQ121" s="1"/>
      <c r="CTR121" s="1"/>
      <c r="CTS121" s="1"/>
      <c r="CTT121" s="1"/>
      <c r="CTU121" s="1"/>
      <c r="CTV121" s="1"/>
      <c r="CTW121" s="1"/>
      <c r="CTX121" s="1"/>
      <c r="CTY121" s="1"/>
      <c r="CTZ121" s="1"/>
      <c r="CUA121" s="1"/>
      <c r="CUB121" s="1"/>
      <c r="CUC121" s="1"/>
      <c r="CUD121" s="1"/>
      <c r="CUE121" s="1"/>
      <c r="CUF121" s="1"/>
      <c r="CUG121" s="1"/>
      <c r="CUH121" s="1"/>
      <c r="CUI121" s="1"/>
      <c r="CUJ121" s="1"/>
      <c r="CUK121" s="1"/>
      <c r="CUL121" s="1"/>
      <c r="CUM121" s="1"/>
      <c r="CUN121" s="1"/>
      <c r="CUO121" s="1"/>
      <c r="CUP121" s="1"/>
      <c r="CUQ121" s="1"/>
      <c r="CUR121" s="1"/>
      <c r="CUS121" s="1"/>
      <c r="CUT121" s="1"/>
      <c r="CUU121" s="1"/>
      <c r="CUV121" s="1"/>
      <c r="CUW121" s="1"/>
      <c r="CUX121" s="1"/>
      <c r="CUY121" s="1"/>
      <c r="CUZ121" s="1"/>
      <c r="CVA121" s="1"/>
      <c r="CVB121" s="1"/>
      <c r="CVC121" s="1"/>
      <c r="CVD121" s="1"/>
      <c r="CVE121" s="1"/>
      <c r="CVF121" s="1"/>
      <c r="CVG121" s="1"/>
      <c r="CVH121" s="1"/>
      <c r="CVI121" s="1"/>
      <c r="CVJ121" s="1"/>
      <c r="CVK121" s="1"/>
      <c r="CVL121" s="1"/>
      <c r="CVM121" s="1"/>
      <c r="CVN121" s="1"/>
      <c r="CVO121" s="1"/>
      <c r="CVP121" s="1"/>
      <c r="CVQ121" s="1"/>
      <c r="CVR121" s="1"/>
      <c r="CVS121" s="1"/>
      <c r="CVT121" s="1"/>
      <c r="CVU121" s="1"/>
      <c r="CVV121" s="1"/>
      <c r="CVW121" s="1"/>
      <c r="CVX121" s="1"/>
      <c r="CVY121" s="1"/>
      <c r="CVZ121" s="1"/>
      <c r="CWA121" s="1"/>
      <c r="CWB121" s="1"/>
      <c r="CWC121" s="1"/>
      <c r="CWD121" s="1"/>
      <c r="CWE121" s="1"/>
      <c r="CWF121" s="1"/>
      <c r="CWG121" s="1"/>
      <c r="CWH121" s="1"/>
      <c r="CWI121" s="1"/>
      <c r="CWJ121" s="1"/>
      <c r="CWK121" s="1"/>
      <c r="CWL121" s="1"/>
      <c r="CWM121" s="1"/>
      <c r="CWN121" s="1"/>
      <c r="CWO121" s="1"/>
      <c r="CWP121" s="1"/>
      <c r="CWQ121" s="1"/>
      <c r="CWR121" s="1"/>
      <c r="CWS121" s="1"/>
      <c r="CWT121" s="1"/>
      <c r="CWU121" s="1"/>
      <c r="CWV121" s="1"/>
      <c r="CWW121" s="1"/>
      <c r="CWX121" s="1"/>
      <c r="CWY121" s="1"/>
      <c r="CWZ121" s="1"/>
      <c r="CXA121" s="1"/>
      <c r="CXB121" s="1"/>
      <c r="CXC121" s="1"/>
      <c r="CXD121" s="1"/>
      <c r="CXE121" s="1"/>
      <c r="CXF121" s="1"/>
      <c r="CXG121" s="1"/>
      <c r="CXH121" s="1"/>
      <c r="CXI121" s="1"/>
      <c r="CXJ121" s="1"/>
      <c r="CXK121" s="1"/>
      <c r="CXL121" s="1"/>
      <c r="CXM121" s="1"/>
      <c r="CXN121" s="1"/>
      <c r="CXO121" s="1"/>
      <c r="CXP121" s="1"/>
      <c r="CXQ121" s="1"/>
      <c r="CXR121" s="1"/>
      <c r="CXS121" s="1"/>
      <c r="CXT121" s="1"/>
      <c r="CXU121" s="1"/>
      <c r="CXV121" s="1"/>
      <c r="CXW121" s="1"/>
      <c r="CXX121" s="1"/>
      <c r="CXY121" s="1"/>
      <c r="CXZ121" s="1"/>
      <c r="CYA121" s="1"/>
      <c r="CYB121" s="1"/>
      <c r="CYC121" s="1"/>
      <c r="CYD121" s="1"/>
      <c r="CYE121" s="1"/>
      <c r="CYF121" s="1"/>
      <c r="CYG121" s="1"/>
      <c r="CYH121" s="1"/>
      <c r="CYI121" s="1"/>
      <c r="CYJ121" s="1"/>
      <c r="CYK121" s="1"/>
      <c r="CYL121" s="1"/>
      <c r="CYM121" s="1"/>
      <c r="CYN121" s="1"/>
      <c r="CYO121" s="1"/>
      <c r="CYP121" s="1"/>
      <c r="CYQ121" s="1"/>
      <c r="CYR121" s="1"/>
      <c r="CYS121" s="1"/>
      <c r="CYT121" s="1"/>
      <c r="CYU121" s="1"/>
      <c r="CYV121" s="1"/>
      <c r="CYW121" s="1"/>
      <c r="CYX121" s="1"/>
      <c r="CYY121" s="1"/>
      <c r="CYZ121" s="1"/>
      <c r="CZA121" s="1"/>
      <c r="CZB121" s="1"/>
      <c r="CZC121" s="1"/>
      <c r="CZD121" s="1"/>
      <c r="CZE121" s="1"/>
      <c r="CZF121" s="1"/>
      <c r="CZG121" s="1"/>
      <c r="CZH121" s="1"/>
      <c r="CZI121" s="1"/>
      <c r="CZJ121" s="1"/>
      <c r="CZK121" s="1"/>
      <c r="CZL121" s="1"/>
      <c r="CZM121" s="1"/>
      <c r="CZN121" s="1"/>
      <c r="CZO121" s="1"/>
      <c r="CZP121" s="1"/>
      <c r="CZQ121" s="1"/>
      <c r="CZR121" s="1"/>
      <c r="CZS121" s="1"/>
      <c r="CZT121" s="1"/>
      <c r="CZU121" s="1"/>
      <c r="CZV121" s="1"/>
      <c r="CZW121" s="1"/>
      <c r="CZX121" s="1"/>
      <c r="CZY121" s="1"/>
      <c r="CZZ121" s="1"/>
      <c r="DAA121" s="1"/>
      <c r="DAB121" s="1"/>
      <c r="DAC121" s="1"/>
      <c r="DAD121" s="1"/>
      <c r="DAE121" s="1"/>
      <c r="DAF121" s="1"/>
      <c r="DAG121" s="1"/>
      <c r="DAH121" s="1"/>
      <c r="DAI121" s="1"/>
      <c r="DAJ121" s="1"/>
      <c r="DAK121" s="1"/>
      <c r="DAL121" s="1"/>
      <c r="DAM121" s="1"/>
      <c r="DAN121" s="1"/>
      <c r="DAO121" s="1"/>
      <c r="DAP121" s="1"/>
      <c r="DAQ121" s="1"/>
      <c r="DAR121" s="1"/>
      <c r="DAS121" s="1"/>
      <c r="DAT121" s="1"/>
      <c r="DAU121" s="1"/>
      <c r="DAV121" s="1"/>
      <c r="DAW121" s="1"/>
      <c r="DAX121" s="1"/>
      <c r="DAY121" s="1"/>
      <c r="DAZ121" s="1"/>
      <c r="DBA121" s="1"/>
      <c r="DBB121" s="1"/>
      <c r="DBC121" s="1"/>
      <c r="DBD121" s="1"/>
      <c r="DBE121" s="1"/>
      <c r="DBF121" s="1"/>
      <c r="DBG121" s="1"/>
      <c r="DBH121" s="1"/>
      <c r="DBI121" s="1"/>
      <c r="DBJ121" s="1"/>
      <c r="DBK121" s="1"/>
      <c r="DBL121" s="1"/>
      <c r="DBM121" s="1"/>
      <c r="DBN121" s="1"/>
      <c r="DBO121" s="1"/>
      <c r="DBP121" s="1"/>
      <c r="DBQ121" s="1"/>
      <c r="DBR121" s="1"/>
      <c r="DBS121" s="1"/>
      <c r="DBT121" s="1"/>
      <c r="DBU121" s="1"/>
      <c r="DBV121" s="1"/>
      <c r="DBW121" s="1"/>
      <c r="DBX121" s="1"/>
      <c r="DBY121" s="1"/>
      <c r="DBZ121" s="1"/>
      <c r="DCA121" s="1"/>
      <c r="DCB121" s="1"/>
      <c r="DCC121" s="1"/>
      <c r="DCD121" s="1"/>
      <c r="DCE121" s="1"/>
      <c r="DCF121" s="1"/>
      <c r="DCG121" s="1"/>
      <c r="DCH121" s="1"/>
      <c r="DCI121" s="1"/>
      <c r="DCJ121" s="1"/>
      <c r="DCK121" s="1"/>
      <c r="DCL121" s="1"/>
      <c r="DCM121" s="1"/>
      <c r="DCN121" s="1"/>
      <c r="DCO121" s="1"/>
      <c r="DCP121" s="1"/>
      <c r="DCQ121" s="1"/>
      <c r="DCR121" s="1"/>
      <c r="DCS121" s="1"/>
      <c r="DCT121" s="1"/>
      <c r="DCU121" s="1"/>
      <c r="DCV121" s="1"/>
      <c r="DCW121" s="1"/>
      <c r="DCX121" s="1"/>
      <c r="DCY121" s="1"/>
      <c r="DCZ121" s="1"/>
      <c r="DDA121" s="1"/>
      <c r="DDB121" s="1"/>
      <c r="DDC121" s="1"/>
      <c r="DDD121" s="1"/>
      <c r="DDE121" s="1"/>
      <c r="DDF121" s="1"/>
      <c r="DDG121" s="1"/>
      <c r="DDH121" s="1"/>
      <c r="DDI121" s="1"/>
      <c r="DDJ121" s="1"/>
      <c r="DDK121" s="1"/>
      <c r="DDL121" s="1"/>
      <c r="DDM121" s="1"/>
      <c r="DDN121" s="1"/>
      <c r="DDO121" s="1"/>
      <c r="DDP121" s="1"/>
      <c r="DDQ121" s="1"/>
      <c r="DDR121" s="1"/>
      <c r="DDS121" s="1"/>
      <c r="DDT121" s="1"/>
      <c r="DDU121" s="1"/>
      <c r="DDV121" s="1"/>
      <c r="DDW121" s="1"/>
      <c r="DDX121" s="1"/>
      <c r="DDY121" s="1"/>
      <c r="DDZ121" s="1"/>
      <c r="DEA121" s="1"/>
      <c r="DEB121" s="1"/>
      <c r="DEC121" s="1"/>
      <c r="DED121" s="1"/>
      <c r="DEE121" s="1"/>
      <c r="DEF121" s="1"/>
      <c r="DEG121" s="1"/>
      <c r="DEH121" s="1"/>
      <c r="DEI121" s="1"/>
      <c r="DEJ121" s="1"/>
      <c r="DEK121" s="1"/>
      <c r="DEL121" s="1"/>
      <c r="DEM121" s="1"/>
      <c r="DEN121" s="1"/>
      <c r="DEO121" s="1"/>
      <c r="DEP121" s="1"/>
      <c r="DEQ121" s="1"/>
      <c r="DER121" s="1"/>
      <c r="DES121" s="1"/>
      <c r="DET121" s="1"/>
      <c r="DEU121" s="1"/>
      <c r="DEV121" s="1"/>
      <c r="DEW121" s="1"/>
      <c r="DEX121" s="1"/>
      <c r="DEY121" s="1"/>
      <c r="DEZ121" s="1"/>
      <c r="DFA121" s="1"/>
      <c r="DFB121" s="1"/>
      <c r="DFC121" s="1"/>
      <c r="DFD121" s="1"/>
      <c r="DFE121" s="1"/>
      <c r="DFF121" s="1"/>
      <c r="DFG121" s="1"/>
      <c r="DFH121" s="1"/>
      <c r="DFI121" s="1"/>
      <c r="DFJ121" s="1"/>
      <c r="DFK121" s="1"/>
      <c r="DFL121" s="1"/>
      <c r="DFM121" s="1"/>
      <c r="DFN121" s="1"/>
      <c r="DFO121" s="1"/>
      <c r="DFP121" s="1"/>
      <c r="DFQ121" s="1"/>
      <c r="DFR121" s="1"/>
      <c r="DFS121" s="1"/>
      <c r="DFT121" s="1"/>
      <c r="DFU121" s="1"/>
      <c r="DFV121" s="1"/>
      <c r="DFW121" s="1"/>
      <c r="DFX121" s="1"/>
      <c r="DFY121" s="1"/>
      <c r="DFZ121" s="1"/>
      <c r="DGA121" s="1"/>
      <c r="DGB121" s="1"/>
      <c r="DGC121" s="1"/>
      <c r="DGD121" s="1"/>
      <c r="DGE121" s="1"/>
      <c r="DGF121" s="1"/>
      <c r="DGG121" s="1"/>
      <c r="DGH121" s="1"/>
      <c r="DGI121" s="1"/>
      <c r="DGJ121" s="1"/>
      <c r="DGK121" s="1"/>
      <c r="DGL121" s="1"/>
      <c r="DGM121" s="1"/>
      <c r="DGN121" s="1"/>
      <c r="DGO121" s="1"/>
      <c r="DGP121" s="1"/>
      <c r="DGQ121" s="1"/>
      <c r="DGR121" s="1"/>
      <c r="DGS121" s="1"/>
      <c r="DGT121" s="1"/>
      <c r="DGU121" s="1"/>
      <c r="DGV121" s="1"/>
      <c r="DGW121" s="1"/>
      <c r="DGX121" s="1"/>
      <c r="DGY121" s="1"/>
      <c r="DGZ121" s="1"/>
      <c r="DHA121" s="1"/>
      <c r="DHB121" s="1"/>
      <c r="DHC121" s="1"/>
      <c r="DHD121" s="1"/>
      <c r="DHE121" s="1"/>
      <c r="DHF121" s="1"/>
      <c r="DHG121" s="1"/>
      <c r="DHH121" s="1"/>
      <c r="DHI121" s="1"/>
      <c r="DHJ121" s="1"/>
      <c r="DHK121" s="1"/>
      <c r="DHL121" s="1"/>
      <c r="DHM121" s="1"/>
      <c r="DHN121" s="1"/>
      <c r="DHO121" s="1"/>
      <c r="DHP121" s="1"/>
      <c r="DHQ121" s="1"/>
      <c r="DHR121" s="1"/>
      <c r="DHS121" s="1"/>
      <c r="DHT121" s="1"/>
      <c r="DHU121" s="1"/>
      <c r="DHV121" s="1"/>
      <c r="DHW121" s="1"/>
      <c r="DHX121" s="1"/>
      <c r="DHY121" s="1"/>
      <c r="DHZ121" s="1"/>
      <c r="DIA121" s="1"/>
      <c r="DIB121" s="1"/>
      <c r="DIC121" s="1"/>
      <c r="DID121" s="1"/>
      <c r="DIE121" s="1"/>
      <c r="DIF121" s="1"/>
      <c r="DIG121" s="1"/>
      <c r="DIH121" s="1"/>
      <c r="DII121" s="1"/>
      <c r="DIJ121" s="1"/>
      <c r="DIK121" s="1"/>
      <c r="DIL121" s="1"/>
      <c r="DIM121" s="1"/>
      <c r="DIN121" s="1"/>
      <c r="DIO121" s="1"/>
      <c r="DIP121" s="1"/>
      <c r="DIQ121" s="1"/>
      <c r="DIR121" s="1"/>
      <c r="DIS121" s="1"/>
      <c r="DIT121" s="1"/>
      <c r="DIU121" s="1"/>
      <c r="DIV121" s="1"/>
      <c r="DIW121" s="1"/>
      <c r="DIX121" s="1"/>
      <c r="DIY121" s="1"/>
      <c r="DIZ121" s="1"/>
      <c r="DJA121" s="1"/>
      <c r="DJB121" s="1"/>
      <c r="DJC121" s="1"/>
      <c r="DJD121" s="1"/>
      <c r="DJE121" s="1"/>
      <c r="DJF121" s="1"/>
      <c r="DJG121" s="1"/>
      <c r="DJH121" s="1"/>
      <c r="DJI121" s="1"/>
      <c r="DJJ121" s="1"/>
      <c r="DJK121" s="1"/>
      <c r="DJL121" s="1"/>
      <c r="DJM121" s="1"/>
      <c r="DJN121" s="1"/>
      <c r="DJO121" s="1"/>
      <c r="DJP121" s="1"/>
      <c r="DJQ121" s="1"/>
      <c r="DJR121" s="1"/>
      <c r="DJS121" s="1"/>
      <c r="DJT121" s="1"/>
      <c r="DJU121" s="1"/>
      <c r="DJV121" s="1"/>
      <c r="DJW121" s="1"/>
      <c r="DJX121" s="1"/>
      <c r="DJY121" s="1"/>
      <c r="DJZ121" s="1"/>
      <c r="DKA121" s="1"/>
      <c r="DKB121" s="1"/>
      <c r="DKC121" s="1"/>
      <c r="DKD121" s="1"/>
      <c r="DKE121" s="1"/>
      <c r="DKF121" s="1"/>
      <c r="DKG121" s="1"/>
      <c r="DKH121" s="1"/>
      <c r="DKI121" s="1"/>
      <c r="DKJ121" s="1"/>
      <c r="DKK121" s="1"/>
      <c r="DKL121" s="1"/>
      <c r="DKM121" s="1"/>
      <c r="DKN121" s="1"/>
      <c r="DKO121" s="1"/>
      <c r="DKP121" s="1"/>
      <c r="DKQ121" s="1"/>
      <c r="DKR121" s="1"/>
      <c r="DKS121" s="1"/>
      <c r="DKT121" s="1"/>
      <c r="DKU121" s="1"/>
      <c r="DKV121" s="1"/>
      <c r="DKW121" s="1"/>
      <c r="DKX121" s="1"/>
      <c r="DKY121" s="1"/>
      <c r="DKZ121" s="1"/>
      <c r="DLA121" s="1"/>
      <c r="DLB121" s="1"/>
      <c r="DLC121" s="1"/>
      <c r="DLD121" s="1"/>
      <c r="DLE121" s="1"/>
      <c r="DLF121" s="1"/>
      <c r="DLG121" s="1"/>
      <c r="DLH121" s="1"/>
      <c r="DLI121" s="1"/>
      <c r="DLJ121" s="1"/>
      <c r="DLK121" s="1"/>
      <c r="DLL121" s="1"/>
      <c r="DLM121" s="1"/>
      <c r="DLN121" s="1"/>
      <c r="DLO121" s="1"/>
      <c r="DLP121" s="1"/>
      <c r="DLQ121" s="1"/>
      <c r="DLR121" s="1"/>
      <c r="DLS121" s="1"/>
      <c r="DLT121" s="1"/>
      <c r="DLU121" s="1"/>
      <c r="DLV121" s="1"/>
      <c r="DLW121" s="1"/>
      <c r="DLX121" s="1"/>
      <c r="DLY121" s="1"/>
      <c r="DLZ121" s="1"/>
      <c r="DMA121" s="1"/>
      <c r="DMB121" s="1"/>
      <c r="DMC121" s="1"/>
      <c r="DMD121" s="1"/>
      <c r="DME121" s="1"/>
      <c r="DMF121" s="1"/>
      <c r="DMG121" s="1"/>
      <c r="DMH121" s="1"/>
      <c r="DMI121" s="1"/>
      <c r="DMJ121" s="1"/>
      <c r="DMK121" s="1"/>
      <c r="DML121" s="1"/>
      <c r="DMM121" s="1"/>
      <c r="DMN121" s="1"/>
      <c r="DMO121" s="1"/>
      <c r="DMP121" s="1"/>
      <c r="DMQ121" s="1"/>
      <c r="DMR121" s="1"/>
      <c r="DMS121" s="1"/>
      <c r="DMT121" s="1"/>
      <c r="DMU121" s="1"/>
      <c r="DMV121" s="1"/>
      <c r="DMW121" s="1"/>
      <c r="DMX121" s="1"/>
      <c r="DMY121" s="1"/>
      <c r="DMZ121" s="1"/>
      <c r="DNA121" s="1"/>
      <c r="DNB121" s="1"/>
      <c r="DNC121" s="1"/>
      <c r="DND121" s="1"/>
      <c r="DNE121" s="1"/>
      <c r="DNF121" s="1"/>
      <c r="DNG121" s="1"/>
      <c r="DNH121" s="1"/>
      <c r="DNI121" s="1"/>
      <c r="DNJ121" s="1"/>
      <c r="DNK121" s="1"/>
      <c r="DNL121" s="1"/>
      <c r="DNM121" s="1"/>
      <c r="DNN121" s="1"/>
      <c r="DNO121" s="1"/>
      <c r="DNP121" s="1"/>
      <c r="DNQ121" s="1"/>
      <c r="DNR121" s="1"/>
      <c r="DNS121" s="1"/>
      <c r="DNT121" s="1"/>
      <c r="DNU121" s="1"/>
      <c r="DNV121" s="1"/>
      <c r="DNW121" s="1"/>
      <c r="DNX121" s="1"/>
      <c r="DNY121" s="1"/>
      <c r="DNZ121" s="1"/>
      <c r="DOA121" s="1"/>
      <c r="DOB121" s="1"/>
      <c r="DOC121" s="1"/>
      <c r="DOD121" s="1"/>
      <c r="DOE121" s="1"/>
      <c r="DOF121" s="1"/>
      <c r="DOG121" s="1"/>
      <c r="DOH121" s="1"/>
      <c r="DOI121" s="1"/>
      <c r="DOJ121" s="1"/>
      <c r="DOK121" s="1"/>
      <c r="DOL121" s="1"/>
      <c r="DOM121" s="1"/>
      <c r="DON121" s="1"/>
      <c r="DOO121" s="1"/>
      <c r="DOP121" s="1"/>
      <c r="DOQ121" s="1"/>
      <c r="DOR121" s="1"/>
      <c r="DOS121" s="1"/>
      <c r="DOT121" s="1"/>
      <c r="DOU121" s="1"/>
      <c r="DOV121" s="1"/>
      <c r="DOW121" s="1"/>
      <c r="DOX121" s="1"/>
      <c r="DOY121" s="1"/>
      <c r="DOZ121" s="1"/>
      <c r="DPA121" s="1"/>
      <c r="DPB121" s="1"/>
      <c r="DPC121" s="1"/>
      <c r="DPD121" s="1"/>
      <c r="DPE121" s="1"/>
      <c r="DPF121" s="1"/>
      <c r="DPG121" s="1"/>
      <c r="DPH121" s="1"/>
      <c r="DPI121" s="1"/>
      <c r="DPJ121" s="1"/>
      <c r="DPK121" s="1"/>
      <c r="DPL121" s="1"/>
      <c r="DPM121" s="1"/>
      <c r="DPN121" s="1"/>
      <c r="DPO121" s="1"/>
      <c r="DPP121" s="1"/>
      <c r="DPQ121" s="1"/>
      <c r="DPR121" s="1"/>
      <c r="DPS121" s="1"/>
      <c r="DPT121" s="1"/>
      <c r="DPU121" s="1"/>
      <c r="DPV121" s="1"/>
      <c r="DPW121" s="1"/>
      <c r="DPX121" s="1"/>
      <c r="DPY121" s="1"/>
      <c r="DPZ121" s="1"/>
      <c r="DQA121" s="1"/>
      <c r="DQB121" s="1"/>
      <c r="DQC121" s="1"/>
      <c r="DQD121" s="1"/>
      <c r="DQE121" s="1"/>
      <c r="DQF121" s="1"/>
      <c r="DQG121" s="1"/>
      <c r="DQH121" s="1"/>
      <c r="DQI121" s="1"/>
      <c r="DQJ121" s="1"/>
      <c r="DQK121" s="1"/>
      <c r="DQL121" s="1"/>
      <c r="DQM121" s="1"/>
      <c r="DQN121" s="1"/>
      <c r="DQO121" s="1"/>
      <c r="DQP121" s="1"/>
      <c r="DQQ121" s="1"/>
      <c r="DQR121" s="1"/>
      <c r="DQS121" s="1"/>
      <c r="DQT121" s="1"/>
      <c r="DQU121" s="1"/>
      <c r="DQV121" s="1"/>
      <c r="DQW121" s="1"/>
      <c r="DQX121" s="1"/>
      <c r="DQY121" s="1"/>
      <c r="DQZ121" s="1"/>
      <c r="DRA121" s="1"/>
      <c r="DRB121" s="1"/>
      <c r="DRC121" s="1"/>
      <c r="DRD121" s="1"/>
      <c r="DRE121" s="1"/>
      <c r="DRF121" s="1"/>
      <c r="DRG121" s="1"/>
      <c r="DRH121" s="1"/>
      <c r="DRI121" s="1"/>
      <c r="DRJ121" s="1"/>
      <c r="DRK121" s="1"/>
      <c r="DRL121" s="1"/>
      <c r="DRM121" s="1"/>
      <c r="DRN121" s="1"/>
      <c r="DRO121" s="1"/>
      <c r="DRP121" s="1"/>
      <c r="DRQ121" s="1"/>
      <c r="DRR121" s="1"/>
      <c r="DRS121" s="1"/>
      <c r="DRT121" s="1"/>
      <c r="DRU121" s="1"/>
      <c r="DRV121" s="1"/>
      <c r="DRW121" s="1"/>
      <c r="DRX121" s="1"/>
      <c r="DRY121" s="1"/>
      <c r="DRZ121" s="1"/>
      <c r="DSA121" s="1"/>
      <c r="DSB121" s="1"/>
      <c r="DSC121" s="1"/>
      <c r="DSD121" s="1"/>
      <c r="DSE121" s="1"/>
      <c r="DSF121" s="1"/>
      <c r="DSG121" s="1"/>
      <c r="DSH121" s="1"/>
      <c r="DSI121" s="1"/>
      <c r="DSJ121" s="1"/>
      <c r="DSK121" s="1"/>
      <c r="DSL121" s="1"/>
      <c r="DSM121" s="1"/>
      <c r="DSN121" s="1"/>
      <c r="DSO121" s="1"/>
      <c r="DSP121" s="1"/>
      <c r="DSQ121" s="1"/>
      <c r="DSR121" s="1"/>
      <c r="DSS121" s="1"/>
      <c r="DST121" s="1"/>
      <c r="DSU121" s="1"/>
      <c r="DSV121" s="1"/>
      <c r="DSW121" s="1"/>
      <c r="DSX121" s="1"/>
      <c r="DSY121" s="1"/>
      <c r="DSZ121" s="1"/>
      <c r="DTA121" s="1"/>
      <c r="DTB121" s="1"/>
      <c r="DTC121" s="1"/>
      <c r="DTD121" s="1"/>
      <c r="DTE121" s="1"/>
      <c r="DTF121" s="1"/>
      <c r="DTG121" s="1"/>
      <c r="DTH121" s="1"/>
      <c r="DTI121" s="1"/>
      <c r="DTJ121" s="1"/>
      <c r="DTK121" s="1"/>
      <c r="DTL121" s="1"/>
      <c r="DTM121" s="1"/>
      <c r="DTN121" s="1"/>
      <c r="DTO121" s="1"/>
      <c r="DTP121" s="1"/>
      <c r="DTQ121" s="1"/>
      <c r="DTR121" s="1"/>
      <c r="DTS121" s="1"/>
      <c r="DTT121" s="1"/>
      <c r="DTU121" s="1"/>
      <c r="DTV121" s="1"/>
      <c r="DTW121" s="1"/>
      <c r="DTX121" s="1"/>
      <c r="DTY121" s="1"/>
      <c r="DTZ121" s="1"/>
      <c r="DUA121" s="1"/>
      <c r="DUB121" s="1"/>
      <c r="DUC121" s="1"/>
      <c r="DUD121" s="1"/>
      <c r="DUE121" s="1"/>
      <c r="DUF121" s="1"/>
      <c r="DUG121" s="1"/>
      <c r="DUH121" s="1"/>
      <c r="DUI121" s="1"/>
      <c r="DUJ121" s="1"/>
      <c r="DUK121" s="1"/>
      <c r="DUL121" s="1"/>
      <c r="DUM121" s="1"/>
      <c r="DUN121" s="1"/>
      <c r="DUO121" s="1"/>
      <c r="DUP121" s="1"/>
      <c r="DUQ121" s="1"/>
      <c r="DUR121" s="1"/>
      <c r="DUS121" s="1"/>
      <c r="DUT121" s="1"/>
      <c r="DUU121" s="1"/>
      <c r="DUV121" s="1"/>
      <c r="DUW121" s="1"/>
      <c r="DUX121" s="1"/>
      <c r="DUY121" s="1"/>
      <c r="DUZ121" s="1"/>
      <c r="DVA121" s="1"/>
      <c r="DVB121" s="1"/>
      <c r="DVC121" s="1"/>
      <c r="DVD121" s="1"/>
      <c r="DVE121" s="1"/>
      <c r="DVF121" s="1"/>
      <c r="DVG121" s="1"/>
      <c r="DVH121" s="1"/>
      <c r="DVI121" s="1"/>
      <c r="DVJ121" s="1"/>
      <c r="DVK121" s="1"/>
      <c r="DVL121" s="1"/>
      <c r="DVM121" s="1"/>
      <c r="DVN121" s="1"/>
      <c r="DVO121" s="1"/>
      <c r="DVP121" s="1"/>
      <c r="DVQ121" s="1"/>
      <c r="DVR121" s="1"/>
      <c r="DVS121" s="1"/>
      <c r="DVT121" s="1"/>
      <c r="DVU121" s="1"/>
      <c r="DVV121" s="1"/>
      <c r="DVW121" s="1"/>
      <c r="DVX121" s="1"/>
      <c r="DVY121" s="1"/>
      <c r="DVZ121" s="1"/>
      <c r="DWA121" s="1"/>
      <c r="DWB121" s="1"/>
      <c r="DWC121" s="1"/>
      <c r="DWD121" s="1"/>
      <c r="DWE121" s="1"/>
      <c r="DWF121" s="1"/>
      <c r="DWG121" s="1"/>
      <c r="DWH121" s="1"/>
      <c r="DWI121" s="1"/>
      <c r="DWJ121" s="1"/>
      <c r="DWK121" s="1"/>
      <c r="DWL121" s="1"/>
      <c r="DWM121" s="1"/>
      <c r="DWN121" s="1"/>
      <c r="DWO121" s="1"/>
      <c r="DWP121" s="1"/>
      <c r="DWQ121" s="1"/>
      <c r="DWR121" s="1"/>
      <c r="DWS121" s="1"/>
      <c r="DWT121" s="1"/>
      <c r="DWU121" s="1"/>
      <c r="DWV121" s="1"/>
      <c r="DWW121" s="1"/>
      <c r="DWX121" s="1"/>
      <c r="DWY121" s="1"/>
      <c r="DWZ121" s="1"/>
      <c r="DXA121" s="1"/>
      <c r="DXB121" s="1"/>
      <c r="DXC121" s="1"/>
      <c r="DXD121" s="1"/>
      <c r="DXE121" s="1"/>
      <c r="DXF121" s="1"/>
      <c r="DXG121" s="1"/>
      <c r="DXH121" s="1"/>
      <c r="DXI121" s="1"/>
      <c r="DXJ121" s="1"/>
      <c r="DXK121" s="1"/>
      <c r="DXL121" s="1"/>
      <c r="DXM121" s="1"/>
      <c r="DXN121" s="1"/>
      <c r="DXO121" s="1"/>
      <c r="DXP121" s="1"/>
      <c r="DXQ121" s="1"/>
      <c r="DXR121" s="1"/>
      <c r="DXS121" s="1"/>
      <c r="DXT121" s="1"/>
      <c r="DXU121" s="1"/>
      <c r="DXV121" s="1"/>
      <c r="DXW121" s="1"/>
      <c r="DXX121" s="1"/>
      <c r="DXY121" s="1"/>
      <c r="DXZ121" s="1"/>
      <c r="DYA121" s="1"/>
      <c r="DYB121" s="1"/>
      <c r="DYC121" s="1"/>
      <c r="DYD121" s="1"/>
      <c r="DYE121" s="1"/>
      <c r="DYF121" s="1"/>
      <c r="DYG121" s="1"/>
      <c r="DYH121" s="1"/>
      <c r="DYI121" s="1"/>
      <c r="DYJ121" s="1"/>
      <c r="DYK121" s="1"/>
      <c r="DYL121" s="1"/>
      <c r="DYM121" s="1"/>
      <c r="DYN121" s="1"/>
      <c r="DYO121" s="1"/>
      <c r="DYP121" s="1"/>
      <c r="DYQ121" s="1"/>
      <c r="DYR121" s="1"/>
      <c r="DYS121" s="1"/>
      <c r="DYT121" s="1"/>
      <c r="DYU121" s="1"/>
      <c r="DYV121" s="1"/>
      <c r="DYW121" s="1"/>
      <c r="DYX121" s="1"/>
      <c r="DYY121" s="1"/>
      <c r="DYZ121" s="1"/>
      <c r="DZA121" s="1"/>
      <c r="DZB121" s="1"/>
      <c r="DZC121" s="1"/>
      <c r="DZD121" s="1"/>
      <c r="DZE121" s="1"/>
      <c r="DZF121" s="1"/>
      <c r="DZG121" s="1"/>
      <c r="DZH121" s="1"/>
      <c r="DZI121" s="1"/>
      <c r="DZJ121" s="1"/>
      <c r="DZK121" s="1"/>
      <c r="DZL121" s="1"/>
      <c r="DZM121" s="1"/>
      <c r="DZN121" s="1"/>
      <c r="DZO121" s="1"/>
      <c r="DZP121" s="1"/>
      <c r="DZQ121" s="1"/>
      <c r="DZR121" s="1"/>
      <c r="DZS121" s="1"/>
      <c r="DZT121" s="1"/>
      <c r="DZU121" s="1"/>
      <c r="DZV121" s="1"/>
      <c r="DZW121" s="1"/>
      <c r="DZX121" s="1"/>
      <c r="DZY121" s="1"/>
      <c r="DZZ121" s="1"/>
      <c r="EAA121" s="1"/>
      <c r="EAB121" s="1"/>
      <c r="EAC121" s="1"/>
      <c r="EAD121" s="1"/>
      <c r="EAE121" s="1"/>
      <c r="EAF121" s="1"/>
      <c r="EAG121" s="1"/>
      <c r="EAH121" s="1"/>
      <c r="EAI121" s="1"/>
      <c r="EAJ121" s="1"/>
      <c r="EAK121" s="1"/>
      <c r="EAL121" s="1"/>
      <c r="EAM121" s="1"/>
      <c r="EAN121" s="1"/>
      <c r="EAO121" s="1"/>
      <c r="EAP121" s="1"/>
      <c r="EAQ121" s="1"/>
      <c r="EAR121" s="1"/>
      <c r="EAS121" s="1"/>
      <c r="EAT121" s="1"/>
      <c r="EAU121" s="1"/>
      <c r="EAV121" s="1"/>
      <c r="EAW121" s="1"/>
      <c r="EAX121" s="1"/>
      <c r="EAY121" s="1"/>
      <c r="EAZ121" s="1"/>
      <c r="EBA121" s="1"/>
      <c r="EBB121" s="1"/>
      <c r="EBC121" s="1"/>
      <c r="EBD121" s="1"/>
      <c r="EBE121" s="1"/>
      <c r="EBF121" s="1"/>
      <c r="EBG121" s="1"/>
      <c r="EBH121" s="1"/>
      <c r="EBI121" s="1"/>
      <c r="EBJ121" s="1"/>
      <c r="EBK121" s="1"/>
      <c r="EBL121" s="1"/>
      <c r="EBM121" s="1"/>
      <c r="EBN121" s="1"/>
      <c r="EBO121" s="1"/>
      <c r="EBP121" s="1"/>
      <c r="EBQ121" s="1"/>
      <c r="EBR121" s="1"/>
      <c r="EBS121" s="1"/>
      <c r="EBT121" s="1"/>
      <c r="EBU121" s="1"/>
      <c r="EBV121" s="1"/>
      <c r="EBW121" s="1"/>
      <c r="EBX121" s="1"/>
      <c r="EBY121" s="1"/>
      <c r="EBZ121" s="1"/>
      <c r="ECA121" s="1"/>
      <c r="ECB121" s="1"/>
      <c r="ECC121" s="1"/>
      <c r="ECD121" s="1"/>
      <c r="ECE121" s="1"/>
      <c r="ECF121" s="1"/>
      <c r="ECG121" s="1"/>
      <c r="ECH121" s="1"/>
      <c r="ECI121" s="1"/>
      <c r="ECJ121" s="1"/>
      <c r="ECK121" s="1"/>
      <c r="ECL121" s="1"/>
      <c r="ECM121" s="1"/>
      <c r="ECN121" s="1"/>
      <c r="ECO121" s="1"/>
      <c r="ECP121" s="1"/>
      <c r="ECQ121" s="1"/>
      <c r="ECR121" s="1"/>
      <c r="ECS121" s="1"/>
      <c r="ECT121" s="1"/>
      <c r="ECU121" s="1"/>
      <c r="ECV121" s="1"/>
      <c r="ECW121" s="1"/>
      <c r="ECX121" s="1"/>
      <c r="ECY121" s="1"/>
      <c r="ECZ121" s="1"/>
      <c r="EDA121" s="1"/>
      <c r="EDB121" s="1"/>
      <c r="EDC121" s="1"/>
      <c r="EDD121" s="1"/>
      <c r="EDE121" s="1"/>
      <c r="EDF121" s="1"/>
      <c r="EDG121" s="1"/>
      <c r="EDH121" s="1"/>
      <c r="EDI121" s="1"/>
      <c r="EDJ121" s="1"/>
      <c r="EDK121" s="1"/>
      <c r="EDL121" s="1"/>
      <c r="EDM121" s="1"/>
      <c r="EDN121" s="1"/>
      <c r="EDO121" s="1"/>
      <c r="EDP121" s="1"/>
      <c r="EDQ121" s="1"/>
      <c r="EDR121" s="1"/>
      <c r="EDS121" s="1"/>
      <c r="EDT121" s="1"/>
      <c r="EDU121" s="1"/>
      <c r="EDV121" s="1"/>
      <c r="EDW121" s="1"/>
      <c r="EDX121" s="1"/>
      <c r="EDY121" s="1"/>
      <c r="EDZ121" s="1"/>
      <c r="EEA121" s="1"/>
      <c r="EEB121" s="1"/>
      <c r="EEC121" s="1"/>
      <c r="EED121" s="1"/>
      <c r="EEE121" s="1"/>
      <c r="EEF121" s="1"/>
      <c r="EEG121" s="1"/>
      <c r="EEH121" s="1"/>
      <c r="EEI121" s="1"/>
      <c r="EEJ121" s="1"/>
      <c r="EEK121" s="1"/>
      <c r="EEL121" s="1"/>
      <c r="EEM121" s="1"/>
      <c r="EEN121" s="1"/>
      <c r="EEO121" s="1"/>
      <c r="EEP121" s="1"/>
      <c r="EEQ121" s="1"/>
      <c r="EER121" s="1"/>
      <c r="EES121" s="1"/>
      <c r="EET121" s="1"/>
      <c r="EEU121" s="1"/>
      <c r="EEV121" s="1"/>
      <c r="EEW121" s="1"/>
      <c r="EEX121" s="1"/>
      <c r="EEY121" s="1"/>
      <c r="EEZ121" s="1"/>
      <c r="EFA121" s="1"/>
      <c r="EFB121" s="1"/>
      <c r="EFC121" s="1"/>
      <c r="EFD121" s="1"/>
      <c r="EFE121" s="1"/>
      <c r="EFF121" s="1"/>
      <c r="EFG121" s="1"/>
      <c r="EFH121" s="1"/>
      <c r="EFI121" s="1"/>
      <c r="EFJ121" s="1"/>
      <c r="EFK121" s="1"/>
      <c r="EFL121" s="1"/>
      <c r="EFM121" s="1"/>
      <c r="EFN121" s="1"/>
      <c r="EFO121" s="1"/>
      <c r="EFP121" s="1"/>
      <c r="EFQ121" s="1"/>
      <c r="EFR121" s="1"/>
      <c r="EFS121" s="1"/>
      <c r="EFT121" s="1"/>
      <c r="EFU121" s="1"/>
      <c r="EFV121" s="1"/>
      <c r="EFW121" s="1"/>
      <c r="EFX121" s="1"/>
      <c r="EFY121" s="1"/>
      <c r="EFZ121" s="1"/>
      <c r="EGA121" s="1"/>
      <c r="EGB121" s="1"/>
      <c r="EGC121" s="1"/>
      <c r="EGD121" s="1"/>
      <c r="EGE121" s="1"/>
      <c r="EGF121" s="1"/>
      <c r="EGG121" s="1"/>
      <c r="EGH121" s="1"/>
      <c r="EGI121" s="1"/>
      <c r="EGJ121" s="1"/>
      <c r="EGK121" s="1"/>
      <c r="EGL121" s="1"/>
      <c r="EGM121" s="1"/>
      <c r="EGN121" s="1"/>
      <c r="EGO121" s="1"/>
      <c r="EGP121" s="1"/>
      <c r="EGQ121" s="1"/>
      <c r="EGR121" s="1"/>
      <c r="EGS121" s="1"/>
      <c r="EGT121" s="1"/>
      <c r="EGU121" s="1"/>
      <c r="EGV121" s="1"/>
      <c r="EGW121" s="1"/>
      <c r="EGX121" s="1"/>
      <c r="EGY121" s="1"/>
      <c r="EGZ121" s="1"/>
      <c r="EHA121" s="1"/>
      <c r="EHB121" s="1"/>
      <c r="EHC121" s="1"/>
      <c r="EHD121" s="1"/>
      <c r="EHE121" s="1"/>
      <c r="EHF121" s="1"/>
      <c r="EHG121" s="1"/>
      <c r="EHH121" s="1"/>
      <c r="EHI121" s="1"/>
      <c r="EHJ121" s="1"/>
      <c r="EHK121" s="1"/>
      <c r="EHL121" s="1"/>
      <c r="EHM121" s="1"/>
      <c r="EHN121" s="1"/>
      <c r="EHO121" s="1"/>
      <c r="EHP121" s="1"/>
      <c r="EHQ121" s="1"/>
      <c r="EHR121" s="1"/>
      <c r="EHS121" s="1"/>
      <c r="EHT121" s="1"/>
      <c r="EHU121" s="1"/>
      <c r="EHV121" s="1"/>
      <c r="EHW121" s="1"/>
      <c r="EHX121" s="1"/>
      <c r="EHY121" s="1"/>
      <c r="EHZ121" s="1"/>
      <c r="EIA121" s="1"/>
      <c r="EIB121" s="1"/>
      <c r="EIC121" s="1"/>
      <c r="EID121" s="1"/>
      <c r="EIE121" s="1"/>
      <c r="EIF121" s="1"/>
      <c r="EIG121" s="1"/>
      <c r="EIH121" s="1"/>
      <c r="EII121" s="1"/>
      <c r="EIJ121" s="1"/>
      <c r="EIK121" s="1"/>
      <c r="EIL121" s="1"/>
      <c r="EIM121" s="1"/>
      <c r="EIN121" s="1"/>
      <c r="EIO121" s="1"/>
      <c r="EIP121" s="1"/>
      <c r="EIQ121" s="1"/>
      <c r="EIR121" s="1"/>
      <c r="EIS121" s="1"/>
      <c r="EIT121" s="1"/>
      <c r="EIU121" s="1"/>
      <c r="EIV121" s="1"/>
      <c r="EIW121" s="1"/>
      <c r="EIX121" s="1"/>
      <c r="EIY121" s="1"/>
      <c r="EIZ121" s="1"/>
      <c r="EJA121" s="1"/>
      <c r="EJB121" s="1"/>
      <c r="EJC121" s="1"/>
      <c r="EJD121" s="1"/>
      <c r="EJE121" s="1"/>
      <c r="EJF121" s="1"/>
      <c r="EJG121" s="1"/>
      <c r="EJH121" s="1"/>
      <c r="EJI121" s="1"/>
      <c r="EJJ121" s="1"/>
      <c r="EJK121" s="1"/>
      <c r="EJL121" s="1"/>
      <c r="EJM121" s="1"/>
      <c r="EJN121" s="1"/>
      <c r="EJO121" s="1"/>
      <c r="EJP121" s="1"/>
      <c r="EJQ121" s="1"/>
      <c r="EJR121" s="1"/>
      <c r="EJS121" s="1"/>
      <c r="EJT121" s="1"/>
      <c r="EJU121" s="1"/>
      <c r="EJV121" s="1"/>
      <c r="EJW121" s="1"/>
      <c r="EJX121" s="1"/>
      <c r="EJY121" s="1"/>
      <c r="EJZ121" s="1"/>
      <c r="EKA121" s="1"/>
      <c r="EKB121" s="1"/>
      <c r="EKC121" s="1"/>
      <c r="EKD121" s="1"/>
      <c r="EKE121" s="1"/>
      <c r="EKF121" s="1"/>
      <c r="EKG121" s="1"/>
      <c r="EKH121" s="1"/>
      <c r="EKI121" s="1"/>
      <c r="EKJ121" s="1"/>
      <c r="EKK121" s="1"/>
      <c r="EKL121" s="1"/>
      <c r="EKM121" s="1"/>
      <c r="EKN121" s="1"/>
      <c r="EKO121" s="1"/>
      <c r="EKP121" s="1"/>
      <c r="EKQ121" s="1"/>
      <c r="EKR121" s="1"/>
      <c r="EKS121" s="1"/>
      <c r="EKT121" s="1"/>
      <c r="EKU121" s="1"/>
      <c r="EKV121" s="1"/>
      <c r="EKW121" s="1"/>
      <c r="EKX121" s="1"/>
      <c r="EKY121" s="1"/>
      <c r="EKZ121" s="1"/>
      <c r="ELA121" s="1"/>
      <c r="ELB121" s="1"/>
      <c r="ELC121" s="1"/>
      <c r="ELD121" s="1"/>
      <c r="ELE121" s="1"/>
      <c r="ELF121" s="1"/>
      <c r="ELG121" s="1"/>
      <c r="ELH121" s="1"/>
      <c r="ELI121" s="1"/>
      <c r="ELJ121" s="1"/>
      <c r="ELK121" s="1"/>
      <c r="ELL121" s="1"/>
      <c r="ELM121" s="1"/>
      <c r="ELN121" s="1"/>
      <c r="ELO121" s="1"/>
      <c r="ELP121" s="1"/>
      <c r="ELQ121" s="1"/>
      <c r="ELR121" s="1"/>
      <c r="ELS121" s="1"/>
      <c r="ELT121" s="1"/>
      <c r="ELU121" s="1"/>
      <c r="ELV121" s="1"/>
      <c r="ELW121" s="1"/>
      <c r="ELX121" s="1"/>
      <c r="ELY121" s="1"/>
      <c r="ELZ121" s="1"/>
      <c r="EMA121" s="1"/>
      <c r="EMB121" s="1"/>
      <c r="EMC121" s="1"/>
      <c r="EMD121" s="1"/>
      <c r="EME121" s="1"/>
      <c r="EMF121" s="1"/>
      <c r="EMG121" s="1"/>
      <c r="EMH121" s="1"/>
      <c r="EMI121" s="1"/>
      <c r="EMJ121" s="1"/>
      <c r="EMK121" s="1"/>
      <c r="EML121" s="1"/>
      <c r="EMM121" s="1"/>
      <c r="EMN121" s="1"/>
      <c r="EMO121" s="1"/>
      <c r="EMP121" s="1"/>
      <c r="EMQ121" s="1"/>
      <c r="EMR121" s="1"/>
      <c r="EMS121" s="1"/>
      <c r="EMT121" s="1"/>
      <c r="EMU121" s="1"/>
      <c r="EMV121" s="1"/>
      <c r="EMW121" s="1"/>
      <c r="EMX121" s="1"/>
      <c r="EMY121" s="1"/>
      <c r="EMZ121" s="1"/>
      <c r="ENA121" s="1"/>
      <c r="ENB121" s="1"/>
      <c r="ENC121" s="1"/>
      <c r="END121" s="1"/>
      <c r="ENE121" s="1"/>
      <c r="ENF121" s="1"/>
      <c r="ENG121" s="1"/>
      <c r="ENH121" s="1"/>
      <c r="ENI121" s="1"/>
      <c r="ENJ121" s="1"/>
      <c r="ENK121" s="1"/>
      <c r="ENL121" s="1"/>
      <c r="ENM121" s="1"/>
      <c r="ENN121" s="1"/>
      <c r="ENO121" s="1"/>
      <c r="ENP121" s="1"/>
      <c r="ENQ121" s="1"/>
      <c r="ENR121" s="1"/>
      <c r="ENS121" s="1"/>
      <c r="ENT121" s="1"/>
      <c r="ENU121" s="1"/>
      <c r="ENV121" s="1"/>
      <c r="ENW121" s="1"/>
      <c r="ENX121" s="1"/>
      <c r="ENY121" s="1"/>
      <c r="ENZ121" s="1"/>
      <c r="EOA121" s="1"/>
      <c r="EOB121" s="1"/>
      <c r="EOC121" s="1"/>
      <c r="EOD121" s="1"/>
      <c r="EOE121" s="1"/>
      <c r="EOF121" s="1"/>
      <c r="EOG121" s="1"/>
      <c r="EOH121" s="1"/>
      <c r="EOI121" s="1"/>
      <c r="EOJ121" s="1"/>
      <c r="EOK121" s="1"/>
      <c r="EOL121" s="1"/>
      <c r="EOM121" s="1"/>
      <c r="EON121" s="1"/>
      <c r="EOO121" s="1"/>
      <c r="EOP121" s="1"/>
      <c r="EOQ121" s="1"/>
      <c r="EOR121" s="1"/>
      <c r="EOS121" s="1"/>
      <c r="EOT121" s="1"/>
      <c r="EOU121" s="1"/>
      <c r="EOV121" s="1"/>
      <c r="EOW121" s="1"/>
      <c r="EOX121" s="1"/>
      <c r="EOY121" s="1"/>
      <c r="EOZ121" s="1"/>
      <c r="EPA121" s="1"/>
      <c r="EPB121" s="1"/>
      <c r="EPC121" s="1"/>
      <c r="EPD121" s="1"/>
      <c r="EPE121" s="1"/>
      <c r="EPF121" s="1"/>
      <c r="EPG121" s="1"/>
      <c r="EPH121" s="1"/>
      <c r="EPI121" s="1"/>
      <c r="EPJ121" s="1"/>
      <c r="EPK121" s="1"/>
      <c r="EPL121" s="1"/>
      <c r="EPM121" s="1"/>
      <c r="EPN121" s="1"/>
      <c r="EPO121" s="1"/>
      <c r="EPP121" s="1"/>
      <c r="EPQ121" s="1"/>
      <c r="EPR121" s="1"/>
      <c r="EPS121" s="1"/>
      <c r="EPT121" s="1"/>
      <c r="EPU121" s="1"/>
      <c r="EPV121" s="1"/>
      <c r="EPW121" s="1"/>
      <c r="EPX121" s="1"/>
      <c r="EPY121" s="1"/>
      <c r="EPZ121" s="1"/>
      <c r="EQA121" s="1"/>
      <c r="EQB121" s="1"/>
      <c r="EQC121" s="1"/>
      <c r="EQD121" s="1"/>
      <c r="EQE121" s="1"/>
      <c r="EQF121" s="1"/>
      <c r="EQG121" s="1"/>
      <c r="EQH121" s="1"/>
      <c r="EQI121" s="1"/>
      <c r="EQJ121" s="1"/>
      <c r="EQK121" s="1"/>
      <c r="EQL121" s="1"/>
      <c r="EQM121" s="1"/>
      <c r="EQN121" s="1"/>
      <c r="EQO121" s="1"/>
      <c r="EQP121" s="1"/>
      <c r="EQQ121" s="1"/>
      <c r="EQR121" s="1"/>
      <c r="EQS121" s="1"/>
      <c r="EQT121" s="1"/>
      <c r="EQU121" s="1"/>
      <c r="EQV121" s="1"/>
      <c r="EQW121" s="1"/>
      <c r="EQX121" s="1"/>
      <c r="EQY121" s="1"/>
      <c r="EQZ121" s="1"/>
      <c r="ERA121" s="1"/>
      <c r="ERB121" s="1"/>
      <c r="ERC121" s="1"/>
      <c r="ERD121" s="1"/>
      <c r="ERE121" s="1"/>
      <c r="ERF121" s="1"/>
      <c r="ERG121" s="1"/>
      <c r="ERH121" s="1"/>
      <c r="ERI121" s="1"/>
      <c r="ERJ121" s="1"/>
      <c r="ERK121" s="1"/>
      <c r="ERL121" s="1"/>
      <c r="ERM121" s="1"/>
      <c r="ERN121" s="1"/>
      <c r="ERO121" s="1"/>
      <c r="ERP121" s="1"/>
      <c r="ERQ121" s="1"/>
      <c r="ERR121" s="1"/>
      <c r="ERS121" s="1"/>
      <c r="ERT121" s="1"/>
      <c r="ERU121" s="1"/>
      <c r="ERV121" s="1"/>
      <c r="ERW121" s="1"/>
      <c r="ERX121" s="1"/>
      <c r="ERY121" s="1"/>
      <c r="ERZ121" s="1"/>
      <c r="ESA121" s="1"/>
      <c r="ESB121" s="1"/>
      <c r="ESC121" s="1"/>
      <c r="ESD121" s="1"/>
      <c r="ESE121" s="1"/>
      <c r="ESF121" s="1"/>
      <c r="ESG121" s="1"/>
      <c r="ESH121" s="1"/>
      <c r="ESI121" s="1"/>
      <c r="ESJ121" s="1"/>
      <c r="ESK121" s="1"/>
      <c r="ESL121" s="1"/>
      <c r="ESM121" s="1"/>
      <c r="ESN121" s="1"/>
      <c r="ESO121" s="1"/>
      <c r="ESP121" s="1"/>
      <c r="ESQ121" s="1"/>
      <c r="ESR121" s="1"/>
      <c r="ESS121" s="1"/>
      <c r="EST121" s="1"/>
      <c r="ESU121" s="1"/>
      <c r="ESV121" s="1"/>
      <c r="ESW121" s="1"/>
      <c r="ESX121" s="1"/>
      <c r="ESY121" s="1"/>
      <c r="ESZ121" s="1"/>
      <c r="ETA121" s="1"/>
      <c r="ETB121" s="1"/>
      <c r="ETC121" s="1"/>
      <c r="ETD121" s="1"/>
      <c r="ETE121" s="1"/>
      <c r="ETF121" s="1"/>
      <c r="ETG121" s="1"/>
      <c r="ETH121" s="1"/>
      <c r="ETI121" s="1"/>
      <c r="ETJ121" s="1"/>
      <c r="ETK121" s="1"/>
      <c r="ETL121" s="1"/>
      <c r="ETM121" s="1"/>
      <c r="ETN121" s="1"/>
      <c r="ETO121" s="1"/>
      <c r="ETP121" s="1"/>
      <c r="ETQ121" s="1"/>
      <c r="ETR121" s="1"/>
      <c r="ETS121" s="1"/>
      <c r="ETT121" s="1"/>
      <c r="ETU121" s="1"/>
      <c r="ETV121" s="1"/>
      <c r="ETW121" s="1"/>
      <c r="ETX121" s="1"/>
      <c r="ETY121" s="1"/>
      <c r="ETZ121" s="1"/>
      <c r="EUA121" s="1"/>
      <c r="EUB121" s="1"/>
      <c r="EUC121" s="1"/>
      <c r="EUD121" s="1"/>
      <c r="EUE121" s="1"/>
      <c r="EUF121" s="1"/>
      <c r="EUG121" s="1"/>
      <c r="EUH121" s="1"/>
      <c r="EUI121" s="1"/>
      <c r="EUJ121" s="1"/>
      <c r="EUK121" s="1"/>
      <c r="EUL121" s="1"/>
      <c r="EUM121" s="1"/>
      <c r="EUN121" s="1"/>
      <c r="EUO121" s="1"/>
      <c r="EUP121" s="1"/>
      <c r="EUQ121" s="1"/>
      <c r="EUR121" s="1"/>
      <c r="EUS121" s="1"/>
      <c r="EUT121" s="1"/>
      <c r="EUU121" s="1"/>
      <c r="EUV121" s="1"/>
      <c r="EUW121" s="1"/>
      <c r="EUX121" s="1"/>
      <c r="EUY121" s="1"/>
      <c r="EUZ121" s="1"/>
      <c r="EVA121" s="1"/>
      <c r="EVB121" s="1"/>
      <c r="EVC121" s="1"/>
      <c r="EVD121" s="1"/>
      <c r="EVE121" s="1"/>
      <c r="EVF121" s="1"/>
      <c r="EVG121" s="1"/>
      <c r="EVH121" s="1"/>
      <c r="EVI121" s="1"/>
      <c r="EVJ121" s="1"/>
      <c r="EVK121" s="1"/>
      <c r="EVL121" s="1"/>
      <c r="EVM121" s="1"/>
      <c r="EVN121" s="1"/>
      <c r="EVO121" s="1"/>
      <c r="EVP121" s="1"/>
      <c r="EVQ121" s="1"/>
      <c r="EVR121" s="1"/>
      <c r="EVS121" s="1"/>
      <c r="EVT121" s="1"/>
      <c r="EVU121" s="1"/>
      <c r="EVV121" s="1"/>
      <c r="EVW121" s="1"/>
      <c r="EVX121" s="1"/>
      <c r="EVY121" s="1"/>
      <c r="EVZ121" s="1"/>
      <c r="EWA121" s="1"/>
      <c r="EWB121" s="1"/>
      <c r="EWC121" s="1"/>
      <c r="EWD121" s="1"/>
      <c r="EWE121" s="1"/>
      <c r="EWF121" s="1"/>
      <c r="EWG121" s="1"/>
      <c r="EWH121" s="1"/>
      <c r="EWI121" s="1"/>
      <c r="EWJ121" s="1"/>
      <c r="EWK121" s="1"/>
      <c r="EWL121" s="1"/>
      <c r="EWM121" s="1"/>
      <c r="EWN121" s="1"/>
      <c r="EWO121" s="1"/>
      <c r="EWP121" s="1"/>
      <c r="EWQ121" s="1"/>
      <c r="EWR121" s="1"/>
      <c r="EWS121" s="1"/>
      <c r="EWT121" s="1"/>
      <c r="EWU121" s="1"/>
      <c r="EWV121" s="1"/>
      <c r="EWW121" s="1"/>
      <c r="EWX121" s="1"/>
      <c r="EWY121" s="1"/>
      <c r="EWZ121" s="1"/>
      <c r="EXA121" s="1"/>
      <c r="EXB121" s="1"/>
      <c r="EXC121" s="1"/>
      <c r="EXD121" s="1"/>
      <c r="EXE121" s="1"/>
      <c r="EXF121" s="1"/>
      <c r="EXG121" s="1"/>
      <c r="EXH121" s="1"/>
      <c r="EXI121" s="1"/>
      <c r="EXJ121" s="1"/>
      <c r="EXK121" s="1"/>
      <c r="EXL121" s="1"/>
      <c r="EXM121" s="1"/>
      <c r="EXN121" s="1"/>
      <c r="EXO121" s="1"/>
      <c r="EXP121" s="1"/>
      <c r="EXQ121" s="1"/>
      <c r="EXR121" s="1"/>
      <c r="EXS121" s="1"/>
      <c r="EXT121" s="1"/>
      <c r="EXU121" s="1"/>
      <c r="EXV121" s="1"/>
      <c r="EXW121" s="1"/>
      <c r="EXX121" s="1"/>
      <c r="EXY121" s="1"/>
      <c r="EXZ121" s="1"/>
      <c r="EYA121" s="1"/>
      <c r="EYB121" s="1"/>
      <c r="EYC121" s="1"/>
      <c r="EYD121" s="1"/>
      <c r="EYE121" s="1"/>
      <c r="EYF121" s="1"/>
      <c r="EYG121" s="1"/>
      <c r="EYH121" s="1"/>
      <c r="EYI121" s="1"/>
      <c r="EYJ121" s="1"/>
      <c r="EYK121" s="1"/>
      <c r="EYL121" s="1"/>
      <c r="EYM121" s="1"/>
      <c r="EYN121" s="1"/>
      <c r="EYO121" s="1"/>
      <c r="EYP121" s="1"/>
      <c r="EYQ121" s="1"/>
      <c r="EYR121" s="1"/>
      <c r="EYS121" s="1"/>
      <c r="EYT121" s="1"/>
      <c r="EYU121" s="1"/>
      <c r="EYV121" s="1"/>
      <c r="EYW121" s="1"/>
      <c r="EYX121" s="1"/>
      <c r="EYY121" s="1"/>
      <c r="EYZ121" s="1"/>
      <c r="EZA121" s="1"/>
      <c r="EZB121" s="1"/>
      <c r="EZC121" s="1"/>
      <c r="EZD121" s="1"/>
      <c r="EZE121" s="1"/>
      <c r="EZF121" s="1"/>
      <c r="EZG121" s="1"/>
      <c r="EZH121" s="1"/>
      <c r="EZI121" s="1"/>
      <c r="EZJ121" s="1"/>
      <c r="EZK121" s="1"/>
      <c r="EZL121" s="1"/>
      <c r="EZM121" s="1"/>
      <c r="EZN121" s="1"/>
      <c r="EZO121" s="1"/>
      <c r="EZP121" s="1"/>
      <c r="EZQ121" s="1"/>
      <c r="EZR121" s="1"/>
      <c r="EZS121" s="1"/>
      <c r="EZT121" s="1"/>
      <c r="EZU121" s="1"/>
      <c r="EZV121" s="1"/>
      <c r="EZW121" s="1"/>
      <c r="EZX121" s="1"/>
      <c r="EZY121" s="1"/>
      <c r="EZZ121" s="1"/>
      <c r="FAA121" s="1"/>
      <c r="FAB121" s="1"/>
      <c r="FAC121" s="1"/>
      <c r="FAD121" s="1"/>
      <c r="FAE121" s="1"/>
      <c r="FAF121" s="1"/>
      <c r="FAG121" s="1"/>
      <c r="FAH121" s="1"/>
      <c r="FAI121" s="1"/>
      <c r="FAJ121" s="1"/>
      <c r="FAK121" s="1"/>
      <c r="FAL121" s="1"/>
      <c r="FAM121" s="1"/>
      <c r="FAN121" s="1"/>
      <c r="FAO121" s="1"/>
      <c r="FAP121" s="1"/>
      <c r="FAQ121" s="1"/>
      <c r="FAR121" s="1"/>
      <c r="FAS121" s="1"/>
      <c r="FAT121" s="1"/>
      <c r="FAU121" s="1"/>
      <c r="FAV121" s="1"/>
      <c r="FAW121" s="1"/>
      <c r="FAX121" s="1"/>
      <c r="FAY121" s="1"/>
      <c r="FAZ121" s="1"/>
      <c r="FBA121" s="1"/>
      <c r="FBB121" s="1"/>
      <c r="FBC121" s="1"/>
      <c r="FBD121" s="1"/>
      <c r="FBE121" s="1"/>
      <c r="FBF121" s="1"/>
      <c r="FBG121" s="1"/>
      <c r="FBH121" s="1"/>
      <c r="FBI121" s="1"/>
      <c r="FBJ121" s="1"/>
      <c r="FBK121" s="1"/>
      <c r="FBL121" s="1"/>
      <c r="FBM121" s="1"/>
      <c r="FBN121" s="1"/>
      <c r="FBO121" s="1"/>
      <c r="FBP121" s="1"/>
      <c r="FBQ121" s="1"/>
      <c r="FBR121" s="1"/>
      <c r="FBS121" s="1"/>
      <c r="FBT121" s="1"/>
      <c r="FBU121" s="1"/>
      <c r="FBV121" s="1"/>
      <c r="FBW121" s="1"/>
      <c r="FBX121" s="1"/>
      <c r="FBY121" s="1"/>
      <c r="FBZ121" s="1"/>
      <c r="FCA121" s="1"/>
      <c r="FCB121" s="1"/>
      <c r="FCC121" s="1"/>
      <c r="FCD121" s="1"/>
      <c r="FCE121" s="1"/>
      <c r="FCF121" s="1"/>
      <c r="FCG121" s="1"/>
      <c r="FCH121" s="1"/>
      <c r="FCI121" s="1"/>
      <c r="FCJ121" s="1"/>
      <c r="FCK121" s="1"/>
      <c r="FCL121" s="1"/>
      <c r="FCM121" s="1"/>
      <c r="FCN121" s="1"/>
      <c r="FCO121" s="1"/>
      <c r="FCP121" s="1"/>
      <c r="FCQ121" s="1"/>
      <c r="FCR121" s="1"/>
      <c r="FCS121" s="1"/>
      <c r="FCT121" s="1"/>
      <c r="FCU121" s="1"/>
      <c r="FCV121" s="1"/>
      <c r="FCW121" s="1"/>
      <c r="FCX121" s="1"/>
      <c r="FCY121" s="1"/>
      <c r="FCZ121" s="1"/>
      <c r="FDA121" s="1"/>
      <c r="FDB121" s="1"/>
      <c r="FDC121" s="1"/>
      <c r="FDD121" s="1"/>
      <c r="FDE121" s="1"/>
      <c r="FDF121" s="1"/>
      <c r="FDG121" s="1"/>
      <c r="FDH121" s="1"/>
      <c r="FDI121" s="1"/>
      <c r="FDJ121" s="1"/>
      <c r="FDK121" s="1"/>
      <c r="FDL121" s="1"/>
      <c r="FDM121" s="1"/>
      <c r="FDN121" s="1"/>
      <c r="FDO121" s="1"/>
      <c r="FDP121" s="1"/>
      <c r="FDQ121" s="1"/>
      <c r="FDR121" s="1"/>
      <c r="FDS121" s="1"/>
      <c r="FDT121" s="1"/>
      <c r="FDU121" s="1"/>
      <c r="FDV121" s="1"/>
      <c r="FDW121" s="1"/>
      <c r="FDX121" s="1"/>
      <c r="FDY121" s="1"/>
      <c r="FDZ121" s="1"/>
      <c r="FEA121" s="1"/>
      <c r="FEB121" s="1"/>
      <c r="FEC121" s="1"/>
      <c r="FED121" s="1"/>
      <c r="FEE121" s="1"/>
      <c r="FEF121" s="1"/>
      <c r="FEG121" s="1"/>
      <c r="FEH121" s="1"/>
      <c r="FEI121" s="1"/>
      <c r="FEJ121" s="1"/>
      <c r="FEK121" s="1"/>
      <c r="FEL121" s="1"/>
      <c r="FEM121" s="1"/>
      <c r="FEN121" s="1"/>
      <c r="FEO121" s="1"/>
      <c r="FEP121" s="1"/>
      <c r="FEQ121" s="1"/>
      <c r="FER121" s="1"/>
      <c r="FES121" s="1"/>
      <c r="FET121" s="1"/>
      <c r="FEU121" s="1"/>
      <c r="FEV121" s="1"/>
      <c r="FEW121" s="1"/>
      <c r="FEX121" s="1"/>
      <c r="FEY121" s="1"/>
      <c r="FEZ121" s="1"/>
      <c r="FFA121" s="1"/>
      <c r="FFB121" s="1"/>
      <c r="FFC121" s="1"/>
      <c r="FFD121" s="1"/>
      <c r="FFE121" s="1"/>
      <c r="FFF121" s="1"/>
      <c r="FFG121" s="1"/>
      <c r="FFH121" s="1"/>
      <c r="FFI121" s="1"/>
      <c r="FFJ121" s="1"/>
      <c r="FFK121" s="1"/>
      <c r="FFL121" s="1"/>
      <c r="FFM121" s="1"/>
      <c r="FFN121" s="1"/>
      <c r="FFO121" s="1"/>
      <c r="FFP121" s="1"/>
      <c r="FFQ121" s="1"/>
      <c r="FFR121" s="1"/>
      <c r="FFS121" s="1"/>
      <c r="FFT121" s="1"/>
      <c r="FFU121" s="1"/>
      <c r="FFV121" s="1"/>
      <c r="FFW121" s="1"/>
      <c r="FFX121" s="1"/>
      <c r="FFY121" s="1"/>
      <c r="FFZ121" s="1"/>
      <c r="FGA121" s="1"/>
      <c r="FGB121" s="1"/>
      <c r="FGC121" s="1"/>
      <c r="FGD121" s="1"/>
      <c r="FGE121" s="1"/>
      <c r="FGF121" s="1"/>
      <c r="FGG121" s="1"/>
      <c r="FGH121" s="1"/>
      <c r="FGI121" s="1"/>
      <c r="FGJ121" s="1"/>
      <c r="FGK121" s="1"/>
      <c r="FGL121" s="1"/>
      <c r="FGM121" s="1"/>
      <c r="FGN121" s="1"/>
      <c r="FGO121" s="1"/>
      <c r="FGP121" s="1"/>
      <c r="FGQ121" s="1"/>
      <c r="FGR121" s="1"/>
      <c r="FGS121" s="1"/>
      <c r="FGT121" s="1"/>
      <c r="FGU121" s="1"/>
      <c r="FGV121" s="1"/>
      <c r="FGW121" s="1"/>
      <c r="FGX121" s="1"/>
      <c r="FGY121" s="1"/>
      <c r="FGZ121" s="1"/>
      <c r="FHA121" s="1"/>
      <c r="FHB121" s="1"/>
      <c r="FHC121" s="1"/>
      <c r="FHD121" s="1"/>
      <c r="FHE121" s="1"/>
      <c r="FHF121" s="1"/>
      <c r="FHG121" s="1"/>
      <c r="FHH121" s="1"/>
      <c r="FHI121" s="1"/>
      <c r="FHJ121" s="1"/>
      <c r="FHK121" s="1"/>
      <c r="FHL121" s="1"/>
      <c r="FHM121" s="1"/>
      <c r="FHN121" s="1"/>
      <c r="FHO121" s="1"/>
      <c r="FHP121" s="1"/>
      <c r="FHQ121" s="1"/>
      <c r="FHR121" s="1"/>
      <c r="FHS121" s="1"/>
      <c r="FHT121" s="1"/>
      <c r="FHU121" s="1"/>
      <c r="FHV121" s="1"/>
      <c r="FHW121" s="1"/>
      <c r="FHX121" s="1"/>
      <c r="FHY121" s="1"/>
      <c r="FHZ121" s="1"/>
      <c r="FIA121" s="1"/>
      <c r="FIB121" s="1"/>
      <c r="FIC121" s="1"/>
      <c r="FID121" s="1"/>
      <c r="FIE121" s="1"/>
      <c r="FIF121" s="1"/>
      <c r="FIG121" s="1"/>
      <c r="FIH121" s="1"/>
      <c r="FII121" s="1"/>
      <c r="FIJ121" s="1"/>
      <c r="FIK121" s="1"/>
      <c r="FIL121" s="1"/>
      <c r="FIM121" s="1"/>
      <c r="FIN121" s="1"/>
      <c r="FIO121" s="1"/>
      <c r="FIP121" s="1"/>
      <c r="FIQ121" s="1"/>
      <c r="FIR121" s="1"/>
      <c r="FIS121" s="1"/>
      <c r="FIT121" s="1"/>
      <c r="FIU121" s="1"/>
      <c r="FIV121" s="1"/>
      <c r="FIW121" s="1"/>
      <c r="FIX121" s="1"/>
      <c r="FIY121" s="1"/>
      <c r="FIZ121" s="1"/>
      <c r="FJA121" s="1"/>
      <c r="FJB121" s="1"/>
      <c r="FJC121" s="1"/>
      <c r="FJD121" s="1"/>
      <c r="FJE121" s="1"/>
      <c r="FJF121" s="1"/>
      <c r="FJG121" s="1"/>
      <c r="FJH121" s="1"/>
      <c r="FJI121" s="1"/>
      <c r="FJJ121" s="1"/>
      <c r="FJK121" s="1"/>
      <c r="FJL121" s="1"/>
      <c r="FJM121" s="1"/>
      <c r="FJN121" s="1"/>
      <c r="FJO121" s="1"/>
      <c r="FJP121" s="1"/>
      <c r="FJQ121" s="1"/>
      <c r="FJR121" s="1"/>
      <c r="FJS121" s="1"/>
      <c r="FJT121" s="1"/>
      <c r="FJU121" s="1"/>
      <c r="FJV121" s="1"/>
      <c r="FJW121" s="1"/>
      <c r="FJX121" s="1"/>
      <c r="FJY121" s="1"/>
      <c r="FJZ121" s="1"/>
      <c r="FKA121" s="1"/>
      <c r="FKB121" s="1"/>
      <c r="FKC121" s="1"/>
      <c r="FKD121" s="1"/>
      <c r="FKE121" s="1"/>
      <c r="FKF121" s="1"/>
      <c r="FKG121" s="1"/>
      <c r="FKH121" s="1"/>
      <c r="FKI121" s="1"/>
      <c r="FKJ121" s="1"/>
      <c r="FKK121" s="1"/>
      <c r="FKL121" s="1"/>
      <c r="FKM121" s="1"/>
      <c r="FKN121" s="1"/>
      <c r="FKO121" s="1"/>
      <c r="FKP121" s="1"/>
      <c r="FKQ121" s="1"/>
      <c r="FKR121" s="1"/>
      <c r="FKS121" s="1"/>
      <c r="FKT121" s="1"/>
      <c r="FKU121" s="1"/>
      <c r="FKV121" s="1"/>
      <c r="FKW121" s="1"/>
      <c r="FKX121" s="1"/>
      <c r="FKY121" s="1"/>
      <c r="FKZ121" s="1"/>
      <c r="FLA121" s="1"/>
      <c r="FLB121" s="1"/>
      <c r="FLC121" s="1"/>
      <c r="FLD121" s="1"/>
      <c r="FLE121" s="1"/>
      <c r="FLF121" s="1"/>
      <c r="FLG121" s="1"/>
      <c r="FLH121" s="1"/>
      <c r="FLI121" s="1"/>
      <c r="FLJ121" s="1"/>
      <c r="FLK121" s="1"/>
      <c r="FLL121" s="1"/>
      <c r="FLM121" s="1"/>
      <c r="FLN121" s="1"/>
      <c r="FLO121" s="1"/>
      <c r="FLP121" s="1"/>
      <c r="FLQ121" s="1"/>
      <c r="FLR121" s="1"/>
      <c r="FLS121" s="1"/>
      <c r="FLT121" s="1"/>
      <c r="FLU121" s="1"/>
      <c r="FLV121" s="1"/>
      <c r="FLW121" s="1"/>
      <c r="FLX121" s="1"/>
      <c r="FLY121" s="1"/>
      <c r="FLZ121" s="1"/>
      <c r="FMA121" s="1"/>
      <c r="FMB121" s="1"/>
      <c r="FMC121" s="1"/>
      <c r="FMD121" s="1"/>
      <c r="FME121" s="1"/>
      <c r="FMF121" s="1"/>
      <c r="FMG121" s="1"/>
      <c r="FMH121" s="1"/>
      <c r="FMI121" s="1"/>
      <c r="FMJ121" s="1"/>
      <c r="FMK121" s="1"/>
      <c r="FML121" s="1"/>
      <c r="FMM121" s="1"/>
      <c r="FMN121" s="1"/>
      <c r="FMO121" s="1"/>
      <c r="FMP121" s="1"/>
      <c r="FMQ121" s="1"/>
      <c r="FMR121" s="1"/>
      <c r="FMS121" s="1"/>
      <c r="FMT121" s="1"/>
      <c r="FMU121" s="1"/>
      <c r="FMV121" s="1"/>
      <c r="FMW121" s="1"/>
      <c r="FMX121" s="1"/>
      <c r="FMY121" s="1"/>
      <c r="FMZ121" s="1"/>
      <c r="FNA121" s="1"/>
      <c r="FNB121" s="1"/>
      <c r="FNC121" s="1"/>
      <c r="FND121" s="1"/>
      <c r="FNE121" s="1"/>
      <c r="FNF121" s="1"/>
      <c r="FNG121" s="1"/>
      <c r="FNH121" s="1"/>
      <c r="FNI121" s="1"/>
      <c r="FNJ121" s="1"/>
      <c r="FNK121" s="1"/>
      <c r="FNL121" s="1"/>
      <c r="FNM121" s="1"/>
      <c r="FNN121" s="1"/>
      <c r="FNO121" s="1"/>
      <c r="FNP121" s="1"/>
      <c r="FNQ121" s="1"/>
      <c r="FNR121" s="1"/>
      <c r="FNS121" s="1"/>
      <c r="FNT121" s="1"/>
      <c r="FNU121" s="1"/>
      <c r="FNV121" s="1"/>
      <c r="FNW121" s="1"/>
      <c r="FNX121" s="1"/>
      <c r="FNY121" s="1"/>
      <c r="FNZ121" s="1"/>
      <c r="FOA121" s="1"/>
      <c r="FOB121" s="1"/>
      <c r="FOC121" s="1"/>
      <c r="FOD121" s="1"/>
      <c r="FOE121" s="1"/>
      <c r="FOF121" s="1"/>
      <c r="FOG121" s="1"/>
      <c r="FOH121" s="1"/>
      <c r="FOI121" s="1"/>
      <c r="FOJ121" s="1"/>
      <c r="FOK121" s="1"/>
      <c r="FOL121" s="1"/>
      <c r="FOM121" s="1"/>
      <c r="FON121" s="1"/>
      <c r="FOO121" s="1"/>
      <c r="FOP121" s="1"/>
      <c r="FOQ121" s="1"/>
      <c r="FOR121" s="1"/>
      <c r="FOS121" s="1"/>
      <c r="FOT121" s="1"/>
      <c r="FOU121" s="1"/>
      <c r="FOV121" s="1"/>
      <c r="FOW121" s="1"/>
      <c r="FOX121" s="1"/>
      <c r="FOY121" s="1"/>
      <c r="FOZ121" s="1"/>
      <c r="FPA121" s="1"/>
      <c r="FPB121" s="1"/>
      <c r="FPC121" s="1"/>
      <c r="FPD121" s="1"/>
      <c r="FPE121" s="1"/>
      <c r="FPF121" s="1"/>
      <c r="FPG121" s="1"/>
      <c r="FPH121" s="1"/>
      <c r="FPI121" s="1"/>
      <c r="FPJ121" s="1"/>
      <c r="FPK121" s="1"/>
      <c r="FPL121" s="1"/>
      <c r="FPM121" s="1"/>
      <c r="FPN121" s="1"/>
      <c r="FPO121" s="1"/>
      <c r="FPP121" s="1"/>
      <c r="FPQ121" s="1"/>
      <c r="FPR121" s="1"/>
      <c r="FPS121" s="1"/>
      <c r="FPT121" s="1"/>
      <c r="FPU121" s="1"/>
      <c r="FPV121" s="1"/>
      <c r="FPW121" s="1"/>
      <c r="FPX121" s="1"/>
      <c r="FPY121" s="1"/>
      <c r="FPZ121" s="1"/>
      <c r="FQA121" s="1"/>
      <c r="FQB121" s="1"/>
      <c r="FQC121" s="1"/>
      <c r="FQD121" s="1"/>
      <c r="FQE121" s="1"/>
      <c r="FQF121" s="1"/>
      <c r="FQG121" s="1"/>
      <c r="FQH121" s="1"/>
      <c r="FQI121" s="1"/>
      <c r="FQJ121" s="1"/>
      <c r="FQK121" s="1"/>
      <c r="FQL121" s="1"/>
      <c r="FQM121" s="1"/>
      <c r="FQN121" s="1"/>
      <c r="FQO121" s="1"/>
      <c r="FQP121" s="1"/>
      <c r="FQQ121" s="1"/>
      <c r="FQR121" s="1"/>
      <c r="FQS121" s="1"/>
      <c r="FQT121" s="1"/>
      <c r="FQU121" s="1"/>
      <c r="FQV121" s="1"/>
      <c r="FQW121" s="1"/>
      <c r="FQX121" s="1"/>
      <c r="FQY121" s="1"/>
      <c r="FQZ121" s="1"/>
      <c r="FRA121" s="1"/>
      <c r="FRB121" s="1"/>
      <c r="FRC121" s="1"/>
      <c r="FRD121" s="1"/>
      <c r="FRE121" s="1"/>
      <c r="FRF121" s="1"/>
      <c r="FRG121" s="1"/>
      <c r="FRH121" s="1"/>
      <c r="FRI121" s="1"/>
      <c r="FRJ121" s="1"/>
      <c r="FRK121" s="1"/>
      <c r="FRL121" s="1"/>
      <c r="FRM121" s="1"/>
      <c r="FRN121" s="1"/>
      <c r="FRO121" s="1"/>
      <c r="FRP121" s="1"/>
      <c r="FRQ121" s="1"/>
      <c r="FRR121" s="1"/>
      <c r="FRS121" s="1"/>
      <c r="FRT121" s="1"/>
      <c r="FRU121" s="1"/>
      <c r="FRV121" s="1"/>
      <c r="FRW121" s="1"/>
      <c r="FRX121" s="1"/>
      <c r="FRY121" s="1"/>
      <c r="FRZ121" s="1"/>
      <c r="FSA121" s="1"/>
      <c r="FSB121" s="1"/>
      <c r="FSC121" s="1"/>
      <c r="FSD121" s="1"/>
      <c r="FSE121" s="1"/>
      <c r="FSF121" s="1"/>
      <c r="FSG121" s="1"/>
      <c r="FSH121" s="1"/>
      <c r="FSI121" s="1"/>
      <c r="FSJ121" s="1"/>
      <c r="FSK121" s="1"/>
      <c r="FSL121" s="1"/>
      <c r="FSM121" s="1"/>
      <c r="FSN121" s="1"/>
      <c r="FSO121" s="1"/>
      <c r="FSP121" s="1"/>
      <c r="FSQ121" s="1"/>
      <c r="FSR121" s="1"/>
      <c r="FSS121" s="1"/>
      <c r="FST121" s="1"/>
      <c r="FSU121" s="1"/>
      <c r="FSV121" s="1"/>
      <c r="FSW121" s="1"/>
      <c r="FSX121" s="1"/>
      <c r="FSY121" s="1"/>
      <c r="FSZ121" s="1"/>
      <c r="FTA121" s="1"/>
      <c r="FTB121" s="1"/>
      <c r="FTC121" s="1"/>
      <c r="FTD121" s="1"/>
      <c r="FTE121" s="1"/>
      <c r="FTF121" s="1"/>
      <c r="FTG121" s="1"/>
      <c r="FTH121" s="1"/>
      <c r="FTI121" s="1"/>
      <c r="FTJ121" s="1"/>
      <c r="FTK121" s="1"/>
      <c r="FTL121" s="1"/>
      <c r="FTM121" s="1"/>
      <c r="FTN121" s="1"/>
      <c r="FTO121" s="1"/>
      <c r="FTP121" s="1"/>
      <c r="FTQ121" s="1"/>
      <c r="FTR121" s="1"/>
      <c r="FTS121" s="1"/>
      <c r="FTT121" s="1"/>
      <c r="FTU121" s="1"/>
      <c r="FTV121" s="1"/>
      <c r="FTW121" s="1"/>
      <c r="FTX121" s="1"/>
      <c r="FTY121" s="1"/>
      <c r="FTZ121" s="1"/>
      <c r="FUA121" s="1"/>
      <c r="FUB121" s="1"/>
      <c r="FUC121" s="1"/>
      <c r="FUD121" s="1"/>
      <c r="FUE121" s="1"/>
      <c r="FUF121" s="1"/>
      <c r="FUG121" s="1"/>
      <c r="FUH121" s="1"/>
      <c r="FUI121" s="1"/>
      <c r="FUJ121" s="1"/>
      <c r="FUK121" s="1"/>
      <c r="FUL121" s="1"/>
      <c r="FUM121" s="1"/>
      <c r="FUN121" s="1"/>
      <c r="FUO121" s="1"/>
      <c r="FUP121" s="1"/>
      <c r="FUQ121" s="1"/>
      <c r="FUR121" s="1"/>
      <c r="FUS121" s="1"/>
      <c r="FUT121" s="1"/>
      <c r="FUU121" s="1"/>
      <c r="FUV121" s="1"/>
      <c r="FUW121" s="1"/>
      <c r="FUX121" s="1"/>
      <c r="FUY121" s="1"/>
      <c r="FUZ121" s="1"/>
      <c r="FVA121" s="1"/>
      <c r="FVB121" s="1"/>
      <c r="FVC121" s="1"/>
      <c r="FVD121" s="1"/>
      <c r="FVE121" s="1"/>
      <c r="FVF121" s="1"/>
      <c r="FVG121" s="1"/>
      <c r="FVH121" s="1"/>
      <c r="FVI121" s="1"/>
      <c r="FVJ121" s="1"/>
      <c r="FVK121" s="1"/>
      <c r="FVL121" s="1"/>
      <c r="FVM121" s="1"/>
      <c r="FVN121" s="1"/>
      <c r="FVO121" s="1"/>
      <c r="FVP121" s="1"/>
      <c r="FVQ121" s="1"/>
      <c r="FVR121" s="1"/>
      <c r="FVS121" s="1"/>
      <c r="FVT121" s="1"/>
      <c r="FVU121" s="1"/>
      <c r="FVV121" s="1"/>
      <c r="FVW121" s="1"/>
      <c r="FVX121" s="1"/>
      <c r="FVY121" s="1"/>
      <c r="FVZ121" s="1"/>
      <c r="FWA121" s="1"/>
      <c r="FWB121" s="1"/>
      <c r="FWC121" s="1"/>
      <c r="FWD121" s="1"/>
      <c r="FWE121" s="1"/>
      <c r="FWF121" s="1"/>
      <c r="FWG121" s="1"/>
      <c r="FWH121" s="1"/>
      <c r="FWI121" s="1"/>
      <c r="FWJ121" s="1"/>
      <c r="FWK121" s="1"/>
      <c r="FWL121" s="1"/>
      <c r="FWM121" s="1"/>
      <c r="FWN121" s="1"/>
      <c r="FWO121" s="1"/>
      <c r="FWP121" s="1"/>
      <c r="FWQ121" s="1"/>
      <c r="FWR121" s="1"/>
      <c r="FWS121" s="1"/>
      <c r="FWT121" s="1"/>
      <c r="FWU121" s="1"/>
      <c r="FWV121" s="1"/>
      <c r="FWW121" s="1"/>
      <c r="FWX121" s="1"/>
      <c r="FWY121" s="1"/>
      <c r="FWZ121" s="1"/>
      <c r="FXA121" s="1"/>
      <c r="FXB121" s="1"/>
      <c r="FXC121" s="1"/>
      <c r="FXD121" s="1"/>
      <c r="FXE121" s="1"/>
      <c r="FXF121" s="1"/>
      <c r="FXG121" s="1"/>
      <c r="FXH121" s="1"/>
      <c r="FXI121" s="1"/>
      <c r="FXJ121" s="1"/>
      <c r="FXK121" s="1"/>
      <c r="FXL121" s="1"/>
      <c r="FXM121" s="1"/>
      <c r="FXN121" s="1"/>
      <c r="FXO121" s="1"/>
      <c r="FXP121" s="1"/>
      <c r="FXQ121" s="1"/>
      <c r="FXR121" s="1"/>
      <c r="FXS121" s="1"/>
      <c r="FXT121" s="1"/>
      <c r="FXU121" s="1"/>
      <c r="FXV121" s="1"/>
      <c r="FXW121" s="1"/>
      <c r="FXX121" s="1"/>
      <c r="FXY121" s="1"/>
      <c r="FXZ121" s="1"/>
      <c r="FYA121" s="1"/>
      <c r="FYB121" s="1"/>
      <c r="FYC121" s="1"/>
      <c r="FYD121" s="1"/>
      <c r="FYE121" s="1"/>
      <c r="FYF121" s="1"/>
      <c r="FYG121" s="1"/>
      <c r="FYH121" s="1"/>
      <c r="FYI121" s="1"/>
      <c r="FYJ121" s="1"/>
      <c r="FYK121" s="1"/>
      <c r="FYL121" s="1"/>
      <c r="FYM121" s="1"/>
      <c r="FYN121" s="1"/>
      <c r="FYO121" s="1"/>
      <c r="FYP121" s="1"/>
      <c r="FYQ121" s="1"/>
      <c r="FYR121" s="1"/>
      <c r="FYS121" s="1"/>
      <c r="FYT121" s="1"/>
      <c r="FYU121" s="1"/>
      <c r="FYV121" s="1"/>
      <c r="FYW121" s="1"/>
      <c r="FYX121" s="1"/>
      <c r="FYY121" s="1"/>
      <c r="FYZ121" s="1"/>
      <c r="FZA121" s="1"/>
      <c r="FZB121" s="1"/>
      <c r="FZC121" s="1"/>
      <c r="FZD121" s="1"/>
      <c r="FZE121" s="1"/>
      <c r="FZF121" s="1"/>
      <c r="FZG121" s="1"/>
      <c r="FZH121" s="1"/>
      <c r="FZI121" s="1"/>
      <c r="FZJ121" s="1"/>
      <c r="FZK121" s="1"/>
      <c r="FZL121" s="1"/>
      <c r="FZM121" s="1"/>
      <c r="FZN121" s="1"/>
      <c r="FZO121" s="1"/>
      <c r="FZP121" s="1"/>
      <c r="FZQ121" s="1"/>
      <c r="FZR121" s="1"/>
      <c r="FZS121" s="1"/>
      <c r="FZT121" s="1"/>
      <c r="FZU121" s="1"/>
      <c r="FZV121" s="1"/>
      <c r="FZW121" s="1"/>
      <c r="FZX121" s="1"/>
      <c r="FZY121" s="1"/>
      <c r="FZZ121" s="1"/>
      <c r="GAA121" s="1"/>
      <c r="GAB121" s="1"/>
      <c r="GAC121" s="1"/>
      <c r="GAD121" s="1"/>
      <c r="GAE121" s="1"/>
      <c r="GAF121" s="1"/>
      <c r="GAG121" s="1"/>
      <c r="GAH121" s="1"/>
      <c r="GAI121" s="1"/>
      <c r="GAJ121" s="1"/>
      <c r="GAK121" s="1"/>
      <c r="GAL121" s="1"/>
      <c r="GAM121" s="1"/>
      <c r="GAN121" s="1"/>
      <c r="GAO121" s="1"/>
      <c r="GAP121" s="1"/>
      <c r="GAQ121" s="1"/>
      <c r="GAR121" s="1"/>
      <c r="GAS121" s="1"/>
      <c r="GAT121" s="1"/>
      <c r="GAU121" s="1"/>
      <c r="GAV121" s="1"/>
      <c r="GAW121" s="1"/>
      <c r="GAX121" s="1"/>
      <c r="GAY121" s="1"/>
      <c r="GAZ121" s="1"/>
      <c r="GBA121" s="1"/>
      <c r="GBB121" s="1"/>
      <c r="GBC121" s="1"/>
      <c r="GBD121" s="1"/>
      <c r="GBE121" s="1"/>
      <c r="GBF121" s="1"/>
      <c r="GBG121" s="1"/>
      <c r="GBH121" s="1"/>
      <c r="GBI121" s="1"/>
      <c r="GBJ121" s="1"/>
      <c r="GBK121" s="1"/>
      <c r="GBL121" s="1"/>
      <c r="GBM121" s="1"/>
      <c r="GBN121" s="1"/>
      <c r="GBO121" s="1"/>
      <c r="GBP121" s="1"/>
      <c r="GBQ121" s="1"/>
      <c r="GBR121" s="1"/>
      <c r="GBS121" s="1"/>
      <c r="GBT121" s="1"/>
      <c r="GBU121" s="1"/>
      <c r="GBV121" s="1"/>
      <c r="GBW121" s="1"/>
      <c r="GBX121" s="1"/>
      <c r="GBY121" s="1"/>
      <c r="GBZ121" s="1"/>
      <c r="GCA121" s="1"/>
      <c r="GCB121" s="1"/>
      <c r="GCC121" s="1"/>
      <c r="GCD121" s="1"/>
      <c r="GCE121" s="1"/>
      <c r="GCF121" s="1"/>
      <c r="GCG121" s="1"/>
      <c r="GCH121" s="1"/>
      <c r="GCI121" s="1"/>
      <c r="GCJ121" s="1"/>
      <c r="GCK121" s="1"/>
      <c r="GCL121" s="1"/>
      <c r="GCM121" s="1"/>
      <c r="GCN121" s="1"/>
      <c r="GCO121" s="1"/>
      <c r="GCP121" s="1"/>
      <c r="GCQ121" s="1"/>
      <c r="GCR121" s="1"/>
      <c r="GCS121" s="1"/>
      <c r="GCT121" s="1"/>
      <c r="GCU121" s="1"/>
      <c r="GCV121" s="1"/>
      <c r="GCW121" s="1"/>
      <c r="GCX121" s="1"/>
      <c r="GCY121" s="1"/>
      <c r="GCZ121" s="1"/>
      <c r="GDA121" s="1"/>
      <c r="GDB121" s="1"/>
      <c r="GDC121" s="1"/>
      <c r="GDD121" s="1"/>
      <c r="GDE121" s="1"/>
      <c r="GDF121" s="1"/>
      <c r="GDG121" s="1"/>
      <c r="GDH121" s="1"/>
      <c r="GDI121" s="1"/>
      <c r="GDJ121" s="1"/>
      <c r="GDK121" s="1"/>
      <c r="GDL121" s="1"/>
      <c r="GDM121" s="1"/>
      <c r="GDN121" s="1"/>
      <c r="GDO121" s="1"/>
      <c r="GDP121" s="1"/>
      <c r="GDQ121" s="1"/>
      <c r="GDR121" s="1"/>
      <c r="GDS121" s="1"/>
      <c r="GDT121" s="1"/>
      <c r="GDU121" s="1"/>
      <c r="GDV121" s="1"/>
      <c r="GDW121" s="1"/>
      <c r="GDX121" s="1"/>
      <c r="GDY121" s="1"/>
      <c r="GDZ121" s="1"/>
      <c r="GEA121" s="1"/>
      <c r="GEB121" s="1"/>
      <c r="GEC121" s="1"/>
      <c r="GED121" s="1"/>
      <c r="GEE121" s="1"/>
      <c r="GEF121" s="1"/>
      <c r="GEG121" s="1"/>
      <c r="GEH121" s="1"/>
      <c r="GEI121" s="1"/>
      <c r="GEJ121" s="1"/>
      <c r="GEK121" s="1"/>
      <c r="GEL121" s="1"/>
      <c r="GEM121" s="1"/>
      <c r="GEN121" s="1"/>
      <c r="GEO121" s="1"/>
      <c r="GEP121" s="1"/>
      <c r="GEQ121" s="1"/>
      <c r="GER121" s="1"/>
      <c r="GES121" s="1"/>
      <c r="GET121" s="1"/>
      <c r="GEU121" s="1"/>
      <c r="GEV121" s="1"/>
      <c r="GEW121" s="1"/>
      <c r="GEX121" s="1"/>
      <c r="GEY121" s="1"/>
      <c r="GEZ121" s="1"/>
      <c r="GFA121" s="1"/>
      <c r="GFB121" s="1"/>
      <c r="GFC121" s="1"/>
      <c r="GFD121" s="1"/>
      <c r="GFE121" s="1"/>
      <c r="GFF121" s="1"/>
      <c r="GFG121" s="1"/>
      <c r="GFH121" s="1"/>
      <c r="GFI121" s="1"/>
      <c r="GFJ121" s="1"/>
      <c r="GFK121" s="1"/>
      <c r="GFL121" s="1"/>
      <c r="GFM121" s="1"/>
      <c r="GFN121" s="1"/>
      <c r="GFO121" s="1"/>
      <c r="GFP121" s="1"/>
      <c r="GFQ121" s="1"/>
      <c r="GFR121" s="1"/>
      <c r="GFS121" s="1"/>
      <c r="GFT121" s="1"/>
      <c r="GFU121" s="1"/>
      <c r="GFV121" s="1"/>
      <c r="GFW121" s="1"/>
      <c r="GFX121" s="1"/>
      <c r="GFY121" s="1"/>
      <c r="GFZ121" s="1"/>
      <c r="GGA121" s="1"/>
      <c r="GGB121" s="1"/>
      <c r="GGC121" s="1"/>
      <c r="GGD121" s="1"/>
      <c r="GGE121" s="1"/>
      <c r="GGF121" s="1"/>
      <c r="GGG121" s="1"/>
      <c r="GGH121" s="1"/>
      <c r="GGI121" s="1"/>
      <c r="GGJ121" s="1"/>
      <c r="GGK121" s="1"/>
      <c r="GGL121" s="1"/>
      <c r="GGM121" s="1"/>
      <c r="GGN121" s="1"/>
      <c r="GGO121" s="1"/>
      <c r="GGP121" s="1"/>
      <c r="GGQ121" s="1"/>
      <c r="GGR121" s="1"/>
      <c r="GGS121" s="1"/>
      <c r="GGT121" s="1"/>
      <c r="GGU121" s="1"/>
      <c r="GGV121" s="1"/>
      <c r="GGW121" s="1"/>
      <c r="GGX121" s="1"/>
      <c r="GGY121" s="1"/>
      <c r="GGZ121" s="1"/>
      <c r="GHA121" s="1"/>
      <c r="GHB121" s="1"/>
      <c r="GHC121" s="1"/>
      <c r="GHD121" s="1"/>
      <c r="GHE121" s="1"/>
      <c r="GHF121" s="1"/>
      <c r="GHG121" s="1"/>
      <c r="GHH121" s="1"/>
      <c r="GHI121" s="1"/>
      <c r="GHJ121" s="1"/>
      <c r="GHK121" s="1"/>
      <c r="GHL121" s="1"/>
      <c r="GHM121" s="1"/>
      <c r="GHN121" s="1"/>
      <c r="GHO121" s="1"/>
      <c r="GHP121" s="1"/>
      <c r="GHQ121" s="1"/>
      <c r="GHR121" s="1"/>
      <c r="GHS121" s="1"/>
      <c r="GHT121" s="1"/>
      <c r="GHU121" s="1"/>
      <c r="GHV121" s="1"/>
      <c r="GHW121" s="1"/>
      <c r="GHX121" s="1"/>
      <c r="GHY121" s="1"/>
      <c r="GHZ121" s="1"/>
      <c r="GIA121" s="1"/>
      <c r="GIB121" s="1"/>
      <c r="GIC121" s="1"/>
      <c r="GID121" s="1"/>
      <c r="GIE121" s="1"/>
      <c r="GIF121" s="1"/>
      <c r="GIG121" s="1"/>
      <c r="GIH121" s="1"/>
      <c r="GII121" s="1"/>
      <c r="GIJ121" s="1"/>
      <c r="GIK121" s="1"/>
      <c r="GIL121" s="1"/>
      <c r="GIM121" s="1"/>
      <c r="GIN121" s="1"/>
      <c r="GIO121" s="1"/>
      <c r="GIP121" s="1"/>
      <c r="GIQ121" s="1"/>
      <c r="GIR121" s="1"/>
      <c r="GIS121" s="1"/>
      <c r="GIT121" s="1"/>
      <c r="GIU121" s="1"/>
      <c r="GIV121" s="1"/>
      <c r="GIW121" s="1"/>
      <c r="GIX121" s="1"/>
      <c r="GIY121" s="1"/>
      <c r="GIZ121" s="1"/>
      <c r="GJA121" s="1"/>
      <c r="GJB121" s="1"/>
      <c r="GJC121" s="1"/>
      <c r="GJD121" s="1"/>
      <c r="GJE121" s="1"/>
      <c r="GJF121" s="1"/>
      <c r="GJG121" s="1"/>
      <c r="GJH121" s="1"/>
      <c r="GJI121" s="1"/>
      <c r="GJJ121" s="1"/>
      <c r="GJK121" s="1"/>
      <c r="GJL121" s="1"/>
      <c r="GJM121" s="1"/>
      <c r="GJN121" s="1"/>
      <c r="GJO121" s="1"/>
      <c r="GJP121" s="1"/>
      <c r="GJQ121" s="1"/>
      <c r="GJR121" s="1"/>
      <c r="GJS121" s="1"/>
      <c r="GJT121" s="1"/>
      <c r="GJU121" s="1"/>
      <c r="GJV121" s="1"/>
      <c r="GJW121" s="1"/>
      <c r="GJX121" s="1"/>
      <c r="GJY121" s="1"/>
      <c r="GJZ121" s="1"/>
      <c r="GKA121" s="1"/>
      <c r="GKB121" s="1"/>
      <c r="GKC121" s="1"/>
      <c r="GKD121" s="1"/>
      <c r="GKE121" s="1"/>
      <c r="GKF121" s="1"/>
      <c r="GKG121" s="1"/>
      <c r="GKH121" s="1"/>
      <c r="GKI121" s="1"/>
      <c r="GKJ121" s="1"/>
      <c r="GKK121" s="1"/>
      <c r="GKL121" s="1"/>
      <c r="GKM121" s="1"/>
      <c r="GKN121" s="1"/>
      <c r="GKO121" s="1"/>
      <c r="GKP121" s="1"/>
      <c r="GKQ121" s="1"/>
      <c r="GKR121" s="1"/>
      <c r="GKS121" s="1"/>
      <c r="GKT121" s="1"/>
      <c r="GKU121" s="1"/>
      <c r="GKV121" s="1"/>
      <c r="GKW121" s="1"/>
      <c r="GKX121" s="1"/>
      <c r="GKY121" s="1"/>
      <c r="GKZ121" s="1"/>
      <c r="GLA121" s="1"/>
      <c r="GLB121" s="1"/>
      <c r="GLC121" s="1"/>
      <c r="GLD121" s="1"/>
      <c r="GLE121" s="1"/>
      <c r="GLF121" s="1"/>
      <c r="GLG121" s="1"/>
      <c r="GLH121" s="1"/>
      <c r="GLI121" s="1"/>
      <c r="GLJ121" s="1"/>
      <c r="GLK121" s="1"/>
      <c r="GLL121" s="1"/>
      <c r="GLM121" s="1"/>
      <c r="GLN121" s="1"/>
      <c r="GLO121" s="1"/>
      <c r="GLP121" s="1"/>
      <c r="GLQ121" s="1"/>
      <c r="GLR121" s="1"/>
      <c r="GLS121" s="1"/>
      <c r="GLT121" s="1"/>
      <c r="GLU121" s="1"/>
      <c r="GLV121" s="1"/>
      <c r="GLW121" s="1"/>
      <c r="GLX121" s="1"/>
      <c r="GLY121" s="1"/>
      <c r="GLZ121" s="1"/>
      <c r="GMA121" s="1"/>
      <c r="GMB121" s="1"/>
      <c r="GMC121" s="1"/>
      <c r="GMD121" s="1"/>
      <c r="GME121" s="1"/>
      <c r="GMF121" s="1"/>
      <c r="GMG121" s="1"/>
      <c r="GMH121" s="1"/>
      <c r="GMI121" s="1"/>
      <c r="GMJ121" s="1"/>
      <c r="GMK121" s="1"/>
      <c r="GML121" s="1"/>
      <c r="GMM121" s="1"/>
      <c r="GMN121" s="1"/>
      <c r="GMO121" s="1"/>
      <c r="GMP121" s="1"/>
      <c r="GMQ121" s="1"/>
      <c r="GMR121" s="1"/>
      <c r="GMS121" s="1"/>
      <c r="GMT121" s="1"/>
      <c r="GMU121" s="1"/>
      <c r="GMV121" s="1"/>
      <c r="GMW121" s="1"/>
      <c r="GMX121" s="1"/>
      <c r="GMY121" s="1"/>
      <c r="GMZ121" s="1"/>
      <c r="GNA121" s="1"/>
      <c r="GNB121" s="1"/>
      <c r="GNC121" s="1"/>
      <c r="GND121" s="1"/>
      <c r="GNE121" s="1"/>
      <c r="GNF121" s="1"/>
      <c r="GNG121" s="1"/>
      <c r="GNH121" s="1"/>
      <c r="GNI121" s="1"/>
      <c r="GNJ121" s="1"/>
      <c r="GNK121" s="1"/>
      <c r="GNL121" s="1"/>
      <c r="GNM121" s="1"/>
      <c r="GNN121" s="1"/>
      <c r="GNO121" s="1"/>
      <c r="GNP121" s="1"/>
      <c r="GNQ121" s="1"/>
      <c r="GNR121" s="1"/>
      <c r="GNS121" s="1"/>
      <c r="GNT121" s="1"/>
      <c r="GNU121" s="1"/>
      <c r="GNV121" s="1"/>
      <c r="GNW121" s="1"/>
      <c r="GNX121" s="1"/>
      <c r="GNY121" s="1"/>
      <c r="GNZ121" s="1"/>
      <c r="GOA121" s="1"/>
      <c r="GOB121" s="1"/>
      <c r="GOC121" s="1"/>
      <c r="GOD121" s="1"/>
      <c r="GOE121" s="1"/>
      <c r="GOF121" s="1"/>
      <c r="GOG121" s="1"/>
      <c r="GOH121" s="1"/>
      <c r="GOI121" s="1"/>
      <c r="GOJ121" s="1"/>
      <c r="GOK121" s="1"/>
      <c r="GOL121" s="1"/>
      <c r="GOM121" s="1"/>
      <c r="GON121" s="1"/>
      <c r="GOO121" s="1"/>
      <c r="GOP121" s="1"/>
      <c r="GOQ121" s="1"/>
      <c r="GOR121" s="1"/>
      <c r="GOS121" s="1"/>
      <c r="GOT121" s="1"/>
      <c r="GOU121" s="1"/>
      <c r="GOV121" s="1"/>
      <c r="GOW121" s="1"/>
      <c r="GOX121" s="1"/>
      <c r="GOY121" s="1"/>
      <c r="GOZ121" s="1"/>
      <c r="GPA121" s="1"/>
      <c r="GPB121" s="1"/>
      <c r="GPC121" s="1"/>
      <c r="GPD121" s="1"/>
      <c r="GPE121" s="1"/>
      <c r="GPF121" s="1"/>
      <c r="GPG121" s="1"/>
      <c r="GPH121" s="1"/>
      <c r="GPI121" s="1"/>
      <c r="GPJ121" s="1"/>
      <c r="GPK121" s="1"/>
      <c r="GPL121" s="1"/>
      <c r="GPM121" s="1"/>
      <c r="GPN121" s="1"/>
      <c r="GPO121" s="1"/>
      <c r="GPP121" s="1"/>
      <c r="GPQ121" s="1"/>
      <c r="GPR121" s="1"/>
      <c r="GPS121" s="1"/>
      <c r="GPT121" s="1"/>
      <c r="GPU121" s="1"/>
      <c r="GPV121" s="1"/>
      <c r="GPW121" s="1"/>
      <c r="GPX121" s="1"/>
      <c r="GPY121" s="1"/>
      <c r="GPZ121" s="1"/>
      <c r="GQA121" s="1"/>
      <c r="GQB121" s="1"/>
      <c r="GQC121" s="1"/>
      <c r="GQD121" s="1"/>
      <c r="GQE121" s="1"/>
      <c r="GQF121" s="1"/>
      <c r="GQG121" s="1"/>
      <c r="GQH121" s="1"/>
      <c r="GQI121" s="1"/>
      <c r="GQJ121" s="1"/>
      <c r="GQK121" s="1"/>
      <c r="GQL121" s="1"/>
      <c r="GQM121" s="1"/>
      <c r="GQN121" s="1"/>
      <c r="GQO121" s="1"/>
      <c r="GQP121" s="1"/>
      <c r="GQQ121" s="1"/>
      <c r="GQR121" s="1"/>
      <c r="GQS121" s="1"/>
      <c r="GQT121" s="1"/>
      <c r="GQU121" s="1"/>
      <c r="GQV121" s="1"/>
      <c r="GQW121" s="1"/>
      <c r="GQX121" s="1"/>
      <c r="GQY121" s="1"/>
      <c r="GQZ121" s="1"/>
      <c r="GRA121" s="1"/>
      <c r="GRB121" s="1"/>
      <c r="GRC121" s="1"/>
      <c r="GRD121" s="1"/>
      <c r="GRE121" s="1"/>
      <c r="GRF121" s="1"/>
      <c r="GRG121" s="1"/>
      <c r="GRH121" s="1"/>
      <c r="GRI121" s="1"/>
      <c r="GRJ121" s="1"/>
      <c r="GRK121" s="1"/>
      <c r="GRL121" s="1"/>
      <c r="GRM121" s="1"/>
      <c r="GRN121" s="1"/>
      <c r="GRO121" s="1"/>
      <c r="GRP121" s="1"/>
      <c r="GRQ121" s="1"/>
      <c r="GRR121" s="1"/>
      <c r="GRS121" s="1"/>
      <c r="GRT121" s="1"/>
      <c r="GRU121" s="1"/>
      <c r="GRV121" s="1"/>
      <c r="GRW121" s="1"/>
      <c r="GRX121" s="1"/>
      <c r="GRY121" s="1"/>
      <c r="GRZ121" s="1"/>
      <c r="GSA121" s="1"/>
      <c r="GSB121" s="1"/>
      <c r="GSC121" s="1"/>
      <c r="GSD121" s="1"/>
      <c r="GSE121" s="1"/>
      <c r="GSF121" s="1"/>
      <c r="GSG121" s="1"/>
      <c r="GSH121" s="1"/>
      <c r="GSI121" s="1"/>
      <c r="GSJ121" s="1"/>
      <c r="GSK121" s="1"/>
      <c r="GSL121" s="1"/>
      <c r="GSM121" s="1"/>
      <c r="GSN121" s="1"/>
      <c r="GSO121" s="1"/>
      <c r="GSP121" s="1"/>
      <c r="GSQ121" s="1"/>
      <c r="GSR121" s="1"/>
      <c r="GSS121" s="1"/>
      <c r="GST121" s="1"/>
      <c r="GSU121" s="1"/>
      <c r="GSV121" s="1"/>
      <c r="GSW121" s="1"/>
      <c r="GSX121" s="1"/>
      <c r="GSY121" s="1"/>
      <c r="GSZ121" s="1"/>
      <c r="GTA121" s="1"/>
      <c r="GTB121" s="1"/>
      <c r="GTC121" s="1"/>
      <c r="GTD121" s="1"/>
      <c r="GTE121" s="1"/>
      <c r="GTF121" s="1"/>
      <c r="GTG121" s="1"/>
      <c r="GTH121" s="1"/>
      <c r="GTI121" s="1"/>
      <c r="GTJ121" s="1"/>
      <c r="GTK121" s="1"/>
      <c r="GTL121" s="1"/>
      <c r="GTM121" s="1"/>
      <c r="GTN121" s="1"/>
      <c r="GTO121" s="1"/>
      <c r="GTP121" s="1"/>
      <c r="GTQ121" s="1"/>
      <c r="GTR121" s="1"/>
      <c r="GTS121" s="1"/>
      <c r="GTT121" s="1"/>
      <c r="GTU121" s="1"/>
      <c r="GTV121" s="1"/>
      <c r="GTW121" s="1"/>
      <c r="GTX121" s="1"/>
      <c r="GTY121" s="1"/>
      <c r="GTZ121" s="1"/>
      <c r="GUA121" s="1"/>
      <c r="GUB121" s="1"/>
      <c r="GUC121" s="1"/>
      <c r="GUD121" s="1"/>
      <c r="GUE121" s="1"/>
      <c r="GUF121" s="1"/>
      <c r="GUG121" s="1"/>
      <c r="GUH121" s="1"/>
      <c r="GUI121" s="1"/>
      <c r="GUJ121" s="1"/>
      <c r="GUK121" s="1"/>
      <c r="GUL121" s="1"/>
      <c r="GUM121" s="1"/>
      <c r="GUN121" s="1"/>
      <c r="GUO121" s="1"/>
      <c r="GUP121" s="1"/>
      <c r="GUQ121" s="1"/>
      <c r="GUR121" s="1"/>
      <c r="GUS121" s="1"/>
      <c r="GUT121" s="1"/>
      <c r="GUU121" s="1"/>
      <c r="GUV121" s="1"/>
      <c r="GUW121" s="1"/>
      <c r="GUX121" s="1"/>
      <c r="GUY121" s="1"/>
      <c r="GUZ121" s="1"/>
      <c r="GVA121" s="1"/>
      <c r="GVB121" s="1"/>
      <c r="GVC121" s="1"/>
      <c r="GVD121" s="1"/>
      <c r="GVE121" s="1"/>
      <c r="GVF121" s="1"/>
      <c r="GVG121" s="1"/>
      <c r="GVH121" s="1"/>
      <c r="GVI121" s="1"/>
      <c r="GVJ121" s="1"/>
      <c r="GVK121" s="1"/>
      <c r="GVL121" s="1"/>
      <c r="GVM121" s="1"/>
      <c r="GVN121" s="1"/>
      <c r="GVO121" s="1"/>
      <c r="GVP121" s="1"/>
      <c r="GVQ121" s="1"/>
      <c r="GVR121" s="1"/>
      <c r="GVS121" s="1"/>
      <c r="GVT121" s="1"/>
      <c r="GVU121" s="1"/>
      <c r="GVV121" s="1"/>
      <c r="GVW121" s="1"/>
      <c r="GVX121" s="1"/>
      <c r="GVY121" s="1"/>
      <c r="GVZ121" s="1"/>
      <c r="GWA121" s="1"/>
      <c r="GWB121" s="1"/>
      <c r="GWC121" s="1"/>
      <c r="GWD121" s="1"/>
      <c r="GWE121" s="1"/>
      <c r="GWF121" s="1"/>
      <c r="GWG121" s="1"/>
      <c r="GWH121" s="1"/>
      <c r="GWI121" s="1"/>
      <c r="GWJ121" s="1"/>
      <c r="GWK121" s="1"/>
      <c r="GWL121" s="1"/>
      <c r="GWM121" s="1"/>
      <c r="GWN121" s="1"/>
      <c r="GWO121" s="1"/>
      <c r="GWP121" s="1"/>
      <c r="GWQ121" s="1"/>
      <c r="GWR121" s="1"/>
      <c r="GWS121" s="1"/>
      <c r="GWT121" s="1"/>
      <c r="GWU121" s="1"/>
      <c r="GWV121" s="1"/>
      <c r="GWW121" s="1"/>
      <c r="GWX121" s="1"/>
      <c r="GWY121" s="1"/>
      <c r="GWZ121" s="1"/>
      <c r="GXA121" s="1"/>
      <c r="GXB121" s="1"/>
      <c r="GXC121" s="1"/>
      <c r="GXD121" s="1"/>
      <c r="GXE121" s="1"/>
      <c r="GXF121" s="1"/>
      <c r="GXG121" s="1"/>
      <c r="GXH121" s="1"/>
      <c r="GXI121" s="1"/>
      <c r="GXJ121" s="1"/>
      <c r="GXK121" s="1"/>
      <c r="GXL121" s="1"/>
      <c r="GXM121" s="1"/>
      <c r="GXN121" s="1"/>
      <c r="GXO121" s="1"/>
      <c r="GXP121" s="1"/>
      <c r="GXQ121" s="1"/>
      <c r="GXR121" s="1"/>
      <c r="GXS121" s="1"/>
      <c r="GXT121" s="1"/>
      <c r="GXU121" s="1"/>
      <c r="GXV121" s="1"/>
      <c r="GXW121" s="1"/>
      <c r="GXX121" s="1"/>
      <c r="GXY121" s="1"/>
      <c r="GXZ121" s="1"/>
      <c r="GYA121" s="1"/>
      <c r="GYB121" s="1"/>
      <c r="GYC121" s="1"/>
      <c r="GYD121" s="1"/>
      <c r="GYE121" s="1"/>
      <c r="GYF121" s="1"/>
      <c r="GYG121" s="1"/>
      <c r="GYH121" s="1"/>
      <c r="GYI121" s="1"/>
      <c r="GYJ121" s="1"/>
      <c r="GYK121" s="1"/>
      <c r="GYL121" s="1"/>
      <c r="GYM121" s="1"/>
      <c r="GYN121" s="1"/>
      <c r="GYO121" s="1"/>
      <c r="GYP121" s="1"/>
      <c r="GYQ121" s="1"/>
      <c r="GYR121" s="1"/>
      <c r="GYS121" s="1"/>
      <c r="GYT121" s="1"/>
      <c r="GYU121" s="1"/>
      <c r="GYV121" s="1"/>
      <c r="GYW121" s="1"/>
      <c r="GYX121" s="1"/>
      <c r="GYY121" s="1"/>
      <c r="GYZ121" s="1"/>
      <c r="GZA121" s="1"/>
      <c r="GZB121" s="1"/>
      <c r="GZC121" s="1"/>
      <c r="GZD121" s="1"/>
      <c r="GZE121" s="1"/>
      <c r="GZF121" s="1"/>
      <c r="GZG121" s="1"/>
      <c r="GZH121" s="1"/>
      <c r="GZI121" s="1"/>
      <c r="GZJ121" s="1"/>
      <c r="GZK121" s="1"/>
      <c r="GZL121" s="1"/>
      <c r="GZM121" s="1"/>
      <c r="GZN121" s="1"/>
      <c r="GZO121" s="1"/>
      <c r="GZP121" s="1"/>
      <c r="GZQ121" s="1"/>
      <c r="GZR121" s="1"/>
      <c r="GZS121" s="1"/>
      <c r="GZT121" s="1"/>
      <c r="GZU121" s="1"/>
      <c r="GZV121" s="1"/>
      <c r="GZW121" s="1"/>
      <c r="GZX121" s="1"/>
      <c r="GZY121" s="1"/>
      <c r="GZZ121" s="1"/>
      <c r="HAA121" s="1"/>
      <c r="HAB121" s="1"/>
      <c r="HAC121" s="1"/>
      <c r="HAD121" s="1"/>
      <c r="HAE121" s="1"/>
      <c r="HAF121" s="1"/>
      <c r="HAG121" s="1"/>
      <c r="HAH121" s="1"/>
      <c r="HAI121" s="1"/>
      <c r="HAJ121" s="1"/>
      <c r="HAK121" s="1"/>
      <c r="HAL121" s="1"/>
      <c r="HAM121" s="1"/>
      <c r="HAN121" s="1"/>
      <c r="HAO121" s="1"/>
      <c r="HAP121" s="1"/>
      <c r="HAQ121" s="1"/>
      <c r="HAR121" s="1"/>
      <c r="HAS121" s="1"/>
      <c r="HAT121" s="1"/>
      <c r="HAU121" s="1"/>
      <c r="HAV121" s="1"/>
      <c r="HAW121" s="1"/>
      <c r="HAX121" s="1"/>
      <c r="HAY121" s="1"/>
      <c r="HAZ121" s="1"/>
      <c r="HBA121" s="1"/>
      <c r="HBB121" s="1"/>
      <c r="HBC121" s="1"/>
      <c r="HBD121" s="1"/>
      <c r="HBE121" s="1"/>
      <c r="HBF121" s="1"/>
      <c r="HBG121" s="1"/>
      <c r="HBH121" s="1"/>
      <c r="HBI121" s="1"/>
      <c r="HBJ121" s="1"/>
      <c r="HBK121" s="1"/>
      <c r="HBL121" s="1"/>
      <c r="HBM121" s="1"/>
      <c r="HBN121" s="1"/>
      <c r="HBO121" s="1"/>
      <c r="HBP121" s="1"/>
      <c r="HBQ121" s="1"/>
      <c r="HBR121" s="1"/>
      <c r="HBS121" s="1"/>
      <c r="HBT121" s="1"/>
      <c r="HBU121" s="1"/>
      <c r="HBV121" s="1"/>
      <c r="HBW121" s="1"/>
      <c r="HBX121" s="1"/>
      <c r="HBY121" s="1"/>
      <c r="HBZ121" s="1"/>
      <c r="HCA121" s="1"/>
      <c r="HCB121" s="1"/>
      <c r="HCC121" s="1"/>
      <c r="HCD121" s="1"/>
      <c r="HCE121" s="1"/>
      <c r="HCF121" s="1"/>
      <c r="HCG121" s="1"/>
      <c r="HCH121" s="1"/>
      <c r="HCI121" s="1"/>
      <c r="HCJ121" s="1"/>
      <c r="HCK121" s="1"/>
      <c r="HCL121" s="1"/>
      <c r="HCM121" s="1"/>
      <c r="HCN121" s="1"/>
      <c r="HCO121" s="1"/>
      <c r="HCP121" s="1"/>
      <c r="HCQ121" s="1"/>
      <c r="HCR121" s="1"/>
      <c r="HCS121" s="1"/>
      <c r="HCT121" s="1"/>
      <c r="HCU121" s="1"/>
      <c r="HCV121" s="1"/>
      <c r="HCW121" s="1"/>
      <c r="HCX121" s="1"/>
      <c r="HCY121" s="1"/>
      <c r="HCZ121" s="1"/>
      <c r="HDA121" s="1"/>
      <c r="HDB121" s="1"/>
      <c r="HDC121" s="1"/>
      <c r="HDD121" s="1"/>
      <c r="HDE121" s="1"/>
      <c r="HDF121" s="1"/>
      <c r="HDG121" s="1"/>
      <c r="HDH121" s="1"/>
      <c r="HDI121" s="1"/>
      <c r="HDJ121" s="1"/>
      <c r="HDK121" s="1"/>
      <c r="HDL121" s="1"/>
      <c r="HDM121" s="1"/>
      <c r="HDN121" s="1"/>
      <c r="HDO121" s="1"/>
      <c r="HDP121" s="1"/>
      <c r="HDQ121" s="1"/>
      <c r="HDR121" s="1"/>
      <c r="HDS121" s="1"/>
      <c r="HDT121" s="1"/>
      <c r="HDU121" s="1"/>
      <c r="HDV121" s="1"/>
      <c r="HDW121" s="1"/>
      <c r="HDX121" s="1"/>
      <c r="HDY121" s="1"/>
      <c r="HDZ121" s="1"/>
      <c r="HEA121" s="1"/>
      <c r="HEB121" s="1"/>
      <c r="HEC121" s="1"/>
      <c r="HED121" s="1"/>
      <c r="HEE121" s="1"/>
      <c r="HEF121" s="1"/>
      <c r="HEG121" s="1"/>
      <c r="HEH121" s="1"/>
      <c r="HEI121" s="1"/>
      <c r="HEJ121" s="1"/>
      <c r="HEK121" s="1"/>
      <c r="HEL121" s="1"/>
      <c r="HEM121" s="1"/>
      <c r="HEN121" s="1"/>
      <c r="HEO121" s="1"/>
      <c r="HEP121" s="1"/>
      <c r="HEQ121" s="1"/>
      <c r="HER121" s="1"/>
      <c r="HES121" s="1"/>
      <c r="HET121" s="1"/>
      <c r="HEU121" s="1"/>
      <c r="HEV121" s="1"/>
      <c r="HEW121" s="1"/>
      <c r="HEX121" s="1"/>
      <c r="HEY121" s="1"/>
      <c r="HEZ121" s="1"/>
      <c r="HFA121" s="1"/>
      <c r="HFB121" s="1"/>
      <c r="HFC121" s="1"/>
      <c r="HFD121" s="1"/>
      <c r="HFE121" s="1"/>
      <c r="HFF121" s="1"/>
      <c r="HFG121" s="1"/>
      <c r="HFH121" s="1"/>
      <c r="HFI121" s="1"/>
      <c r="HFJ121" s="1"/>
      <c r="HFK121" s="1"/>
      <c r="HFL121" s="1"/>
      <c r="HFM121" s="1"/>
      <c r="HFN121" s="1"/>
      <c r="HFO121" s="1"/>
      <c r="HFP121" s="1"/>
      <c r="HFQ121" s="1"/>
      <c r="HFR121" s="1"/>
      <c r="HFS121" s="1"/>
      <c r="HFT121" s="1"/>
      <c r="HFU121" s="1"/>
      <c r="HFV121" s="1"/>
      <c r="HFW121" s="1"/>
      <c r="HFX121" s="1"/>
      <c r="HFY121" s="1"/>
      <c r="HFZ121" s="1"/>
      <c r="HGA121" s="1"/>
      <c r="HGB121" s="1"/>
      <c r="HGC121" s="1"/>
      <c r="HGD121" s="1"/>
      <c r="HGE121" s="1"/>
      <c r="HGF121" s="1"/>
      <c r="HGG121" s="1"/>
      <c r="HGH121" s="1"/>
      <c r="HGI121" s="1"/>
      <c r="HGJ121" s="1"/>
      <c r="HGK121" s="1"/>
      <c r="HGL121" s="1"/>
      <c r="HGM121" s="1"/>
      <c r="HGN121" s="1"/>
      <c r="HGO121" s="1"/>
      <c r="HGP121" s="1"/>
      <c r="HGQ121" s="1"/>
      <c r="HGR121" s="1"/>
      <c r="HGS121" s="1"/>
      <c r="HGT121" s="1"/>
      <c r="HGU121" s="1"/>
      <c r="HGV121" s="1"/>
      <c r="HGW121" s="1"/>
      <c r="HGX121" s="1"/>
      <c r="HGY121" s="1"/>
      <c r="HGZ121" s="1"/>
      <c r="HHA121" s="1"/>
      <c r="HHB121" s="1"/>
      <c r="HHC121" s="1"/>
      <c r="HHD121" s="1"/>
      <c r="HHE121" s="1"/>
      <c r="HHF121" s="1"/>
      <c r="HHG121" s="1"/>
      <c r="HHH121" s="1"/>
      <c r="HHI121" s="1"/>
      <c r="HHJ121" s="1"/>
      <c r="HHK121" s="1"/>
      <c r="HHL121" s="1"/>
      <c r="HHM121" s="1"/>
      <c r="HHN121" s="1"/>
      <c r="HHO121" s="1"/>
      <c r="HHP121" s="1"/>
      <c r="HHQ121" s="1"/>
      <c r="HHR121" s="1"/>
      <c r="HHS121" s="1"/>
      <c r="HHT121" s="1"/>
      <c r="HHU121" s="1"/>
      <c r="HHV121" s="1"/>
      <c r="HHW121" s="1"/>
      <c r="HHX121" s="1"/>
      <c r="HHY121" s="1"/>
      <c r="HHZ121" s="1"/>
      <c r="HIA121" s="1"/>
      <c r="HIB121" s="1"/>
      <c r="HIC121" s="1"/>
      <c r="HID121" s="1"/>
      <c r="HIE121" s="1"/>
      <c r="HIF121" s="1"/>
      <c r="HIG121" s="1"/>
      <c r="HIH121" s="1"/>
      <c r="HII121" s="1"/>
      <c r="HIJ121" s="1"/>
      <c r="HIK121" s="1"/>
      <c r="HIL121" s="1"/>
      <c r="HIM121" s="1"/>
      <c r="HIN121" s="1"/>
      <c r="HIO121" s="1"/>
      <c r="HIP121" s="1"/>
      <c r="HIQ121" s="1"/>
      <c r="HIR121" s="1"/>
      <c r="HIS121" s="1"/>
      <c r="HIT121" s="1"/>
      <c r="HIU121" s="1"/>
      <c r="HIV121" s="1"/>
      <c r="HIW121" s="1"/>
      <c r="HIX121" s="1"/>
      <c r="HIY121" s="1"/>
      <c r="HIZ121" s="1"/>
      <c r="HJA121" s="1"/>
      <c r="HJB121" s="1"/>
      <c r="HJC121" s="1"/>
      <c r="HJD121" s="1"/>
      <c r="HJE121" s="1"/>
      <c r="HJF121" s="1"/>
      <c r="HJG121" s="1"/>
      <c r="HJH121" s="1"/>
      <c r="HJI121" s="1"/>
      <c r="HJJ121" s="1"/>
      <c r="HJK121" s="1"/>
      <c r="HJL121" s="1"/>
      <c r="HJM121" s="1"/>
      <c r="HJN121" s="1"/>
      <c r="HJO121" s="1"/>
      <c r="HJP121" s="1"/>
      <c r="HJQ121" s="1"/>
      <c r="HJR121" s="1"/>
      <c r="HJS121" s="1"/>
      <c r="HJT121" s="1"/>
      <c r="HJU121" s="1"/>
      <c r="HJV121" s="1"/>
      <c r="HJW121" s="1"/>
      <c r="HJX121" s="1"/>
      <c r="HJY121" s="1"/>
      <c r="HJZ121" s="1"/>
      <c r="HKA121" s="1"/>
      <c r="HKB121" s="1"/>
      <c r="HKC121" s="1"/>
      <c r="HKD121" s="1"/>
      <c r="HKE121" s="1"/>
      <c r="HKF121" s="1"/>
      <c r="HKG121" s="1"/>
      <c r="HKH121" s="1"/>
      <c r="HKI121" s="1"/>
      <c r="HKJ121" s="1"/>
      <c r="HKK121" s="1"/>
      <c r="HKL121" s="1"/>
      <c r="HKM121" s="1"/>
      <c r="HKN121" s="1"/>
      <c r="HKO121" s="1"/>
      <c r="HKP121" s="1"/>
      <c r="HKQ121" s="1"/>
      <c r="HKR121" s="1"/>
      <c r="HKS121" s="1"/>
      <c r="HKT121" s="1"/>
      <c r="HKU121" s="1"/>
      <c r="HKV121" s="1"/>
      <c r="HKW121" s="1"/>
      <c r="HKX121" s="1"/>
      <c r="HKY121" s="1"/>
      <c r="HKZ121" s="1"/>
      <c r="HLA121" s="1"/>
      <c r="HLB121" s="1"/>
      <c r="HLC121" s="1"/>
      <c r="HLD121" s="1"/>
      <c r="HLE121" s="1"/>
      <c r="HLF121" s="1"/>
      <c r="HLG121" s="1"/>
      <c r="HLH121" s="1"/>
      <c r="HLI121" s="1"/>
      <c r="HLJ121" s="1"/>
      <c r="HLK121" s="1"/>
      <c r="HLL121" s="1"/>
      <c r="HLM121" s="1"/>
      <c r="HLN121" s="1"/>
      <c r="HLO121" s="1"/>
      <c r="HLP121" s="1"/>
      <c r="HLQ121" s="1"/>
      <c r="HLR121" s="1"/>
      <c r="HLS121" s="1"/>
      <c r="HLT121" s="1"/>
      <c r="HLU121" s="1"/>
      <c r="HLV121" s="1"/>
      <c r="HLW121" s="1"/>
      <c r="HLX121" s="1"/>
      <c r="HLY121" s="1"/>
      <c r="HLZ121" s="1"/>
      <c r="HMA121" s="1"/>
      <c r="HMB121" s="1"/>
      <c r="HMC121" s="1"/>
      <c r="HMD121" s="1"/>
      <c r="HME121" s="1"/>
      <c r="HMF121" s="1"/>
      <c r="HMG121" s="1"/>
      <c r="HMH121" s="1"/>
      <c r="HMI121" s="1"/>
      <c r="HMJ121" s="1"/>
      <c r="HMK121" s="1"/>
      <c r="HML121" s="1"/>
      <c r="HMM121" s="1"/>
      <c r="HMN121" s="1"/>
      <c r="HMO121" s="1"/>
      <c r="HMP121" s="1"/>
      <c r="HMQ121" s="1"/>
      <c r="HMR121" s="1"/>
      <c r="HMS121" s="1"/>
      <c r="HMT121" s="1"/>
      <c r="HMU121" s="1"/>
      <c r="HMV121" s="1"/>
      <c r="HMW121" s="1"/>
      <c r="HMX121" s="1"/>
      <c r="HMY121" s="1"/>
      <c r="HMZ121" s="1"/>
      <c r="HNA121" s="1"/>
      <c r="HNB121" s="1"/>
      <c r="HNC121" s="1"/>
      <c r="HND121" s="1"/>
      <c r="HNE121" s="1"/>
      <c r="HNF121" s="1"/>
      <c r="HNG121" s="1"/>
      <c r="HNH121" s="1"/>
      <c r="HNI121" s="1"/>
      <c r="HNJ121" s="1"/>
      <c r="HNK121" s="1"/>
      <c r="HNL121" s="1"/>
      <c r="HNM121" s="1"/>
      <c r="HNN121" s="1"/>
      <c r="HNO121" s="1"/>
      <c r="HNP121" s="1"/>
      <c r="HNQ121" s="1"/>
      <c r="HNR121" s="1"/>
      <c r="HNS121" s="1"/>
      <c r="HNT121" s="1"/>
      <c r="HNU121" s="1"/>
      <c r="HNV121" s="1"/>
      <c r="HNW121" s="1"/>
      <c r="HNX121" s="1"/>
      <c r="HNY121" s="1"/>
      <c r="HNZ121" s="1"/>
      <c r="HOA121" s="1"/>
      <c r="HOB121" s="1"/>
      <c r="HOC121" s="1"/>
      <c r="HOD121" s="1"/>
      <c r="HOE121" s="1"/>
      <c r="HOF121" s="1"/>
      <c r="HOG121" s="1"/>
      <c r="HOH121" s="1"/>
      <c r="HOI121" s="1"/>
      <c r="HOJ121" s="1"/>
      <c r="HOK121" s="1"/>
      <c r="HOL121" s="1"/>
      <c r="HOM121" s="1"/>
      <c r="HON121" s="1"/>
      <c r="HOO121" s="1"/>
      <c r="HOP121" s="1"/>
      <c r="HOQ121" s="1"/>
      <c r="HOR121" s="1"/>
      <c r="HOS121" s="1"/>
      <c r="HOT121" s="1"/>
      <c r="HOU121" s="1"/>
      <c r="HOV121" s="1"/>
      <c r="HOW121" s="1"/>
      <c r="HOX121" s="1"/>
      <c r="HOY121" s="1"/>
      <c r="HOZ121" s="1"/>
      <c r="HPA121" s="1"/>
      <c r="HPB121" s="1"/>
      <c r="HPC121" s="1"/>
      <c r="HPD121" s="1"/>
      <c r="HPE121" s="1"/>
      <c r="HPF121" s="1"/>
      <c r="HPG121" s="1"/>
      <c r="HPH121" s="1"/>
      <c r="HPI121" s="1"/>
      <c r="HPJ121" s="1"/>
      <c r="HPK121" s="1"/>
      <c r="HPL121" s="1"/>
      <c r="HPM121" s="1"/>
      <c r="HPN121" s="1"/>
      <c r="HPO121" s="1"/>
      <c r="HPP121" s="1"/>
      <c r="HPQ121" s="1"/>
      <c r="HPR121" s="1"/>
      <c r="HPS121" s="1"/>
      <c r="HPT121" s="1"/>
      <c r="HPU121" s="1"/>
      <c r="HPV121" s="1"/>
      <c r="HPW121" s="1"/>
      <c r="HPX121" s="1"/>
      <c r="HPY121" s="1"/>
      <c r="HPZ121" s="1"/>
      <c r="HQA121" s="1"/>
      <c r="HQB121" s="1"/>
      <c r="HQC121" s="1"/>
      <c r="HQD121" s="1"/>
      <c r="HQE121" s="1"/>
      <c r="HQF121" s="1"/>
      <c r="HQG121" s="1"/>
      <c r="HQH121" s="1"/>
      <c r="HQI121" s="1"/>
      <c r="HQJ121" s="1"/>
      <c r="HQK121" s="1"/>
      <c r="HQL121" s="1"/>
      <c r="HQM121" s="1"/>
      <c r="HQN121" s="1"/>
      <c r="HQO121" s="1"/>
      <c r="HQP121" s="1"/>
      <c r="HQQ121" s="1"/>
      <c r="HQR121" s="1"/>
      <c r="HQS121" s="1"/>
      <c r="HQT121" s="1"/>
      <c r="HQU121" s="1"/>
      <c r="HQV121" s="1"/>
      <c r="HQW121" s="1"/>
      <c r="HQX121" s="1"/>
      <c r="HQY121" s="1"/>
      <c r="HQZ121" s="1"/>
      <c r="HRA121" s="1"/>
      <c r="HRB121" s="1"/>
      <c r="HRC121" s="1"/>
      <c r="HRD121" s="1"/>
      <c r="HRE121" s="1"/>
      <c r="HRF121" s="1"/>
      <c r="HRG121" s="1"/>
      <c r="HRH121" s="1"/>
      <c r="HRI121" s="1"/>
      <c r="HRJ121" s="1"/>
      <c r="HRK121" s="1"/>
      <c r="HRL121" s="1"/>
      <c r="HRM121" s="1"/>
      <c r="HRN121" s="1"/>
      <c r="HRO121" s="1"/>
      <c r="HRP121" s="1"/>
      <c r="HRQ121" s="1"/>
      <c r="HRR121" s="1"/>
      <c r="HRS121" s="1"/>
      <c r="HRT121" s="1"/>
      <c r="HRU121" s="1"/>
      <c r="HRV121" s="1"/>
      <c r="HRW121" s="1"/>
      <c r="HRX121" s="1"/>
      <c r="HRY121" s="1"/>
      <c r="HRZ121" s="1"/>
      <c r="HSA121" s="1"/>
      <c r="HSB121" s="1"/>
      <c r="HSC121" s="1"/>
      <c r="HSD121" s="1"/>
      <c r="HSE121" s="1"/>
      <c r="HSF121" s="1"/>
      <c r="HSG121" s="1"/>
      <c r="HSH121" s="1"/>
      <c r="HSI121" s="1"/>
      <c r="HSJ121" s="1"/>
      <c r="HSK121" s="1"/>
      <c r="HSL121" s="1"/>
      <c r="HSM121" s="1"/>
      <c r="HSN121" s="1"/>
      <c r="HSO121" s="1"/>
      <c r="HSP121" s="1"/>
      <c r="HSQ121" s="1"/>
      <c r="HSR121" s="1"/>
      <c r="HSS121" s="1"/>
      <c r="HST121" s="1"/>
      <c r="HSU121" s="1"/>
      <c r="HSV121" s="1"/>
      <c r="HSW121" s="1"/>
      <c r="HSX121" s="1"/>
      <c r="HSY121" s="1"/>
      <c r="HSZ121" s="1"/>
      <c r="HTA121" s="1"/>
      <c r="HTB121" s="1"/>
      <c r="HTC121" s="1"/>
      <c r="HTD121" s="1"/>
      <c r="HTE121" s="1"/>
      <c r="HTF121" s="1"/>
      <c r="HTG121" s="1"/>
      <c r="HTH121" s="1"/>
      <c r="HTI121" s="1"/>
      <c r="HTJ121" s="1"/>
      <c r="HTK121" s="1"/>
      <c r="HTL121" s="1"/>
      <c r="HTM121" s="1"/>
      <c r="HTN121" s="1"/>
      <c r="HTO121" s="1"/>
      <c r="HTP121" s="1"/>
      <c r="HTQ121" s="1"/>
      <c r="HTR121" s="1"/>
      <c r="HTS121" s="1"/>
      <c r="HTT121" s="1"/>
      <c r="HTU121" s="1"/>
      <c r="HTV121" s="1"/>
      <c r="HTW121" s="1"/>
      <c r="HTX121" s="1"/>
      <c r="HTY121" s="1"/>
      <c r="HTZ121" s="1"/>
      <c r="HUA121" s="1"/>
      <c r="HUB121" s="1"/>
      <c r="HUC121" s="1"/>
      <c r="HUD121" s="1"/>
      <c r="HUE121" s="1"/>
      <c r="HUF121" s="1"/>
      <c r="HUG121" s="1"/>
      <c r="HUH121" s="1"/>
      <c r="HUI121" s="1"/>
      <c r="HUJ121" s="1"/>
      <c r="HUK121" s="1"/>
      <c r="HUL121" s="1"/>
      <c r="HUM121" s="1"/>
      <c r="HUN121" s="1"/>
      <c r="HUO121" s="1"/>
      <c r="HUP121" s="1"/>
      <c r="HUQ121" s="1"/>
      <c r="HUR121" s="1"/>
      <c r="HUS121" s="1"/>
      <c r="HUT121" s="1"/>
      <c r="HUU121" s="1"/>
      <c r="HUV121" s="1"/>
      <c r="HUW121" s="1"/>
      <c r="HUX121" s="1"/>
      <c r="HUY121" s="1"/>
      <c r="HUZ121" s="1"/>
      <c r="HVA121" s="1"/>
      <c r="HVB121" s="1"/>
      <c r="HVC121" s="1"/>
      <c r="HVD121" s="1"/>
      <c r="HVE121" s="1"/>
      <c r="HVF121" s="1"/>
      <c r="HVG121" s="1"/>
      <c r="HVH121" s="1"/>
      <c r="HVI121" s="1"/>
      <c r="HVJ121" s="1"/>
      <c r="HVK121" s="1"/>
      <c r="HVL121" s="1"/>
      <c r="HVM121" s="1"/>
      <c r="HVN121" s="1"/>
      <c r="HVO121" s="1"/>
      <c r="HVP121" s="1"/>
      <c r="HVQ121" s="1"/>
      <c r="HVR121" s="1"/>
      <c r="HVS121" s="1"/>
      <c r="HVT121" s="1"/>
      <c r="HVU121" s="1"/>
      <c r="HVV121" s="1"/>
      <c r="HVW121" s="1"/>
      <c r="HVX121" s="1"/>
      <c r="HVY121" s="1"/>
      <c r="HVZ121" s="1"/>
      <c r="HWA121" s="1"/>
      <c r="HWB121" s="1"/>
      <c r="HWC121" s="1"/>
      <c r="HWD121" s="1"/>
      <c r="HWE121" s="1"/>
      <c r="HWF121" s="1"/>
      <c r="HWG121" s="1"/>
      <c r="HWH121" s="1"/>
      <c r="HWI121" s="1"/>
      <c r="HWJ121" s="1"/>
      <c r="HWK121" s="1"/>
      <c r="HWL121" s="1"/>
      <c r="HWM121" s="1"/>
      <c r="HWN121" s="1"/>
      <c r="HWO121" s="1"/>
      <c r="HWP121" s="1"/>
      <c r="HWQ121" s="1"/>
      <c r="HWR121" s="1"/>
      <c r="HWS121" s="1"/>
      <c r="HWT121" s="1"/>
      <c r="HWU121" s="1"/>
      <c r="HWV121" s="1"/>
      <c r="HWW121" s="1"/>
      <c r="HWX121" s="1"/>
      <c r="HWY121" s="1"/>
      <c r="HWZ121" s="1"/>
      <c r="HXA121" s="1"/>
      <c r="HXB121" s="1"/>
      <c r="HXC121" s="1"/>
      <c r="HXD121" s="1"/>
      <c r="HXE121" s="1"/>
      <c r="HXF121" s="1"/>
      <c r="HXG121" s="1"/>
      <c r="HXH121" s="1"/>
      <c r="HXI121" s="1"/>
      <c r="HXJ121" s="1"/>
      <c r="HXK121" s="1"/>
      <c r="HXL121" s="1"/>
      <c r="HXM121" s="1"/>
      <c r="HXN121" s="1"/>
      <c r="HXO121" s="1"/>
      <c r="HXP121" s="1"/>
      <c r="HXQ121" s="1"/>
      <c r="HXR121" s="1"/>
      <c r="HXS121" s="1"/>
      <c r="HXT121" s="1"/>
      <c r="HXU121" s="1"/>
      <c r="HXV121" s="1"/>
      <c r="HXW121" s="1"/>
      <c r="HXX121" s="1"/>
      <c r="HXY121" s="1"/>
      <c r="HXZ121" s="1"/>
      <c r="HYA121" s="1"/>
      <c r="HYB121" s="1"/>
      <c r="HYC121" s="1"/>
      <c r="HYD121" s="1"/>
      <c r="HYE121" s="1"/>
      <c r="HYF121" s="1"/>
      <c r="HYG121" s="1"/>
      <c r="HYH121" s="1"/>
      <c r="HYI121" s="1"/>
      <c r="HYJ121" s="1"/>
      <c r="HYK121" s="1"/>
      <c r="HYL121" s="1"/>
      <c r="HYM121" s="1"/>
      <c r="HYN121" s="1"/>
      <c r="HYO121" s="1"/>
      <c r="HYP121" s="1"/>
      <c r="HYQ121" s="1"/>
      <c r="HYR121" s="1"/>
      <c r="HYS121" s="1"/>
      <c r="HYT121" s="1"/>
      <c r="HYU121" s="1"/>
      <c r="HYV121" s="1"/>
      <c r="HYW121" s="1"/>
      <c r="HYX121" s="1"/>
      <c r="HYY121" s="1"/>
      <c r="HYZ121" s="1"/>
      <c r="HZA121" s="1"/>
      <c r="HZB121" s="1"/>
      <c r="HZC121" s="1"/>
      <c r="HZD121" s="1"/>
      <c r="HZE121" s="1"/>
      <c r="HZF121" s="1"/>
      <c r="HZG121" s="1"/>
      <c r="HZH121" s="1"/>
      <c r="HZI121" s="1"/>
      <c r="HZJ121" s="1"/>
      <c r="HZK121" s="1"/>
      <c r="HZL121" s="1"/>
      <c r="HZM121" s="1"/>
      <c r="HZN121" s="1"/>
      <c r="HZO121" s="1"/>
      <c r="HZP121" s="1"/>
      <c r="HZQ121" s="1"/>
      <c r="HZR121" s="1"/>
      <c r="HZS121" s="1"/>
      <c r="HZT121" s="1"/>
      <c r="HZU121" s="1"/>
      <c r="HZV121" s="1"/>
      <c r="HZW121" s="1"/>
      <c r="HZX121" s="1"/>
      <c r="HZY121" s="1"/>
      <c r="HZZ121" s="1"/>
      <c r="IAA121" s="1"/>
      <c r="IAB121" s="1"/>
      <c r="IAC121" s="1"/>
      <c r="IAD121" s="1"/>
      <c r="IAE121" s="1"/>
      <c r="IAF121" s="1"/>
      <c r="IAG121" s="1"/>
      <c r="IAH121" s="1"/>
      <c r="IAI121" s="1"/>
      <c r="IAJ121" s="1"/>
      <c r="IAK121" s="1"/>
      <c r="IAL121" s="1"/>
      <c r="IAM121" s="1"/>
      <c r="IAN121" s="1"/>
      <c r="IAO121" s="1"/>
      <c r="IAP121" s="1"/>
      <c r="IAQ121" s="1"/>
      <c r="IAR121" s="1"/>
      <c r="IAS121" s="1"/>
      <c r="IAT121" s="1"/>
      <c r="IAU121" s="1"/>
      <c r="IAV121" s="1"/>
      <c r="IAW121" s="1"/>
      <c r="IAX121" s="1"/>
      <c r="IAY121" s="1"/>
      <c r="IAZ121" s="1"/>
      <c r="IBA121" s="1"/>
      <c r="IBB121" s="1"/>
      <c r="IBC121" s="1"/>
      <c r="IBD121" s="1"/>
      <c r="IBE121" s="1"/>
      <c r="IBF121" s="1"/>
      <c r="IBG121" s="1"/>
      <c r="IBH121" s="1"/>
      <c r="IBI121" s="1"/>
      <c r="IBJ121" s="1"/>
      <c r="IBK121" s="1"/>
      <c r="IBL121" s="1"/>
      <c r="IBM121" s="1"/>
      <c r="IBN121" s="1"/>
      <c r="IBO121" s="1"/>
      <c r="IBP121" s="1"/>
      <c r="IBQ121" s="1"/>
      <c r="IBR121" s="1"/>
      <c r="IBS121" s="1"/>
      <c r="IBT121" s="1"/>
      <c r="IBU121" s="1"/>
      <c r="IBV121" s="1"/>
      <c r="IBW121" s="1"/>
      <c r="IBX121" s="1"/>
      <c r="IBY121" s="1"/>
      <c r="IBZ121" s="1"/>
      <c r="ICA121" s="1"/>
      <c r="ICB121" s="1"/>
      <c r="ICC121" s="1"/>
      <c r="ICD121" s="1"/>
      <c r="ICE121" s="1"/>
      <c r="ICF121" s="1"/>
      <c r="ICG121" s="1"/>
      <c r="ICH121" s="1"/>
      <c r="ICI121" s="1"/>
      <c r="ICJ121" s="1"/>
      <c r="ICK121" s="1"/>
      <c r="ICL121" s="1"/>
      <c r="ICM121" s="1"/>
      <c r="ICN121" s="1"/>
      <c r="ICO121" s="1"/>
      <c r="ICP121" s="1"/>
      <c r="ICQ121" s="1"/>
      <c r="ICR121" s="1"/>
      <c r="ICS121" s="1"/>
      <c r="ICT121" s="1"/>
      <c r="ICU121" s="1"/>
      <c r="ICV121" s="1"/>
      <c r="ICW121" s="1"/>
      <c r="ICX121" s="1"/>
      <c r="ICY121" s="1"/>
      <c r="ICZ121" s="1"/>
      <c r="IDA121" s="1"/>
      <c r="IDB121" s="1"/>
      <c r="IDC121" s="1"/>
      <c r="IDD121" s="1"/>
      <c r="IDE121" s="1"/>
      <c r="IDF121" s="1"/>
      <c r="IDG121" s="1"/>
      <c r="IDH121" s="1"/>
      <c r="IDI121" s="1"/>
      <c r="IDJ121" s="1"/>
      <c r="IDK121" s="1"/>
      <c r="IDL121" s="1"/>
      <c r="IDM121" s="1"/>
      <c r="IDN121" s="1"/>
      <c r="IDO121" s="1"/>
      <c r="IDP121" s="1"/>
      <c r="IDQ121" s="1"/>
      <c r="IDR121" s="1"/>
      <c r="IDS121" s="1"/>
      <c r="IDT121" s="1"/>
      <c r="IDU121" s="1"/>
      <c r="IDV121" s="1"/>
      <c r="IDW121" s="1"/>
      <c r="IDX121" s="1"/>
      <c r="IDY121" s="1"/>
      <c r="IDZ121" s="1"/>
      <c r="IEA121" s="1"/>
      <c r="IEB121" s="1"/>
      <c r="IEC121" s="1"/>
      <c r="IED121" s="1"/>
      <c r="IEE121" s="1"/>
      <c r="IEF121" s="1"/>
      <c r="IEG121" s="1"/>
      <c r="IEH121" s="1"/>
      <c r="IEI121" s="1"/>
      <c r="IEJ121" s="1"/>
      <c r="IEK121" s="1"/>
      <c r="IEL121" s="1"/>
      <c r="IEM121" s="1"/>
      <c r="IEN121" s="1"/>
      <c r="IEO121" s="1"/>
      <c r="IEP121" s="1"/>
      <c r="IEQ121" s="1"/>
      <c r="IER121" s="1"/>
      <c r="IES121" s="1"/>
      <c r="IET121" s="1"/>
      <c r="IEU121" s="1"/>
      <c r="IEV121" s="1"/>
      <c r="IEW121" s="1"/>
      <c r="IEX121" s="1"/>
      <c r="IEY121" s="1"/>
      <c r="IEZ121" s="1"/>
      <c r="IFA121" s="1"/>
      <c r="IFB121" s="1"/>
      <c r="IFC121" s="1"/>
      <c r="IFD121" s="1"/>
      <c r="IFE121" s="1"/>
      <c r="IFF121" s="1"/>
      <c r="IFG121" s="1"/>
      <c r="IFH121" s="1"/>
      <c r="IFI121" s="1"/>
      <c r="IFJ121" s="1"/>
      <c r="IFK121" s="1"/>
      <c r="IFL121" s="1"/>
      <c r="IFM121" s="1"/>
      <c r="IFN121" s="1"/>
      <c r="IFO121" s="1"/>
      <c r="IFP121" s="1"/>
      <c r="IFQ121" s="1"/>
      <c r="IFR121" s="1"/>
      <c r="IFS121" s="1"/>
      <c r="IFT121" s="1"/>
      <c r="IFU121" s="1"/>
      <c r="IFV121" s="1"/>
      <c r="IFW121" s="1"/>
      <c r="IFX121" s="1"/>
      <c r="IFY121" s="1"/>
      <c r="IFZ121" s="1"/>
      <c r="IGA121" s="1"/>
      <c r="IGB121" s="1"/>
      <c r="IGC121" s="1"/>
      <c r="IGD121" s="1"/>
      <c r="IGE121" s="1"/>
      <c r="IGF121" s="1"/>
      <c r="IGG121" s="1"/>
      <c r="IGH121" s="1"/>
      <c r="IGI121" s="1"/>
      <c r="IGJ121" s="1"/>
      <c r="IGK121" s="1"/>
      <c r="IGL121" s="1"/>
      <c r="IGM121" s="1"/>
      <c r="IGN121" s="1"/>
      <c r="IGO121" s="1"/>
      <c r="IGP121" s="1"/>
      <c r="IGQ121" s="1"/>
      <c r="IGR121" s="1"/>
      <c r="IGS121" s="1"/>
      <c r="IGT121" s="1"/>
      <c r="IGU121" s="1"/>
      <c r="IGV121" s="1"/>
      <c r="IGW121" s="1"/>
      <c r="IGX121" s="1"/>
      <c r="IGY121" s="1"/>
      <c r="IGZ121" s="1"/>
      <c r="IHA121" s="1"/>
      <c r="IHB121" s="1"/>
      <c r="IHC121" s="1"/>
      <c r="IHD121" s="1"/>
      <c r="IHE121" s="1"/>
      <c r="IHF121" s="1"/>
      <c r="IHG121" s="1"/>
      <c r="IHH121" s="1"/>
      <c r="IHI121" s="1"/>
      <c r="IHJ121" s="1"/>
      <c r="IHK121" s="1"/>
      <c r="IHL121" s="1"/>
      <c r="IHM121" s="1"/>
      <c r="IHN121" s="1"/>
      <c r="IHO121" s="1"/>
      <c r="IHP121" s="1"/>
      <c r="IHQ121" s="1"/>
      <c r="IHR121" s="1"/>
      <c r="IHS121" s="1"/>
      <c r="IHT121" s="1"/>
      <c r="IHU121" s="1"/>
      <c r="IHV121" s="1"/>
      <c r="IHW121" s="1"/>
      <c r="IHX121" s="1"/>
      <c r="IHY121" s="1"/>
      <c r="IHZ121" s="1"/>
      <c r="IIA121" s="1"/>
      <c r="IIB121" s="1"/>
      <c r="IIC121" s="1"/>
      <c r="IID121" s="1"/>
      <c r="IIE121" s="1"/>
      <c r="IIF121" s="1"/>
      <c r="IIG121" s="1"/>
      <c r="IIH121" s="1"/>
      <c r="III121" s="1"/>
      <c r="IIJ121" s="1"/>
      <c r="IIK121" s="1"/>
      <c r="IIL121" s="1"/>
      <c r="IIM121" s="1"/>
      <c r="IIN121" s="1"/>
      <c r="IIO121" s="1"/>
      <c r="IIP121" s="1"/>
      <c r="IIQ121" s="1"/>
      <c r="IIR121" s="1"/>
      <c r="IIS121" s="1"/>
      <c r="IIT121" s="1"/>
      <c r="IIU121" s="1"/>
      <c r="IIV121" s="1"/>
      <c r="IIW121" s="1"/>
      <c r="IIX121" s="1"/>
      <c r="IIY121" s="1"/>
      <c r="IIZ121" s="1"/>
      <c r="IJA121" s="1"/>
      <c r="IJB121" s="1"/>
      <c r="IJC121" s="1"/>
      <c r="IJD121" s="1"/>
      <c r="IJE121" s="1"/>
      <c r="IJF121" s="1"/>
      <c r="IJG121" s="1"/>
      <c r="IJH121" s="1"/>
      <c r="IJI121" s="1"/>
      <c r="IJJ121" s="1"/>
      <c r="IJK121" s="1"/>
      <c r="IJL121" s="1"/>
      <c r="IJM121" s="1"/>
      <c r="IJN121" s="1"/>
      <c r="IJO121" s="1"/>
      <c r="IJP121" s="1"/>
      <c r="IJQ121" s="1"/>
      <c r="IJR121" s="1"/>
      <c r="IJS121" s="1"/>
      <c r="IJT121" s="1"/>
      <c r="IJU121" s="1"/>
      <c r="IJV121" s="1"/>
      <c r="IJW121" s="1"/>
      <c r="IJX121" s="1"/>
      <c r="IJY121" s="1"/>
      <c r="IJZ121" s="1"/>
      <c r="IKA121" s="1"/>
      <c r="IKB121" s="1"/>
      <c r="IKC121" s="1"/>
      <c r="IKD121" s="1"/>
      <c r="IKE121" s="1"/>
      <c r="IKF121" s="1"/>
      <c r="IKG121" s="1"/>
      <c r="IKH121" s="1"/>
      <c r="IKI121" s="1"/>
      <c r="IKJ121" s="1"/>
      <c r="IKK121" s="1"/>
      <c r="IKL121" s="1"/>
      <c r="IKM121" s="1"/>
      <c r="IKN121" s="1"/>
      <c r="IKO121" s="1"/>
      <c r="IKP121" s="1"/>
      <c r="IKQ121" s="1"/>
      <c r="IKR121" s="1"/>
      <c r="IKS121" s="1"/>
      <c r="IKT121" s="1"/>
      <c r="IKU121" s="1"/>
      <c r="IKV121" s="1"/>
      <c r="IKW121" s="1"/>
      <c r="IKX121" s="1"/>
      <c r="IKY121" s="1"/>
      <c r="IKZ121" s="1"/>
      <c r="ILA121" s="1"/>
      <c r="ILB121" s="1"/>
      <c r="ILC121" s="1"/>
      <c r="ILD121" s="1"/>
      <c r="ILE121" s="1"/>
      <c r="ILF121" s="1"/>
      <c r="ILG121" s="1"/>
      <c r="ILH121" s="1"/>
      <c r="ILI121" s="1"/>
      <c r="ILJ121" s="1"/>
      <c r="ILK121" s="1"/>
      <c r="ILL121" s="1"/>
      <c r="ILM121" s="1"/>
      <c r="ILN121" s="1"/>
      <c r="ILO121" s="1"/>
      <c r="ILP121" s="1"/>
      <c r="ILQ121" s="1"/>
      <c r="ILR121" s="1"/>
      <c r="ILS121" s="1"/>
      <c r="ILT121" s="1"/>
      <c r="ILU121" s="1"/>
      <c r="ILV121" s="1"/>
      <c r="ILW121" s="1"/>
      <c r="ILX121" s="1"/>
      <c r="ILY121" s="1"/>
      <c r="ILZ121" s="1"/>
      <c r="IMA121" s="1"/>
      <c r="IMB121" s="1"/>
      <c r="IMC121" s="1"/>
      <c r="IMD121" s="1"/>
      <c r="IME121" s="1"/>
      <c r="IMF121" s="1"/>
      <c r="IMG121" s="1"/>
      <c r="IMH121" s="1"/>
      <c r="IMI121" s="1"/>
      <c r="IMJ121" s="1"/>
      <c r="IMK121" s="1"/>
      <c r="IML121" s="1"/>
      <c r="IMM121" s="1"/>
      <c r="IMN121" s="1"/>
      <c r="IMO121" s="1"/>
      <c r="IMP121" s="1"/>
      <c r="IMQ121" s="1"/>
      <c r="IMR121" s="1"/>
      <c r="IMS121" s="1"/>
      <c r="IMT121" s="1"/>
      <c r="IMU121" s="1"/>
      <c r="IMV121" s="1"/>
      <c r="IMW121" s="1"/>
      <c r="IMX121" s="1"/>
      <c r="IMY121" s="1"/>
      <c r="IMZ121" s="1"/>
      <c r="INA121" s="1"/>
      <c r="INB121" s="1"/>
      <c r="INC121" s="1"/>
      <c r="IND121" s="1"/>
      <c r="INE121" s="1"/>
      <c r="INF121" s="1"/>
      <c r="ING121" s="1"/>
      <c r="INH121" s="1"/>
      <c r="INI121" s="1"/>
      <c r="INJ121" s="1"/>
      <c r="INK121" s="1"/>
      <c r="INL121" s="1"/>
      <c r="INM121" s="1"/>
      <c r="INN121" s="1"/>
      <c r="INO121" s="1"/>
      <c r="INP121" s="1"/>
      <c r="INQ121" s="1"/>
      <c r="INR121" s="1"/>
      <c r="INS121" s="1"/>
      <c r="INT121" s="1"/>
      <c r="INU121" s="1"/>
      <c r="INV121" s="1"/>
      <c r="INW121" s="1"/>
      <c r="INX121" s="1"/>
      <c r="INY121" s="1"/>
      <c r="INZ121" s="1"/>
      <c r="IOA121" s="1"/>
      <c r="IOB121" s="1"/>
      <c r="IOC121" s="1"/>
      <c r="IOD121" s="1"/>
      <c r="IOE121" s="1"/>
      <c r="IOF121" s="1"/>
      <c r="IOG121" s="1"/>
      <c r="IOH121" s="1"/>
      <c r="IOI121" s="1"/>
      <c r="IOJ121" s="1"/>
      <c r="IOK121" s="1"/>
      <c r="IOL121" s="1"/>
      <c r="IOM121" s="1"/>
      <c r="ION121" s="1"/>
      <c r="IOO121" s="1"/>
      <c r="IOP121" s="1"/>
      <c r="IOQ121" s="1"/>
      <c r="IOR121" s="1"/>
      <c r="IOS121" s="1"/>
      <c r="IOT121" s="1"/>
      <c r="IOU121" s="1"/>
      <c r="IOV121" s="1"/>
      <c r="IOW121" s="1"/>
      <c r="IOX121" s="1"/>
      <c r="IOY121" s="1"/>
      <c r="IOZ121" s="1"/>
      <c r="IPA121" s="1"/>
      <c r="IPB121" s="1"/>
      <c r="IPC121" s="1"/>
      <c r="IPD121" s="1"/>
      <c r="IPE121" s="1"/>
      <c r="IPF121" s="1"/>
      <c r="IPG121" s="1"/>
      <c r="IPH121" s="1"/>
      <c r="IPI121" s="1"/>
      <c r="IPJ121" s="1"/>
      <c r="IPK121" s="1"/>
      <c r="IPL121" s="1"/>
      <c r="IPM121" s="1"/>
      <c r="IPN121" s="1"/>
      <c r="IPO121" s="1"/>
      <c r="IPP121" s="1"/>
      <c r="IPQ121" s="1"/>
      <c r="IPR121" s="1"/>
      <c r="IPS121" s="1"/>
      <c r="IPT121" s="1"/>
      <c r="IPU121" s="1"/>
      <c r="IPV121" s="1"/>
      <c r="IPW121" s="1"/>
      <c r="IPX121" s="1"/>
      <c r="IPY121" s="1"/>
      <c r="IPZ121" s="1"/>
      <c r="IQA121" s="1"/>
      <c r="IQB121" s="1"/>
      <c r="IQC121" s="1"/>
      <c r="IQD121" s="1"/>
      <c r="IQE121" s="1"/>
      <c r="IQF121" s="1"/>
      <c r="IQG121" s="1"/>
      <c r="IQH121" s="1"/>
      <c r="IQI121" s="1"/>
      <c r="IQJ121" s="1"/>
      <c r="IQK121" s="1"/>
      <c r="IQL121" s="1"/>
      <c r="IQM121" s="1"/>
      <c r="IQN121" s="1"/>
      <c r="IQO121" s="1"/>
      <c r="IQP121" s="1"/>
      <c r="IQQ121" s="1"/>
      <c r="IQR121" s="1"/>
      <c r="IQS121" s="1"/>
      <c r="IQT121" s="1"/>
      <c r="IQU121" s="1"/>
      <c r="IQV121" s="1"/>
      <c r="IQW121" s="1"/>
      <c r="IQX121" s="1"/>
      <c r="IQY121" s="1"/>
      <c r="IQZ121" s="1"/>
      <c r="IRA121" s="1"/>
      <c r="IRB121" s="1"/>
      <c r="IRC121" s="1"/>
      <c r="IRD121" s="1"/>
      <c r="IRE121" s="1"/>
      <c r="IRF121" s="1"/>
      <c r="IRG121" s="1"/>
      <c r="IRH121" s="1"/>
      <c r="IRI121" s="1"/>
      <c r="IRJ121" s="1"/>
      <c r="IRK121" s="1"/>
      <c r="IRL121" s="1"/>
      <c r="IRM121" s="1"/>
      <c r="IRN121" s="1"/>
      <c r="IRO121" s="1"/>
      <c r="IRP121" s="1"/>
      <c r="IRQ121" s="1"/>
      <c r="IRR121" s="1"/>
      <c r="IRS121" s="1"/>
      <c r="IRT121" s="1"/>
      <c r="IRU121" s="1"/>
      <c r="IRV121" s="1"/>
      <c r="IRW121" s="1"/>
      <c r="IRX121" s="1"/>
      <c r="IRY121" s="1"/>
      <c r="IRZ121" s="1"/>
      <c r="ISA121" s="1"/>
      <c r="ISB121" s="1"/>
      <c r="ISC121" s="1"/>
      <c r="ISD121" s="1"/>
      <c r="ISE121" s="1"/>
      <c r="ISF121" s="1"/>
      <c r="ISG121" s="1"/>
      <c r="ISH121" s="1"/>
      <c r="ISI121" s="1"/>
      <c r="ISJ121" s="1"/>
      <c r="ISK121" s="1"/>
      <c r="ISL121" s="1"/>
      <c r="ISM121" s="1"/>
      <c r="ISN121" s="1"/>
      <c r="ISO121" s="1"/>
      <c r="ISP121" s="1"/>
      <c r="ISQ121" s="1"/>
      <c r="ISR121" s="1"/>
      <c r="ISS121" s="1"/>
      <c r="IST121" s="1"/>
      <c r="ISU121" s="1"/>
      <c r="ISV121" s="1"/>
      <c r="ISW121" s="1"/>
      <c r="ISX121" s="1"/>
      <c r="ISY121" s="1"/>
      <c r="ISZ121" s="1"/>
      <c r="ITA121" s="1"/>
      <c r="ITB121" s="1"/>
      <c r="ITC121" s="1"/>
      <c r="ITD121" s="1"/>
      <c r="ITE121" s="1"/>
      <c r="ITF121" s="1"/>
      <c r="ITG121" s="1"/>
      <c r="ITH121" s="1"/>
      <c r="ITI121" s="1"/>
      <c r="ITJ121" s="1"/>
      <c r="ITK121" s="1"/>
      <c r="ITL121" s="1"/>
      <c r="ITM121" s="1"/>
      <c r="ITN121" s="1"/>
      <c r="ITO121" s="1"/>
      <c r="ITP121" s="1"/>
      <c r="ITQ121" s="1"/>
      <c r="ITR121" s="1"/>
      <c r="ITS121" s="1"/>
      <c r="ITT121" s="1"/>
      <c r="ITU121" s="1"/>
      <c r="ITV121" s="1"/>
      <c r="ITW121" s="1"/>
      <c r="ITX121" s="1"/>
      <c r="ITY121" s="1"/>
      <c r="ITZ121" s="1"/>
      <c r="IUA121" s="1"/>
      <c r="IUB121" s="1"/>
      <c r="IUC121" s="1"/>
      <c r="IUD121" s="1"/>
      <c r="IUE121" s="1"/>
      <c r="IUF121" s="1"/>
      <c r="IUG121" s="1"/>
      <c r="IUH121" s="1"/>
      <c r="IUI121" s="1"/>
      <c r="IUJ121" s="1"/>
      <c r="IUK121" s="1"/>
      <c r="IUL121" s="1"/>
      <c r="IUM121" s="1"/>
      <c r="IUN121" s="1"/>
      <c r="IUO121" s="1"/>
      <c r="IUP121" s="1"/>
      <c r="IUQ121" s="1"/>
      <c r="IUR121" s="1"/>
      <c r="IUS121" s="1"/>
      <c r="IUT121" s="1"/>
      <c r="IUU121" s="1"/>
      <c r="IUV121" s="1"/>
      <c r="IUW121" s="1"/>
      <c r="IUX121" s="1"/>
      <c r="IUY121" s="1"/>
      <c r="IUZ121" s="1"/>
      <c r="IVA121" s="1"/>
      <c r="IVB121" s="1"/>
      <c r="IVC121" s="1"/>
      <c r="IVD121" s="1"/>
      <c r="IVE121" s="1"/>
      <c r="IVF121" s="1"/>
      <c r="IVG121" s="1"/>
      <c r="IVH121" s="1"/>
      <c r="IVI121" s="1"/>
      <c r="IVJ121" s="1"/>
      <c r="IVK121" s="1"/>
      <c r="IVL121" s="1"/>
      <c r="IVM121" s="1"/>
      <c r="IVN121" s="1"/>
      <c r="IVO121" s="1"/>
      <c r="IVP121" s="1"/>
      <c r="IVQ121" s="1"/>
      <c r="IVR121" s="1"/>
      <c r="IVS121" s="1"/>
      <c r="IVT121" s="1"/>
      <c r="IVU121" s="1"/>
      <c r="IVV121" s="1"/>
      <c r="IVW121" s="1"/>
      <c r="IVX121" s="1"/>
      <c r="IVY121" s="1"/>
      <c r="IVZ121" s="1"/>
      <c r="IWA121" s="1"/>
      <c r="IWB121" s="1"/>
      <c r="IWC121" s="1"/>
      <c r="IWD121" s="1"/>
      <c r="IWE121" s="1"/>
      <c r="IWF121" s="1"/>
      <c r="IWG121" s="1"/>
      <c r="IWH121" s="1"/>
      <c r="IWI121" s="1"/>
      <c r="IWJ121" s="1"/>
      <c r="IWK121" s="1"/>
      <c r="IWL121" s="1"/>
      <c r="IWM121" s="1"/>
      <c r="IWN121" s="1"/>
      <c r="IWO121" s="1"/>
      <c r="IWP121" s="1"/>
      <c r="IWQ121" s="1"/>
      <c r="IWR121" s="1"/>
      <c r="IWS121" s="1"/>
      <c r="IWT121" s="1"/>
      <c r="IWU121" s="1"/>
      <c r="IWV121" s="1"/>
      <c r="IWW121" s="1"/>
      <c r="IWX121" s="1"/>
      <c r="IWY121" s="1"/>
      <c r="IWZ121" s="1"/>
      <c r="IXA121" s="1"/>
      <c r="IXB121" s="1"/>
      <c r="IXC121" s="1"/>
      <c r="IXD121" s="1"/>
      <c r="IXE121" s="1"/>
      <c r="IXF121" s="1"/>
      <c r="IXG121" s="1"/>
      <c r="IXH121" s="1"/>
      <c r="IXI121" s="1"/>
      <c r="IXJ121" s="1"/>
      <c r="IXK121" s="1"/>
      <c r="IXL121" s="1"/>
      <c r="IXM121" s="1"/>
      <c r="IXN121" s="1"/>
      <c r="IXO121" s="1"/>
      <c r="IXP121" s="1"/>
      <c r="IXQ121" s="1"/>
      <c r="IXR121" s="1"/>
      <c r="IXS121" s="1"/>
      <c r="IXT121" s="1"/>
      <c r="IXU121" s="1"/>
      <c r="IXV121" s="1"/>
      <c r="IXW121" s="1"/>
      <c r="IXX121" s="1"/>
      <c r="IXY121" s="1"/>
      <c r="IXZ121" s="1"/>
      <c r="IYA121" s="1"/>
      <c r="IYB121" s="1"/>
      <c r="IYC121" s="1"/>
      <c r="IYD121" s="1"/>
      <c r="IYE121" s="1"/>
      <c r="IYF121" s="1"/>
      <c r="IYG121" s="1"/>
      <c r="IYH121" s="1"/>
      <c r="IYI121" s="1"/>
      <c r="IYJ121" s="1"/>
      <c r="IYK121" s="1"/>
      <c r="IYL121" s="1"/>
      <c r="IYM121" s="1"/>
      <c r="IYN121" s="1"/>
      <c r="IYO121" s="1"/>
      <c r="IYP121" s="1"/>
      <c r="IYQ121" s="1"/>
      <c r="IYR121" s="1"/>
      <c r="IYS121" s="1"/>
      <c r="IYT121" s="1"/>
      <c r="IYU121" s="1"/>
      <c r="IYV121" s="1"/>
      <c r="IYW121" s="1"/>
      <c r="IYX121" s="1"/>
      <c r="IYY121" s="1"/>
      <c r="IYZ121" s="1"/>
      <c r="IZA121" s="1"/>
      <c r="IZB121" s="1"/>
      <c r="IZC121" s="1"/>
      <c r="IZD121" s="1"/>
      <c r="IZE121" s="1"/>
      <c r="IZF121" s="1"/>
      <c r="IZG121" s="1"/>
      <c r="IZH121" s="1"/>
      <c r="IZI121" s="1"/>
      <c r="IZJ121" s="1"/>
      <c r="IZK121" s="1"/>
      <c r="IZL121" s="1"/>
      <c r="IZM121" s="1"/>
      <c r="IZN121" s="1"/>
      <c r="IZO121" s="1"/>
      <c r="IZP121" s="1"/>
      <c r="IZQ121" s="1"/>
      <c r="IZR121" s="1"/>
      <c r="IZS121" s="1"/>
      <c r="IZT121" s="1"/>
      <c r="IZU121" s="1"/>
      <c r="IZV121" s="1"/>
      <c r="IZW121" s="1"/>
      <c r="IZX121" s="1"/>
      <c r="IZY121" s="1"/>
      <c r="IZZ121" s="1"/>
      <c r="JAA121" s="1"/>
      <c r="JAB121" s="1"/>
      <c r="JAC121" s="1"/>
      <c r="JAD121" s="1"/>
      <c r="JAE121" s="1"/>
      <c r="JAF121" s="1"/>
      <c r="JAG121" s="1"/>
      <c r="JAH121" s="1"/>
      <c r="JAI121" s="1"/>
      <c r="JAJ121" s="1"/>
      <c r="JAK121" s="1"/>
      <c r="JAL121" s="1"/>
      <c r="JAM121" s="1"/>
      <c r="JAN121" s="1"/>
      <c r="JAO121" s="1"/>
      <c r="JAP121" s="1"/>
      <c r="JAQ121" s="1"/>
      <c r="JAR121" s="1"/>
      <c r="JAS121" s="1"/>
      <c r="JAT121" s="1"/>
      <c r="JAU121" s="1"/>
      <c r="JAV121" s="1"/>
      <c r="JAW121" s="1"/>
      <c r="JAX121" s="1"/>
      <c r="JAY121" s="1"/>
      <c r="JAZ121" s="1"/>
      <c r="JBA121" s="1"/>
      <c r="JBB121" s="1"/>
      <c r="JBC121" s="1"/>
      <c r="JBD121" s="1"/>
      <c r="JBE121" s="1"/>
      <c r="JBF121" s="1"/>
      <c r="JBG121" s="1"/>
      <c r="JBH121" s="1"/>
      <c r="JBI121" s="1"/>
      <c r="JBJ121" s="1"/>
      <c r="JBK121" s="1"/>
      <c r="JBL121" s="1"/>
      <c r="JBM121" s="1"/>
      <c r="JBN121" s="1"/>
      <c r="JBO121" s="1"/>
      <c r="JBP121" s="1"/>
      <c r="JBQ121" s="1"/>
      <c r="JBR121" s="1"/>
      <c r="JBS121" s="1"/>
      <c r="JBT121" s="1"/>
      <c r="JBU121" s="1"/>
      <c r="JBV121" s="1"/>
      <c r="JBW121" s="1"/>
      <c r="JBX121" s="1"/>
      <c r="JBY121" s="1"/>
      <c r="JBZ121" s="1"/>
      <c r="JCA121" s="1"/>
      <c r="JCB121" s="1"/>
      <c r="JCC121" s="1"/>
      <c r="JCD121" s="1"/>
      <c r="JCE121" s="1"/>
      <c r="JCF121" s="1"/>
      <c r="JCG121" s="1"/>
      <c r="JCH121" s="1"/>
      <c r="JCI121" s="1"/>
      <c r="JCJ121" s="1"/>
      <c r="JCK121" s="1"/>
      <c r="JCL121" s="1"/>
      <c r="JCM121" s="1"/>
      <c r="JCN121" s="1"/>
      <c r="JCO121" s="1"/>
      <c r="JCP121" s="1"/>
      <c r="JCQ121" s="1"/>
      <c r="JCR121" s="1"/>
      <c r="JCS121" s="1"/>
      <c r="JCT121" s="1"/>
      <c r="JCU121" s="1"/>
      <c r="JCV121" s="1"/>
      <c r="JCW121" s="1"/>
      <c r="JCX121" s="1"/>
      <c r="JCY121" s="1"/>
      <c r="JCZ121" s="1"/>
      <c r="JDA121" s="1"/>
      <c r="JDB121" s="1"/>
      <c r="JDC121" s="1"/>
      <c r="JDD121" s="1"/>
      <c r="JDE121" s="1"/>
      <c r="JDF121" s="1"/>
      <c r="JDG121" s="1"/>
      <c r="JDH121" s="1"/>
      <c r="JDI121" s="1"/>
      <c r="JDJ121" s="1"/>
      <c r="JDK121" s="1"/>
      <c r="JDL121" s="1"/>
      <c r="JDM121" s="1"/>
      <c r="JDN121" s="1"/>
      <c r="JDO121" s="1"/>
      <c r="JDP121" s="1"/>
      <c r="JDQ121" s="1"/>
      <c r="JDR121" s="1"/>
      <c r="JDS121" s="1"/>
      <c r="JDT121" s="1"/>
      <c r="JDU121" s="1"/>
      <c r="JDV121" s="1"/>
      <c r="JDW121" s="1"/>
      <c r="JDX121" s="1"/>
      <c r="JDY121" s="1"/>
      <c r="JDZ121" s="1"/>
      <c r="JEA121" s="1"/>
      <c r="JEB121" s="1"/>
      <c r="JEC121" s="1"/>
      <c r="JED121" s="1"/>
      <c r="JEE121" s="1"/>
      <c r="JEF121" s="1"/>
      <c r="JEG121" s="1"/>
      <c r="JEH121" s="1"/>
      <c r="JEI121" s="1"/>
      <c r="JEJ121" s="1"/>
      <c r="JEK121" s="1"/>
      <c r="JEL121" s="1"/>
      <c r="JEM121" s="1"/>
      <c r="JEN121" s="1"/>
      <c r="JEO121" s="1"/>
      <c r="JEP121" s="1"/>
      <c r="JEQ121" s="1"/>
      <c r="JER121" s="1"/>
      <c r="JES121" s="1"/>
      <c r="JET121" s="1"/>
      <c r="JEU121" s="1"/>
      <c r="JEV121" s="1"/>
      <c r="JEW121" s="1"/>
      <c r="JEX121" s="1"/>
      <c r="JEY121" s="1"/>
      <c r="JEZ121" s="1"/>
      <c r="JFA121" s="1"/>
      <c r="JFB121" s="1"/>
      <c r="JFC121" s="1"/>
      <c r="JFD121" s="1"/>
      <c r="JFE121" s="1"/>
      <c r="JFF121" s="1"/>
      <c r="JFG121" s="1"/>
      <c r="JFH121" s="1"/>
      <c r="JFI121" s="1"/>
      <c r="JFJ121" s="1"/>
      <c r="JFK121" s="1"/>
      <c r="JFL121" s="1"/>
      <c r="JFM121" s="1"/>
      <c r="JFN121" s="1"/>
      <c r="JFO121" s="1"/>
      <c r="JFP121" s="1"/>
      <c r="JFQ121" s="1"/>
      <c r="JFR121" s="1"/>
      <c r="JFS121" s="1"/>
      <c r="JFT121" s="1"/>
      <c r="JFU121" s="1"/>
      <c r="JFV121" s="1"/>
      <c r="JFW121" s="1"/>
      <c r="JFX121" s="1"/>
      <c r="JFY121" s="1"/>
      <c r="JFZ121" s="1"/>
      <c r="JGA121" s="1"/>
      <c r="JGB121" s="1"/>
      <c r="JGC121" s="1"/>
      <c r="JGD121" s="1"/>
      <c r="JGE121" s="1"/>
      <c r="JGF121" s="1"/>
      <c r="JGG121" s="1"/>
      <c r="JGH121" s="1"/>
      <c r="JGI121" s="1"/>
      <c r="JGJ121" s="1"/>
      <c r="JGK121" s="1"/>
      <c r="JGL121" s="1"/>
      <c r="JGM121" s="1"/>
      <c r="JGN121" s="1"/>
      <c r="JGO121" s="1"/>
      <c r="JGP121" s="1"/>
      <c r="JGQ121" s="1"/>
      <c r="JGR121" s="1"/>
      <c r="JGS121" s="1"/>
      <c r="JGT121" s="1"/>
      <c r="JGU121" s="1"/>
      <c r="JGV121" s="1"/>
      <c r="JGW121" s="1"/>
      <c r="JGX121" s="1"/>
      <c r="JGY121" s="1"/>
      <c r="JGZ121" s="1"/>
      <c r="JHA121" s="1"/>
      <c r="JHB121" s="1"/>
      <c r="JHC121" s="1"/>
      <c r="JHD121" s="1"/>
      <c r="JHE121" s="1"/>
      <c r="JHF121" s="1"/>
      <c r="JHG121" s="1"/>
      <c r="JHH121" s="1"/>
      <c r="JHI121" s="1"/>
      <c r="JHJ121" s="1"/>
      <c r="JHK121" s="1"/>
      <c r="JHL121" s="1"/>
      <c r="JHM121" s="1"/>
      <c r="JHN121" s="1"/>
      <c r="JHO121" s="1"/>
      <c r="JHP121" s="1"/>
      <c r="JHQ121" s="1"/>
      <c r="JHR121" s="1"/>
      <c r="JHS121" s="1"/>
      <c r="JHT121" s="1"/>
      <c r="JHU121" s="1"/>
      <c r="JHV121" s="1"/>
      <c r="JHW121" s="1"/>
      <c r="JHX121" s="1"/>
      <c r="JHY121" s="1"/>
      <c r="JHZ121" s="1"/>
      <c r="JIA121" s="1"/>
      <c r="JIB121" s="1"/>
      <c r="JIC121" s="1"/>
      <c r="JID121" s="1"/>
      <c r="JIE121" s="1"/>
      <c r="JIF121" s="1"/>
      <c r="JIG121" s="1"/>
      <c r="JIH121" s="1"/>
      <c r="JII121" s="1"/>
      <c r="JIJ121" s="1"/>
      <c r="JIK121" s="1"/>
      <c r="JIL121" s="1"/>
      <c r="JIM121" s="1"/>
      <c r="JIN121" s="1"/>
      <c r="JIO121" s="1"/>
      <c r="JIP121" s="1"/>
      <c r="JIQ121" s="1"/>
      <c r="JIR121" s="1"/>
      <c r="JIS121" s="1"/>
      <c r="JIT121" s="1"/>
      <c r="JIU121" s="1"/>
      <c r="JIV121" s="1"/>
      <c r="JIW121" s="1"/>
      <c r="JIX121" s="1"/>
      <c r="JIY121" s="1"/>
      <c r="JIZ121" s="1"/>
      <c r="JJA121" s="1"/>
      <c r="JJB121" s="1"/>
      <c r="JJC121" s="1"/>
      <c r="JJD121" s="1"/>
      <c r="JJE121" s="1"/>
      <c r="JJF121" s="1"/>
      <c r="JJG121" s="1"/>
      <c r="JJH121" s="1"/>
      <c r="JJI121" s="1"/>
      <c r="JJJ121" s="1"/>
      <c r="JJK121" s="1"/>
      <c r="JJL121" s="1"/>
      <c r="JJM121" s="1"/>
      <c r="JJN121" s="1"/>
      <c r="JJO121" s="1"/>
      <c r="JJP121" s="1"/>
      <c r="JJQ121" s="1"/>
      <c r="JJR121" s="1"/>
      <c r="JJS121" s="1"/>
      <c r="JJT121" s="1"/>
      <c r="JJU121" s="1"/>
      <c r="JJV121" s="1"/>
      <c r="JJW121" s="1"/>
      <c r="JJX121" s="1"/>
      <c r="JJY121" s="1"/>
      <c r="JJZ121" s="1"/>
      <c r="JKA121" s="1"/>
      <c r="JKB121" s="1"/>
      <c r="JKC121" s="1"/>
      <c r="JKD121" s="1"/>
      <c r="JKE121" s="1"/>
      <c r="JKF121" s="1"/>
      <c r="JKG121" s="1"/>
      <c r="JKH121" s="1"/>
      <c r="JKI121" s="1"/>
      <c r="JKJ121" s="1"/>
      <c r="JKK121" s="1"/>
      <c r="JKL121" s="1"/>
      <c r="JKM121" s="1"/>
      <c r="JKN121" s="1"/>
      <c r="JKO121" s="1"/>
      <c r="JKP121" s="1"/>
      <c r="JKQ121" s="1"/>
      <c r="JKR121" s="1"/>
      <c r="JKS121" s="1"/>
      <c r="JKT121" s="1"/>
      <c r="JKU121" s="1"/>
      <c r="JKV121" s="1"/>
      <c r="JKW121" s="1"/>
      <c r="JKX121" s="1"/>
      <c r="JKY121" s="1"/>
      <c r="JKZ121" s="1"/>
      <c r="JLA121" s="1"/>
      <c r="JLB121" s="1"/>
      <c r="JLC121" s="1"/>
      <c r="JLD121" s="1"/>
      <c r="JLE121" s="1"/>
      <c r="JLF121" s="1"/>
      <c r="JLG121" s="1"/>
      <c r="JLH121" s="1"/>
      <c r="JLI121" s="1"/>
      <c r="JLJ121" s="1"/>
      <c r="JLK121" s="1"/>
      <c r="JLL121" s="1"/>
      <c r="JLM121" s="1"/>
      <c r="JLN121" s="1"/>
      <c r="JLO121" s="1"/>
      <c r="JLP121" s="1"/>
      <c r="JLQ121" s="1"/>
      <c r="JLR121" s="1"/>
      <c r="JLS121" s="1"/>
      <c r="JLT121" s="1"/>
      <c r="JLU121" s="1"/>
      <c r="JLV121" s="1"/>
      <c r="JLW121" s="1"/>
      <c r="JLX121" s="1"/>
      <c r="JLY121" s="1"/>
      <c r="JLZ121" s="1"/>
      <c r="JMA121" s="1"/>
      <c r="JMB121" s="1"/>
      <c r="JMC121" s="1"/>
      <c r="JMD121" s="1"/>
      <c r="JME121" s="1"/>
      <c r="JMF121" s="1"/>
      <c r="JMG121" s="1"/>
      <c r="JMH121" s="1"/>
      <c r="JMI121" s="1"/>
      <c r="JMJ121" s="1"/>
      <c r="JMK121" s="1"/>
      <c r="JML121" s="1"/>
      <c r="JMM121" s="1"/>
      <c r="JMN121" s="1"/>
      <c r="JMO121" s="1"/>
      <c r="JMP121" s="1"/>
      <c r="JMQ121" s="1"/>
      <c r="JMR121" s="1"/>
      <c r="JMS121" s="1"/>
      <c r="JMT121" s="1"/>
      <c r="JMU121" s="1"/>
      <c r="JMV121" s="1"/>
      <c r="JMW121" s="1"/>
      <c r="JMX121" s="1"/>
      <c r="JMY121" s="1"/>
      <c r="JMZ121" s="1"/>
      <c r="JNA121" s="1"/>
      <c r="JNB121" s="1"/>
      <c r="JNC121" s="1"/>
      <c r="JND121" s="1"/>
      <c r="JNE121" s="1"/>
      <c r="JNF121" s="1"/>
      <c r="JNG121" s="1"/>
      <c r="JNH121" s="1"/>
      <c r="JNI121" s="1"/>
      <c r="JNJ121" s="1"/>
      <c r="JNK121" s="1"/>
      <c r="JNL121" s="1"/>
      <c r="JNM121" s="1"/>
      <c r="JNN121" s="1"/>
      <c r="JNO121" s="1"/>
      <c r="JNP121" s="1"/>
      <c r="JNQ121" s="1"/>
      <c r="JNR121" s="1"/>
      <c r="JNS121" s="1"/>
      <c r="JNT121" s="1"/>
      <c r="JNU121" s="1"/>
      <c r="JNV121" s="1"/>
      <c r="JNW121" s="1"/>
      <c r="JNX121" s="1"/>
      <c r="JNY121" s="1"/>
      <c r="JNZ121" s="1"/>
      <c r="JOA121" s="1"/>
      <c r="JOB121" s="1"/>
      <c r="JOC121" s="1"/>
      <c r="JOD121" s="1"/>
      <c r="JOE121" s="1"/>
      <c r="JOF121" s="1"/>
      <c r="JOG121" s="1"/>
      <c r="JOH121" s="1"/>
      <c r="JOI121" s="1"/>
      <c r="JOJ121" s="1"/>
      <c r="JOK121" s="1"/>
      <c r="JOL121" s="1"/>
      <c r="JOM121" s="1"/>
      <c r="JON121" s="1"/>
      <c r="JOO121" s="1"/>
      <c r="JOP121" s="1"/>
      <c r="JOQ121" s="1"/>
      <c r="JOR121" s="1"/>
      <c r="JOS121" s="1"/>
      <c r="JOT121" s="1"/>
      <c r="JOU121" s="1"/>
      <c r="JOV121" s="1"/>
      <c r="JOW121" s="1"/>
      <c r="JOX121" s="1"/>
      <c r="JOY121" s="1"/>
      <c r="JOZ121" s="1"/>
      <c r="JPA121" s="1"/>
      <c r="JPB121" s="1"/>
      <c r="JPC121" s="1"/>
      <c r="JPD121" s="1"/>
      <c r="JPE121" s="1"/>
      <c r="JPF121" s="1"/>
      <c r="JPG121" s="1"/>
      <c r="JPH121" s="1"/>
      <c r="JPI121" s="1"/>
      <c r="JPJ121" s="1"/>
      <c r="JPK121" s="1"/>
      <c r="JPL121" s="1"/>
      <c r="JPM121" s="1"/>
      <c r="JPN121" s="1"/>
      <c r="JPO121" s="1"/>
      <c r="JPP121" s="1"/>
      <c r="JPQ121" s="1"/>
      <c r="JPR121" s="1"/>
      <c r="JPS121" s="1"/>
      <c r="JPT121" s="1"/>
      <c r="JPU121" s="1"/>
      <c r="JPV121" s="1"/>
      <c r="JPW121" s="1"/>
      <c r="JPX121" s="1"/>
      <c r="JPY121" s="1"/>
      <c r="JPZ121" s="1"/>
      <c r="JQA121" s="1"/>
      <c r="JQB121" s="1"/>
      <c r="JQC121" s="1"/>
      <c r="JQD121" s="1"/>
      <c r="JQE121" s="1"/>
      <c r="JQF121" s="1"/>
      <c r="JQG121" s="1"/>
      <c r="JQH121" s="1"/>
      <c r="JQI121" s="1"/>
      <c r="JQJ121" s="1"/>
      <c r="JQK121" s="1"/>
      <c r="JQL121" s="1"/>
      <c r="JQM121" s="1"/>
      <c r="JQN121" s="1"/>
      <c r="JQO121" s="1"/>
      <c r="JQP121" s="1"/>
      <c r="JQQ121" s="1"/>
      <c r="JQR121" s="1"/>
      <c r="JQS121" s="1"/>
      <c r="JQT121" s="1"/>
      <c r="JQU121" s="1"/>
      <c r="JQV121" s="1"/>
      <c r="JQW121" s="1"/>
      <c r="JQX121" s="1"/>
      <c r="JQY121" s="1"/>
      <c r="JQZ121" s="1"/>
      <c r="JRA121" s="1"/>
      <c r="JRB121" s="1"/>
      <c r="JRC121" s="1"/>
      <c r="JRD121" s="1"/>
      <c r="JRE121" s="1"/>
      <c r="JRF121" s="1"/>
      <c r="JRG121" s="1"/>
      <c r="JRH121" s="1"/>
      <c r="JRI121" s="1"/>
      <c r="JRJ121" s="1"/>
      <c r="JRK121" s="1"/>
      <c r="JRL121" s="1"/>
      <c r="JRM121" s="1"/>
      <c r="JRN121" s="1"/>
      <c r="JRO121" s="1"/>
      <c r="JRP121" s="1"/>
      <c r="JRQ121" s="1"/>
      <c r="JRR121" s="1"/>
      <c r="JRS121" s="1"/>
      <c r="JRT121" s="1"/>
      <c r="JRU121" s="1"/>
      <c r="JRV121" s="1"/>
      <c r="JRW121" s="1"/>
      <c r="JRX121" s="1"/>
      <c r="JRY121" s="1"/>
      <c r="JRZ121" s="1"/>
      <c r="JSA121" s="1"/>
      <c r="JSB121" s="1"/>
      <c r="JSC121" s="1"/>
      <c r="JSD121" s="1"/>
      <c r="JSE121" s="1"/>
      <c r="JSF121" s="1"/>
      <c r="JSG121" s="1"/>
      <c r="JSH121" s="1"/>
      <c r="JSI121" s="1"/>
      <c r="JSJ121" s="1"/>
      <c r="JSK121" s="1"/>
      <c r="JSL121" s="1"/>
      <c r="JSM121" s="1"/>
      <c r="JSN121" s="1"/>
      <c r="JSO121" s="1"/>
      <c r="JSP121" s="1"/>
      <c r="JSQ121" s="1"/>
      <c r="JSR121" s="1"/>
      <c r="JSS121" s="1"/>
      <c r="JST121" s="1"/>
      <c r="JSU121" s="1"/>
      <c r="JSV121" s="1"/>
      <c r="JSW121" s="1"/>
      <c r="JSX121" s="1"/>
      <c r="JSY121" s="1"/>
      <c r="JSZ121" s="1"/>
      <c r="JTA121" s="1"/>
      <c r="JTB121" s="1"/>
      <c r="JTC121" s="1"/>
      <c r="JTD121" s="1"/>
      <c r="JTE121" s="1"/>
      <c r="JTF121" s="1"/>
      <c r="JTG121" s="1"/>
      <c r="JTH121" s="1"/>
      <c r="JTI121" s="1"/>
      <c r="JTJ121" s="1"/>
      <c r="JTK121" s="1"/>
      <c r="JTL121" s="1"/>
      <c r="JTM121" s="1"/>
      <c r="JTN121" s="1"/>
      <c r="JTO121" s="1"/>
      <c r="JTP121" s="1"/>
      <c r="JTQ121" s="1"/>
      <c r="JTR121" s="1"/>
      <c r="JTS121" s="1"/>
      <c r="JTT121" s="1"/>
      <c r="JTU121" s="1"/>
      <c r="JTV121" s="1"/>
      <c r="JTW121" s="1"/>
      <c r="JTX121" s="1"/>
      <c r="JTY121" s="1"/>
      <c r="JTZ121" s="1"/>
      <c r="JUA121" s="1"/>
      <c r="JUB121" s="1"/>
      <c r="JUC121" s="1"/>
      <c r="JUD121" s="1"/>
      <c r="JUE121" s="1"/>
      <c r="JUF121" s="1"/>
      <c r="JUG121" s="1"/>
      <c r="JUH121" s="1"/>
      <c r="JUI121" s="1"/>
      <c r="JUJ121" s="1"/>
      <c r="JUK121" s="1"/>
      <c r="JUL121" s="1"/>
      <c r="JUM121" s="1"/>
      <c r="JUN121" s="1"/>
      <c r="JUO121" s="1"/>
      <c r="JUP121" s="1"/>
      <c r="JUQ121" s="1"/>
      <c r="JUR121" s="1"/>
      <c r="JUS121" s="1"/>
      <c r="JUT121" s="1"/>
      <c r="JUU121" s="1"/>
      <c r="JUV121" s="1"/>
      <c r="JUW121" s="1"/>
      <c r="JUX121" s="1"/>
      <c r="JUY121" s="1"/>
      <c r="JUZ121" s="1"/>
      <c r="JVA121" s="1"/>
      <c r="JVB121" s="1"/>
      <c r="JVC121" s="1"/>
      <c r="JVD121" s="1"/>
      <c r="JVE121" s="1"/>
      <c r="JVF121" s="1"/>
      <c r="JVG121" s="1"/>
      <c r="JVH121" s="1"/>
      <c r="JVI121" s="1"/>
      <c r="JVJ121" s="1"/>
      <c r="JVK121" s="1"/>
      <c r="JVL121" s="1"/>
      <c r="JVM121" s="1"/>
      <c r="JVN121" s="1"/>
      <c r="JVO121" s="1"/>
      <c r="JVP121" s="1"/>
      <c r="JVQ121" s="1"/>
      <c r="JVR121" s="1"/>
      <c r="JVS121" s="1"/>
      <c r="JVT121" s="1"/>
      <c r="JVU121" s="1"/>
      <c r="JVV121" s="1"/>
      <c r="JVW121" s="1"/>
      <c r="JVX121" s="1"/>
      <c r="JVY121" s="1"/>
      <c r="JVZ121" s="1"/>
      <c r="JWA121" s="1"/>
      <c r="JWB121" s="1"/>
      <c r="JWC121" s="1"/>
      <c r="JWD121" s="1"/>
      <c r="JWE121" s="1"/>
      <c r="JWF121" s="1"/>
      <c r="JWG121" s="1"/>
      <c r="JWH121" s="1"/>
      <c r="JWI121" s="1"/>
      <c r="JWJ121" s="1"/>
      <c r="JWK121" s="1"/>
      <c r="JWL121" s="1"/>
      <c r="JWM121" s="1"/>
      <c r="JWN121" s="1"/>
      <c r="JWO121" s="1"/>
      <c r="JWP121" s="1"/>
      <c r="JWQ121" s="1"/>
      <c r="JWR121" s="1"/>
      <c r="JWS121" s="1"/>
      <c r="JWT121" s="1"/>
      <c r="JWU121" s="1"/>
      <c r="JWV121" s="1"/>
      <c r="JWW121" s="1"/>
      <c r="JWX121" s="1"/>
      <c r="JWY121" s="1"/>
      <c r="JWZ121" s="1"/>
      <c r="JXA121" s="1"/>
      <c r="JXB121" s="1"/>
      <c r="JXC121" s="1"/>
      <c r="JXD121" s="1"/>
      <c r="JXE121" s="1"/>
      <c r="JXF121" s="1"/>
      <c r="JXG121" s="1"/>
      <c r="JXH121" s="1"/>
      <c r="JXI121" s="1"/>
      <c r="JXJ121" s="1"/>
      <c r="JXK121" s="1"/>
      <c r="JXL121" s="1"/>
      <c r="JXM121" s="1"/>
      <c r="JXN121" s="1"/>
      <c r="JXO121" s="1"/>
      <c r="JXP121" s="1"/>
      <c r="JXQ121" s="1"/>
      <c r="JXR121" s="1"/>
      <c r="JXS121" s="1"/>
      <c r="JXT121" s="1"/>
      <c r="JXU121" s="1"/>
      <c r="JXV121" s="1"/>
      <c r="JXW121" s="1"/>
      <c r="JXX121" s="1"/>
      <c r="JXY121" s="1"/>
      <c r="JXZ121" s="1"/>
      <c r="JYA121" s="1"/>
      <c r="JYB121" s="1"/>
      <c r="JYC121" s="1"/>
      <c r="JYD121" s="1"/>
      <c r="JYE121" s="1"/>
      <c r="JYF121" s="1"/>
      <c r="JYG121" s="1"/>
      <c r="JYH121" s="1"/>
      <c r="JYI121" s="1"/>
      <c r="JYJ121" s="1"/>
      <c r="JYK121" s="1"/>
      <c r="JYL121" s="1"/>
      <c r="JYM121" s="1"/>
      <c r="JYN121" s="1"/>
      <c r="JYO121" s="1"/>
      <c r="JYP121" s="1"/>
      <c r="JYQ121" s="1"/>
      <c r="JYR121" s="1"/>
      <c r="JYS121" s="1"/>
      <c r="JYT121" s="1"/>
      <c r="JYU121" s="1"/>
      <c r="JYV121" s="1"/>
      <c r="JYW121" s="1"/>
      <c r="JYX121" s="1"/>
      <c r="JYY121" s="1"/>
      <c r="JYZ121" s="1"/>
      <c r="JZA121" s="1"/>
      <c r="JZB121" s="1"/>
      <c r="JZC121" s="1"/>
      <c r="JZD121" s="1"/>
      <c r="JZE121" s="1"/>
      <c r="JZF121" s="1"/>
      <c r="JZG121" s="1"/>
      <c r="JZH121" s="1"/>
      <c r="JZI121" s="1"/>
      <c r="JZJ121" s="1"/>
      <c r="JZK121" s="1"/>
      <c r="JZL121" s="1"/>
      <c r="JZM121" s="1"/>
      <c r="JZN121" s="1"/>
      <c r="JZO121" s="1"/>
      <c r="JZP121" s="1"/>
      <c r="JZQ121" s="1"/>
      <c r="JZR121" s="1"/>
      <c r="JZS121" s="1"/>
      <c r="JZT121" s="1"/>
      <c r="JZU121" s="1"/>
      <c r="JZV121" s="1"/>
      <c r="JZW121" s="1"/>
      <c r="JZX121" s="1"/>
      <c r="JZY121" s="1"/>
      <c r="JZZ121" s="1"/>
      <c r="KAA121" s="1"/>
      <c r="KAB121" s="1"/>
      <c r="KAC121" s="1"/>
      <c r="KAD121" s="1"/>
      <c r="KAE121" s="1"/>
      <c r="KAF121" s="1"/>
      <c r="KAG121" s="1"/>
      <c r="KAH121" s="1"/>
      <c r="KAI121" s="1"/>
      <c r="KAJ121" s="1"/>
      <c r="KAK121" s="1"/>
      <c r="KAL121" s="1"/>
      <c r="KAM121" s="1"/>
      <c r="KAN121" s="1"/>
      <c r="KAO121" s="1"/>
      <c r="KAP121" s="1"/>
      <c r="KAQ121" s="1"/>
      <c r="KAR121" s="1"/>
      <c r="KAS121" s="1"/>
      <c r="KAT121" s="1"/>
      <c r="KAU121" s="1"/>
      <c r="KAV121" s="1"/>
      <c r="KAW121" s="1"/>
      <c r="KAX121" s="1"/>
      <c r="KAY121" s="1"/>
      <c r="KAZ121" s="1"/>
      <c r="KBA121" s="1"/>
      <c r="KBB121" s="1"/>
      <c r="KBC121" s="1"/>
      <c r="KBD121" s="1"/>
      <c r="KBE121" s="1"/>
      <c r="KBF121" s="1"/>
      <c r="KBG121" s="1"/>
      <c r="KBH121" s="1"/>
      <c r="KBI121" s="1"/>
      <c r="KBJ121" s="1"/>
      <c r="KBK121" s="1"/>
      <c r="KBL121" s="1"/>
      <c r="KBM121" s="1"/>
      <c r="KBN121" s="1"/>
      <c r="KBO121" s="1"/>
      <c r="KBP121" s="1"/>
      <c r="KBQ121" s="1"/>
      <c r="KBR121" s="1"/>
      <c r="KBS121" s="1"/>
      <c r="KBT121" s="1"/>
      <c r="KBU121" s="1"/>
      <c r="KBV121" s="1"/>
      <c r="KBW121" s="1"/>
      <c r="KBX121" s="1"/>
      <c r="KBY121" s="1"/>
      <c r="KBZ121" s="1"/>
      <c r="KCA121" s="1"/>
      <c r="KCB121" s="1"/>
      <c r="KCC121" s="1"/>
      <c r="KCD121" s="1"/>
      <c r="KCE121" s="1"/>
      <c r="KCF121" s="1"/>
      <c r="KCG121" s="1"/>
      <c r="KCH121" s="1"/>
      <c r="KCI121" s="1"/>
      <c r="KCJ121" s="1"/>
      <c r="KCK121" s="1"/>
      <c r="KCL121" s="1"/>
      <c r="KCM121" s="1"/>
      <c r="KCN121" s="1"/>
      <c r="KCO121" s="1"/>
      <c r="KCP121" s="1"/>
      <c r="KCQ121" s="1"/>
      <c r="KCR121" s="1"/>
      <c r="KCS121" s="1"/>
      <c r="KCT121" s="1"/>
      <c r="KCU121" s="1"/>
      <c r="KCV121" s="1"/>
      <c r="KCW121" s="1"/>
      <c r="KCX121" s="1"/>
      <c r="KCY121" s="1"/>
      <c r="KCZ121" s="1"/>
      <c r="KDA121" s="1"/>
      <c r="KDB121" s="1"/>
      <c r="KDC121" s="1"/>
      <c r="KDD121" s="1"/>
      <c r="KDE121" s="1"/>
      <c r="KDF121" s="1"/>
      <c r="KDG121" s="1"/>
      <c r="KDH121" s="1"/>
      <c r="KDI121" s="1"/>
      <c r="KDJ121" s="1"/>
      <c r="KDK121" s="1"/>
      <c r="KDL121" s="1"/>
      <c r="KDM121" s="1"/>
      <c r="KDN121" s="1"/>
      <c r="KDO121" s="1"/>
      <c r="KDP121" s="1"/>
      <c r="KDQ121" s="1"/>
      <c r="KDR121" s="1"/>
      <c r="KDS121" s="1"/>
      <c r="KDT121" s="1"/>
      <c r="KDU121" s="1"/>
      <c r="KDV121" s="1"/>
      <c r="KDW121" s="1"/>
      <c r="KDX121" s="1"/>
      <c r="KDY121" s="1"/>
      <c r="KDZ121" s="1"/>
      <c r="KEA121" s="1"/>
      <c r="KEB121" s="1"/>
      <c r="KEC121" s="1"/>
      <c r="KED121" s="1"/>
      <c r="KEE121" s="1"/>
      <c r="KEF121" s="1"/>
      <c r="KEG121" s="1"/>
      <c r="KEH121" s="1"/>
      <c r="KEI121" s="1"/>
      <c r="KEJ121" s="1"/>
      <c r="KEK121" s="1"/>
      <c r="KEL121" s="1"/>
      <c r="KEM121" s="1"/>
      <c r="KEN121" s="1"/>
      <c r="KEO121" s="1"/>
      <c r="KEP121" s="1"/>
      <c r="KEQ121" s="1"/>
      <c r="KER121" s="1"/>
      <c r="KES121" s="1"/>
      <c r="KET121" s="1"/>
      <c r="KEU121" s="1"/>
      <c r="KEV121" s="1"/>
      <c r="KEW121" s="1"/>
      <c r="KEX121" s="1"/>
      <c r="KEY121" s="1"/>
      <c r="KEZ121" s="1"/>
      <c r="KFA121" s="1"/>
      <c r="KFB121" s="1"/>
      <c r="KFC121" s="1"/>
      <c r="KFD121" s="1"/>
      <c r="KFE121" s="1"/>
      <c r="KFF121" s="1"/>
      <c r="KFG121" s="1"/>
      <c r="KFH121" s="1"/>
      <c r="KFI121" s="1"/>
      <c r="KFJ121" s="1"/>
      <c r="KFK121" s="1"/>
      <c r="KFL121" s="1"/>
      <c r="KFM121" s="1"/>
      <c r="KFN121" s="1"/>
      <c r="KFO121" s="1"/>
      <c r="KFP121" s="1"/>
      <c r="KFQ121" s="1"/>
      <c r="KFR121" s="1"/>
      <c r="KFS121" s="1"/>
      <c r="KFT121" s="1"/>
      <c r="KFU121" s="1"/>
      <c r="KFV121" s="1"/>
      <c r="KFW121" s="1"/>
      <c r="KFX121" s="1"/>
      <c r="KFY121" s="1"/>
      <c r="KFZ121" s="1"/>
      <c r="KGA121" s="1"/>
      <c r="KGB121" s="1"/>
      <c r="KGC121" s="1"/>
      <c r="KGD121" s="1"/>
      <c r="KGE121" s="1"/>
      <c r="KGF121" s="1"/>
      <c r="KGG121" s="1"/>
      <c r="KGH121" s="1"/>
      <c r="KGI121" s="1"/>
      <c r="KGJ121" s="1"/>
      <c r="KGK121" s="1"/>
      <c r="KGL121" s="1"/>
      <c r="KGM121" s="1"/>
      <c r="KGN121" s="1"/>
      <c r="KGO121" s="1"/>
      <c r="KGP121" s="1"/>
      <c r="KGQ121" s="1"/>
      <c r="KGR121" s="1"/>
      <c r="KGS121" s="1"/>
      <c r="KGT121" s="1"/>
      <c r="KGU121" s="1"/>
      <c r="KGV121" s="1"/>
      <c r="KGW121" s="1"/>
      <c r="KGX121" s="1"/>
      <c r="KGY121" s="1"/>
      <c r="KGZ121" s="1"/>
      <c r="KHA121" s="1"/>
      <c r="KHB121" s="1"/>
      <c r="KHC121" s="1"/>
      <c r="KHD121" s="1"/>
      <c r="KHE121" s="1"/>
      <c r="KHF121" s="1"/>
      <c r="KHG121" s="1"/>
      <c r="KHH121" s="1"/>
      <c r="KHI121" s="1"/>
      <c r="KHJ121" s="1"/>
      <c r="KHK121" s="1"/>
      <c r="KHL121" s="1"/>
      <c r="KHM121" s="1"/>
      <c r="KHN121" s="1"/>
      <c r="KHO121" s="1"/>
      <c r="KHP121" s="1"/>
      <c r="KHQ121" s="1"/>
      <c r="KHR121" s="1"/>
      <c r="KHS121" s="1"/>
      <c r="KHT121" s="1"/>
      <c r="KHU121" s="1"/>
      <c r="KHV121" s="1"/>
      <c r="KHW121" s="1"/>
      <c r="KHX121" s="1"/>
      <c r="KHY121" s="1"/>
      <c r="KHZ121" s="1"/>
      <c r="KIA121" s="1"/>
      <c r="KIB121" s="1"/>
      <c r="KIC121" s="1"/>
      <c r="KID121" s="1"/>
      <c r="KIE121" s="1"/>
      <c r="KIF121" s="1"/>
      <c r="KIG121" s="1"/>
      <c r="KIH121" s="1"/>
      <c r="KII121" s="1"/>
      <c r="KIJ121" s="1"/>
      <c r="KIK121" s="1"/>
      <c r="KIL121" s="1"/>
      <c r="KIM121" s="1"/>
      <c r="KIN121" s="1"/>
      <c r="KIO121" s="1"/>
      <c r="KIP121" s="1"/>
      <c r="KIQ121" s="1"/>
      <c r="KIR121" s="1"/>
      <c r="KIS121" s="1"/>
      <c r="KIT121" s="1"/>
      <c r="KIU121" s="1"/>
      <c r="KIV121" s="1"/>
      <c r="KIW121" s="1"/>
      <c r="KIX121" s="1"/>
      <c r="KIY121" s="1"/>
      <c r="KIZ121" s="1"/>
      <c r="KJA121" s="1"/>
      <c r="KJB121" s="1"/>
      <c r="KJC121" s="1"/>
      <c r="KJD121" s="1"/>
      <c r="KJE121" s="1"/>
      <c r="KJF121" s="1"/>
      <c r="KJG121" s="1"/>
      <c r="KJH121" s="1"/>
      <c r="KJI121" s="1"/>
      <c r="KJJ121" s="1"/>
      <c r="KJK121" s="1"/>
      <c r="KJL121" s="1"/>
      <c r="KJM121" s="1"/>
      <c r="KJN121" s="1"/>
      <c r="KJO121" s="1"/>
      <c r="KJP121" s="1"/>
      <c r="KJQ121" s="1"/>
      <c r="KJR121" s="1"/>
      <c r="KJS121" s="1"/>
      <c r="KJT121" s="1"/>
      <c r="KJU121" s="1"/>
      <c r="KJV121" s="1"/>
      <c r="KJW121" s="1"/>
      <c r="KJX121" s="1"/>
      <c r="KJY121" s="1"/>
      <c r="KJZ121" s="1"/>
      <c r="KKA121" s="1"/>
      <c r="KKB121" s="1"/>
      <c r="KKC121" s="1"/>
      <c r="KKD121" s="1"/>
      <c r="KKE121" s="1"/>
      <c r="KKF121" s="1"/>
      <c r="KKG121" s="1"/>
      <c r="KKH121" s="1"/>
      <c r="KKI121" s="1"/>
      <c r="KKJ121" s="1"/>
      <c r="KKK121" s="1"/>
      <c r="KKL121" s="1"/>
      <c r="KKM121" s="1"/>
      <c r="KKN121" s="1"/>
      <c r="KKO121" s="1"/>
      <c r="KKP121" s="1"/>
      <c r="KKQ121" s="1"/>
      <c r="KKR121" s="1"/>
      <c r="KKS121" s="1"/>
      <c r="KKT121" s="1"/>
      <c r="KKU121" s="1"/>
      <c r="KKV121" s="1"/>
      <c r="KKW121" s="1"/>
      <c r="KKX121" s="1"/>
      <c r="KKY121" s="1"/>
      <c r="KKZ121" s="1"/>
      <c r="KLA121" s="1"/>
      <c r="KLB121" s="1"/>
      <c r="KLC121" s="1"/>
      <c r="KLD121" s="1"/>
      <c r="KLE121" s="1"/>
      <c r="KLF121" s="1"/>
      <c r="KLG121" s="1"/>
      <c r="KLH121" s="1"/>
      <c r="KLI121" s="1"/>
      <c r="KLJ121" s="1"/>
      <c r="KLK121" s="1"/>
      <c r="KLL121" s="1"/>
      <c r="KLM121" s="1"/>
      <c r="KLN121" s="1"/>
      <c r="KLO121" s="1"/>
      <c r="KLP121" s="1"/>
      <c r="KLQ121" s="1"/>
      <c r="KLR121" s="1"/>
      <c r="KLS121" s="1"/>
      <c r="KLT121" s="1"/>
      <c r="KLU121" s="1"/>
      <c r="KLV121" s="1"/>
      <c r="KLW121" s="1"/>
      <c r="KLX121" s="1"/>
      <c r="KLY121" s="1"/>
      <c r="KLZ121" s="1"/>
      <c r="KMA121" s="1"/>
      <c r="KMB121" s="1"/>
      <c r="KMC121" s="1"/>
      <c r="KMD121" s="1"/>
      <c r="KME121" s="1"/>
      <c r="KMF121" s="1"/>
      <c r="KMG121" s="1"/>
      <c r="KMH121" s="1"/>
      <c r="KMI121" s="1"/>
      <c r="KMJ121" s="1"/>
      <c r="KMK121" s="1"/>
      <c r="KML121" s="1"/>
      <c r="KMM121" s="1"/>
      <c r="KMN121" s="1"/>
      <c r="KMO121" s="1"/>
      <c r="KMP121" s="1"/>
      <c r="KMQ121" s="1"/>
      <c r="KMR121" s="1"/>
      <c r="KMS121" s="1"/>
      <c r="KMT121" s="1"/>
      <c r="KMU121" s="1"/>
      <c r="KMV121" s="1"/>
      <c r="KMW121" s="1"/>
      <c r="KMX121" s="1"/>
      <c r="KMY121" s="1"/>
      <c r="KMZ121" s="1"/>
      <c r="KNA121" s="1"/>
      <c r="KNB121" s="1"/>
      <c r="KNC121" s="1"/>
      <c r="KND121" s="1"/>
      <c r="KNE121" s="1"/>
      <c r="KNF121" s="1"/>
      <c r="KNG121" s="1"/>
      <c r="KNH121" s="1"/>
      <c r="KNI121" s="1"/>
      <c r="KNJ121" s="1"/>
      <c r="KNK121" s="1"/>
      <c r="KNL121" s="1"/>
      <c r="KNM121" s="1"/>
      <c r="KNN121" s="1"/>
      <c r="KNO121" s="1"/>
      <c r="KNP121" s="1"/>
      <c r="KNQ121" s="1"/>
      <c r="KNR121" s="1"/>
      <c r="KNS121" s="1"/>
      <c r="KNT121" s="1"/>
      <c r="KNU121" s="1"/>
      <c r="KNV121" s="1"/>
      <c r="KNW121" s="1"/>
      <c r="KNX121" s="1"/>
      <c r="KNY121" s="1"/>
      <c r="KNZ121" s="1"/>
      <c r="KOA121" s="1"/>
      <c r="KOB121" s="1"/>
      <c r="KOC121" s="1"/>
      <c r="KOD121" s="1"/>
      <c r="KOE121" s="1"/>
      <c r="KOF121" s="1"/>
      <c r="KOG121" s="1"/>
      <c r="KOH121" s="1"/>
      <c r="KOI121" s="1"/>
      <c r="KOJ121" s="1"/>
      <c r="KOK121" s="1"/>
      <c r="KOL121" s="1"/>
      <c r="KOM121" s="1"/>
      <c r="KON121" s="1"/>
      <c r="KOO121" s="1"/>
      <c r="KOP121" s="1"/>
      <c r="KOQ121" s="1"/>
      <c r="KOR121" s="1"/>
      <c r="KOS121" s="1"/>
      <c r="KOT121" s="1"/>
      <c r="KOU121" s="1"/>
      <c r="KOV121" s="1"/>
      <c r="KOW121" s="1"/>
      <c r="KOX121" s="1"/>
      <c r="KOY121" s="1"/>
      <c r="KOZ121" s="1"/>
      <c r="KPA121" s="1"/>
      <c r="KPB121" s="1"/>
      <c r="KPC121" s="1"/>
      <c r="KPD121" s="1"/>
      <c r="KPE121" s="1"/>
      <c r="KPF121" s="1"/>
      <c r="KPG121" s="1"/>
      <c r="KPH121" s="1"/>
      <c r="KPI121" s="1"/>
      <c r="KPJ121" s="1"/>
      <c r="KPK121" s="1"/>
      <c r="KPL121" s="1"/>
      <c r="KPM121" s="1"/>
      <c r="KPN121" s="1"/>
      <c r="KPO121" s="1"/>
      <c r="KPP121" s="1"/>
      <c r="KPQ121" s="1"/>
      <c r="KPR121" s="1"/>
      <c r="KPS121" s="1"/>
      <c r="KPT121" s="1"/>
      <c r="KPU121" s="1"/>
      <c r="KPV121" s="1"/>
      <c r="KPW121" s="1"/>
      <c r="KPX121" s="1"/>
      <c r="KPY121" s="1"/>
      <c r="KPZ121" s="1"/>
      <c r="KQA121" s="1"/>
      <c r="KQB121" s="1"/>
      <c r="KQC121" s="1"/>
      <c r="KQD121" s="1"/>
      <c r="KQE121" s="1"/>
      <c r="KQF121" s="1"/>
      <c r="KQG121" s="1"/>
      <c r="KQH121" s="1"/>
      <c r="KQI121" s="1"/>
      <c r="KQJ121" s="1"/>
      <c r="KQK121" s="1"/>
      <c r="KQL121" s="1"/>
      <c r="KQM121" s="1"/>
      <c r="KQN121" s="1"/>
      <c r="KQO121" s="1"/>
      <c r="KQP121" s="1"/>
      <c r="KQQ121" s="1"/>
      <c r="KQR121" s="1"/>
      <c r="KQS121" s="1"/>
      <c r="KQT121" s="1"/>
      <c r="KQU121" s="1"/>
      <c r="KQV121" s="1"/>
      <c r="KQW121" s="1"/>
      <c r="KQX121" s="1"/>
      <c r="KQY121" s="1"/>
      <c r="KQZ121" s="1"/>
      <c r="KRA121" s="1"/>
      <c r="KRB121" s="1"/>
      <c r="KRC121" s="1"/>
      <c r="KRD121" s="1"/>
      <c r="KRE121" s="1"/>
      <c r="KRF121" s="1"/>
      <c r="KRG121" s="1"/>
      <c r="KRH121" s="1"/>
      <c r="KRI121" s="1"/>
      <c r="KRJ121" s="1"/>
      <c r="KRK121" s="1"/>
      <c r="KRL121" s="1"/>
      <c r="KRM121" s="1"/>
      <c r="KRN121" s="1"/>
      <c r="KRO121" s="1"/>
      <c r="KRP121" s="1"/>
      <c r="KRQ121" s="1"/>
      <c r="KRR121" s="1"/>
      <c r="KRS121" s="1"/>
      <c r="KRT121" s="1"/>
      <c r="KRU121" s="1"/>
      <c r="KRV121" s="1"/>
      <c r="KRW121" s="1"/>
      <c r="KRX121" s="1"/>
      <c r="KRY121" s="1"/>
      <c r="KRZ121" s="1"/>
      <c r="KSA121" s="1"/>
      <c r="KSB121" s="1"/>
      <c r="KSC121" s="1"/>
      <c r="KSD121" s="1"/>
      <c r="KSE121" s="1"/>
      <c r="KSF121" s="1"/>
      <c r="KSG121" s="1"/>
      <c r="KSH121" s="1"/>
      <c r="KSI121" s="1"/>
      <c r="KSJ121" s="1"/>
      <c r="KSK121" s="1"/>
      <c r="KSL121" s="1"/>
      <c r="KSM121" s="1"/>
      <c r="KSN121" s="1"/>
      <c r="KSO121" s="1"/>
      <c r="KSP121" s="1"/>
      <c r="KSQ121" s="1"/>
      <c r="KSR121" s="1"/>
      <c r="KSS121" s="1"/>
      <c r="KST121" s="1"/>
      <c r="KSU121" s="1"/>
      <c r="KSV121" s="1"/>
      <c r="KSW121" s="1"/>
      <c r="KSX121" s="1"/>
      <c r="KSY121" s="1"/>
      <c r="KSZ121" s="1"/>
      <c r="KTA121" s="1"/>
      <c r="KTB121" s="1"/>
      <c r="KTC121" s="1"/>
      <c r="KTD121" s="1"/>
      <c r="KTE121" s="1"/>
      <c r="KTF121" s="1"/>
      <c r="KTG121" s="1"/>
      <c r="KTH121" s="1"/>
      <c r="KTI121" s="1"/>
      <c r="KTJ121" s="1"/>
      <c r="KTK121" s="1"/>
      <c r="KTL121" s="1"/>
      <c r="KTM121" s="1"/>
      <c r="KTN121" s="1"/>
      <c r="KTO121" s="1"/>
      <c r="KTP121" s="1"/>
      <c r="KTQ121" s="1"/>
      <c r="KTR121" s="1"/>
      <c r="KTS121" s="1"/>
      <c r="KTT121" s="1"/>
      <c r="KTU121" s="1"/>
      <c r="KTV121" s="1"/>
      <c r="KTW121" s="1"/>
      <c r="KTX121" s="1"/>
      <c r="KTY121" s="1"/>
      <c r="KTZ121" s="1"/>
      <c r="KUA121" s="1"/>
      <c r="KUB121" s="1"/>
      <c r="KUC121" s="1"/>
      <c r="KUD121" s="1"/>
      <c r="KUE121" s="1"/>
      <c r="KUF121" s="1"/>
      <c r="KUG121" s="1"/>
      <c r="KUH121" s="1"/>
      <c r="KUI121" s="1"/>
      <c r="KUJ121" s="1"/>
      <c r="KUK121" s="1"/>
      <c r="KUL121" s="1"/>
      <c r="KUM121" s="1"/>
      <c r="KUN121" s="1"/>
      <c r="KUO121" s="1"/>
      <c r="KUP121" s="1"/>
      <c r="KUQ121" s="1"/>
      <c r="KUR121" s="1"/>
      <c r="KUS121" s="1"/>
      <c r="KUT121" s="1"/>
      <c r="KUU121" s="1"/>
      <c r="KUV121" s="1"/>
      <c r="KUW121" s="1"/>
      <c r="KUX121" s="1"/>
      <c r="KUY121" s="1"/>
      <c r="KUZ121" s="1"/>
      <c r="KVA121" s="1"/>
      <c r="KVB121" s="1"/>
      <c r="KVC121" s="1"/>
      <c r="KVD121" s="1"/>
      <c r="KVE121" s="1"/>
      <c r="KVF121" s="1"/>
      <c r="KVG121" s="1"/>
      <c r="KVH121" s="1"/>
      <c r="KVI121" s="1"/>
      <c r="KVJ121" s="1"/>
      <c r="KVK121" s="1"/>
      <c r="KVL121" s="1"/>
      <c r="KVM121" s="1"/>
      <c r="KVN121" s="1"/>
      <c r="KVO121" s="1"/>
      <c r="KVP121" s="1"/>
      <c r="KVQ121" s="1"/>
      <c r="KVR121" s="1"/>
      <c r="KVS121" s="1"/>
      <c r="KVT121" s="1"/>
      <c r="KVU121" s="1"/>
      <c r="KVV121" s="1"/>
      <c r="KVW121" s="1"/>
      <c r="KVX121" s="1"/>
      <c r="KVY121" s="1"/>
      <c r="KVZ121" s="1"/>
      <c r="KWA121" s="1"/>
      <c r="KWB121" s="1"/>
      <c r="KWC121" s="1"/>
      <c r="KWD121" s="1"/>
      <c r="KWE121" s="1"/>
      <c r="KWF121" s="1"/>
      <c r="KWG121" s="1"/>
      <c r="KWH121" s="1"/>
      <c r="KWI121" s="1"/>
      <c r="KWJ121" s="1"/>
      <c r="KWK121" s="1"/>
      <c r="KWL121" s="1"/>
      <c r="KWM121" s="1"/>
      <c r="KWN121" s="1"/>
      <c r="KWO121" s="1"/>
      <c r="KWP121" s="1"/>
      <c r="KWQ121" s="1"/>
      <c r="KWR121" s="1"/>
      <c r="KWS121" s="1"/>
      <c r="KWT121" s="1"/>
      <c r="KWU121" s="1"/>
      <c r="KWV121" s="1"/>
      <c r="KWW121" s="1"/>
      <c r="KWX121" s="1"/>
      <c r="KWY121" s="1"/>
      <c r="KWZ121" s="1"/>
      <c r="KXA121" s="1"/>
      <c r="KXB121" s="1"/>
      <c r="KXC121" s="1"/>
      <c r="KXD121" s="1"/>
      <c r="KXE121" s="1"/>
      <c r="KXF121" s="1"/>
      <c r="KXG121" s="1"/>
      <c r="KXH121" s="1"/>
      <c r="KXI121" s="1"/>
      <c r="KXJ121" s="1"/>
      <c r="KXK121" s="1"/>
      <c r="KXL121" s="1"/>
      <c r="KXM121" s="1"/>
      <c r="KXN121" s="1"/>
      <c r="KXO121" s="1"/>
      <c r="KXP121" s="1"/>
      <c r="KXQ121" s="1"/>
      <c r="KXR121" s="1"/>
      <c r="KXS121" s="1"/>
      <c r="KXT121" s="1"/>
      <c r="KXU121" s="1"/>
      <c r="KXV121" s="1"/>
      <c r="KXW121" s="1"/>
      <c r="KXX121" s="1"/>
      <c r="KXY121" s="1"/>
      <c r="KXZ121" s="1"/>
      <c r="KYA121" s="1"/>
      <c r="KYB121" s="1"/>
      <c r="KYC121" s="1"/>
      <c r="KYD121" s="1"/>
      <c r="KYE121" s="1"/>
      <c r="KYF121" s="1"/>
      <c r="KYG121" s="1"/>
      <c r="KYH121" s="1"/>
      <c r="KYI121" s="1"/>
      <c r="KYJ121" s="1"/>
      <c r="KYK121" s="1"/>
      <c r="KYL121" s="1"/>
      <c r="KYM121" s="1"/>
      <c r="KYN121" s="1"/>
      <c r="KYO121" s="1"/>
      <c r="KYP121" s="1"/>
      <c r="KYQ121" s="1"/>
      <c r="KYR121" s="1"/>
      <c r="KYS121" s="1"/>
      <c r="KYT121" s="1"/>
      <c r="KYU121" s="1"/>
      <c r="KYV121" s="1"/>
      <c r="KYW121" s="1"/>
      <c r="KYX121" s="1"/>
      <c r="KYY121" s="1"/>
      <c r="KYZ121" s="1"/>
      <c r="KZA121" s="1"/>
      <c r="KZB121" s="1"/>
      <c r="KZC121" s="1"/>
      <c r="KZD121" s="1"/>
      <c r="KZE121" s="1"/>
      <c r="KZF121" s="1"/>
      <c r="KZG121" s="1"/>
      <c r="KZH121" s="1"/>
      <c r="KZI121" s="1"/>
      <c r="KZJ121" s="1"/>
      <c r="KZK121" s="1"/>
      <c r="KZL121" s="1"/>
      <c r="KZM121" s="1"/>
      <c r="KZN121" s="1"/>
      <c r="KZO121" s="1"/>
      <c r="KZP121" s="1"/>
      <c r="KZQ121" s="1"/>
      <c r="KZR121" s="1"/>
      <c r="KZS121" s="1"/>
      <c r="KZT121" s="1"/>
      <c r="KZU121" s="1"/>
      <c r="KZV121" s="1"/>
      <c r="KZW121" s="1"/>
      <c r="KZX121" s="1"/>
      <c r="KZY121" s="1"/>
      <c r="KZZ121" s="1"/>
      <c r="LAA121" s="1"/>
      <c r="LAB121" s="1"/>
      <c r="LAC121" s="1"/>
      <c r="LAD121" s="1"/>
      <c r="LAE121" s="1"/>
      <c r="LAF121" s="1"/>
      <c r="LAG121" s="1"/>
      <c r="LAH121" s="1"/>
      <c r="LAI121" s="1"/>
      <c r="LAJ121" s="1"/>
      <c r="LAK121" s="1"/>
      <c r="LAL121" s="1"/>
      <c r="LAM121" s="1"/>
      <c r="LAN121" s="1"/>
      <c r="LAO121" s="1"/>
      <c r="LAP121" s="1"/>
      <c r="LAQ121" s="1"/>
      <c r="LAR121" s="1"/>
      <c r="LAS121" s="1"/>
      <c r="LAT121" s="1"/>
      <c r="LAU121" s="1"/>
      <c r="LAV121" s="1"/>
      <c r="LAW121" s="1"/>
      <c r="LAX121" s="1"/>
      <c r="LAY121" s="1"/>
      <c r="LAZ121" s="1"/>
      <c r="LBA121" s="1"/>
      <c r="LBB121" s="1"/>
      <c r="LBC121" s="1"/>
      <c r="LBD121" s="1"/>
      <c r="LBE121" s="1"/>
      <c r="LBF121" s="1"/>
      <c r="LBG121" s="1"/>
      <c r="LBH121" s="1"/>
      <c r="LBI121" s="1"/>
      <c r="LBJ121" s="1"/>
      <c r="LBK121" s="1"/>
      <c r="LBL121" s="1"/>
      <c r="LBM121" s="1"/>
      <c r="LBN121" s="1"/>
      <c r="LBO121" s="1"/>
      <c r="LBP121" s="1"/>
      <c r="LBQ121" s="1"/>
      <c r="LBR121" s="1"/>
      <c r="LBS121" s="1"/>
      <c r="LBT121" s="1"/>
      <c r="LBU121" s="1"/>
      <c r="LBV121" s="1"/>
      <c r="LBW121" s="1"/>
      <c r="LBX121" s="1"/>
      <c r="LBY121" s="1"/>
      <c r="LBZ121" s="1"/>
      <c r="LCA121" s="1"/>
      <c r="LCB121" s="1"/>
      <c r="LCC121" s="1"/>
      <c r="LCD121" s="1"/>
      <c r="LCE121" s="1"/>
      <c r="LCF121" s="1"/>
      <c r="LCG121" s="1"/>
      <c r="LCH121" s="1"/>
      <c r="LCI121" s="1"/>
      <c r="LCJ121" s="1"/>
      <c r="LCK121" s="1"/>
      <c r="LCL121" s="1"/>
      <c r="LCM121" s="1"/>
      <c r="LCN121" s="1"/>
      <c r="LCO121" s="1"/>
      <c r="LCP121" s="1"/>
      <c r="LCQ121" s="1"/>
      <c r="LCR121" s="1"/>
      <c r="LCS121" s="1"/>
      <c r="LCT121" s="1"/>
      <c r="LCU121" s="1"/>
      <c r="LCV121" s="1"/>
      <c r="LCW121" s="1"/>
      <c r="LCX121" s="1"/>
      <c r="LCY121" s="1"/>
      <c r="LCZ121" s="1"/>
      <c r="LDA121" s="1"/>
      <c r="LDB121" s="1"/>
      <c r="LDC121" s="1"/>
      <c r="LDD121" s="1"/>
      <c r="LDE121" s="1"/>
      <c r="LDF121" s="1"/>
      <c r="LDG121" s="1"/>
      <c r="LDH121" s="1"/>
      <c r="LDI121" s="1"/>
      <c r="LDJ121" s="1"/>
      <c r="LDK121" s="1"/>
      <c r="LDL121" s="1"/>
      <c r="LDM121" s="1"/>
      <c r="LDN121" s="1"/>
      <c r="LDO121" s="1"/>
      <c r="LDP121" s="1"/>
      <c r="LDQ121" s="1"/>
      <c r="LDR121" s="1"/>
      <c r="LDS121" s="1"/>
      <c r="LDT121" s="1"/>
      <c r="LDU121" s="1"/>
      <c r="LDV121" s="1"/>
      <c r="LDW121" s="1"/>
      <c r="LDX121" s="1"/>
      <c r="LDY121" s="1"/>
      <c r="LDZ121" s="1"/>
      <c r="LEA121" s="1"/>
      <c r="LEB121" s="1"/>
      <c r="LEC121" s="1"/>
      <c r="LED121" s="1"/>
      <c r="LEE121" s="1"/>
      <c r="LEF121" s="1"/>
      <c r="LEG121" s="1"/>
      <c r="LEH121" s="1"/>
      <c r="LEI121" s="1"/>
      <c r="LEJ121" s="1"/>
      <c r="LEK121" s="1"/>
      <c r="LEL121" s="1"/>
      <c r="LEM121" s="1"/>
      <c r="LEN121" s="1"/>
      <c r="LEO121" s="1"/>
      <c r="LEP121" s="1"/>
      <c r="LEQ121" s="1"/>
      <c r="LER121" s="1"/>
      <c r="LES121" s="1"/>
      <c r="LET121" s="1"/>
      <c r="LEU121" s="1"/>
      <c r="LEV121" s="1"/>
      <c r="LEW121" s="1"/>
      <c r="LEX121" s="1"/>
      <c r="LEY121" s="1"/>
      <c r="LEZ121" s="1"/>
      <c r="LFA121" s="1"/>
      <c r="LFB121" s="1"/>
      <c r="LFC121" s="1"/>
      <c r="LFD121" s="1"/>
      <c r="LFE121" s="1"/>
      <c r="LFF121" s="1"/>
      <c r="LFG121" s="1"/>
      <c r="LFH121" s="1"/>
      <c r="LFI121" s="1"/>
      <c r="LFJ121" s="1"/>
      <c r="LFK121" s="1"/>
      <c r="LFL121" s="1"/>
      <c r="LFM121" s="1"/>
      <c r="LFN121" s="1"/>
      <c r="LFO121" s="1"/>
      <c r="LFP121" s="1"/>
      <c r="LFQ121" s="1"/>
      <c r="LFR121" s="1"/>
      <c r="LFS121" s="1"/>
      <c r="LFT121" s="1"/>
      <c r="LFU121" s="1"/>
      <c r="LFV121" s="1"/>
      <c r="LFW121" s="1"/>
      <c r="LFX121" s="1"/>
      <c r="LFY121" s="1"/>
      <c r="LFZ121" s="1"/>
      <c r="LGA121" s="1"/>
      <c r="LGB121" s="1"/>
      <c r="LGC121" s="1"/>
      <c r="LGD121" s="1"/>
      <c r="LGE121" s="1"/>
      <c r="LGF121" s="1"/>
      <c r="LGG121" s="1"/>
      <c r="LGH121" s="1"/>
      <c r="LGI121" s="1"/>
      <c r="LGJ121" s="1"/>
      <c r="LGK121" s="1"/>
      <c r="LGL121" s="1"/>
      <c r="LGM121" s="1"/>
      <c r="LGN121" s="1"/>
      <c r="LGO121" s="1"/>
      <c r="LGP121" s="1"/>
      <c r="LGQ121" s="1"/>
      <c r="LGR121" s="1"/>
      <c r="LGS121" s="1"/>
      <c r="LGT121" s="1"/>
      <c r="LGU121" s="1"/>
      <c r="LGV121" s="1"/>
      <c r="LGW121" s="1"/>
      <c r="LGX121" s="1"/>
      <c r="LGY121" s="1"/>
      <c r="LGZ121" s="1"/>
      <c r="LHA121" s="1"/>
      <c r="LHB121" s="1"/>
      <c r="LHC121" s="1"/>
      <c r="LHD121" s="1"/>
      <c r="LHE121" s="1"/>
      <c r="LHF121" s="1"/>
      <c r="LHG121" s="1"/>
      <c r="LHH121" s="1"/>
      <c r="LHI121" s="1"/>
      <c r="LHJ121" s="1"/>
      <c r="LHK121" s="1"/>
      <c r="LHL121" s="1"/>
      <c r="LHM121" s="1"/>
      <c r="LHN121" s="1"/>
      <c r="LHO121" s="1"/>
      <c r="LHP121" s="1"/>
      <c r="LHQ121" s="1"/>
      <c r="LHR121" s="1"/>
      <c r="LHS121" s="1"/>
      <c r="LHT121" s="1"/>
      <c r="LHU121" s="1"/>
      <c r="LHV121" s="1"/>
      <c r="LHW121" s="1"/>
      <c r="LHX121" s="1"/>
      <c r="LHY121" s="1"/>
      <c r="LHZ121" s="1"/>
      <c r="LIA121" s="1"/>
      <c r="LIB121" s="1"/>
      <c r="LIC121" s="1"/>
      <c r="LID121" s="1"/>
      <c r="LIE121" s="1"/>
      <c r="LIF121" s="1"/>
      <c r="LIG121" s="1"/>
      <c r="LIH121" s="1"/>
      <c r="LII121" s="1"/>
      <c r="LIJ121" s="1"/>
      <c r="LIK121" s="1"/>
      <c r="LIL121" s="1"/>
      <c r="LIM121" s="1"/>
      <c r="LIN121" s="1"/>
      <c r="LIO121" s="1"/>
      <c r="LIP121" s="1"/>
      <c r="LIQ121" s="1"/>
      <c r="LIR121" s="1"/>
      <c r="LIS121" s="1"/>
      <c r="LIT121" s="1"/>
      <c r="LIU121" s="1"/>
      <c r="LIV121" s="1"/>
      <c r="LIW121" s="1"/>
      <c r="LIX121" s="1"/>
      <c r="LIY121" s="1"/>
      <c r="LIZ121" s="1"/>
      <c r="LJA121" s="1"/>
      <c r="LJB121" s="1"/>
      <c r="LJC121" s="1"/>
      <c r="LJD121" s="1"/>
      <c r="LJE121" s="1"/>
      <c r="LJF121" s="1"/>
      <c r="LJG121" s="1"/>
      <c r="LJH121" s="1"/>
      <c r="LJI121" s="1"/>
      <c r="LJJ121" s="1"/>
      <c r="LJK121" s="1"/>
      <c r="LJL121" s="1"/>
      <c r="LJM121" s="1"/>
      <c r="LJN121" s="1"/>
      <c r="LJO121" s="1"/>
      <c r="LJP121" s="1"/>
      <c r="LJQ121" s="1"/>
      <c r="LJR121" s="1"/>
      <c r="LJS121" s="1"/>
      <c r="LJT121" s="1"/>
      <c r="LJU121" s="1"/>
      <c r="LJV121" s="1"/>
      <c r="LJW121" s="1"/>
      <c r="LJX121" s="1"/>
      <c r="LJY121" s="1"/>
      <c r="LJZ121" s="1"/>
      <c r="LKA121" s="1"/>
      <c r="LKB121" s="1"/>
      <c r="LKC121" s="1"/>
      <c r="LKD121" s="1"/>
      <c r="LKE121" s="1"/>
      <c r="LKF121" s="1"/>
      <c r="LKG121" s="1"/>
      <c r="LKH121" s="1"/>
      <c r="LKI121" s="1"/>
      <c r="LKJ121" s="1"/>
      <c r="LKK121" s="1"/>
      <c r="LKL121" s="1"/>
      <c r="LKM121" s="1"/>
      <c r="LKN121" s="1"/>
      <c r="LKO121" s="1"/>
      <c r="LKP121" s="1"/>
      <c r="LKQ121" s="1"/>
      <c r="LKR121" s="1"/>
      <c r="LKS121" s="1"/>
      <c r="LKT121" s="1"/>
      <c r="LKU121" s="1"/>
      <c r="LKV121" s="1"/>
      <c r="LKW121" s="1"/>
      <c r="LKX121" s="1"/>
      <c r="LKY121" s="1"/>
      <c r="LKZ121" s="1"/>
      <c r="LLA121" s="1"/>
      <c r="LLB121" s="1"/>
      <c r="LLC121" s="1"/>
      <c r="LLD121" s="1"/>
      <c r="LLE121" s="1"/>
      <c r="LLF121" s="1"/>
      <c r="LLG121" s="1"/>
      <c r="LLH121" s="1"/>
      <c r="LLI121" s="1"/>
      <c r="LLJ121" s="1"/>
      <c r="LLK121" s="1"/>
      <c r="LLL121" s="1"/>
      <c r="LLM121" s="1"/>
      <c r="LLN121" s="1"/>
      <c r="LLO121" s="1"/>
      <c r="LLP121" s="1"/>
      <c r="LLQ121" s="1"/>
      <c r="LLR121" s="1"/>
      <c r="LLS121" s="1"/>
      <c r="LLT121" s="1"/>
      <c r="LLU121" s="1"/>
      <c r="LLV121" s="1"/>
      <c r="LLW121" s="1"/>
      <c r="LLX121" s="1"/>
      <c r="LLY121" s="1"/>
      <c r="LLZ121" s="1"/>
      <c r="LMA121" s="1"/>
      <c r="LMB121" s="1"/>
      <c r="LMC121" s="1"/>
      <c r="LMD121" s="1"/>
      <c r="LME121" s="1"/>
      <c r="LMF121" s="1"/>
      <c r="LMG121" s="1"/>
      <c r="LMH121" s="1"/>
      <c r="LMI121" s="1"/>
      <c r="LMJ121" s="1"/>
      <c r="LMK121" s="1"/>
      <c r="LML121" s="1"/>
      <c r="LMM121" s="1"/>
      <c r="LMN121" s="1"/>
      <c r="LMO121" s="1"/>
      <c r="LMP121" s="1"/>
      <c r="LMQ121" s="1"/>
      <c r="LMR121" s="1"/>
      <c r="LMS121" s="1"/>
      <c r="LMT121" s="1"/>
      <c r="LMU121" s="1"/>
      <c r="LMV121" s="1"/>
      <c r="LMW121" s="1"/>
      <c r="LMX121" s="1"/>
      <c r="LMY121" s="1"/>
      <c r="LMZ121" s="1"/>
      <c r="LNA121" s="1"/>
      <c r="LNB121" s="1"/>
      <c r="LNC121" s="1"/>
      <c r="LND121" s="1"/>
      <c r="LNE121" s="1"/>
      <c r="LNF121" s="1"/>
      <c r="LNG121" s="1"/>
      <c r="LNH121" s="1"/>
      <c r="LNI121" s="1"/>
      <c r="LNJ121" s="1"/>
      <c r="LNK121" s="1"/>
      <c r="LNL121" s="1"/>
      <c r="LNM121" s="1"/>
      <c r="LNN121" s="1"/>
      <c r="LNO121" s="1"/>
      <c r="LNP121" s="1"/>
      <c r="LNQ121" s="1"/>
      <c r="LNR121" s="1"/>
      <c r="LNS121" s="1"/>
      <c r="LNT121" s="1"/>
      <c r="LNU121" s="1"/>
      <c r="LNV121" s="1"/>
      <c r="LNW121" s="1"/>
      <c r="LNX121" s="1"/>
      <c r="LNY121" s="1"/>
      <c r="LNZ121" s="1"/>
      <c r="LOA121" s="1"/>
      <c r="LOB121" s="1"/>
      <c r="LOC121" s="1"/>
      <c r="LOD121" s="1"/>
      <c r="LOE121" s="1"/>
      <c r="LOF121" s="1"/>
      <c r="LOG121" s="1"/>
      <c r="LOH121" s="1"/>
      <c r="LOI121" s="1"/>
      <c r="LOJ121" s="1"/>
      <c r="LOK121" s="1"/>
      <c r="LOL121" s="1"/>
      <c r="LOM121" s="1"/>
      <c r="LON121" s="1"/>
      <c r="LOO121" s="1"/>
      <c r="LOP121" s="1"/>
      <c r="LOQ121" s="1"/>
      <c r="LOR121" s="1"/>
      <c r="LOS121" s="1"/>
      <c r="LOT121" s="1"/>
      <c r="LOU121" s="1"/>
      <c r="LOV121" s="1"/>
      <c r="LOW121" s="1"/>
      <c r="LOX121" s="1"/>
      <c r="LOY121" s="1"/>
      <c r="LOZ121" s="1"/>
      <c r="LPA121" s="1"/>
      <c r="LPB121" s="1"/>
      <c r="LPC121" s="1"/>
      <c r="LPD121" s="1"/>
      <c r="LPE121" s="1"/>
      <c r="LPF121" s="1"/>
      <c r="LPG121" s="1"/>
      <c r="LPH121" s="1"/>
      <c r="LPI121" s="1"/>
      <c r="LPJ121" s="1"/>
      <c r="LPK121" s="1"/>
      <c r="LPL121" s="1"/>
      <c r="LPM121" s="1"/>
      <c r="LPN121" s="1"/>
      <c r="LPO121" s="1"/>
      <c r="LPP121" s="1"/>
      <c r="LPQ121" s="1"/>
      <c r="LPR121" s="1"/>
      <c r="LPS121" s="1"/>
      <c r="LPT121" s="1"/>
      <c r="LPU121" s="1"/>
      <c r="LPV121" s="1"/>
      <c r="LPW121" s="1"/>
      <c r="LPX121" s="1"/>
      <c r="LPY121" s="1"/>
      <c r="LPZ121" s="1"/>
      <c r="LQA121" s="1"/>
      <c r="LQB121" s="1"/>
      <c r="LQC121" s="1"/>
      <c r="LQD121" s="1"/>
      <c r="LQE121" s="1"/>
      <c r="LQF121" s="1"/>
      <c r="LQG121" s="1"/>
      <c r="LQH121" s="1"/>
      <c r="LQI121" s="1"/>
      <c r="LQJ121" s="1"/>
      <c r="LQK121" s="1"/>
      <c r="LQL121" s="1"/>
      <c r="LQM121" s="1"/>
      <c r="LQN121" s="1"/>
      <c r="LQO121" s="1"/>
      <c r="LQP121" s="1"/>
      <c r="LQQ121" s="1"/>
      <c r="LQR121" s="1"/>
      <c r="LQS121" s="1"/>
      <c r="LQT121" s="1"/>
      <c r="LQU121" s="1"/>
      <c r="LQV121" s="1"/>
      <c r="LQW121" s="1"/>
      <c r="LQX121" s="1"/>
      <c r="LQY121" s="1"/>
      <c r="LQZ121" s="1"/>
      <c r="LRA121" s="1"/>
      <c r="LRB121" s="1"/>
      <c r="LRC121" s="1"/>
      <c r="LRD121" s="1"/>
      <c r="LRE121" s="1"/>
      <c r="LRF121" s="1"/>
      <c r="LRG121" s="1"/>
      <c r="LRH121" s="1"/>
      <c r="LRI121" s="1"/>
      <c r="LRJ121" s="1"/>
      <c r="LRK121" s="1"/>
      <c r="LRL121" s="1"/>
      <c r="LRM121" s="1"/>
      <c r="LRN121" s="1"/>
      <c r="LRO121" s="1"/>
      <c r="LRP121" s="1"/>
      <c r="LRQ121" s="1"/>
      <c r="LRR121" s="1"/>
      <c r="LRS121" s="1"/>
      <c r="LRT121" s="1"/>
      <c r="LRU121" s="1"/>
      <c r="LRV121" s="1"/>
      <c r="LRW121" s="1"/>
      <c r="LRX121" s="1"/>
      <c r="LRY121" s="1"/>
      <c r="LRZ121" s="1"/>
      <c r="LSA121" s="1"/>
      <c r="LSB121" s="1"/>
      <c r="LSC121" s="1"/>
      <c r="LSD121" s="1"/>
      <c r="LSE121" s="1"/>
      <c r="LSF121" s="1"/>
      <c r="LSG121" s="1"/>
      <c r="LSH121" s="1"/>
      <c r="LSI121" s="1"/>
      <c r="LSJ121" s="1"/>
      <c r="LSK121" s="1"/>
      <c r="LSL121" s="1"/>
      <c r="LSM121" s="1"/>
      <c r="LSN121" s="1"/>
      <c r="LSO121" s="1"/>
      <c r="LSP121" s="1"/>
      <c r="LSQ121" s="1"/>
      <c r="LSR121" s="1"/>
      <c r="LSS121" s="1"/>
      <c r="LST121" s="1"/>
      <c r="LSU121" s="1"/>
      <c r="LSV121" s="1"/>
      <c r="LSW121" s="1"/>
      <c r="LSX121" s="1"/>
      <c r="LSY121" s="1"/>
      <c r="LSZ121" s="1"/>
      <c r="LTA121" s="1"/>
      <c r="LTB121" s="1"/>
      <c r="LTC121" s="1"/>
      <c r="LTD121" s="1"/>
      <c r="LTE121" s="1"/>
      <c r="LTF121" s="1"/>
      <c r="LTG121" s="1"/>
      <c r="LTH121" s="1"/>
      <c r="LTI121" s="1"/>
      <c r="LTJ121" s="1"/>
      <c r="LTK121" s="1"/>
      <c r="LTL121" s="1"/>
      <c r="LTM121" s="1"/>
      <c r="LTN121" s="1"/>
      <c r="LTO121" s="1"/>
      <c r="LTP121" s="1"/>
      <c r="LTQ121" s="1"/>
      <c r="LTR121" s="1"/>
      <c r="LTS121" s="1"/>
      <c r="LTT121" s="1"/>
      <c r="LTU121" s="1"/>
      <c r="LTV121" s="1"/>
      <c r="LTW121" s="1"/>
      <c r="LTX121" s="1"/>
      <c r="LTY121" s="1"/>
      <c r="LTZ121" s="1"/>
      <c r="LUA121" s="1"/>
      <c r="LUB121" s="1"/>
      <c r="LUC121" s="1"/>
      <c r="LUD121" s="1"/>
      <c r="LUE121" s="1"/>
      <c r="LUF121" s="1"/>
      <c r="LUG121" s="1"/>
      <c r="LUH121" s="1"/>
      <c r="LUI121" s="1"/>
      <c r="LUJ121" s="1"/>
      <c r="LUK121" s="1"/>
      <c r="LUL121" s="1"/>
      <c r="LUM121" s="1"/>
      <c r="LUN121" s="1"/>
      <c r="LUO121" s="1"/>
      <c r="LUP121" s="1"/>
      <c r="LUQ121" s="1"/>
      <c r="LUR121" s="1"/>
      <c r="LUS121" s="1"/>
      <c r="LUT121" s="1"/>
      <c r="LUU121" s="1"/>
      <c r="LUV121" s="1"/>
      <c r="LUW121" s="1"/>
      <c r="LUX121" s="1"/>
      <c r="LUY121" s="1"/>
      <c r="LUZ121" s="1"/>
      <c r="LVA121" s="1"/>
      <c r="LVB121" s="1"/>
      <c r="LVC121" s="1"/>
      <c r="LVD121" s="1"/>
      <c r="LVE121" s="1"/>
      <c r="LVF121" s="1"/>
      <c r="LVG121" s="1"/>
      <c r="LVH121" s="1"/>
      <c r="LVI121" s="1"/>
      <c r="LVJ121" s="1"/>
      <c r="LVK121" s="1"/>
      <c r="LVL121" s="1"/>
      <c r="LVM121" s="1"/>
      <c r="LVN121" s="1"/>
      <c r="LVO121" s="1"/>
      <c r="LVP121" s="1"/>
      <c r="LVQ121" s="1"/>
      <c r="LVR121" s="1"/>
      <c r="LVS121" s="1"/>
      <c r="LVT121" s="1"/>
      <c r="LVU121" s="1"/>
      <c r="LVV121" s="1"/>
      <c r="LVW121" s="1"/>
      <c r="LVX121" s="1"/>
      <c r="LVY121" s="1"/>
      <c r="LVZ121" s="1"/>
      <c r="LWA121" s="1"/>
      <c r="LWB121" s="1"/>
      <c r="LWC121" s="1"/>
      <c r="LWD121" s="1"/>
      <c r="LWE121" s="1"/>
      <c r="LWF121" s="1"/>
      <c r="LWG121" s="1"/>
      <c r="LWH121" s="1"/>
      <c r="LWI121" s="1"/>
      <c r="LWJ121" s="1"/>
      <c r="LWK121" s="1"/>
      <c r="LWL121" s="1"/>
      <c r="LWM121" s="1"/>
      <c r="LWN121" s="1"/>
      <c r="LWO121" s="1"/>
      <c r="LWP121" s="1"/>
      <c r="LWQ121" s="1"/>
      <c r="LWR121" s="1"/>
      <c r="LWS121" s="1"/>
      <c r="LWT121" s="1"/>
      <c r="LWU121" s="1"/>
      <c r="LWV121" s="1"/>
      <c r="LWW121" s="1"/>
      <c r="LWX121" s="1"/>
      <c r="LWY121" s="1"/>
      <c r="LWZ121" s="1"/>
      <c r="LXA121" s="1"/>
      <c r="LXB121" s="1"/>
      <c r="LXC121" s="1"/>
      <c r="LXD121" s="1"/>
      <c r="LXE121" s="1"/>
      <c r="LXF121" s="1"/>
      <c r="LXG121" s="1"/>
      <c r="LXH121" s="1"/>
      <c r="LXI121" s="1"/>
      <c r="LXJ121" s="1"/>
      <c r="LXK121" s="1"/>
      <c r="LXL121" s="1"/>
      <c r="LXM121" s="1"/>
      <c r="LXN121" s="1"/>
      <c r="LXO121" s="1"/>
      <c r="LXP121" s="1"/>
      <c r="LXQ121" s="1"/>
      <c r="LXR121" s="1"/>
      <c r="LXS121" s="1"/>
      <c r="LXT121" s="1"/>
      <c r="LXU121" s="1"/>
      <c r="LXV121" s="1"/>
      <c r="LXW121" s="1"/>
      <c r="LXX121" s="1"/>
      <c r="LXY121" s="1"/>
      <c r="LXZ121" s="1"/>
      <c r="LYA121" s="1"/>
      <c r="LYB121" s="1"/>
      <c r="LYC121" s="1"/>
      <c r="LYD121" s="1"/>
      <c r="LYE121" s="1"/>
      <c r="LYF121" s="1"/>
      <c r="LYG121" s="1"/>
      <c r="LYH121" s="1"/>
      <c r="LYI121" s="1"/>
      <c r="LYJ121" s="1"/>
      <c r="LYK121" s="1"/>
      <c r="LYL121" s="1"/>
      <c r="LYM121" s="1"/>
      <c r="LYN121" s="1"/>
      <c r="LYO121" s="1"/>
      <c r="LYP121" s="1"/>
      <c r="LYQ121" s="1"/>
      <c r="LYR121" s="1"/>
      <c r="LYS121" s="1"/>
      <c r="LYT121" s="1"/>
      <c r="LYU121" s="1"/>
      <c r="LYV121" s="1"/>
      <c r="LYW121" s="1"/>
      <c r="LYX121" s="1"/>
      <c r="LYY121" s="1"/>
      <c r="LYZ121" s="1"/>
      <c r="LZA121" s="1"/>
      <c r="LZB121" s="1"/>
      <c r="LZC121" s="1"/>
      <c r="LZD121" s="1"/>
      <c r="LZE121" s="1"/>
      <c r="LZF121" s="1"/>
      <c r="LZG121" s="1"/>
      <c r="LZH121" s="1"/>
      <c r="LZI121" s="1"/>
      <c r="LZJ121" s="1"/>
      <c r="LZK121" s="1"/>
      <c r="LZL121" s="1"/>
      <c r="LZM121" s="1"/>
      <c r="LZN121" s="1"/>
      <c r="LZO121" s="1"/>
      <c r="LZP121" s="1"/>
      <c r="LZQ121" s="1"/>
      <c r="LZR121" s="1"/>
      <c r="LZS121" s="1"/>
      <c r="LZT121" s="1"/>
      <c r="LZU121" s="1"/>
      <c r="LZV121" s="1"/>
      <c r="LZW121" s="1"/>
      <c r="LZX121" s="1"/>
      <c r="LZY121" s="1"/>
      <c r="LZZ121" s="1"/>
      <c r="MAA121" s="1"/>
      <c r="MAB121" s="1"/>
      <c r="MAC121" s="1"/>
      <c r="MAD121" s="1"/>
      <c r="MAE121" s="1"/>
      <c r="MAF121" s="1"/>
      <c r="MAG121" s="1"/>
      <c r="MAH121" s="1"/>
      <c r="MAI121" s="1"/>
      <c r="MAJ121" s="1"/>
      <c r="MAK121" s="1"/>
      <c r="MAL121" s="1"/>
      <c r="MAM121" s="1"/>
      <c r="MAN121" s="1"/>
      <c r="MAO121" s="1"/>
      <c r="MAP121" s="1"/>
      <c r="MAQ121" s="1"/>
      <c r="MAR121" s="1"/>
      <c r="MAS121" s="1"/>
      <c r="MAT121" s="1"/>
      <c r="MAU121" s="1"/>
      <c r="MAV121" s="1"/>
      <c r="MAW121" s="1"/>
      <c r="MAX121" s="1"/>
      <c r="MAY121" s="1"/>
      <c r="MAZ121" s="1"/>
      <c r="MBA121" s="1"/>
      <c r="MBB121" s="1"/>
      <c r="MBC121" s="1"/>
      <c r="MBD121" s="1"/>
      <c r="MBE121" s="1"/>
      <c r="MBF121" s="1"/>
      <c r="MBG121" s="1"/>
      <c r="MBH121" s="1"/>
      <c r="MBI121" s="1"/>
      <c r="MBJ121" s="1"/>
      <c r="MBK121" s="1"/>
      <c r="MBL121" s="1"/>
      <c r="MBM121" s="1"/>
      <c r="MBN121" s="1"/>
      <c r="MBO121" s="1"/>
      <c r="MBP121" s="1"/>
      <c r="MBQ121" s="1"/>
      <c r="MBR121" s="1"/>
      <c r="MBS121" s="1"/>
      <c r="MBT121" s="1"/>
      <c r="MBU121" s="1"/>
      <c r="MBV121" s="1"/>
      <c r="MBW121" s="1"/>
      <c r="MBX121" s="1"/>
      <c r="MBY121" s="1"/>
      <c r="MBZ121" s="1"/>
      <c r="MCA121" s="1"/>
      <c r="MCB121" s="1"/>
      <c r="MCC121" s="1"/>
      <c r="MCD121" s="1"/>
      <c r="MCE121" s="1"/>
      <c r="MCF121" s="1"/>
      <c r="MCG121" s="1"/>
      <c r="MCH121" s="1"/>
      <c r="MCI121" s="1"/>
      <c r="MCJ121" s="1"/>
      <c r="MCK121" s="1"/>
      <c r="MCL121" s="1"/>
      <c r="MCM121" s="1"/>
      <c r="MCN121" s="1"/>
      <c r="MCO121" s="1"/>
      <c r="MCP121" s="1"/>
      <c r="MCQ121" s="1"/>
      <c r="MCR121" s="1"/>
      <c r="MCS121" s="1"/>
      <c r="MCT121" s="1"/>
      <c r="MCU121" s="1"/>
      <c r="MCV121" s="1"/>
      <c r="MCW121" s="1"/>
      <c r="MCX121" s="1"/>
      <c r="MCY121" s="1"/>
      <c r="MCZ121" s="1"/>
      <c r="MDA121" s="1"/>
      <c r="MDB121" s="1"/>
      <c r="MDC121" s="1"/>
      <c r="MDD121" s="1"/>
      <c r="MDE121" s="1"/>
      <c r="MDF121" s="1"/>
      <c r="MDG121" s="1"/>
      <c r="MDH121" s="1"/>
      <c r="MDI121" s="1"/>
      <c r="MDJ121" s="1"/>
      <c r="MDK121" s="1"/>
      <c r="MDL121" s="1"/>
      <c r="MDM121" s="1"/>
      <c r="MDN121" s="1"/>
      <c r="MDO121" s="1"/>
      <c r="MDP121" s="1"/>
      <c r="MDQ121" s="1"/>
      <c r="MDR121" s="1"/>
      <c r="MDS121" s="1"/>
      <c r="MDT121" s="1"/>
      <c r="MDU121" s="1"/>
      <c r="MDV121" s="1"/>
      <c r="MDW121" s="1"/>
      <c r="MDX121" s="1"/>
      <c r="MDY121" s="1"/>
      <c r="MDZ121" s="1"/>
      <c r="MEA121" s="1"/>
      <c r="MEB121" s="1"/>
      <c r="MEC121" s="1"/>
      <c r="MED121" s="1"/>
      <c r="MEE121" s="1"/>
      <c r="MEF121" s="1"/>
      <c r="MEG121" s="1"/>
      <c r="MEH121" s="1"/>
      <c r="MEI121" s="1"/>
      <c r="MEJ121" s="1"/>
      <c r="MEK121" s="1"/>
      <c r="MEL121" s="1"/>
      <c r="MEM121" s="1"/>
      <c r="MEN121" s="1"/>
      <c r="MEO121" s="1"/>
      <c r="MEP121" s="1"/>
      <c r="MEQ121" s="1"/>
      <c r="MER121" s="1"/>
      <c r="MES121" s="1"/>
      <c r="MET121" s="1"/>
      <c r="MEU121" s="1"/>
      <c r="MEV121" s="1"/>
      <c r="MEW121" s="1"/>
      <c r="MEX121" s="1"/>
      <c r="MEY121" s="1"/>
      <c r="MEZ121" s="1"/>
      <c r="MFA121" s="1"/>
      <c r="MFB121" s="1"/>
      <c r="MFC121" s="1"/>
      <c r="MFD121" s="1"/>
      <c r="MFE121" s="1"/>
      <c r="MFF121" s="1"/>
      <c r="MFG121" s="1"/>
      <c r="MFH121" s="1"/>
      <c r="MFI121" s="1"/>
      <c r="MFJ121" s="1"/>
      <c r="MFK121" s="1"/>
      <c r="MFL121" s="1"/>
      <c r="MFM121" s="1"/>
      <c r="MFN121" s="1"/>
      <c r="MFO121" s="1"/>
      <c r="MFP121" s="1"/>
      <c r="MFQ121" s="1"/>
      <c r="MFR121" s="1"/>
      <c r="MFS121" s="1"/>
      <c r="MFT121" s="1"/>
      <c r="MFU121" s="1"/>
      <c r="MFV121" s="1"/>
      <c r="MFW121" s="1"/>
      <c r="MFX121" s="1"/>
      <c r="MFY121" s="1"/>
      <c r="MFZ121" s="1"/>
      <c r="MGA121" s="1"/>
      <c r="MGB121" s="1"/>
      <c r="MGC121" s="1"/>
      <c r="MGD121" s="1"/>
      <c r="MGE121" s="1"/>
      <c r="MGF121" s="1"/>
      <c r="MGG121" s="1"/>
      <c r="MGH121" s="1"/>
      <c r="MGI121" s="1"/>
      <c r="MGJ121" s="1"/>
      <c r="MGK121" s="1"/>
      <c r="MGL121" s="1"/>
      <c r="MGM121" s="1"/>
      <c r="MGN121" s="1"/>
      <c r="MGO121" s="1"/>
      <c r="MGP121" s="1"/>
      <c r="MGQ121" s="1"/>
      <c r="MGR121" s="1"/>
      <c r="MGS121" s="1"/>
      <c r="MGT121" s="1"/>
      <c r="MGU121" s="1"/>
      <c r="MGV121" s="1"/>
      <c r="MGW121" s="1"/>
      <c r="MGX121" s="1"/>
      <c r="MGY121" s="1"/>
      <c r="MGZ121" s="1"/>
      <c r="MHA121" s="1"/>
      <c r="MHB121" s="1"/>
      <c r="MHC121" s="1"/>
      <c r="MHD121" s="1"/>
      <c r="MHE121" s="1"/>
      <c r="MHF121" s="1"/>
      <c r="MHG121" s="1"/>
      <c r="MHH121" s="1"/>
      <c r="MHI121" s="1"/>
      <c r="MHJ121" s="1"/>
      <c r="MHK121" s="1"/>
      <c r="MHL121" s="1"/>
      <c r="MHM121" s="1"/>
      <c r="MHN121" s="1"/>
      <c r="MHO121" s="1"/>
      <c r="MHP121" s="1"/>
      <c r="MHQ121" s="1"/>
      <c r="MHR121" s="1"/>
      <c r="MHS121" s="1"/>
      <c r="MHT121" s="1"/>
      <c r="MHU121" s="1"/>
      <c r="MHV121" s="1"/>
      <c r="MHW121" s="1"/>
      <c r="MHX121" s="1"/>
      <c r="MHY121" s="1"/>
      <c r="MHZ121" s="1"/>
      <c r="MIA121" s="1"/>
      <c r="MIB121" s="1"/>
      <c r="MIC121" s="1"/>
      <c r="MID121" s="1"/>
      <c r="MIE121" s="1"/>
      <c r="MIF121" s="1"/>
      <c r="MIG121" s="1"/>
      <c r="MIH121" s="1"/>
      <c r="MII121" s="1"/>
      <c r="MIJ121" s="1"/>
      <c r="MIK121" s="1"/>
      <c r="MIL121" s="1"/>
      <c r="MIM121" s="1"/>
      <c r="MIN121" s="1"/>
      <c r="MIO121" s="1"/>
      <c r="MIP121" s="1"/>
      <c r="MIQ121" s="1"/>
      <c r="MIR121" s="1"/>
      <c r="MIS121" s="1"/>
      <c r="MIT121" s="1"/>
      <c r="MIU121" s="1"/>
      <c r="MIV121" s="1"/>
      <c r="MIW121" s="1"/>
      <c r="MIX121" s="1"/>
      <c r="MIY121" s="1"/>
      <c r="MIZ121" s="1"/>
      <c r="MJA121" s="1"/>
      <c r="MJB121" s="1"/>
      <c r="MJC121" s="1"/>
      <c r="MJD121" s="1"/>
      <c r="MJE121" s="1"/>
      <c r="MJF121" s="1"/>
      <c r="MJG121" s="1"/>
      <c r="MJH121" s="1"/>
      <c r="MJI121" s="1"/>
      <c r="MJJ121" s="1"/>
      <c r="MJK121" s="1"/>
      <c r="MJL121" s="1"/>
      <c r="MJM121" s="1"/>
      <c r="MJN121" s="1"/>
      <c r="MJO121" s="1"/>
      <c r="MJP121" s="1"/>
      <c r="MJQ121" s="1"/>
      <c r="MJR121" s="1"/>
      <c r="MJS121" s="1"/>
      <c r="MJT121" s="1"/>
      <c r="MJU121" s="1"/>
      <c r="MJV121" s="1"/>
      <c r="MJW121" s="1"/>
      <c r="MJX121" s="1"/>
      <c r="MJY121" s="1"/>
      <c r="MJZ121" s="1"/>
      <c r="MKA121" s="1"/>
      <c r="MKB121" s="1"/>
      <c r="MKC121" s="1"/>
      <c r="MKD121" s="1"/>
      <c r="MKE121" s="1"/>
      <c r="MKF121" s="1"/>
      <c r="MKG121" s="1"/>
      <c r="MKH121" s="1"/>
      <c r="MKI121" s="1"/>
      <c r="MKJ121" s="1"/>
      <c r="MKK121" s="1"/>
      <c r="MKL121" s="1"/>
      <c r="MKM121" s="1"/>
      <c r="MKN121" s="1"/>
      <c r="MKO121" s="1"/>
      <c r="MKP121" s="1"/>
      <c r="MKQ121" s="1"/>
      <c r="MKR121" s="1"/>
      <c r="MKS121" s="1"/>
      <c r="MKT121" s="1"/>
      <c r="MKU121" s="1"/>
      <c r="MKV121" s="1"/>
      <c r="MKW121" s="1"/>
      <c r="MKX121" s="1"/>
      <c r="MKY121" s="1"/>
      <c r="MKZ121" s="1"/>
      <c r="MLA121" s="1"/>
      <c r="MLB121" s="1"/>
      <c r="MLC121" s="1"/>
      <c r="MLD121" s="1"/>
      <c r="MLE121" s="1"/>
      <c r="MLF121" s="1"/>
      <c r="MLG121" s="1"/>
      <c r="MLH121" s="1"/>
      <c r="MLI121" s="1"/>
      <c r="MLJ121" s="1"/>
      <c r="MLK121" s="1"/>
      <c r="MLL121" s="1"/>
      <c r="MLM121" s="1"/>
      <c r="MLN121" s="1"/>
      <c r="MLO121" s="1"/>
      <c r="MLP121" s="1"/>
      <c r="MLQ121" s="1"/>
      <c r="MLR121" s="1"/>
      <c r="MLS121" s="1"/>
      <c r="MLT121" s="1"/>
      <c r="MLU121" s="1"/>
      <c r="MLV121" s="1"/>
      <c r="MLW121" s="1"/>
      <c r="MLX121" s="1"/>
      <c r="MLY121" s="1"/>
      <c r="MLZ121" s="1"/>
      <c r="MMA121" s="1"/>
      <c r="MMB121" s="1"/>
      <c r="MMC121" s="1"/>
      <c r="MMD121" s="1"/>
      <c r="MME121" s="1"/>
      <c r="MMF121" s="1"/>
      <c r="MMG121" s="1"/>
      <c r="MMH121" s="1"/>
      <c r="MMI121" s="1"/>
      <c r="MMJ121" s="1"/>
      <c r="MMK121" s="1"/>
      <c r="MML121" s="1"/>
      <c r="MMM121" s="1"/>
      <c r="MMN121" s="1"/>
      <c r="MMO121" s="1"/>
      <c r="MMP121" s="1"/>
      <c r="MMQ121" s="1"/>
      <c r="MMR121" s="1"/>
      <c r="MMS121" s="1"/>
      <c r="MMT121" s="1"/>
      <c r="MMU121" s="1"/>
      <c r="MMV121" s="1"/>
      <c r="MMW121" s="1"/>
      <c r="MMX121" s="1"/>
      <c r="MMY121" s="1"/>
      <c r="MMZ121" s="1"/>
      <c r="MNA121" s="1"/>
      <c r="MNB121" s="1"/>
      <c r="MNC121" s="1"/>
      <c r="MND121" s="1"/>
      <c r="MNE121" s="1"/>
      <c r="MNF121" s="1"/>
      <c r="MNG121" s="1"/>
      <c r="MNH121" s="1"/>
      <c r="MNI121" s="1"/>
      <c r="MNJ121" s="1"/>
      <c r="MNK121" s="1"/>
      <c r="MNL121" s="1"/>
      <c r="MNM121" s="1"/>
      <c r="MNN121" s="1"/>
      <c r="MNO121" s="1"/>
      <c r="MNP121" s="1"/>
      <c r="MNQ121" s="1"/>
      <c r="MNR121" s="1"/>
      <c r="MNS121" s="1"/>
      <c r="MNT121" s="1"/>
      <c r="MNU121" s="1"/>
      <c r="MNV121" s="1"/>
      <c r="MNW121" s="1"/>
      <c r="MNX121" s="1"/>
      <c r="MNY121" s="1"/>
      <c r="MNZ121" s="1"/>
      <c r="MOA121" s="1"/>
      <c r="MOB121" s="1"/>
      <c r="MOC121" s="1"/>
      <c r="MOD121" s="1"/>
      <c r="MOE121" s="1"/>
      <c r="MOF121" s="1"/>
      <c r="MOG121" s="1"/>
      <c r="MOH121" s="1"/>
      <c r="MOI121" s="1"/>
      <c r="MOJ121" s="1"/>
      <c r="MOK121" s="1"/>
      <c r="MOL121" s="1"/>
      <c r="MOM121" s="1"/>
      <c r="MON121" s="1"/>
      <c r="MOO121" s="1"/>
      <c r="MOP121" s="1"/>
      <c r="MOQ121" s="1"/>
      <c r="MOR121" s="1"/>
      <c r="MOS121" s="1"/>
      <c r="MOT121" s="1"/>
      <c r="MOU121" s="1"/>
      <c r="MOV121" s="1"/>
      <c r="MOW121" s="1"/>
      <c r="MOX121" s="1"/>
      <c r="MOY121" s="1"/>
      <c r="MOZ121" s="1"/>
      <c r="MPA121" s="1"/>
      <c r="MPB121" s="1"/>
      <c r="MPC121" s="1"/>
      <c r="MPD121" s="1"/>
      <c r="MPE121" s="1"/>
      <c r="MPF121" s="1"/>
      <c r="MPG121" s="1"/>
      <c r="MPH121" s="1"/>
      <c r="MPI121" s="1"/>
      <c r="MPJ121" s="1"/>
      <c r="MPK121" s="1"/>
      <c r="MPL121" s="1"/>
      <c r="MPM121" s="1"/>
      <c r="MPN121" s="1"/>
      <c r="MPO121" s="1"/>
      <c r="MPP121" s="1"/>
      <c r="MPQ121" s="1"/>
      <c r="MPR121" s="1"/>
      <c r="MPS121" s="1"/>
      <c r="MPT121" s="1"/>
      <c r="MPU121" s="1"/>
      <c r="MPV121" s="1"/>
      <c r="MPW121" s="1"/>
      <c r="MPX121" s="1"/>
      <c r="MPY121" s="1"/>
      <c r="MPZ121" s="1"/>
      <c r="MQA121" s="1"/>
      <c r="MQB121" s="1"/>
      <c r="MQC121" s="1"/>
      <c r="MQD121" s="1"/>
      <c r="MQE121" s="1"/>
      <c r="MQF121" s="1"/>
      <c r="MQG121" s="1"/>
      <c r="MQH121" s="1"/>
      <c r="MQI121" s="1"/>
      <c r="MQJ121" s="1"/>
      <c r="MQK121" s="1"/>
      <c r="MQL121" s="1"/>
      <c r="MQM121" s="1"/>
      <c r="MQN121" s="1"/>
      <c r="MQO121" s="1"/>
      <c r="MQP121" s="1"/>
      <c r="MQQ121" s="1"/>
      <c r="MQR121" s="1"/>
      <c r="MQS121" s="1"/>
      <c r="MQT121" s="1"/>
      <c r="MQU121" s="1"/>
      <c r="MQV121" s="1"/>
      <c r="MQW121" s="1"/>
      <c r="MQX121" s="1"/>
      <c r="MQY121" s="1"/>
      <c r="MQZ121" s="1"/>
      <c r="MRA121" s="1"/>
      <c r="MRB121" s="1"/>
      <c r="MRC121" s="1"/>
      <c r="MRD121" s="1"/>
      <c r="MRE121" s="1"/>
      <c r="MRF121" s="1"/>
      <c r="MRG121" s="1"/>
      <c r="MRH121" s="1"/>
      <c r="MRI121" s="1"/>
      <c r="MRJ121" s="1"/>
      <c r="MRK121" s="1"/>
      <c r="MRL121" s="1"/>
      <c r="MRM121" s="1"/>
      <c r="MRN121" s="1"/>
      <c r="MRO121" s="1"/>
      <c r="MRP121" s="1"/>
      <c r="MRQ121" s="1"/>
      <c r="MRR121" s="1"/>
      <c r="MRS121" s="1"/>
      <c r="MRT121" s="1"/>
      <c r="MRU121" s="1"/>
      <c r="MRV121" s="1"/>
      <c r="MRW121" s="1"/>
      <c r="MRX121" s="1"/>
      <c r="MRY121" s="1"/>
      <c r="MRZ121" s="1"/>
      <c r="MSA121" s="1"/>
      <c r="MSB121" s="1"/>
      <c r="MSC121" s="1"/>
      <c r="MSD121" s="1"/>
      <c r="MSE121" s="1"/>
      <c r="MSF121" s="1"/>
      <c r="MSG121" s="1"/>
      <c r="MSH121" s="1"/>
      <c r="MSI121" s="1"/>
      <c r="MSJ121" s="1"/>
      <c r="MSK121" s="1"/>
      <c r="MSL121" s="1"/>
      <c r="MSM121" s="1"/>
      <c r="MSN121" s="1"/>
      <c r="MSO121" s="1"/>
      <c r="MSP121" s="1"/>
      <c r="MSQ121" s="1"/>
      <c r="MSR121" s="1"/>
      <c r="MSS121" s="1"/>
      <c r="MST121" s="1"/>
      <c r="MSU121" s="1"/>
      <c r="MSV121" s="1"/>
      <c r="MSW121" s="1"/>
      <c r="MSX121" s="1"/>
      <c r="MSY121" s="1"/>
      <c r="MSZ121" s="1"/>
      <c r="MTA121" s="1"/>
      <c r="MTB121" s="1"/>
      <c r="MTC121" s="1"/>
      <c r="MTD121" s="1"/>
      <c r="MTE121" s="1"/>
      <c r="MTF121" s="1"/>
      <c r="MTG121" s="1"/>
      <c r="MTH121" s="1"/>
      <c r="MTI121" s="1"/>
      <c r="MTJ121" s="1"/>
      <c r="MTK121" s="1"/>
      <c r="MTL121" s="1"/>
      <c r="MTM121" s="1"/>
      <c r="MTN121" s="1"/>
      <c r="MTO121" s="1"/>
      <c r="MTP121" s="1"/>
      <c r="MTQ121" s="1"/>
      <c r="MTR121" s="1"/>
      <c r="MTS121" s="1"/>
      <c r="MTT121" s="1"/>
      <c r="MTU121" s="1"/>
      <c r="MTV121" s="1"/>
      <c r="MTW121" s="1"/>
      <c r="MTX121" s="1"/>
      <c r="MTY121" s="1"/>
      <c r="MTZ121" s="1"/>
      <c r="MUA121" s="1"/>
      <c r="MUB121" s="1"/>
      <c r="MUC121" s="1"/>
      <c r="MUD121" s="1"/>
      <c r="MUE121" s="1"/>
      <c r="MUF121" s="1"/>
      <c r="MUG121" s="1"/>
      <c r="MUH121" s="1"/>
      <c r="MUI121" s="1"/>
      <c r="MUJ121" s="1"/>
      <c r="MUK121" s="1"/>
      <c r="MUL121" s="1"/>
      <c r="MUM121" s="1"/>
      <c r="MUN121" s="1"/>
      <c r="MUO121" s="1"/>
      <c r="MUP121" s="1"/>
      <c r="MUQ121" s="1"/>
      <c r="MUR121" s="1"/>
      <c r="MUS121" s="1"/>
      <c r="MUT121" s="1"/>
      <c r="MUU121" s="1"/>
      <c r="MUV121" s="1"/>
      <c r="MUW121" s="1"/>
      <c r="MUX121" s="1"/>
      <c r="MUY121" s="1"/>
      <c r="MUZ121" s="1"/>
      <c r="MVA121" s="1"/>
      <c r="MVB121" s="1"/>
      <c r="MVC121" s="1"/>
      <c r="MVD121" s="1"/>
      <c r="MVE121" s="1"/>
      <c r="MVF121" s="1"/>
      <c r="MVG121" s="1"/>
      <c r="MVH121" s="1"/>
      <c r="MVI121" s="1"/>
      <c r="MVJ121" s="1"/>
      <c r="MVK121" s="1"/>
      <c r="MVL121" s="1"/>
      <c r="MVM121" s="1"/>
      <c r="MVN121" s="1"/>
      <c r="MVO121" s="1"/>
      <c r="MVP121" s="1"/>
      <c r="MVQ121" s="1"/>
      <c r="MVR121" s="1"/>
      <c r="MVS121" s="1"/>
      <c r="MVT121" s="1"/>
      <c r="MVU121" s="1"/>
      <c r="MVV121" s="1"/>
      <c r="MVW121" s="1"/>
      <c r="MVX121" s="1"/>
      <c r="MVY121" s="1"/>
      <c r="MVZ121" s="1"/>
      <c r="MWA121" s="1"/>
      <c r="MWB121" s="1"/>
      <c r="MWC121" s="1"/>
      <c r="MWD121" s="1"/>
      <c r="MWE121" s="1"/>
      <c r="MWF121" s="1"/>
      <c r="MWG121" s="1"/>
      <c r="MWH121" s="1"/>
      <c r="MWI121" s="1"/>
      <c r="MWJ121" s="1"/>
      <c r="MWK121" s="1"/>
      <c r="MWL121" s="1"/>
      <c r="MWM121" s="1"/>
      <c r="MWN121" s="1"/>
      <c r="MWO121" s="1"/>
      <c r="MWP121" s="1"/>
      <c r="MWQ121" s="1"/>
      <c r="MWR121" s="1"/>
      <c r="MWS121" s="1"/>
      <c r="MWT121" s="1"/>
      <c r="MWU121" s="1"/>
      <c r="MWV121" s="1"/>
      <c r="MWW121" s="1"/>
      <c r="MWX121" s="1"/>
      <c r="MWY121" s="1"/>
      <c r="MWZ121" s="1"/>
      <c r="MXA121" s="1"/>
      <c r="MXB121" s="1"/>
      <c r="MXC121" s="1"/>
      <c r="MXD121" s="1"/>
      <c r="MXE121" s="1"/>
      <c r="MXF121" s="1"/>
      <c r="MXG121" s="1"/>
      <c r="MXH121" s="1"/>
      <c r="MXI121" s="1"/>
      <c r="MXJ121" s="1"/>
      <c r="MXK121" s="1"/>
      <c r="MXL121" s="1"/>
      <c r="MXM121" s="1"/>
      <c r="MXN121" s="1"/>
      <c r="MXO121" s="1"/>
      <c r="MXP121" s="1"/>
      <c r="MXQ121" s="1"/>
      <c r="MXR121" s="1"/>
      <c r="MXS121" s="1"/>
      <c r="MXT121" s="1"/>
      <c r="MXU121" s="1"/>
      <c r="MXV121" s="1"/>
      <c r="MXW121" s="1"/>
      <c r="MXX121" s="1"/>
      <c r="MXY121" s="1"/>
      <c r="MXZ121" s="1"/>
      <c r="MYA121" s="1"/>
      <c r="MYB121" s="1"/>
      <c r="MYC121" s="1"/>
      <c r="MYD121" s="1"/>
      <c r="MYE121" s="1"/>
      <c r="MYF121" s="1"/>
      <c r="MYG121" s="1"/>
      <c r="MYH121" s="1"/>
      <c r="MYI121" s="1"/>
      <c r="MYJ121" s="1"/>
      <c r="MYK121" s="1"/>
      <c r="MYL121" s="1"/>
      <c r="MYM121" s="1"/>
      <c r="MYN121" s="1"/>
      <c r="MYO121" s="1"/>
      <c r="MYP121" s="1"/>
      <c r="MYQ121" s="1"/>
      <c r="MYR121" s="1"/>
      <c r="MYS121" s="1"/>
      <c r="MYT121" s="1"/>
      <c r="MYU121" s="1"/>
      <c r="MYV121" s="1"/>
      <c r="MYW121" s="1"/>
      <c r="MYX121" s="1"/>
      <c r="MYY121" s="1"/>
      <c r="MYZ121" s="1"/>
      <c r="MZA121" s="1"/>
      <c r="MZB121" s="1"/>
      <c r="MZC121" s="1"/>
      <c r="MZD121" s="1"/>
      <c r="MZE121" s="1"/>
      <c r="MZF121" s="1"/>
      <c r="MZG121" s="1"/>
      <c r="MZH121" s="1"/>
      <c r="MZI121" s="1"/>
      <c r="MZJ121" s="1"/>
      <c r="MZK121" s="1"/>
      <c r="MZL121" s="1"/>
      <c r="MZM121" s="1"/>
      <c r="MZN121" s="1"/>
      <c r="MZO121" s="1"/>
      <c r="MZP121" s="1"/>
      <c r="MZQ121" s="1"/>
      <c r="MZR121" s="1"/>
      <c r="MZS121" s="1"/>
      <c r="MZT121" s="1"/>
      <c r="MZU121" s="1"/>
      <c r="MZV121" s="1"/>
      <c r="MZW121" s="1"/>
      <c r="MZX121" s="1"/>
      <c r="MZY121" s="1"/>
      <c r="MZZ121" s="1"/>
      <c r="NAA121" s="1"/>
      <c r="NAB121" s="1"/>
      <c r="NAC121" s="1"/>
      <c r="NAD121" s="1"/>
      <c r="NAE121" s="1"/>
      <c r="NAF121" s="1"/>
      <c r="NAG121" s="1"/>
      <c r="NAH121" s="1"/>
      <c r="NAI121" s="1"/>
      <c r="NAJ121" s="1"/>
      <c r="NAK121" s="1"/>
      <c r="NAL121" s="1"/>
      <c r="NAM121" s="1"/>
      <c r="NAN121" s="1"/>
      <c r="NAO121" s="1"/>
      <c r="NAP121" s="1"/>
      <c r="NAQ121" s="1"/>
      <c r="NAR121" s="1"/>
      <c r="NAS121" s="1"/>
      <c r="NAT121" s="1"/>
      <c r="NAU121" s="1"/>
      <c r="NAV121" s="1"/>
      <c r="NAW121" s="1"/>
      <c r="NAX121" s="1"/>
      <c r="NAY121" s="1"/>
      <c r="NAZ121" s="1"/>
      <c r="NBA121" s="1"/>
      <c r="NBB121" s="1"/>
      <c r="NBC121" s="1"/>
      <c r="NBD121" s="1"/>
      <c r="NBE121" s="1"/>
      <c r="NBF121" s="1"/>
      <c r="NBG121" s="1"/>
      <c r="NBH121" s="1"/>
      <c r="NBI121" s="1"/>
      <c r="NBJ121" s="1"/>
      <c r="NBK121" s="1"/>
      <c r="NBL121" s="1"/>
      <c r="NBM121" s="1"/>
      <c r="NBN121" s="1"/>
      <c r="NBO121" s="1"/>
      <c r="NBP121" s="1"/>
      <c r="NBQ121" s="1"/>
      <c r="NBR121" s="1"/>
      <c r="NBS121" s="1"/>
      <c r="NBT121" s="1"/>
      <c r="NBU121" s="1"/>
      <c r="NBV121" s="1"/>
      <c r="NBW121" s="1"/>
      <c r="NBX121" s="1"/>
      <c r="NBY121" s="1"/>
      <c r="NBZ121" s="1"/>
      <c r="NCA121" s="1"/>
      <c r="NCB121" s="1"/>
      <c r="NCC121" s="1"/>
      <c r="NCD121" s="1"/>
      <c r="NCE121" s="1"/>
      <c r="NCF121" s="1"/>
      <c r="NCG121" s="1"/>
      <c r="NCH121" s="1"/>
      <c r="NCI121" s="1"/>
      <c r="NCJ121" s="1"/>
      <c r="NCK121" s="1"/>
      <c r="NCL121" s="1"/>
      <c r="NCM121" s="1"/>
      <c r="NCN121" s="1"/>
      <c r="NCO121" s="1"/>
      <c r="NCP121" s="1"/>
      <c r="NCQ121" s="1"/>
      <c r="NCR121" s="1"/>
      <c r="NCS121" s="1"/>
      <c r="NCT121" s="1"/>
      <c r="NCU121" s="1"/>
      <c r="NCV121" s="1"/>
      <c r="NCW121" s="1"/>
      <c r="NCX121" s="1"/>
      <c r="NCY121" s="1"/>
      <c r="NCZ121" s="1"/>
      <c r="NDA121" s="1"/>
      <c r="NDB121" s="1"/>
      <c r="NDC121" s="1"/>
      <c r="NDD121" s="1"/>
      <c r="NDE121" s="1"/>
      <c r="NDF121" s="1"/>
      <c r="NDG121" s="1"/>
      <c r="NDH121" s="1"/>
      <c r="NDI121" s="1"/>
      <c r="NDJ121" s="1"/>
      <c r="NDK121" s="1"/>
      <c r="NDL121" s="1"/>
      <c r="NDM121" s="1"/>
      <c r="NDN121" s="1"/>
      <c r="NDO121" s="1"/>
      <c r="NDP121" s="1"/>
      <c r="NDQ121" s="1"/>
      <c r="NDR121" s="1"/>
      <c r="NDS121" s="1"/>
      <c r="NDT121" s="1"/>
      <c r="NDU121" s="1"/>
      <c r="NDV121" s="1"/>
      <c r="NDW121" s="1"/>
      <c r="NDX121" s="1"/>
      <c r="NDY121" s="1"/>
      <c r="NDZ121" s="1"/>
      <c r="NEA121" s="1"/>
      <c r="NEB121" s="1"/>
      <c r="NEC121" s="1"/>
      <c r="NED121" s="1"/>
      <c r="NEE121" s="1"/>
      <c r="NEF121" s="1"/>
      <c r="NEG121" s="1"/>
      <c r="NEH121" s="1"/>
      <c r="NEI121" s="1"/>
      <c r="NEJ121" s="1"/>
      <c r="NEK121" s="1"/>
      <c r="NEL121" s="1"/>
      <c r="NEM121" s="1"/>
      <c r="NEN121" s="1"/>
      <c r="NEO121" s="1"/>
      <c r="NEP121" s="1"/>
      <c r="NEQ121" s="1"/>
      <c r="NER121" s="1"/>
      <c r="NES121" s="1"/>
      <c r="NET121" s="1"/>
      <c r="NEU121" s="1"/>
      <c r="NEV121" s="1"/>
      <c r="NEW121" s="1"/>
      <c r="NEX121" s="1"/>
      <c r="NEY121" s="1"/>
      <c r="NEZ121" s="1"/>
      <c r="NFA121" s="1"/>
      <c r="NFB121" s="1"/>
      <c r="NFC121" s="1"/>
      <c r="NFD121" s="1"/>
      <c r="NFE121" s="1"/>
      <c r="NFF121" s="1"/>
      <c r="NFG121" s="1"/>
      <c r="NFH121" s="1"/>
      <c r="NFI121" s="1"/>
      <c r="NFJ121" s="1"/>
      <c r="NFK121" s="1"/>
      <c r="NFL121" s="1"/>
      <c r="NFM121" s="1"/>
      <c r="NFN121" s="1"/>
      <c r="NFO121" s="1"/>
      <c r="NFP121" s="1"/>
      <c r="NFQ121" s="1"/>
      <c r="NFR121" s="1"/>
      <c r="NFS121" s="1"/>
      <c r="NFT121" s="1"/>
      <c r="NFU121" s="1"/>
      <c r="NFV121" s="1"/>
      <c r="NFW121" s="1"/>
      <c r="NFX121" s="1"/>
      <c r="NFY121" s="1"/>
      <c r="NFZ121" s="1"/>
      <c r="NGA121" s="1"/>
      <c r="NGB121" s="1"/>
      <c r="NGC121" s="1"/>
      <c r="NGD121" s="1"/>
      <c r="NGE121" s="1"/>
      <c r="NGF121" s="1"/>
      <c r="NGG121" s="1"/>
      <c r="NGH121" s="1"/>
      <c r="NGI121" s="1"/>
      <c r="NGJ121" s="1"/>
      <c r="NGK121" s="1"/>
      <c r="NGL121" s="1"/>
      <c r="NGM121" s="1"/>
      <c r="NGN121" s="1"/>
      <c r="NGO121" s="1"/>
      <c r="NGP121" s="1"/>
      <c r="NGQ121" s="1"/>
      <c r="NGR121" s="1"/>
      <c r="NGS121" s="1"/>
      <c r="NGT121" s="1"/>
      <c r="NGU121" s="1"/>
      <c r="NGV121" s="1"/>
      <c r="NGW121" s="1"/>
      <c r="NGX121" s="1"/>
      <c r="NGY121" s="1"/>
      <c r="NGZ121" s="1"/>
      <c r="NHA121" s="1"/>
      <c r="NHB121" s="1"/>
      <c r="NHC121" s="1"/>
      <c r="NHD121" s="1"/>
      <c r="NHE121" s="1"/>
      <c r="NHF121" s="1"/>
      <c r="NHG121" s="1"/>
      <c r="NHH121" s="1"/>
      <c r="NHI121" s="1"/>
      <c r="NHJ121" s="1"/>
      <c r="NHK121" s="1"/>
      <c r="NHL121" s="1"/>
      <c r="NHM121" s="1"/>
      <c r="NHN121" s="1"/>
      <c r="NHO121" s="1"/>
      <c r="NHP121" s="1"/>
      <c r="NHQ121" s="1"/>
      <c r="NHR121" s="1"/>
      <c r="NHS121" s="1"/>
      <c r="NHT121" s="1"/>
      <c r="NHU121" s="1"/>
      <c r="NHV121" s="1"/>
      <c r="NHW121" s="1"/>
      <c r="NHX121" s="1"/>
      <c r="NHY121" s="1"/>
      <c r="NHZ121" s="1"/>
      <c r="NIA121" s="1"/>
      <c r="NIB121" s="1"/>
      <c r="NIC121" s="1"/>
      <c r="NID121" s="1"/>
      <c r="NIE121" s="1"/>
      <c r="NIF121" s="1"/>
      <c r="NIG121" s="1"/>
      <c r="NIH121" s="1"/>
      <c r="NII121" s="1"/>
      <c r="NIJ121" s="1"/>
      <c r="NIK121" s="1"/>
      <c r="NIL121" s="1"/>
      <c r="NIM121" s="1"/>
      <c r="NIN121" s="1"/>
      <c r="NIO121" s="1"/>
      <c r="NIP121" s="1"/>
      <c r="NIQ121" s="1"/>
      <c r="NIR121" s="1"/>
      <c r="NIS121" s="1"/>
      <c r="NIT121" s="1"/>
      <c r="NIU121" s="1"/>
      <c r="NIV121" s="1"/>
      <c r="NIW121" s="1"/>
      <c r="NIX121" s="1"/>
      <c r="NIY121" s="1"/>
      <c r="NIZ121" s="1"/>
      <c r="NJA121" s="1"/>
      <c r="NJB121" s="1"/>
      <c r="NJC121" s="1"/>
      <c r="NJD121" s="1"/>
      <c r="NJE121" s="1"/>
      <c r="NJF121" s="1"/>
      <c r="NJG121" s="1"/>
      <c r="NJH121" s="1"/>
      <c r="NJI121" s="1"/>
      <c r="NJJ121" s="1"/>
      <c r="NJK121" s="1"/>
      <c r="NJL121" s="1"/>
      <c r="NJM121" s="1"/>
      <c r="NJN121" s="1"/>
      <c r="NJO121" s="1"/>
      <c r="NJP121" s="1"/>
      <c r="NJQ121" s="1"/>
      <c r="NJR121" s="1"/>
      <c r="NJS121" s="1"/>
      <c r="NJT121" s="1"/>
      <c r="NJU121" s="1"/>
      <c r="NJV121" s="1"/>
      <c r="NJW121" s="1"/>
      <c r="NJX121" s="1"/>
      <c r="NJY121" s="1"/>
      <c r="NJZ121" s="1"/>
      <c r="NKA121" s="1"/>
      <c r="NKB121" s="1"/>
      <c r="NKC121" s="1"/>
      <c r="NKD121" s="1"/>
      <c r="NKE121" s="1"/>
      <c r="NKF121" s="1"/>
      <c r="NKG121" s="1"/>
      <c r="NKH121" s="1"/>
      <c r="NKI121" s="1"/>
      <c r="NKJ121" s="1"/>
      <c r="NKK121" s="1"/>
      <c r="NKL121" s="1"/>
      <c r="NKM121" s="1"/>
      <c r="NKN121" s="1"/>
      <c r="NKO121" s="1"/>
      <c r="NKP121" s="1"/>
      <c r="NKQ121" s="1"/>
      <c r="NKR121" s="1"/>
      <c r="NKS121" s="1"/>
      <c r="NKT121" s="1"/>
      <c r="NKU121" s="1"/>
      <c r="NKV121" s="1"/>
      <c r="NKW121" s="1"/>
      <c r="NKX121" s="1"/>
      <c r="NKY121" s="1"/>
      <c r="NKZ121" s="1"/>
      <c r="NLA121" s="1"/>
      <c r="NLB121" s="1"/>
      <c r="NLC121" s="1"/>
      <c r="NLD121" s="1"/>
      <c r="NLE121" s="1"/>
      <c r="NLF121" s="1"/>
      <c r="NLG121" s="1"/>
      <c r="NLH121" s="1"/>
      <c r="NLI121" s="1"/>
      <c r="NLJ121" s="1"/>
      <c r="NLK121" s="1"/>
      <c r="NLL121" s="1"/>
      <c r="NLM121" s="1"/>
      <c r="NLN121" s="1"/>
      <c r="NLO121" s="1"/>
      <c r="NLP121" s="1"/>
      <c r="NLQ121" s="1"/>
      <c r="NLR121" s="1"/>
      <c r="NLS121" s="1"/>
      <c r="NLT121" s="1"/>
      <c r="NLU121" s="1"/>
      <c r="NLV121" s="1"/>
      <c r="NLW121" s="1"/>
      <c r="NLX121" s="1"/>
      <c r="NLY121" s="1"/>
      <c r="NLZ121" s="1"/>
      <c r="NMA121" s="1"/>
      <c r="NMB121" s="1"/>
      <c r="NMC121" s="1"/>
      <c r="NMD121" s="1"/>
      <c r="NME121" s="1"/>
      <c r="NMF121" s="1"/>
      <c r="NMG121" s="1"/>
      <c r="NMH121" s="1"/>
      <c r="NMI121" s="1"/>
      <c r="NMJ121" s="1"/>
      <c r="NMK121" s="1"/>
      <c r="NML121" s="1"/>
      <c r="NMM121" s="1"/>
      <c r="NMN121" s="1"/>
      <c r="NMO121" s="1"/>
      <c r="NMP121" s="1"/>
      <c r="NMQ121" s="1"/>
      <c r="NMR121" s="1"/>
      <c r="NMS121" s="1"/>
      <c r="NMT121" s="1"/>
      <c r="NMU121" s="1"/>
      <c r="NMV121" s="1"/>
      <c r="NMW121" s="1"/>
      <c r="NMX121" s="1"/>
      <c r="NMY121" s="1"/>
      <c r="NMZ121" s="1"/>
      <c r="NNA121" s="1"/>
      <c r="NNB121" s="1"/>
      <c r="NNC121" s="1"/>
      <c r="NND121" s="1"/>
      <c r="NNE121" s="1"/>
      <c r="NNF121" s="1"/>
      <c r="NNG121" s="1"/>
      <c r="NNH121" s="1"/>
      <c r="NNI121" s="1"/>
      <c r="NNJ121" s="1"/>
      <c r="NNK121" s="1"/>
      <c r="NNL121" s="1"/>
      <c r="NNM121" s="1"/>
      <c r="NNN121" s="1"/>
      <c r="NNO121" s="1"/>
      <c r="NNP121" s="1"/>
      <c r="NNQ121" s="1"/>
      <c r="NNR121" s="1"/>
      <c r="NNS121" s="1"/>
      <c r="NNT121" s="1"/>
      <c r="NNU121" s="1"/>
      <c r="NNV121" s="1"/>
      <c r="NNW121" s="1"/>
      <c r="NNX121" s="1"/>
      <c r="NNY121" s="1"/>
      <c r="NNZ121" s="1"/>
      <c r="NOA121" s="1"/>
      <c r="NOB121" s="1"/>
      <c r="NOC121" s="1"/>
      <c r="NOD121" s="1"/>
      <c r="NOE121" s="1"/>
      <c r="NOF121" s="1"/>
      <c r="NOG121" s="1"/>
      <c r="NOH121" s="1"/>
      <c r="NOI121" s="1"/>
      <c r="NOJ121" s="1"/>
      <c r="NOK121" s="1"/>
      <c r="NOL121" s="1"/>
      <c r="NOM121" s="1"/>
      <c r="NON121" s="1"/>
      <c r="NOO121" s="1"/>
      <c r="NOP121" s="1"/>
      <c r="NOQ121" s="1"/>
      <c r="NOR121" s="1"/>
      <c r="NOS121" s="1"/>
      <c r="NOT121" s="1"/>
      <c r="NOU121" s="1"/>
      <c r="NOV121" s="1"/>
      <c r="NOW121" s="1"/>
      <c r="NOX121" s="1"/>
      <c r="NOY121" s="1"/>
      <c r="NOZ121" s="1"/>
      <c r="NPA121" s="1"/>
      <c r="NPB121" s="1"/>
      <c r="NPC121" s="1"/>
      <c r="NPD121" s="1"/>
      <c r="NPE121" s="1"/>
      <c r="NPF121" s="1"/>
      <c r="NPG121" s="1"/>
      <c r="NPH121" s="1"/>
      <c r="NPI121" s="1"/>
      <c r="NPJ121" s="1"/>
      <c r="NPK121" s="1"/>
      <c r="NPL121" s="1"/>
      <c r="NPM121" s="1"/>
      <c r="NPN121" s="1"/>
      <c r="NPO121" s="1"/>
      <c r="NPP121" s="1"/>
      <c r="NPQ121" s="1"/>
      <c r="NPR121" s="1"/>
      <c r="NPS121" s="1"/>
      <c r="NPT121" s="1"/>
      <c r="NPU121" s="1"/>
      <c r="NPV121" s="1"/>
      <c r="NPW121" s="1"/>
      <c r="NPX121" s="1"/>
      <c r="NPY121" s="1"/>
      <c r="NPZ121" s="1"/>
      <c r="NQA121" s="1"/>
      <c r="NQB121" s="1"/>
      <c r="NQC121" s="1"/>
      <c r="NQD121" s="1"/>
      <c r="NQE121" s="1"/>
      <c r="NQF121" s="1"/>
      <c r="NQG121" s="1"/>
      <c r="NQH121" s="1"/>
      <c r="NQI121" s="1"/>
      <c r="NQJ121" s="1"/>
      <c r="NQK121" s="1"/>
      <c r="NQL121" s="1"/>
      <c r="NQM121" s="1"/>
      <c r="NQN121" s="1"/>
      <c r="NQO121" s="1"/>
      <c r="NQP121" s="1"/>
      <c r="NQQ121" s="1"/>
      <c r="NQR121" s="1"/>
      <c r="NQS121" s="1"/>
      <c r="NQT121" s="1"/>
      <c r="NQU121" s="1"/>
      <c r="NQV121" s="1"/>
      <c r="NQW121" s="1"/>
      <c r="NQX121" s="1"/>
      <c r="NQY121" s="1"/>
      <c r="NQZ121" s="1"/>
      <c r="NRA121" s="1"/>
      <c r="NRB121" s="1"/>
      <c r="NRC121" s="1"/>
      <c r="NRD121" s="1"/>
      <c r="NRE121" s="1"/>
      <c r="NRF121" s="1"/>
      <c r="NRG121" s="1"/>
      <c r="NRH121" s="1"/>
      <c r="NRI121" s="1"/>
      <c r="NRJ121" s="1"/>
      <c r="NRK121" s="1"/>
      <c r="NRL121" s="1"/>
      <c r="NRM121" s="1"/>
      <c r="NRN121" s="1"/>
      <c r="NRO121" s="1"/>
      <c r="NRP121" s="1"/>
      <c r="NRQ121" s="1"/>
      <c r="NRR121" s="1"/>
      <c r="NRS121" s="1"/>
      <c r="NRT121" s="1"/>
      <c r="NRU121" s="1"/>
      <c r="NRV121" s="1"/>
      <c r="NRW121" s="1"/>
      <c r="NRX121" s="1"/>
      <c r="NRY121" s="1"/>
      <c r="NRZ121" s="1"/>
      <c r="NSA121" s="1"/>
      <c r="NSB121" s="1"/>
      <c r="NSC121" s="1"/>
      <c r="NSD121" s="1"/>
      <c r="NSE121" s="1"/>
      <c r="NSF121" s="1"/>
      <c r="NSG121" s="1"/>
      <c r="NSH121" s="1"/>
      <c r="NSI121" s="1"/>
      <c r="NSJ121" s="1"/>
      <c r="NSK121" s="1"/>
      <c r="NSL121" s="1"/>
      <c r="NSM121" s="1"/>
      <c r="NSN121" s="1"/>
      <c r="NSO121" s="1"/>
      <c r="NSP121" s="1"/>
      <c r="NSQ121" s="1"/>
      <c r="NSR121" s="1"/>
      <c r="NSS121" s="1"/>
      <c r="NST121" s="1"/>
      <c r="NSU121" s="1"/>
      <c r="NSV121" s="1"/>
      <c r="NSW121" s="1"/>
      <c r="NSX121" s="1"/>
      <c r="NSY121" s="1"/>
      <c r="NSZ121" s="1"/>
      <c r="NTA121" s="1"/>
      <c r="NTB121" s="1"/>
      <c r="NTC121" s="1"/>
      <c r="NTD121" s="1"/>
      <c r="NTE121" s="1"/>
      <c r="NTF121" s="1"/>
      <c r="NTG121" s="1"/>
      <c r="NTH121" s="1"/>
      <c r="NTI121" s="1"/>
      <c r="NTJ121" s="1"/>
      <c r="NTK121" s="1"/>
      <c r="NTL121" s="1"/>
      <c r="NTM121" s="1"/>
      <c r="NTN121" s="1"/>
      <c r="NTO121" s="1"/>
      <c r="NTP121" s="1"/>
      <c r="NTQ121" s="1"/>
      <c r="NTR121" s="1"/>
      <c r="NTS121" s="1"/>
      <c r="NTT121" s="1"/>
      <c r="NTU121" s="1"/>
      <c r="NTV121" s="1"/>
      <c r="NTW121" s="1"/>
      <c r="NTX121" s="1"/>
      <c r="NTY121" s="1"/>
      <c r="NTZ121" s="1"/>
      <c r="NUA121" s="1"/>
      <c r="NUB121" s="1"/>
      <c r="NUC121" s="1"/>
      <c r="NUD121" s="1"/>
      <c r="NUE121" s="1"/>
      <c r="NUF121" s="1"/>
      <c r="NUG121" s="1"/>
      <c r="NUH121" s="1"/>
      <c r="NUI121" s="1"/>
      <c r="NUJ121" s="1"/>
      <c r="NUK121" s="1"/>
      <c r="NUL121" s="1"/>
      <c r="NUM121" s="1"/>
      <c r="NUN121" s="1"/>
      <c r="NUO121" s="1"/>
      <c r="NUP121" s="1"/>
      <c r="NUQ121" s="1"/>
      <c r="NUR121" s="1"/>
      <c r="NUS121" s="1"/>
      <c r="NUT121" s="1"/>
      <c r="NUU121" s="1"/>
      <c r="NUV121" s="1"/>
      <c r="NUW121" s="1"/>
      <c r="NUX121" s="1"/>
      <c r="NUY121" s="1"/>
      <c r="NUZ121" s="1"/>
      <c r="NVA121" s="1"/>
      <c r="NVB121" s="1"/>
      <c r="NVC121" s="1"/>
      <c r="NVD121" s="1"/>
      <c r="NVE121" s="1"/>
      <c r="NVF121" s="1"/>
      <c r="NVG121" s="1"/>
      <c r="NVH121" s="1"/>
      <c r="NVI121" s="1"/>
      <c r="NVJ121" s="1"/>
      <c r="NVK121" s="1"/>
      <c r="NVL121" s="1"/>
      <c r="NVM121" s="1"/>
      <c r="NVN121" s="1"/>
      <c r="NVO121" s="1"/>
      <c r="NVP121" s="1"/>
      <c r="NVQ121" s="1"/>
      <c r="NVR121" s="1"/>
      <c r="NVS121" s="1"/>
      <c r="NVT121" s="1"/>
      <c r="NVU121" s="1"/>
      <c r="NVV121" s="1"/>
      <c r="NVW121" s="1"/>
      <c r="NVX121" s="1"/>
      <c r="NVY121" s="1"/>
      <c r="NVZ121" s="1"/>
      <c r="NWA121" s="1"/>
      <c r="NWB121" s="1"/>
      <c r="NWC121" s="1"/>
      <c r="NWD121" s="1"/>
      <c r="NWE121" s="1"/>
      <c r="NWF121" s="1"/>
      <c r="NWG121" s="1"/>
      <c r="NWH121" s="1"/>
      <c r="NWI121" s="1"/>
      <c r="NWJ121" s="1"/>
      <c r="NWK121" s="1"/>
      <c r="NWL121" s="1"/>
      <c r="NWM121" s="1"/>
      <c r="NWN121" s="1"/>
      <c r="NWO121" s="1"/>
      <c r="NWP121" s="1"/>
      <c r="NWQ121" s="1"/>
      <c r="NWR121" s="1"/>
      <c r="NWS121" s="1"/>
      <c r="NWT121" s="1"/>
      <c r="NWU121" s="1"/>
      <c r="NWV121" s="1"/>
      <c r="NWW121" s="1"/>
      <c r="NWX121" s="1"/>
      <c r="NWY121" s="1"/>
      <c r="NWZ121" s="1"/>
      <c r="NXA121" s="1"/>
      <c r="NXB121" s="1"/>
      <c r="NXC121" s="1"/>
      <c r="NXD121" s="1"/>
      <c r="NXE121" s="1"/>
      <c r="NXF121" s="1"/>
      <c r="NXG121" s="1"/>
      <c r="NXH121" s="1"/>
      <c r="NXI121" s="1"/>
      <c r="NXJ121" s="1"/>
      <c r="NXK121" s="1"/>
      <c r="NXL121" s="1"/>
      <c r="NXM121" s="1"/>
      <c r="NXN121" s="1"/>
      <c r="NXO121" s="1"/>
      <c r="NXP121" s="1"/>
      <c r="NXQ121" s="1"/>
      <c r="NXR121" s="1"/>
      <c r="NXS121" s="1"/>
      <c r="NXT121" s="1"/>
      <c r="NXU121" s="1"/>
      <c r="NXV121" s="1"/>
      <c r="NXW121" s="1"/>
      <c r="NXX121" s="1"/>
      <c r="NXY121" s="1"/>
      <c r="NXZ121" s="1"/>
      <c r="NYA121" s="1"/>
      <c r="NYB121" s="1"/>
      <c r="NYC121" s="1"/>
      <c r="NYD121" s="1"/>
      <c r="NYE121" s="1"/>
      <c r="NYF121" s="1"/>
      <c r="NYG121" s="1"/>
      <c r="NYH121" s="1"/>
      <c r="NYI121" s="1"/>
      <c r="NYJ121" s="1"/>
      <c r="NYK121" s="1"/>
      <c r="NYL121" s="1"/>
      <c r="NYM121" s="1"/>
      <c r="NYN121" s="1"/>
      <c r="NYO121" s="1"/>
      <c r="NYP121" s="1"/>
      <c r="NYQ121" s="1"/>
      <c r="NYR121" s="1"/>
      <c r="NYS121" s="1"/>
      <c r="NYT121" s="1"/>
      <c r="NYU121" s="1"/>
      <c r="NYV121" s="1"/>
      <c r="NYW121" s="1"/>
      <c r="NYX121" s="1"/>
      <c r="NYY121" s="1"/>
      <c r="NYZ121" s="1"/>
      <c r="NZA121" s="1"/>
      <c r="NZB121" s="1"/>
      <c r="NZC121" s="1"/>
      <c r="NZD121" s="1"/>
      <c r="NZE121" s="1"/>
      <c r="NZF121" s="1"/>
      <c r="NZG121" s="1"/>
      <c r="NZH121" s="1"/>
      <c r="NZI121" s="1"/>
      <c r="NZJ121" s="1"/>
      <c r="NZK121" s="1"/>
      <c r="NZL121" s="1"/>
      <c r="NZM121" s="1"/>
      <c r="NZN121" s="1"/>
      <c r="NZO121" s="1"/>
      <c r="NZP121" s="1"/>
      <c r="NZQ121" s="1"/>
      <c r="NZR121" s="1"/>
      <c r="NZS121" s="1"/>
      <c r="NZT121" s="1"/>
      <c r="NZU121" s="1"/>
      <c r="NZV121" s="1"/>
      <c r="NZW121" s="1"/>
      <c r="NZX121" s="1"/>
      <c r="NZY121" s="1"/>
      <c r="NZZ121" s="1"/>
      <c r="OAA121" s="1"/>
      <c r="OAB121" s="1"/>
      <c r="OAC121" s="1"/>
      <c r="OAD121" s="1"/>
      <c r="OAE121" s="1"/>
      <c r="OAF121" s="1"/>
      <c r="OAG121" s="1"/>
      <c r="OAH121" s="1"/>
      <c r="OAI121" s="1"/>
      <c r="OAJ121" s="1"/>
      <c r="OAK121" s="1"/>
      <c r="OAL121" s="1"/>
      <c r="OAM121" s="1"/>
      <c r="OAN121" s="1"/>
      <c r="OAO121" s="1"/>
      <c r="OAP121" s="1"/>
      <c r="OAQ121" s="1"/>
      <c r="OAR121" s="1"/>
      <c r="OAS121" s="1"/>
      <c r="OAT121" s="1"/>
      <c r="OAU121" s="1"/>
      <c r="OAV121" s="1"/>
      <c r="OAW121" s="1"/>
      <c r="OAX121" s="1"/>
      <c r="OAY121" s="1"/>
      <c r="OAZ121" s="1"/>
      <c r="OBA121" s="1"/>
      <c r="OBB121" s="1"/>
      <c r="OBC121" s="1"/>
      <c r="OBD121" s="1"/>
      <c r="OBE121" s="1"/>
      <c r="OBF121" s="1"/>
      <c r="OBG121" s="1"/>
      <c r="OBH121" s="1"/>
      <c r="OBI121" s="1"/>
      <c r="OBJ121" s="1"/>
      <c r="OBK121" s="1"/>
      <c r="OBL121" s="1"/>
      <c r="OBM121" s="1"/>
      <c r="OBN121" s="1"/>
      <c r="OBO121" s="1"/>
      <c r="OBP121" s="1"/>
      <c r="OBQ121" s="1"/>
      <c r="OBR121" s="1"/>
      <c r="OBS121" s="1"/>
      <c r="OBT121" s="1"/>
      <c r="OBU121" s="1"/>
      <c r="OBV121" s="1"/>
      <c r="OBW121" s="1"/>
      <c r="OBX121" s="1"/>
      <c r="OBY121" s="1"/>
      <c r="OBZ121" s="1"/>
      <c r="OCA121" s="1"/>
      <c r="OCB121" s="1"/>
      <c r="OCC121" s="1"/>
      <c r="OCD121" s="1"/>
      <c r="OCE121" s="1"/>
      <c r="OCF121" s="1"/>
      <c r="OCG121" s="1"/>
      <c r="OCH121" s="1"/>
      <c r="OCI121" s="1"/>
      <c r="OCJ121" s="1"/>
      <c r="OCK121" s="1"/>
      <c r="OCL121" s="1"/>
      <c r="OCM121" s="1"/>
      <c r="OCN121" s="1"/>
      <c r="OCO121" s="1"/>
      <c r="OCP121" s="1"/>
      <c r="OCQ121" s="1"/>
      <c r="OCR121" s="1"/>
      <c r="OCS121" s="1"/>
      <c r="OCT121" s="1"/>
      <c r="OCU121" s="1"/>
      <c r="OCV121" s="1"/>
      <c r="OCW121" s="1"/>
      <c r="OCX121" s="1"/>
      <c r="OCY121" s="1"/>
      <c r="OCZ121" s="1"/>
      <c r="ODA121" s="1"/>
      <c r="ODB121" s="1"/>
      <c r="ODC121" s="1"/>
      <c r="ODD121" s="1"/>
      <c r="ODE121" s="1"/>
      <c r="ODF121" s="1"/>
      <c r="ODG121" s="1"/>
      <c r="ODH121" s="1"/>
      <c r="ODI121" s="1"/>
      <c r="ODJ121" s="1"/>
      <c r="ODK121" s="1"/>
      <c r="ODL121" s="1"/>
      <c r="ODM121" s="1"/>
      <c r="ODN121" s="1"/>
      <c r="ODO121" s="1"/>
      <c r="ODP121" s="1"/>
      <c r="ODQ121" s="1"/>
      <c r="ODR121" s="1"/>
      <c r="ODS121" s="1"/>
      <c r="ODT121" s="1"/>
      <c r="ODU121" s="1"/>
      <c r="ODV121" s="1"/>
      <c r="ODW121" s="1"/>
      <c r="ODX121" s="1"/>
      <c r="ODY121" s="1"/>
      <c r="ODZ121" s="1"/>
      <c r="OEA121" s="1"/>
      <c r="OEB121" s="1"/>
      <c r="OEC121" s="1"/>
      <c r="OED121" s="1"/>
      <c r="OEE121" s="1"/>
      <c r="OEF121" s="1"/>
      <c r="OEG121" s="1"/>
      <c r="OEH121" s="1"/>
      <c r="OEI121" s="1"/>
      <c r="OEJ121" s="1"/>
      <c r="OEK121" s="1"/>
      <c r="OEL121" s="1"/>
      <c r="OEM121" s="1"/>
      <c r="OEN121" s="1"/>
      <c r="OEO121" s="1"/>
      <c r="OEP121" s="1"/>
      <c r="OEQ121" s="1"/>
      <c r="OER121" s="1"/>
      <c r="OES121" s="1"/>
      <c r="OET121" s="1"/>
      <c r="OEU121" s="1"/>
      <c r="OEV121" s="1"/>
      <c r="OEW121" s="1"/>
      <c r="OEX121" s="1"/>
      <c r="OEY121" s="1"/>
      <c r="OEZ121" s="1"/>
      <c r="OFA121" s="1"/>
      <c r="OFB121" s="1"/>
      <c r="OFC121" s="1"/>
      <c r="OFD121" s="1"/>
      <c r="OFE121" s="1"/>
      <c r="OFF121" s="1"/>
      <c r="OFG121" s="1"/>
      <c r="OFH121" s="1"/>
      <c r="OFI121" s="1"/>
      <c r="OFJ121" s="1"/>
      <c r="OFK121" s="1"/>
      <c r="OFL121" s="1"/>
      <c r="OFM121" s="1"/>
      <c r="OFN121" s="1"/>
      <c r="OFO121" s="1"/>
      <c r="OFP121" s="1"/>
      <c r="OFQ121" s="1"/>
      <c r="OFR121" s="1"/>
      <c r="OFS121" s="1"/>
      <c r="OFT121" s="1"/>
      <c r="OFU121" s="1"/>
      <c r="OFV121" s="1"/>
      <c r="OFW121" s="1"/>
      <c r="OFX121" s="1"/>
      <c r="OFY121" s="1"/>
      <c r="OFZ121" s="1"/>
      <c r="OGA121" s="1"/>
      <c r="OGB121" s="1"/>
      <c r="OGC121" s="1"/>
      <c r="OGD121" s="1"/>
      <c r="OGE121" s="1"/>
      <c r="OGF121" s="1"/>
      <c r="OGG121" s="1"/>
      <c r="OGH121" s="1"/>
      <c r="OGI121" s="1"/>
      <c r="OGJ121" s="1"/>
      <c r="OGK121" s="1"/>
      <c r="OGL121" s="1"/>
      <c r="OGM121" s="1"/>
      <c r="OGN121" s="1"/>
      <c r="OGO121" s="1"/>
      <c r="OGP121" s="1"/>
      <c r="OGQ121" s="1"/>
      <c r="OGR121" s="1"/>
      <c r="OGS121" s="1"/>
      <c r="OGT121" s="1"/>
      <c r="OGU121" s="1"/>
      <c r="OGV121" s="1"/>
      <c r="OGW121" s="1"/>
      <c r="OGX121" s="1"/>
      <c r="OGY121" s="1"/>
      <c r="OGZ121" s="1"/>
      <c r="OHA121" s="1"/>
      <c r="OHB121" s="1"/>
      <c r="OHC121" s="1"/>
      <c r="OHD121" s="1"/>
      <c r="OHE121" s="1"/>
      <c r="OHF121" s="1"/>
      <c r="OHG121" s="1"/>
      <c r="OHH121" s="1"/>
      <c r="OHI121" s="1"/>
      <c r="OHJ121" s="1"/>
      <c r="OHK121" s="1"/>
      <c r="OHL121" s="1"/>
      <c r="OHM121" s="1"/>
      <c r="OHN121" s="1"/>
      <c r="OHO121" s="1"/>
      <c r="OHP121" s="1"/>
      <c r="OHQ121" s="1"/>
      <c r="OHR121" s="1"/>
      <c r="OHS121" s="1"/>
      <c r="OHT121" s="1"/>
      <c r="OHU121" s="1"/>
      <c r="OHV121" s="1"/>
      <c r="OHW121" s="1"/>
      <c r="OHX121" s="1"/>
      <c r="OHY121" s="1"/>
      <c r="OHZ121" s="1"/>
      <c r="OIA121" s="1"/>
      <c r="OIB121" s="1"/>
      <c r="OIC121" s="1"/>
      <c r="OID121" s="1"/>
      <c r="OIE121" s="1"/>
      <c r="OIF121" s="1"/>
      <c r="OIG121" s="1"/>
      <c r="OIH121" s="1"/>
      <c r="OII121" s="1"/>
      <c r="OIJ121" s="1"/>
      <c r="OIK121" s="1"/>
      <c r="OIL121" s="1"/>
      <c r="OIM121" s="1"/>
      <c r="OIN121" s="1"/>
      <c r="OIO121" s="1"/>
      <c r="OIP121" s="1"/>
      <c r="OIQ121" s="1"/>
      <c r="OIR121" s="1"/>
      <c r="OIS121" s="1"/>
      <c r="OIT121" s="1"/>
      <c r="OIU121" s="1"/>
      <c r="OIV121" s="1"/>
      <c r="OIW121" s="1"/>
      <c r="OIX121" s="1"/>
      <c r="OIY121" s="1"/>
      <c r="OIZ121" s="1"/>
      <c r="OJA121" s="1"/>
      <c r="OJB121" s="1"/>
      <c r="OJC121" s="1"/>
      <c r="OJD121" s="1"/>
      <c r="OJE121" s="1"/>
      <c r="OJF121" s="1"/>
      <c r="OJG121" s="1"/>
      <c r="OJH121" s="1"/>
      <c r="OJI121" s="1"/>
      <c r="OJJ121" s="1"/>
      <c r="OJK121" s="1"/>
      <c r="OJL121" s="1"/>
      <c r="OJM121" s="1"/>
      <c r="OJN121" s="1"/>
      <c r="OJO121" s="1"/>
      <c r="OJP121" s="1"/>
      <c r="OJQ121" s="1"/>
      <c r="OJR121" s="1"/>
      <c r="OJS121" s="1"/>
      <c r="OJT121" s="1"/>
      <c r="OJU121" s="1"/>
      <c r="OJV121" s="1"/>
      <c r="OJW121" s="1"/>
      <c r="OJX121" s="1"/>
      <c r="OJY121" s="1"/>
      <c r="OJZ121" s="1"/>
      <c r="OKA121" s="1"/>
      <c r="OKB121" s="1"/>
      <c r="OKC121" s="1"/>
      <c r="OKD121" s="1"/>
      <c r="OKE121" s="1"/>
      <c r="OKF121" s="1"/>
      <c r="OKG121" s="1"/>
      <c r="OKH121" s="1"/>
      <c r="OKI121" s="1"/>
      <c r="OKJ121" s="1"/>
      <c r="OKK121" s="1"/>
      <c r="OKL121" s="1"/>
      <c r="OKM121" s="1"/>
      <c r="OKN121" s="1"/>
      <c r="OKO121" s="1"/>
      <c r="OKP121" s="1"/>
      <c r="OKQ121" s="1"/>
      <c r="OKR121" s="1"/>
      <c r="OKS121" s="1"/>
      <c r="OKT121" s="1"/>
      <c r="OKU121" s="1"/>
      <c r="OKV121" s="1"/>
      <c r="OKW121" s="1"/>
      <c r="OKX121" s="1"/>
      <c r="OKY121" s="1"/>
      <c r="OKZ121" s="1"/>
      <c r="OLA121" s="1"/>
      <c r="OLB121" s="1"/>
      <c r="OLC121" s="1"/>
      <c r="OLD121" s="1"/>
      <c r="OLE121" s="1"/>
      <c r="OLF121" s="1"/>
      <c r="OLG121" s="1"/>
      <c r="OLH121" s="1"/>
      <c r="OLI121" s="1"/>
      <c r="OLJ121" s="1"/>
      <c r="OLK121" s="1"/>
      <c r="OLL121" s="1"/>
      <c r="OLM121" s="1"/>
      <c r="OLN121" s="1"/>
      <c r="OLO121" s="1"/>
      <c r="OLP121" s="1"/>
      <c r="OLQ121" s="1"/>
      <c r="OLR121" s="1"/>
      <c r="OLS121" s="1"/>
      <c r="OLT121" s="1"/>
      <c r="OLU121" s="1"/>
      <c r="OLV121" s="1"/>
      <c r="OLW121" s="1"/>
      <c r="OLX121" s="1"/>
      <c r="OLY121" s="1"/>
      <c r="OLZ121" s="1"/>
      <c r="OMA121" s="1"/>
      <c r="OMB121" s="1"/>
      <c r="OMC121" s="1"/>
      <c r="OMD121" s="1"/>
      <c r="OME121" s="1"/>
      <c r="OMF121" s="1"/>
      <c r="OMG121" s="1"/>
      <c r="OMH121" s="1"/>
      <c r="OMI121" s="1"/>
      <c r="OMJ121" s="1"/>
      <c r="OMK121" s="1"/>
      <c r="OML121" s="1"/>
      <c r="OMM121" s="1"/>
      <c r="OMN121" s="1"/>
      <c r="OMO121" s="1"/>
      <c r="OMP121" s="1"/>
      <c r="OMQ121" s="1"/>
      <c r="OMR121" s="1"/>
      <c r="OMS121" s="1"/>
      <c r="OMT121" s="1"/>
      <c r="OMU121" s="1"/>
      <c r="OMV121" s="1"/>
      <c r="OMW121" s="1"/>
      <c r="OMX121" s="1"/>
      <c r="OMY121" s="1"/>
      <c r="OMZ121" s="1"/>
      <c r="ONA121" s="1"/>
      <c r="ONB121" s="1"/>
      <c r="ONC121" s="1"/>
      <c r="OND121" s="1"/>
      <c r="ONE121" s="1"/>
      <c r="ONF121" s="1"/>
      <c r="ONG121" s="1"/>
      <c r="ONH121" s="1"/>
      <c r="ONI121" s="1"/>
      <c r="ONJ121" s="1"/>
      <c r="ONK121" s="1"/>
      <c r="ONL121" s="1"/>
      <c r="ONM121" s="1"/>
      <c r="ONN121" s="1"/>
      <c r="ONO121" s="1"/>
      <c r="ONP121" s="1"/>
      <c r="ONQ121" s="1"/>
      <c r="ONR121" s="1"/>
      <c r="ONS121" s="1"/>
      <c r="ONT121" s="1"/>
      <c r="ONU121" s="1"/>
      <c r="ONV121" s="1"/>
      <c r="ONW121" s="1"/>
      <c r="ONX121" s="1"/>
      <c r="ONY121" s="1"/>
      <c r="ONZ121" s="1"/>
      <c r="OOA121" s="1"/>
      <c r="OOB121" s="1"/>
      <c r="OOC121" s="1"/>
      <c r="OOD121" s="1"/>
      <c r="OOE121" s="1"/>
      <c r="OOF121" s="1"/>
      <c r="OOG121" s="1"/>
      <c r="OOH121" s="1"/>
      <c r="OOI121" s="1"/>
      <c r="OOJ121" s="1"/>
      <c r="OOK121" s="1"/>
      <c r="OOL121" s="1"/>
      <c r="OOM121" s="1"/>
      <c r="OON121" s="1"/>
      <c r="OOO121" s="1"/>
      <c r="OOP121" s="1"/>
      <c r="OOQ121" s="1"/>
      <c r="OOR121" s="1"/>
      <c r="OOS121" s="1"/>
      <c r="OOT121" s="1"/>
      <c r="OOU121" s="1"/>
      <c r="OOV121" s="1"/>
      <c r="OOW121" s="1"/>
      <c r="OOX121" s="1"/>
      <c r="OOY121" s="1"/>
      <c r="OOZ121" s="1"/>
      <c r="OPA121" s="1"/>
      <c r="OPB121" s="1"/>
      <c r="OPC121" s="1"/>
      <c r="OPD121" s="1"/>
      <c r="OPE121" s="1"/>
      <c r="OPF121" s="1"/>
      <c r="OPG121" s="1"/>
      <c r="OPH121" s="1"/>
      <c r="OPI121" s="1"/>
      <c r="OPJ121" s="1"/>
      <c r="OPK121" s="1"/>
      <c r="OPL121" s="1"/>
      <c r="OPM121" s="1"/>
      <c r="OPN121" s="1"/>
      <c r="OPO121" s="1"/>
      <c r="OPP121" s="1"/>
      <c r="OPQ121" s="1"/>
      <c r="OPR121" s="1"/>
      <c r="OPS121" s="1"/>
      <c r="OPT121" s="1"/>
      <c r="OPU121" s="1"/>
      <c r="OPV121" s="1"/>
      <c r="OPW121" s="1"/>
      <c r="OPX121" s="1"/>
      <c r="OPY121" s="1"/>
      <c r="OPZ121" s="1"/>
      <c r="OQA121" s="1"/>
      <c r="OQB121" s="1"/>
      <c r="OQC121" s="1"/>
      <c r="OQD121" s="1"/>
      <c r="OQE121" s="1"/>
      <c r="OQF121" s="1"/>
      <c r="OQG121" s="1"/>
      <c r="OQH121" s="1"/>
      <c r="OQI121" s="1"/>
      <c r="OQJ121" s="1"/>
      <c r="OQK121" s="1"/>
      <c r="OQL121" s="1"/>
      <c r="OQM121" s="1"/>
      <c r="OQN121" s="1"/>
      <c r="OQO121" s="1"/>
      <c r="OQP121" s="1"/>
      <c r="OQQ121" s="1"/>
      <c r="OQR121" s="1"/>
      <c r="OQS121" s="1"/>
      <c r="OQT121" s="1"/>
      <c r="OQU121" s="1"/>
      <c r="OQV121" s="1"/>
      <c r="OQW121" s="1"/>
      <c r="OQX121" s="1"/>
      <c r="OQY121" s="1"/>
      <c r="OQZ121" s="1"/>
      <c r="ORA121" s="1"/>
      <c r="ORB121" s="1"/>
      <c r="ORC121" s="1"/>
      <c r="ORD121" s="1"/>
      <c r="ORE121" s="1"/>
      <c r="ORF121" s="1"/>
      <c r="ORG121" s="1"/>
      <c r="ORH121" s="1"/>
      <c r="ORI121" s="1"/>
      <c r="ORJ121" s="1"/>
      <c r="ORK121" s="1"/>
      <c r="ORL121" s="1"/>
      <c r="ORM121" s="1"/>
      <c r="ORN121" s="1"/>
      <c r="ORO121" s="1"/>
      <c r="ORP121" s="1"/>
      <c r="ORQ121" s="1"/>
      <c r="ORR121" s="1"/>
      <c r="ORS121" s="1"/>
      <c r="ORT121" s="1"/>
      <c r="ORU121" s="1"/>
      <c r="ORV121" s="1"/>
      <c r="ORW121" s="1"/>
      <c r="ORX121" s="1"/>
      <c r="ORY121" s="1"/>
      <c r="ORZ121" s="1"/>
      <c r="OSA121" s="1"/>
      <c r="OSB121" s="1"/>
      <c r="OSC121" s="1"/>
      <c r="OSD121" s="1"/>
      <c r="OSE121" s="1"/>
      <c r="OSF121" s="1"/>
      <c r="OSG121" s="1"/>
      <c r="OSH121" s="1"/>
      <c r="OSI121" s="1"/>
      <c r="OSJ121" s="1"/>
      <c r="OSK121" s="1"/>
      <c r="OSL121" s="1"/>
      <c r="OSM121" s="1"/>
      <c r="OSN121" s="1"/>
      <c r="OSO121" s="1"/>
      <c r="OSP121" s="1"/>
      <c r="OSQ121" s="1"/>
      <c r="OSR121" s="1"/>
      <c r="OSS121" s="1"/>
      <c r="OST121" s="1"/>
      <c r="OSU121" s="1"/>
      <c r="OSV121" s="1"/>
      <c r="OSW121" s="1"/>
      <c r="OSX121" s="1"/>
      <c r="OSY121" s="1"/>
      <c r="OSZ121" s="1"/>
      <c r="OTA121" s="1"/>
      <c r="OTB121" s="1"/>
      <c r="OTC121" s="1"/>
      <c r="OTD121" s="1"/>
      <c r="OTE121" s="1"/>
      <c r="OTF121" s="1"/>
      <c r="OTG121" s="1"/>
      <c r="OTH121" s="1"/>
      <c r="OTI121" s="1"/>
      <c r="OTJ121" s="1"/>
      <c r="OTK121" s="1"/>
      <c r="OTL121" s="1"/>
      <c r="OTM121" s="1"/>
      <c r="OTN121" s="1"/>
      <c r="OTO121" s="1"/>
      <c r="OTP121" s="1"/>
      <c r="OTQ121" s="1"/>
      <c r="OTR121" s="1"/>
      <c r="OTS121" s="1"/>
      <c r="OTT121" s="1"/>
      <c r="OTU121" s="1"/>
      <c r="OTV121" s="1"/>
      <c r="OTW121" s="1"/>
      <c r="OTX121" s="1"/>
      <c r="OTY121" s="1"/>
      <c r="OTZ121" s="1"/>
      <c r="OUA121" s="1"/>
      <c r="OUB121" s="1"/>
      <c r="OUC121" s="1"/>
      <c r="OUD121" s="1"/>
      <c r="OUE121" s="1"/>
      <c r="OUF121" s="1"/>
      <c r="OUG121" s="1"/>
      <c r="OUH121" s="1"/>
      <c r="OUI121" s="1"/>
      <c r="OUJ121" s="1"/>
      <c r="OUK121" s="1"/>
      <c r="OUL121" s="1"/>
      <c r="OUM121" s="1"/>
      <c r="OUN121" s="1"/>
      <c r="OUO121" s="1"/>
      <c r="OUP121" s="1"/>
      <c r="OUQ121" s="1"/>
      <c r="OUR121" s="1"/>
      <c r="OUS121" s="1"/>
      <c r="OUT121" s="1"/>
      <c r="OUU121" s="1"/>
      <c r="OUV121" s="1"/>
      <c r="OUW121" s="1"/>
      <c r="OUX121" s="1"/>
      <c r="OUY121" s="1"/>
      <c r="OUZ121" s="1"/>
      <c r="OVA121" s="1"/>
      <c r="OVB121" s="1"/>
      <c r="OVC121" s="1"/>
      <c r="OVD121" s="1"/>
      <c r="OVE121" s="1"/>
      <c r="OVF121" s="1"/>
      <c r="OVG121" s="1"/>
      <c r="OVH121" s="1"/>
      <c r="OVI121" s="1"/>
      <c r="OVJ121" s="1"/>
      <c r="OVK121" s="1"/>
      <c r="OVL121" s="1"/>
      <c r="OVM121" s="1"/>
      <c r="OVN121" s="1"/>
      <c r="OVO121" s="1"/>
      <c r="OVP121" s="1"/>
      <c r="OVQ121" s="1"/>
      <c r="OVR121" s="1"/>
      <c r="OVS121" s="1"/>
      <c r="OVT121" s="1"/>
      <c r="OVU121" s="1"/>
      <c r="OVV121" s="1"/>
      <c r="OVW121" s="1"/>
      <c r="OVX121" s="1"/>
      <c r="OVY121" s="1"/>
      <c r="OVZ121" s="1"/>
      <c r="OWA121" s="1"/>
      <c r="OWB121" s="1"/>
      <c r="OWC121" s="1"/>
      <c r="OWD121" s="1"/>
      <c r="OWE121" s="1"/>
      <c r="OWF121" s="1"/>
      <c r="OWG121" s="1"/>
      <c r="OWH121" s="1"/>
      <c r="OWI121" s="1"/>
      <c r="OWJ121" s="1"/>
      <c r="OWK121" s="1"/>
      <c r="OWL121" s="1"/>
      <c r="OWM121" s="1"/>
      <c r="OWN121" s="1"/>
      <c r="OWO121" s="1"/>
      <c r="OWP121" s="1"/>
      <c r="OWQ121" s="1"/>
      <c r="OWR121" s="1"/>
      <c r="OWS121" s="1"/>
      <c r="OWT121" s="1"/>
      <c r="OWU121" s="1"/>
      <c r="OWV121" s="1"/>
      <c r="OWW121" s="1"/>
      <c r="OWX121" s="1"/>
      <c r="OWY121" s="1"/>
      <c r="OWZ121" s="1"/>
      <c r="OXA121" s="1"/>
      <c r="OXB121" s="1"/>
      <c r="OXC121" s="1"/>
      <c r="OXD121" s="1"/>
      <c r="OXE121" s="1"/>
      <c r="OXF121" s="1"/>
      <c r="OXG121" s="1"/>
      <c r="OXH121" s="1"/>
      <c r="OXI121" s="1"/>
      <c r="OXJ121" s="1"/>
      <c r="OXK121" s="1"/>
      <c r="OXL121" s="1"/>
      <c r="OXM121" s="1"/>
      <c r="OXN121" s="1"/>
      <c r="OXO121" s="1"/>
      <c r="OXP121" s="1"/>
      <c r="OXQ121" s="1"/>
      <c r="OXR121" s="1"/>
      <c r="OXS121" s="1"/>
      <c r="OXT121" s="1"/>
      <c r="OXU121" s="1"/>
      <c r="OXV121" s="1"/>
      <c r="OXW121" s="1"/>
      <c r="OXX121" s="1"/>
      <c r="OXY121" s="1"/>
      <c r="OXZ121" s="1"/>
      <c r="OYA121" s="1"/>
      <c r="OYB121" s="1"/>
      <c r="OYC121" s="1"/>
      <c r="OYD121" s="1"/>
      <c r="OYE121" s="1"/>
      <c r="OYF121" s="1"/>
      <c r="OYG121" s="1"/>
      <c r="OYH121" s="1"/>
      <c r="OYI121" s="1"/>
      <c r="OYJ121" s="1"/>
      <c r="OYK121" s="1"/>
      <c r="OYL121" s="1"/>
      <c r="OYM121" s="1"/>
      <c r="OYN121" s="1"/>
      <c r="OYO121" s="1"/>
      <c r="OYP121" s="1"/>
      <c r="OYQ121" s="1"/>
      <c r="OYR121" s="1"/>
      <c r="OYS121" s="1"/>
      <c r="OYT121" s="1"/>
      <c r="OYU121" s="1"/>
      <c r="OYV121" s="1"/>
      <c r="OYW121" s="1"/>
      <c r="OYX121" s="1"/>
      <c r="OYY121" s="1"/>
      <c r="OYZ121" s="1"/>
      <c r="OZA121" s="1"/>
      <c r="OZB121" s="1"/>
      <c r="OZC121" s="1"/>
      <c r="OZD121" s="1"/>
      <c r="OZE121" s="1"/>
      <c r="OZF121" s="1"/>
      <c r="OZG121" s="1"/>
      <c r="OZH121" s="1"/>
      <c r="OZI121" s="1"/>
      <c r="OZJ121" s="1"/>
      <c r="OZK121" s="1"/>
      <c r="OZL121" s="1"/>
      <c r="OZM121" s="1"/>
      <c r="OZN121" s="1"/>
      <c r="OZO121" s="1"/>
      <c r="OZP121" s="1"/>
      <c r="OZQ121" s="1"/>
      <c r="OZR121" s="1"/>
      <c r="OZS121" s="1"/>
      <c r="OZT121" s="1"/>
      <c r="OZU121" s="1"/>
      <c r="OZV121" s="1"/>
      <c r="OZW121" s="1"/>
      <c r="OZX121" s="1"/>
      <c r="OZY121" s="1"/>
      <c r="OZZ121" s="1"/>
      <c r="PAA121" s="1"/>
      <c r="PAB121" s="1"/>
      <c r="PAC121" s="1"/>
      <c r="PAD121" s="1"/>
      <c r="PAE121" s="1"/>
      <c r="PAF121" s="1"/>
      <c r="PAG121" s="1"/>
      <c r="PAH121" s="1"/>
      <c r="PAI121" s="1"/>
      <c r="PAJ121" s="1"/>
      <c r="PAK121" s="1"/>
      <c r="PAL121" s="1"/>
      <c r="PAM121" s="1"/>
      <c r="PAN121" s="1"/>
      <c r="PAO121" s="1"/>
      <c r="PAP121" s="1"/>
      <c r="PAQ121" s="1"/>
      <c r="PAR121" s="1"/>
      <c r="PAS121" s="1"/>
      <c r="PAT121" s="1"/>
      <c r="PAU121" s="1"/>
      <c r="PAV121" s="1"/>
      <c r="PAW121" s="1"/>
      <c r="PAX121" s="1"/>
      <c r="PAY121" s="1"/>
      <c r="PAZ121" s="1"/>
      <c r="PBA121" s="1"/>
      <c r="PBB121" s="1"/>
      <c r="PBC121" s="1"/>
      <c r="PBD121" s="1"/>
      <c r="PBE121" s="1"/>
      <c r="PBF121" s="1"/>
      <c r="PBG121" s="1"/>
      <c r="PBH121" s="1"/>
      <c r="PBI121" s="1"/>
      <c r="PBJ121" s="1"/>
      <c r="PBK121" s="1"/>
      <c r="PBL121" s="1"/>
      <c r="PBM121" s="1"/>
      <c r="PBN121" s="1"/>
      <c r="PBO121" s="1"/>
      <c r="PBP121" s="1"/>
      <c r="PBQ121" s="1"/>
      <c r="PBR121" s="1"/>
      <c r="PBS121" s="1"/>
      <c r="PBT121" s="1"/>
      <c r="PBU121" s="1"/>
      <c r="PBV121" s="1"/>
      <c r="PBW121" s="1"/>
      <c r="PBX121" s="1"/>
      <c r="PBY121" s="1"/>
      <c r="PBZ121" s="1"/>
      <c r="PCA121" s="1"/>
      <c r="PCB121" s="1"/>
      <c r="PCC121" s="1"/>
      <c r="PCD121" s="1"/>
      <c r="PCE121" s="1"/>
      <c r="PCF121" s="1"/>
      <c r="PCG121" s="1"/>
      <c r="PCH121" s="1"/>
      <c r="PCI121" s="1"/>
      <c r="PCJ121" s="1"/>
      <c r="PCK121" s="1"/>
      <c r="PCL121" s="1"/>
      <c r="PCM121" s="1"/>
      <c r="PCN121" s="1"/>
      <c r="PCO121" s="1"/>
      <c r="PCP121" s="1"/>
      <c r="PCQ121" s="1"/>
      <c r="PCR121" s="1"/>
      <c r="PCS121" s="1"/>
      <c r="PCT121" s="1"/>
      <c r="PCU121" s="1"/>
      <c r="PCV121" s="1"/>
      <c r="PCW121" s="1"/>
      <c r="PCX121" s="1"/>
      <c r="PCY121" s="1"/>
      <c r="PCZ121" s="1"/>
      <c r="PDA121" s="1"/>
      <c r="PDB121" s="1"/>
      <c r="PDC121" s="1"/>
      <c r="PDD121" s="1"/>
      <c r="PDE121" s="1"/>
      <c r="PDF121" s="1"/>
      <c r="PDG121" s="1"/>
      <c r="PDH121" s="1"/>
      <c r="PDI121" s="1"/>
      <c r="PDJ121" s="1"/>
      <c r="PDK121" s="1"/>
      <c r="PDL121" s="1"/>
      <c r="PDM121" s="1"/>
      <c r="PDN121" s="1"/>
      <c r="PDO121" s="1"/>
      <c r="PDP121" s="1"/>
      <c r="PDQ121" s="1"/>
      <c r="PDR121" s="1"/>
      <c r="PDS121" s="1"/>
      <c r="PDT121" s="1"/>
      <c r="PDU121" s="1"/>
      <c r="PDV121" s="1"/>
      <c r="PDW121" s="1"/>
      <c r="PDX121" s="1"/>
      <c r="PDY121" s="1"/>
      <c r="PDZ121" s="1"/>
      <c r="PEA121" s="1"/>
      <c r="PEB121" s="1"/>
      <c r="PEC121" s="1"/>
      <c r="PED121" s="1"/>
      <c r="PEE121" s="1"/>
      <c r="PEF121" s="1"/>
      <c r="PEG121" s="1"/>
      <c r="PEH121" s="1"/>
      <c r="PEI121" s="1"/>
      <c r="PEJ121" s="1"/>
      <c r="PEK121" s="1"/>
      <c r="PEL121" s="1"/>
      <c r="PEM121" s="1"/>
      <c r="PEN121" s="1"/>
      <c r="PEO121" s="1"/>
      <c r="PEP121" s="1"/>
      <c r="PEQ121" s="1"/>
      <c r="PER121" s="1"/>
      <c r="PES121" s="1"/>
      <c r="PET121" s="1"/>
      <c r="PEU121" s="1"/>
      <c r="PEV121" s="1"/>
      <c r="PEW121" s="1"/>
      <c r="PEX121" s="1"/>
      <c r="PEY121" s="1"/>
      <c r="PEZ121" s="1"/>
      <c r="PFA121" s="1"/>
      <c r="PFB121" s="1"/>
      <c r="PFC121" s="1"/>
      <c r="PFD121" s="1"/>
      <c r="PFE121" s="1"/>
      <c r="PFF121" s="1"/>
      <c r="PFG121" s="1"/>
      <c r="PFH121" s="1"/>
      <c r="PFI121" s="1"/>
      <c r="PFJ121" s="1"/>
      <c r="PFK121" s="1"/>
      <c r="PFL121" s="1"/>
      <c r="PFM121" s="1"/>
      <c r="PFN121" s="1"/>
      <c r="PFO121" s="1"/>
      <c r="PFP121" s="1"/>
      <c r="PFQ121" s="1"/>
      <c r="PFR121" s="1"/>
      <c r="PFS121" s="1"/>
      <c r="PFT121" s="1"/>
      <c r="PFU121" s="1"/>
      <c r="PFV121" s="1"/>
      <c r="PFW121" s="1"/>
      <c r="PFX121" s="1"/>
      <c r="PFY121" s="1"/>
      <c r="PFZ121" s="1"/>
      <c r="PGA121" s="1"/>
      <c r="PGB121" s="1"/>
      <c r="PGC121" s="1"/>
      <c r="PGD121" s="1"/>
      <c r="PGE121" s="1"/>
      <c r="PGF121" s="1"/>
      <c r="PGG121" s="1"/>
      <c r="PGH121" s="1"/>
      <c r="PGI121" s="1"/>
      <c r="PGJ121" s="1"/>
      <c r="PGK121" s="1"/>
      <c r="PGL121" s="1"/>
      <c r="PGM121" s="1"/>
      <c r="PGN121" s="1"/>
      <c r="PGO121" s="1"/>
      <c r="PGP121" s="1"/>
      <c r="PGQ121" s="1"/>
      <c r="PGR121" s="1"/>
      <c r="PGS121" s="1"/>
      <c r="PGT121" s="1"/>
      <c r="PGU121" s="1"/>
      <c r="PGV121" s="1"/>
      <c r="PGW121" s="1"/>
      <c r="PGX121" s="1"/>
      <c r="PGY121" s="1"/>
      <c r="PGZ121" s="1"/>
      <c r="PHA121" s="1"/>
      <c r="PHB121" s="1"/>
      <c r="PHC121" s="1"/>
      <c r="PHD121" s="1"/>
      <c r="PHE121" s="1"/>
      <c r="PHF121" s="1"/>
      <c r="PHG121" s="1"/>
      <c r="PHH121" s="1"/>
      <c r="PHI121" s="1"/>
      <c r="PHJ121" s="1"/>
      <c r="PHK121" s="1"/>
      <c r="PHL121" s="1"/>
      <c r="PHM121" s="1"/>
      <c r="PHN121" s="1"/>
      <c r="PHO121" s="1"/>
      <c r="PHP121" s="1"/>
      <c r="PHQ121" s="1"/>
      <c r="PHR121" s="1"/>
      <c r="PHS121" s="1"/>
      <c r="PHT121" s="1"/>
      <c r="PHU121" s="1"/>
      <c r="PHV121" s="1"/>
      <c r="PHW121" s="1"/>
      <c r="PHX121" s="1"/>
      <c r="PHY121" s="1"/>
      <c r="PHZ121" s="1"/>
      <c r="PIA121" s="1"/>
      <c r="PIB121" s="1"/>
      <c r="PIC121" s="1"/>
      <c r="PID121" s="1"/>
      <c r="PIE121" s="1"/>
      <c r="PIF121" s="1"/>
      <c r="PIG121" s="1"/>
      <c r="PIH121" s="1"/>
      <c r="PII121" s="1"/>
      <c r="PIJ121" s="1"/>
      <c r="PIK121" s="1"/>
      <c r="PIL121" s="1"/>
      <c r="PIM121" s="1"/>
      <c r="PIN121" s="1"/>
      <c r="PIO121" s="1"/>
      <c r="PIP121" s="1"/>
      <c r="PIQ121" s="1"/>
      <c r="PIR121" s="1"/>
      <c r="PIS121" s="1"/>
      <c r="PIT121" s="1"/>
      <c r="PIU121" s="1"/>
      <c r="PIV121" s="1"/>
      <c r="PIW121" s="1"/>
      <c r="PIX121" s="1"/>
      <c r="PIY121" s="1"/>
      <c r="PIZ121" s="1"/>
      <c r="PJA121" s="1"/>
      <c r="PJB121" s="1"/>
      <c r="PJC121" s="1"/>
      <c r="PJD121" s="1"/>
      <c r="PJE121" s="1"/>
      <c r="PJF121" s="1"/>
      <c r="PJG121" s="1"/>
      <c r="PJH121" s="1"/>
      <c r="PJI121" s="1"/>
      <c r="PJJ121" s="1"/>
      <c r="PJK121" s="1"/>
      <c r="PJL121" s="1"/>
      <c r="PJM121" s="1"/>
      <c r="PJN121" s="1"/>
      <c r="PJO121" s="1"/>
      <c r="PJP121" s="1"/>
      <c r="PJQ121" s="1"/>
      <c r="PJR121" s="1"/>
      <c r="PJS121" s="1"/>
      <c r="PJT121" s="1"/>
      <c r="PJU121" s="1"/>
      <c r="PJV121" s="1"/>
      <c r="PJW121" s="1"/>
      <c r="PJX121" s="1"/>
      <c r="PJY121" s="1"/>
      <c r="PJZ121" s="1"/>
      <c r="PKA121" s="1"/>
      <c r="PKB121" s="1"/>
      <c r="PKC121" s="1"/>
      <c r="PKD121" s="1"/>
      <c r="PKE121" s="1"/>
      <c r="PKF121" s="1"/>
      <c r="PKG121" s="1"/>
      <c r="PKH121" s="1"/>
      <c r="PKI121" s="1"/>
      <c r="PKJ121" s="1"/>
      <c r="PKK121" s="1"/>
      <c r="PKL121" s="1"/>
      <c r="PKM121" s="1"/>
      <c r="PKN121" s="1"/>
      <c r="PKO121" s="1"/>
      <c r="PKP121" s="1"/>
      <c r="PKQ121" s="1"/>
      <c r="PKR121" s="1"/>
      <c r="PKS121" s="1"/>
      <c r="PKT121" s="1"/>
      <c r="PKU121" s="1"/>
      <c r="PKV121" s="1"/>
      <c r="PKW121" s="1"/>
      <c r="PKX121" s="1"/>
      <c r="PKY121" s="1"/>
      <c r="PKZ121" s="1"/>
      <c r="PLA121" s="1"/>
      <c r="PLB121" s="1"/>
      <c r="PLC121" s="1"/>
      <c r="PLD121" s="1"/>
      <c r="PLE121" s="1"/>
      <c r="PLF121" s="1"/>
      <c r="PLG121" s="1"/>
      <c r="PLH121" s="1"/>
      <c r="PLI121" s="1"/>
      <c r="PLJ121" s="1"/>
      <c r="PLK121" s="1"/>
      <c r="PLL121" s="1"/>
      <c r="PLM121" s="1"/>
      <c r="PLN121" s="1"/>
      <c r="PLO121" s="1"/>
      <c r="PLP121" s="1"/>
      <c r="PLQ121" s="1"/>
      <c r="PLR121" s="1"/>
      <c r="PLS121" s="1"/>
      <c r="PLT121" s="1"/>
      <c r="PLU121" s="1"/>
      <c r="PLV121" s="1"/>
      <c r="PLW121" s="1"/>
      <c r="PLX121" s="1"/>
      <c r="PLY121" s="1"/>
      <c r="PLZ121" s="1"/>
      <c r="PMA121" s="1"/>
      <c r="PMB121" s="1"/>
      <c r="PMC121" s="1"/>
      <c r="PMD121" s="1"/>
      <c r="PME121" s="1"/>
      <c r="PMF121" s="1"/>
      <c r="PMG121" s="1"/>
      <c r="PMH121" s="1"/>
      <c r="PMI121" s="1"/>
      <c r="PMJ121" s="1"/>
      <c r="PMK121" s="1"/>
      <c r="PML121" s="1"/>
      <c r="PMM121" s="1"/>
      <c r="PMN121" s="1"/>
      <c r="PMO121" s="1"/>
      <c r="PMP121" s="1"/>
      <c r="PMQ121" s="1"/>
      <c r="PMR121" s="1"/>
      <c r="PMS121" s="1"/>
      <c r="PMT121" s="1"/>
      <c r="PMU121" s="1"/>
      <c r="PMV121" s="1"/>
      <c r="PMW121" s="1"/>
      <c r="PMX121" s="1"/>
      <c r="PMY121" s="1"/>
      <c r="PMZ121" s="1"/>
      <c r="PNA121" s="1"/>
      <c r="PNB121" s="1"/>
      <c r="PNC121" s="1"/>
      <c r="PND121" s="1"/>
      <c r="PNE121" s="1"/>
      <c r="PNF121" s="1"/>
      <c r="PNG121" s="1"/>
      <c r="PNH121" s="1"/>
      <c r="PNI121" s="1"/>
      <c r="PNJ121" s="1"/>
      <c r="PNK121" s="1"/>
      <c r="PNL121" s="1"/>
      <c r="PNM121" s="1"/>
      <c r="PNN121" s="1"/>
      <c r="PNO121" s="1"/>
      <c r="PNP121" s="1"/>
      <c r="PNQ121" s="1"/>
      <c r="PNR121" s="1"/>
      <c r="PNS121" s="1"/>
      <c r="PNT121" s="1"/>
      <c r="PNU121" s="1"/>
      <c r="PNV121" s="1"/>
      <c r="PNW121" s="1"/>
      <c r="PNX121" s="1"/>
      <c r="PNY121" s="1"/>
      <c r="PNZ121" s="1"/>
      <c r="POA121" s="1"/>
      <c r="POB121" s="1"/>
      <c r="POC121" s="1"/>
      <c r="POD121" s="1"/>
      <c r="POE121" s="1"/>
      <c r="POF121" s="1"/>
      <c r="POG121" s="1"/>
      <c r="POH121" s="1"/>
      <c r="POI121" s="1"/>
      <c r="POJ121" s="1"/>
      <c r="POK121" s="1"/>
      <c r="POL121" s="1"/>
      <c r="POM121" s="1"/>
      <c r="PON121" s="1"/>
      <c r="POO121" s="1"/>
      <c r="POP121" s="1"/>
      <c r="POQ121" s="1"/>
      <c r="POR121" s="1"/>
      <c r="POS121" s="1"/>
      <c r="POT121" s="1"/>
      <c r="POU121" s="1"/>
      <c r="POV121" s="1"/>
      <c r="POW121" s="1"/>
      <c r="POX121" s="1"/>
      <c r="POY121" s="1"/>
      <c r="POZ121" s="1"/>
      <c r="PPA121" s="1"/>
      <c r="PPB121" s="1"/>
      <c r="PPC121" s="1"/>
      <c r="PPD121" s="1"/>
      <c r="PPE121" s="1"/>
      <c r="PPF121" s="1"/>
      <c r="PPG121" s="1"/>
      <c r="PPH121" s="1"/>
      <c r="PPI121" s="1"/>
      <c r="PPJ121" s="1"/>
      <c r="PPK121" s="1"/>
      <c r="PPL121" s="1"/>
      <c r="PPM121" s="1"/>
      <c r="PPN121" s="1"/>
      <c r="PPO121" s="1"/>
      <c r="PPP121" s="1"/>
      <c r="PPQ121" s="1"/>
      <c r="PPR121" s="1"/>
      <c r="PPS121" s="1"/>
      <c r="PPT121" s="1"/>
      <c r="PPU121" s="1"/>
      <c r="PPV121" s="1"/>
      <c r="PPW121" s="1"/>
      <c r="PPX121" s="1"/>
      <c r="PPY121" s="1"/>
      <c r="PPZ121" s="1"/>
      <c r="PQA121" s="1"/>
      <c r="PQB121" s="1"/>
      <c r="PQC121" s="1"/>
      <c r="PQD121" s="1"/>
      <c r="PQE121" s="1"/>
      <c r="PQF121" s="1"/>
      <c r="PQG121" s="1"/>
      <c r="PQH121" s="1"/>
      <c r="PQI121" s="1"/>
      <c r="PQJ121" s="1"/>
      <c r="PQK121" s="1"/>
      <c r="PQL121" s="1"/>
      <c r="PQM121" s="1"/>
      <c r="PQN121" s="1"/>
      <c r="PQO121" s="1"/>
      <c r="PQP121" s="1"/>
      <c r="PQQ121" s="1"/>
      <c r="PQR121" s="1"/>
      <c r="PQS121" s="1"/>
      <c r="PQT121" s="1"/>
      <c r="PQU121" s="1"/>
      <c r="PQV121" s="1"/>
      <c r="PQW121" s="1"/>
      <c r="PQX121" s="1"/>
      <c r="PQY121" s="1"/>
      <c r="PQZ121" s="1"/>
      <c r="PRA121" s="1"/>
      <c r="PRB121" s="1"/>
      <c r="PRC121" s="1"/>
      <c r="PRD121" s="1"/>
      <c r="PRE121" s="1"/>
      <c r="PRF121" s="1"/>
      <c r="PRG121" s="1"/>
      <c r="PRH121" s="1"/>
      <c r="PRI121" s="1"/>
      <c r="PRJ121" s="1"/>
      <c r="PRK121" s="1"/>
      <c r="PRL121" s="1"/>
      <c r="PRM121" s="1"/>
      <c r="PRN121" s="1"/>
      <c r="PRO121" s="1"/>
      <c r="PRP121" s="1"/>
      <c r="PRQ121" s="1"/>
      <c r="PRR121" s="1"/>
      <c r="PRS121" s="1"/>
      <c r="PRT121" s="1"/>
      <c r="PRU121" s="1"/>
      <c r="PRV121" s="1"/>
      <c r="PRW121" s="1"/>
      <c r="PRX121" s="1"/>
      <c r="PRY121" s="1"/>
      <c r="PRZ121" s="1"/>
      <c r="PSA121" s="1"/>
      <c r="PSB121" s="1"/>
      <c r="PSC121" s="1"/>
      <c r="PSD121" s="1"/>
      <c r="PSE121" s="1"/>
      <c r="PSF121" s="1"/>
      <c r="PSG121" s="1"/>
      <c r="PSH121" s="1"/>
      <c r="PSI121" s="1"/>
      <c r="PSJ121" s="1"/>
      <c r="PSK121" s="1"/>
      <c r="PSL121" s="1"/>
      <c r="PSM121" s="1"/>
      <c r="PSN121" s="1"/>
      <c r="PSO121" s="1"/>
      <c r="PSP121" s="1"/>
      <c r="PSQ121" s="1"/>
      <c r="PSR121" s="1"/>
      <c r="PSS121" s="1"/>
      <c r="PST121" s="1"/>
      <c r="PSU121" s="1"/>
      <c r="PSV121" s="1"/>
      <c r="PSW121" s="1"/>
      <c r="PSX121" s="1"/>
      <c r="PSY121" s="1"/>
      <c r="PSZ121" s="1"/>
      <c r="PTA121" s="1"/>
      <c r="PTB121" s="1"/>
      <c r="PTC121" s="1"/>
      <c r="PTD121" s="1"/>
      <c r="PTE121" s="1"/>
      <c r="PTF121" s="1"/>
      <c r="PTG121" s="1"/>
      <c r="PTH121" s="1"/>
      <c r="PTI121" s="1"/>
      <c r="PTJ121" s="1"/>
      <c r="PTK121" s="1"/>
      <c r="PTL121" s="1"/>
      <c r="PTM121" s="1"/>
      <c r="PTN121" s="1"/>
      <c r="PTO121" s="1"/>
      <c r="PTP121" s="1"/>
      <c r="PTQ121" s="1"/>
      <c r="PTR121" s="1"/>
      <c r="PTS121" s="1"/>
      <c r="PTT121" s="1"/>
      <c r="PTU121" s="1"/>
      <c r="PTV121" s="1"/>
      <c r="PTW121" s="1"/>
      <c r="PTX121" s="1"/>
      <c r="PTY121" s="1"/>
      <c r="PTZ121" s="1"/>
      <c r="PUA121" s="1"/>
      <c r="PUB121" s="1"/>
      <c r="PUC121" s="1"/>
      <c r="PUD121" s="1"/>
      <c r="PUE121" s="1"/>
      <c r="PUF121" s="1"/>
      <c r="PUG121" s="1"/>
      <c r="PUH121" s="1"/>
      <c r="PUI121" s="1"/>
      <c r="PUJ121" s="1"/>
      <c r="PUK121" s="1"/>
      <c r="PUL121" s="1"/>
      <c r="PUM121" s="1"/>
      <c r="PUN121" s="1"/>
      <c r="PUO121" s="1"/>
      <c r="PUP121" s="1"/>
      <c r="PUQ121" s="1"/>
      <c r="PUR121" s="1"/>
      <c r="PUS121" s="1"/>
      <c r="PUT121" s="1"/>
      <c r="PUU121" s="1"/>
      <c r="PUV121" s="1"/>
      <c r="PUW121" s="1"/>
      <c r="PUX121" s="1"/>
      <c r="PUY121" s="1"/>
      <c r="PUZ121" s="1"/>
      <c r="PVA121" s="1"/>
      <c r="PVB121" s="1"/>
      <c r="PVC121" s="1"/>
      <c r="PVD121" s="1"/>
      <c r="PVE121" s="1"/>
      <c r="PVF121" s="1"/>
      <c r="PVG121" s="1"/>
      <c r="PVH121" s="1"/>
      <c r="PVI121" s="1"/>
      <c r="PVJ121" s="1"/>
      <c r="PVK121" s="1"/>
      <c r="PVL121" s="1"/>
      <c r="PVM121" s="1"/>
      <c r="PVN121" s="1"/>
      <c r="PVO121" s="1"/>
      <c r="PVP121" s="1"/>
      <c r="PVQ121" s="1"/>
      <c r="PVR121" s="1"/>
      <c r="PVS121" s="1"/>
      <c r="PVT121" s="1"/>
      <c r="PVU121" s="1"/>
      <c r="PVV121" s="1"/>
      <c r="PVW121" s="1"/>
      <c r="PVX121" s="1"/>
      <c r="PVY121" s="1"/>
      <c r="PVZ121" s="1"/>
      <c r="PWA121" s="1"/>
      <c r="PWB121" s="1"/>
      <c r="PWC121" s="1"/>
      <c r="PWD121" s="1"/>
      <c r="PWE121" s="1"/>
      <c r="PWF121" s="1"/>
      <c r="PWG121" s="1"/>
      <c r="PWH121" s="1"/>
      <c r="PWI121" s="1"/>
      <c r="PWJ121" s="1"/>
      <c r="PWK121" s="1"/>
      <c r="PWL121" s="1"/>
      <c r="PWM121" s="1"/>
      <c r="PWN121" s="1"/>
      <c r="PWO121" s="1"/>
      <c r="PWP121" s="1"/>
      <c r="PWQ121" s="1"/>
      <c r="PWR121" s="1"/>
      <c r="PWS121" s="1"/>
      <c r="PWT121" s="1"/>
      <c r="PWU121" s="1"/>
      <c r="PWV121" s="1"/>
      <c r="PWW121" s="1"/>
      <c r="PWX121" s="1"/>
      <c r="PWY121" s="1"/>
      <c r="PWZ121" s="1"/>
      <c r="PXA121" s="1"/>
      <c r="PXB121" s="1"/>
      <c r="PXC121" s="1"/>
      <c r="PXD121" s="1"/>
      <c r="PXE121" s="1"/>
      <c r="PXF121" s="1"/>
      <c r="PXG121" s="1"/>
      <c r="PXH121" s="1"/>
      <c r="PXI121" s="1"/>
      <c r="PXJ121" s="1"/>
      <c r="PXK121" s="1"/>
      <c r="PXL121" s="1"/>
      <c r="PXM121" s="1"/>
      <c r="PXN121" s="1"/>
      <c r="PXO121" s="1"/>
      <c r="PXP121" s="1"/>
      <c r="PXQ121" s="1"/>
      <c r="PXR121" s="1"/>
      <c r="PXS121" s="1"/>
      <c r="PXT121" s="1"/>
      <c r="PXU121" s="1"/>
      <c r="PXV121" s="1"/>
      <c r="PXW121" s="1"/>
      <c r="PXX121" s="1"/>
      <c r="PXY121" s="1"/>
      <c r="PXZ121" s="1"/>
      <c r="PYA121" s="1"/>
      <c r="PYB121" s="1"/>
      <c r="PYC121" s="1"/>
      <c r="PYD121" s="1"/>
      <c r="PYE121" s="1"/>
      <c r="PYF121" s="1"/>
      <c r="PYG121" s="1"/>
      <c r="PYH121" s="1"/>
      <c r="PYI121" s="1"/>
      <c r="PYJ121" s="1"/>
      <c r="PYK121" s="1"/>
      <c r="PYL121" s="1"/>
      <c r="PYM121" s="1"/>
      <c r="PYN121" s="1"/>
      <c r="PYO121" s="1"/>
      <c r="PYP121" s="1"/>
      <c r="PYQ121" s="1"/>
      <c r="PYR121" s="1"/>
      <c r="PYS121" s="1"/>
      <c r="PYT121" s="1"/>
      <c r="PYU121" s="1"/>
      <c r="PYV121" s="1"/>
      <c r="PYW121" s="1"/>
      <c r="PYX121" s="1"/>
      <c r="PYY121" s="1"/>
      <c r="PYZ121" s="1"/>
      <c r="PZA121" s="1"/>
      <c r="PZB121" s="1"/>
      <c r="PZC121" s="1"/>
      <c r="PZD121" s="1"/>
      <c r="PZE121" s="1"/>
      <c r="PZF121" s="1"/>
      <c r="PZG121" s="1"/>
      <c r="PZH121" s="1"/>
      <c r="PZI121" s="1"/>
      <c r="PZJ121" s="1"/>
      <c r="PZK121" s="1"/>
      <c r="PZL121" s="1"/>
      <c r="PZM121" s="1"/>
      <c r="PZN121" s="1"/>
      <c r="PZO121" s="1"/>
      <c r="PZP121" s="1"/>
      <c r="PZQ121" s="1"/>
      <c r="PZR121" s="1"/>
      <c r="PZS121" s="1"/>
      <c r="PZT121" s="1"/>
      <c r="PZU121" s="1"/>
      <c r="PZV121" s="1"/>
      <c r="PZW121" s="1"/>
      <c r="PZX121" s="1"/>
      <c r="PZY121" s="1"/>
      <c r="PZZ121" s="1"/>
      <c r="QAA121" s="1"/>
      <c r="QAB121" s="1"/>
      <c r="QAC121" s="1"/>
      <c r="QAD121" s="1"/>
      <c r="QAE121" s="1"/>
      <c r="QAF121" s="1"/>
      <c r="QAG121" s="1"/>
      <c r="QAH121" s="1"/>
      <c r="QAI121" s="1"/>
      <c r="QAJ121" s="1"/>
      <c r="QAK121" s="1"/>
      <c r="QAL121" s="1"/>
      <c r="QAM121" s="1"/>
      <c r="QAN121" s="1"/>
      <c r="QAO121" s="1"/>
      <c r="QAP121" s="1"/>
      <c r="QAQ121" s="1"/>
      <c r="QAR121" s="1"/>
      <c r="QAS121" s="1"/>
      <c r="QAT121" s="1"/>
      <c r="QAU121" s="1"/>
      <c r="QAV121" s="1"/>
      <c r="QAW121" s="1"/>
      <c r="QAX121" s="1"/>
      <c r="QAY121" s="1"/>
      <c r="QAZ121" s="1"/>
      <c r="QBA121" s="1"/>
      <c r="QBB121" s="1"/>
      <c r="QBC121" s="1"/>
      <c r="QBD121" s="1"/>
      <c r="QBE121" s="1"/>
      <c r="QBF121" s="1"/>
      <c r="QBG121" s="1"/>
      <c r="QBH121" s="1"/>
      <c r="QBI121" s="1"/>
      <c r="QBJ121" s="1"/>
      <c r="QBK121" s="1"/>
      <c r="QBL121" s="1"/>
      <c r="QBM121" s="1"/>
      <c r="QBN121" s="1"/>
      <c r="QBO121" s="1"/>
      <c r="QBP121" s="1"/>
      <c r="QBQ121" s="1"/>
      <c r="QBR121" s="1"/>
      <c r="QBS121" s="1"/>
      <c r="QBT121" s="1"/>
      <c r="QBU121" s="1"/>
      <c r="QBV121" s="1"/>
      <c r="QBW121" s="1"/>
      <c r="QBX121" s="1"/>
      <c r="QBY121" s="1"/>
      <c r="QBZ121" s="1"/>
      <c r="QCA121" s="1"/>
      <c r="QCB121" s="1"/>
      <c r="QCC121" s="1"/>
      <c r="QCD121" s="1"/>
      <c r="QCE121" s="1"/>
      <c r="QCF121" s="1"/>
      <c r="QCG121" s="1"/>
      <c r="QCH121" s="1"/>
      <c r="QCI121" s="1"/>
      <c r="QCJ121" s="1"/>
      <c r="QCK121" s="1"/>
      <c r="QCL121" s="1"/>
      <c r="QCM121" s="1"/>
      <c r="QCN121" s="1"/>
      <c r="QCO121" s="1"/>
      <c r="QCP121" s="1"/>
      <c r="QCQ121" s="1"/>
      <c r="QCR121" s="1"/>
      <c r="QCS121" s="1"/>
      <c r="QCT121" s="1"/>
      <c r="QCU121" s="1"/>
      <c r="QCV121" s="1"/>
      <c r="QCW121" s="1"/>
      <c r="QCX121" s="1"/>
      <c r="QCY121" s="1"/>
      <c r="QCZ121" s="1"/>
      <c r="QDA121" s="1"/>
      <c r="QDB121" s="1"/>
      <c r="QDC121" s="1"/>
      <c r="QDD121" s="1"/>
      <c r="QDE121" s="1"/>
      <c r="QDF121" s="1"/>
      <c r="QDG121" s="1"/>
      <c r="QDH121" s="1"/>
      <c r="QDI121" s="1"/>
      <c r="QDJ121" s="1"/>
      <c r="QDK121" s="1"/>
      <c r="QDL121" s="1"/>
      <c r="QDM121" s="1"/>
      <c r="QDN121" s="1"/>
      <c r="QDO121" s="1"/>
      <c r="QDP121" s="1"/>
      <c r="QDQ121" s="1"/>
      <c r="QDR121" s="1"/>
      <c r="QDS121" s="1"/>
      <c r="QDT121" s="1"/>
      <c r="QDU121" s="1"/>
      <c r="QDV121" s="1"/>
      <c r="QDW121" s="1"/>
      <c r="QDX121" s="1"/>
      <c r="QDY121" s="1"/>
      <c r="QDZ121" s="1"/>
      <c r="QEA121" s="1"/>
      <c r="QEB121" s="1"/>
      <c r="QEC121" s="1"/>
      <c r="QED121" s="1"/>
      <c r="QEE121" s="1"/>
      <c r="QEF121" s="1"/>
      <c r="QEG121" s="1"/>
      <c r="QEH121" s="1"/>
      <c r="QEI121" s="1"/>
      <c r="QEJ121" s="1"/>
      <c r="QEK121" s="1"/>
      <c r="QEL121" s="1"/>
      <c r="QEM121" s="1"/>
      <c r="QEN121" s="1"/>
      <c r="QEO121" s="1"/>
      <c r="QEP121" s="1"/>
      <c r="QEQ121" s="1"/>
      <c r="QER121" s="1"/>
      <c r="QES121" s="1"/>
      <c r="QET121" s="1"/>
      <c r="QEU121" s="1"/>
      <c r="QEV121" s="1"/>
      <c r="QEW121" s="1"/>
      <c r="QEX121" s="1"/>
      <c r="QEY121" s="1"/>
      <c r="QEZ121" s="1"/>
      <c r="QFA121" s="1"/>
      <c r="QFB121" s="1"/>
      <c r="QFC121" s="1"/>
      <c r="QFD121" s="1"/>
      <c r="QFE121" s="1"/>
      <c r="QFF121" s="1"/>
      <c r="QFG121" s="1"/>
      <c r="QFH121" s="1"/>
      <c r="QFI121" s="1"/>
      <c r="QFJ121" s="1"/>
      <c r="QFK121" s="1"/>
      <c r="QFL121" s="1"/>
      <c r="QFM121" s="1"/>
      <c r="QFN121" s="1"/>
      <c r="QFO121" s="1"/>
      <c r="QFP121" s="1"/>
      <c r="QFQ121" s="1"/>
      <c r="QFR121" s="1"/>
      <c r="QFS121" s="1"/>
      <c r="QFT121" s="1"/>
      <c r="QFU121" s="1"/>
      <c r="QFV121" s="1"/>
      <c r="QFW121" s="1"/>
      <c r="QFX121" s="1"/>
      <c r="QFY121" s="1"/>
      <c r="QFZ121" s="1"/>
      <c r="QGA121" s="1"/>
      <c r="QGB121" s="1"/>
      <c r="QGC121" s="1"/>
      <c r="QGD121" s="1"/>
      <c r="QGE121" s="1"/>
      <c r="QGF121" s="1"/>
      <c r="QGG121" s="1"/>
      <c r="QGH121" s="1"/>
      <c r="QGI121" s="1"/>
      <c r="QGJ121" s="1"/>
      <c r="QGK121" s="1"/>
      <c r="QGL121" s="1"/>
      <c r="QGM121" s="1"/>
      <c r="QGN121" s="1"/>
      <c r="QGO121" s="1"/>
      <c r="QGP121" s="1"/>
      <c r="QGQ121" s="1"/>
      <c r="QGR121" s="1"/>
      <c r="QGS121" s="1"/>
      <c r="QGT121" s="1"/>
      <c r="QGU121" s="1"/>
      <c r="QGV121" s="1"/>
      <c r="QGW121" s="1"/>
      <c r="QGX121" s="1"/>
      <c r="QGY121" s="1"/>
      <c r="QGZ121" s="1"/>
      <c r="QHA121" s="1"/>
      <c r="QHB121" s="1"/>
      <c r="QHC121" s="1"/>
      <c r="QHD121" s="1"/>
      <c r="QHE121" s="1"/>
      <c r="QHF121" s="1"/>
      <c r="QHG121" s="1"/>
      <c r="QHH121" s="1"/>
      <c r="QHI121" s="1"/>
      <c r="QHJ121" s="1"/>
      <c r="QHK121" s="1"/>
      <c r="QHL121" s="1"/>
      <c r="QHM121" s="1"/>
      <c r="QHN121" s="1"/>
      <c r="QHO121" s="1"/>
      <c r="QHP121" s="1"/>
      <c r="QHQ121" s="1"/>
      <c r="QHR121" s="1"/>
      <c r="QHS121" s="1"/>
      <c r="QHT121" s="1"/>
      <c r="QHU121" s="1"/>
      <c r="QHV121" s="1"/>
      <c r="QHW121" s="1"/>
      <c r="QHX121" s="1"/>
      <c r="QHY121" s="1"/>
      <c r="QHZ121" s="1"/>
      <c r="QIA121" s="1"/>
      <c r="QIB121" s="1"/>
      <c r="QIC121" s="1"/>
      <c r="QID121" s="1"/>
      <c r="QIE121" s="1"/>
      <c r="QIF121" s="1"/>
      <c r="QIG121" s="1"/>
      <c r="QIH121" s="1"/>
      <c r="QII121" s="1"/>
      <c r="QIJ121" s="1"/>
      <c r="QIK121" s="1"/>
      <c r="QIL121" s="1"/>
      <c r="QIM121" s="1"/>
      <c r="QIN121" s="1"/>
      <c r="QIO121" s="1"/>
      <c r="QIP121" s="1"/>
      <c r="QIQ121" s="1"/>
      <c r="QIR121" s="1"/>
      <c r="QIS121" s="1"/>
      <c r="QIT121" s="1"/>
      <c r="QIU121" s="1"/>
      <c r="QIV121" s="1"/>
      <c r="QIW121" s="1"/>
      <c r="QIX121" s="1"/>
      <c r="QIY121" s="1"/>
      <c r="QIZ121" s="1"/>
      <c r="QJA121" s="1"/>
      <c r="QJB121" s="1"/>
      <c r="QJC121" s="1"/>
      <c r="QJD121" s="1"/>
      <c r="QJE121" s="1"/>
      <c r="QJF121" s="1"/>
      <c r="QJG121" s="1"/>
      <c r="QJH121" s="1"/>
      <c r="QJI121" s="1"/>
      <c r="QJJ121" s="1"/>
      <c r="QJK121" s="1"/>
      <c r="QJL121" s="1"/>
      <c r="QJM121" s="1"/>
      <c r="QJN121" s="1"/>
      <c r="QJO121" s="1"/>
      <c r="QJP121" s="1"/>
      <c r="QJQ121" s="1"/>
      <c r="QJR121" s="1"/>
      <c r="QJS121" s="1"/>
      <c r="QJT121" s="1"/>
      <c r="QJU121" s="1"/>
      <c r="QJV121" s="1"/>
      <c r="QJW121" s="1"/>
      <c r="QJX121" s="1"/>
      <c r="QJY121" s="1"/>
      <c r="QJZ121" s="1"/>
      <c r="QKA121" s="1"/>
      <c r="QKB121" s="1"/>
      <c r="QKC121" s="1"/>
      <c r="QKD121" s="1"/>
      <c r="QKE121" s="1"/>
      <c r="QKF121" s="1"/>
      <c r="QKG121" s="1"/>
      <c r="QKH121" s="1"/>
      <c r="QKI121" s="1"/>
      <c r="QKJ121" s="1"/>
      <c r="QKK121" s="1"/>
      <c r="QKL121" s="1"/>
      <c r="QKM121" s="1"/>
      <c r="QKN121" s="1"/>
      <c r="QKO121" s="1"/>
      <c r="QKP121" s="1"/>
      <c r="QKQ121" s="1"/>
      <c r="QKR121" s="1"/>
      <c r="QKS121" s="1"/>
      <c r="QKT121" s="1"/>
      <c r="QKU121" s="1"/>
      <c r="QKV121" s="1"/>
      <c r="QKW121" s="1"/>
      <c r="QKX121" s="1"/>
      <c r="QKY121" s="1"/>
      <c r="QKZ121" s="1"/>
      <c r="QLA121" s="1"/>
      <c r="QLB121" s="1"/>
      <c r="QLC121" s="1"/>
      <c r="QLD121" s="1"/>
      <c r="QLE121" s="1"/>
      <c r="QLF121" s="1"/>
      <c r="QLG121" s="1"/>
      <c r="QLH121" s="1"/>
      <c r="QLI121" s="1"/>
      <c r="QLJ121" s="1"/>
      <c r="QLK121" s="1"/>
      <c r="QLL121" s="1"/>
      <c r="QLM121" s="1"/>
      <c r="QLN121" s="1"/>
      <c r="QLO121" s="1"/>
      <c r="QLP121" s="1"/>
      <c r="QLQ121" s="1"/>
      <c r="QLR121" s="1"/>
      <c r="QLS121" s="1"/>
      <c r="QLT121" s="1"/>
      <c r="QLU121" s="1"/>
      <c r="QLV121" s="1"/>
      <c r="QLW121" s="1"/>
      <c r="QLX121" s="1"/>
      <c r="QLY121" s="1"/>
      <c r="QLZ121" s="1"/>
      <c r="QMA121" s="1"/>
      <c r="QMB121" s="1"/>
      <c r="QMC121" s="1"/>
      <c r="QMD121" s="1"/>
      <c r="QME121" s="1"/>
      <c r="QMF121" s="1"/>
      <c r="QMG121" s="1"/>
      <c r="QMH121" s="1"/>
      <c r="QMI121" s="1"/>
      <c r="QMJ121" s="1"/>
      <c r="QMK121" s="1"/>
      <c r="QML121" s="1"/>
      <c r="QMM121" s="1"/>
      <c r="QMN121" s="1"/>
      <c r="QMO121" s="1"/>
      <c r="QMP121" s="1"/>
      <c r="QMQ121" s="1"/>
      <c r="QMR121" s="1"/>
      <c r="QMS121" s="1"/>
      <c r="QMT121" s="1"/>
      <c r="QMU121" s="1"/>
      <c r="QMV121" s="1"/>
      <c r="QMW121" s="1"/>
      <c r="QMX121" s="1"/>
      <c r="QMY121" s="1"/>
      <c r="QMZ121" s="1"/>
      <c r="QNA121" s="1"/>
      <c r="QNB121" s="1"/>
      <c r="QNC121" s="1"/>
      <c r="QND121" s="1"/>
      <c r="QNE121" s="1"/>
      <c r="QNF121" s="1"/>
      <c r="QNG121" s="1"/>
      <c r="QNH121" s="1"/>
      <c r="QNI121" s="1"/>
      <c r="QNJ121" s="1"/>
      <c r="QNK121" s="1"/>
      <c r="QNL121" s="1"/>
      <c r="QNM121" s="1"/>
      <c r="QNN121" s="1"/>
      <c r="QNO121" s="1"/>
      <c r="QNP121" s="1"/>
      <c r="QNQ121" s="1"/>
      <c r="QNR121" s="1"/>
      <c r="QNS121" s="1"/>
      <c r="QNT121" s="1"/>
      <c r="QNU121" s="1"/>
      <c r="QNV121" s="1"/>
      <c r="QNW121" s="1"/>
      <c r="QNX121" s="1"/>
      <c r="QNY121" s="1"/>
      <c r="QNZ121" s="1"/>
      <c r="QOA121" s="1"/>
      <c r="QOB121" s="1"/>
      <c r="QOC121" s="1"/>
      <c r="QOD121" s="1"/>
      <c r="QOE121" s="1"/>
      <c r="QOF121" s="1"/>
      <c r="QOG121" s="1"/>
      <c r="QOH121" s="1"/>
      <c r="QOI121" s="1"/>
      <c r="QOJ121" s="1"/>
      <c r="QOK121" s="1"/>
      <c r="QOL121" s="1"/>
      <c r="QOM121" s="1"/>
      <c r="QON121" s="1"/>
      <c r="QOO121" s="1"/>
      <c r="QOP121" s="1"/>
      <c r="QOQ121" s="1"/>
      <c r="QOR121" s="1"/>
      <c r="QOS121" s="1"/>
      <c r="QOT121" s="1"/>
      <c r="QOU121" s="1"/>
      <c r="QOV121" s="1"/>
      <c r="QOW121" s="1"/>
      <c r="QOX121" s="1"/>
      <c r="QOY121" s="1"/>
      <c r="QOZ121" s="1"/>
      <c r="QPA121" s="1"/>
      <c r="QPB121" s="1"/>
      <c r="QPC121" s="1"/>
      <c r="QPD121" s="1"/>
      <c r="QPE121" s="1"/>
      <c r="QPF121" s="1"/>
      <c r="QPG121" s="1"/>
      <c r="QPH121" s="1"/>
      <c r="QPI121" s="1"/>
      <c r="QPJ121" s="1"/>
      <c r="QPK121" s="1"/>
      <c r="QPL121" s="1"/>
      <c r="QPM121" s="1"/>
      <c r="QPN121" s="1"/>
      <c r="QPO121" s="1"/>
      <c r="QPP121" s="1"/>
      <c r="QPQ121" s="1"/>
      <c r="QPR121" s="1"/>
      <c r="QPS121" s="1"/>
      <c r="QPT121" s="1"/>
      <c r="QPU121" s="1"/>
      <c r="QPV121" s="1"/>
      <c r="QPW121" s="1"/>
      <c r="QPX121" s="1"/>
      <c r="QPY121" s="1"/>
      <c r="QPZ121" s="1"/>
      <c r="QQA121" s="1"/>
      <c r="QQB121" s="1"/>
      <c r="QQC121" s="1"/>
      <c r="QQD121" s="1"/>
      <c r="QQE121" s="1"/>
      <c r="QQF121" s="1"/>
      <c r="QQG121" s="1"/>
      <c r="QQH121" s="1"/>
      <c r="QQI121" s="1"/>
      <c r="QQJ121" s="1"/>
      <c r="QQK121" s="1"/>
      <c r="QQL121" s="1"/>
      <c r="QQM121" s="1"/>
      <c r="QQN121" s="1"/>
      <c r="QQO121" s="1"/>
      <c r="QQP121" s="1"/>
      <c r="QQQ121" s="1"/>
      <c r="QQR121" s="1"/>
      <c r="QQS121" s="1"/>
      <c r="QQT121" s="1"/>
      <c r="QQU121" s="1"/>
      <c r="QQV121" s="1"/>
      <c r="QQW121" s="1"/>
      <c r="QQX121" s="1"/>
      <c r="QQY121" s="1"/>
      <c r="QQZ121" s="1"/>
      <c r="QRA121" s="1"/>
      <c r="QRB121" s="1"/>
      <c r="QRC121" s="1"/>
      <c r="QRD121" s="1"/>
      <c r="QRE121" s="1"/>
      <c r="QRF121" s="1"/>
      <c r="QRG121" s="1"/>
      <c r="QRH121" s="1"/>
      <c r="QRI121" s="1"/>
      <c r="QRJ121" s="1"/>
      <c r="QRK121" s="1"/>
      <c r="QRL121" s="1"/>
      <c r="QRM121" s="1"/>
      <c r="QRN121" s="1"/>
      <c r="QRO121" s="1"/>
      <c r="QRP121" s="1"/>
      <c r="QRQ121" s="1"/>
      <c r="QRR121" s="1"/>
      <c r="QRS121" s="1"/>
      <c r="QRT121" s="1"/>
      <c r="QRU121" s="1"/>
      <c r="QRV121" s="1"/>
      <c r="QRW121" s="1"/>
      <c r="QRX121" s="1"/>
      <c r="QRY121" s="1"/>
      <c r="QRZ121" s="1"/>
      <c r="QSA121" s="1"/>
      <c r="QSB121" s="1"/>
      <c r="QSC121" s="1"/>
      <c r="QSD121" s="1"/>
      <c r="QSE121" s="1"/>
      <c r="QSF121" s="1"/>
      <c r="QSG121" s="1"/>
      <c r="QSH121" s="1"/>
      <c r="QSI121" s="1"/>
      <c r="QSJ121" s="1"/>
      <c r="QSK121" s="1"/>
      <c r="QSL121" s="1"/>
      <c r="QSM121" s="1"/>
      <c r="QSN121" s="1"/>
      <c r="QSO121" s="1"/>
      <c r="QSP121" s="1"/>
      <c r="QSQ121" s="1"/>
      <c r="QSR121" s="1"/>
      <c r="QSS121" s="1"/>
      <c r="QST121" s="1"/>
      <c r="QSU121" s="1"/>
      <c r="QSV121" s="1"/>
      <c r="QSW121" s="1"/>
      <c r="QSX121" s="1"/>
      <c r="QSY121" s="1"/>
      <c r="QSZ121" s="1"/>
      <c r="QTA121" s="1"/>
      <c r="QTB121" s="1"/>
      <c r="QTC121" s="1"/>
      <c r="QTD121" s="1"/>
      <c r="QTE121" s="1"/>
      <c r="QTF121" s="1"/>
      <c r="QTG121" s="1"/>
      <c r="QTH121" s="1"/>
      <c r="QTI121" s="1"/>
      <c r="QTJ121" s="1"/>
      <c r="QTK121" s="1"/>
      <c r="QTL121" s="1"/>
      <c r="QTM121" s="1"/>
      <c r="QTN121" s="1"/>
      <c r="QTO121" s="1"/>
      <c r="QTP121" s="1"/>
      <c r="QTQ121" s="1"/>
      <c r="QTR121" s="1"/>
      <c r="QTS121" s="1"/>
      <c r="QTT121" s="1"/>
      <c r="QTU121" s="1"/>
      <c r="QTV121" s="1"/>
      <c r="QTW121" s="1"/>
      <c r="QTX121" s="1"/>
      <c r="QTY121" s="1"/>
      <c r="QTZ121" s="1"/>
      <c r="QUA121" s="1"/>
      <c r="QUB121" s="1"/>
      <c r="QUC121" s="1"/>
      <c r="QUD121" s="1"/>
      <c r="QUE121" s="1"/>
      <c r="QUF121" s="1"/>
      <c r="QUG121" s="1"/>
      <c r="QUH121" s="1"/>
      <c r="QUI121" s="1"/>
      <c r="QUJ121" s="1"/>
      <c r="QUK121" s="1"/>
      <c r="QUL121" s="1"/>
      <c r="QUM121" s="1"/>
      <c r="QUN121" s="1"/>
      <c r="QUO121" s="1"/>
      <c r="QUP121" s="1"/>
      <c r="QUQ121" s="1"/>
      <c r="QUR121" s="1"/>
      <c r="QUS121" s="1"/>
      <c r="QUT121" s="1"/>
      <c r="QUU121" s="1"/>
      <c r="QUV121" s="1"/>
      <c r="QUW121" s="1"/>
      <c r="QUX121" s="1"/>
      <c r="QUY121" s="1"/>
      <c r="QUZ121" s="1"/>
      <c r="QVA121" s="1"/>
      <c r="QVB121" s="1"/>
      <c r="QVC121" s="1"/>
      <c r="QVD121" s="1"/>
      <c r="QVE121" s="1"/>
      <c r="QVF121" s="1"/>
      <c r="QVG121" s="1"/>
      <c r="QVH121" s="1"/>
      <c r="QVI121" s="1"/>
      <c r="QVJ121" s="1"/>
      <c r="QVK121" s="1"/>
      <c r="QVL121" s="1"/>
      <c r="QVM121" s="1"/>
      <c r="QVN121" s="1"/>
      <c r="QVO121" s="1"/>
      <c r="QVP121" s="1"/>
      <c r="QVQ121" s="1"/>
      <c r="QVR121" s="1"/>
      <c r="QVS121" s="1"/>
      <c r="QVT121" s="1"/>
      <c r="QVU121" s="1"/>
      <c r="QVV121" s="1"/>
      <c r="QVW121" s="1"/>
      <c r="QVX121" s="1"/>
      <c r="QVY121" s="1"/>
      <c r="QVZ121" s="1"/>
      <c r="QWA121" s="1"/>
      <c r="QWB121" s="1"/>
      <c r="QWC121" s="1"/>
      <c r="QWD121" s="1"/>
      <c r="QWE121" s="1"/>
      <c r="QWF121" s="1"/>
      <c r="QWG121" s="1"/>
      <c r="QWH121" s="1"/>
      <c r="QWI121" s="1"/>
      <c r="QWJ121" s="1"/>
      <c r="QWK121" s="1"/>
      <c r="QWL121" s="1"/>
      <c r="QWM121" s="1"/>
      <c r="QWN121" s="1"/>
      <c r="QWO121" s="1"/>
      <c r="QWP121" s="1"/>
      <c r="QWQ121" s="1"/>
      <c r="QWR121" s="1"/>
      <c r="QWS121" s="1"/>
      <c r="QWT121" s="1"/>
      <c r="QWU121" s="1"/>
      <c r="QWV121" s="1"/>
      <c r="QWW121" s="1"/>
      <c r="QWX121" s="1"/>
      <c r="QWY121" s="1"/>
      <c r="QWZ121" s="1"/>
      <c r="QXA121" s="1"/>
      <c r="QXB121" s="1"/>
      <c r="QXC121" s="1"/>
      <c r="QXD121" s="1"/>
      <c r="QXE121" s="1"/>
      <c r="QXF121" s="1"/>
      <c r="QXG121" s="1"/>
      <c r="QXH121" s="1"/>
      <c r="QXI121" s="1"/>
      <c r="QXJ121" s="1"/>
      <c r="QXK121" s="1"/>
      <c r="QXL121" s="1"/>
      <c r="QXM121" s="1"/>
      <c r="QXN121" s="1"/>
      <c r="QXO121" s="1"/>
      <c r="QXP121" s="1"/>
      <c r="QXQ121" s="1"/>
      <c r="QXR121" s="1"/>
      <c r="QXS121" s="1"/>
      <c r="QXT121" s="1"/>
      <c r="QXU121" s="1"/>
      <c r="QXV121" s="1"/>
      <c r="QXW121" s="1"/>
      <c r="QXX121" s="1"/>
      <c r="QXY121" s="1"/>
      <c r="QXZ121" s="1"/>
      <c r="QYA121" s="1"/>
      <c r="QYB121" s="1"/>
      <c r="QYC121" s="1"/>
      <c r="QYD121" s="1"/>
      <c r="QYE121" s="1"/>
      <c r="QYF121" s="1"/>
      <c r="QYG121" s="1"/>
      <c r="QYH121" s="1"/>
      <c r="QYI121" s="1"/>
      <c r="QYJ121" s="1"/>
      <c r="QYK121" s="1"/>
      <c r="QYL121" s="1"/>
      <c r="QYM121" s="1"/>
      <c r="QYN121" s="1"/>
      <c r="QYO121" s="1"/>
      <c r="QYP121" s="1"/>
      <c r="QYQ121" s="1"/>
      <c r="QYR121" s="1"/>
      <c r="QYS121" s="1"/>
      <c r="QYT121" s="1"/>
      <c r="QYU121" s="1"/>
      <c r="QYV121" s="1"/>
      <c r="QYW121" s="1"/>
      <c r="QYX121" s="1"/>
      <c r="QYY121" s="1"/>
      <c r="QYZ121" s="1"/>
      <c r="QZA121" s="1"/>
      <c r="QZB121" s="1"/>
      <c r="QZC121" s="1"/>
      <c r="QZD121" s="1"/>
      <c r="QZE121" s="1"/>
      <c r="QZF121" s="1"/>
      <c r="QZG121" s="1"/>
      <c r="QZH121" s="1"/>
      <c r="QZI121" s="1"/>
      <c r="QZJ121" s="1"/>
      <c r="QZK121" s="1"/>
      <c r="QZL121" s="1"/>
      <c r="QZM121" s="1"/>
      <c r="QZN121" s="1"/>
      <c r="QZO121" s="1"/>
      <c r="QZP121" s="1"/>
      <c r="QZQ121" s="1"/>
      <c r="QZR121" s="1"/>
      <c r="QZS121" s="1"/>
      <c r="QZT121" s="1"/>
      <c r="QZU121" s="1"/>
      <c r="QZV121" s="1"/>
      <c r="QZW121" s="1"/>
      <c r="QZX121" s="1"/>
      <c r="QZY121" s="1"/>
      <c r="QZZ121" s="1"/>
      <c r="RAA121" s="1"/>
      <c r="RAB121" s="1"/>
      <c r="RAC121" s="1"/>
      <c r="RAD121" s="1"/>
      <c r="RAE121" s="1"/>
      <c r="RAF121" s="1"/>
      <c r="RAG121" s="1"/>
      <c r="RAH121" s="1"/>
      <c r="RAI121" s="1"/>
      <c r="RAJ121" s="1"/>
      <c r="RAK121" s="1"/>
      <c r="RAL121" s="1"/>
      <c r="RAM121" s="1"/>
      <c r="RAN121" s="1"/>
      <c r="RAO121" s="1"/>
      <c r="RAP121" s="1"/>
      <c r="RAQ121" s="1"/>
      <c r="RAR121" s="1"/>
      <c r="RAS121" s="1"/>
      <c r="RAT121" s="1"/>
      <c r="RAU121" s="1"/>
      <c r="RAV121" s="1"/>
      <c r="RAW121" s="1"/>
      <c r="RAX121" s="1"/>
      <c r="RAY121" s="1"/>
      <c r="RAZ121" s="1"/>
      <c r="RBA121" s="1"/>
      <c r="RBB121" s="1"/>
      <c r="RBC121" s="1"/>
      <c r="RBD121" s="1"/>
      <c r="RBE121" s="1"/>
      <c r="RBF121" s="1"/>
      <c r="RBG121" s="1"/>
      <c r="RBH121" s="1"/>
      <c r="RBI121" s="1"/>
      <c r="RBJ121" s="1"/>
      <c r="RBK121" s="1"/>
      <c r="RBL121" s="1"/>
      <c r="RBM121" s="1"/>
      <c r="RBN121" s="1"/>
      <c r="RBO121" s="1"/>
      <c r="RBP121" s="1"/>
      <c r="RBQ121" s="1"/>
      <c r="RBR121" s="1"/>
      <c r="RBS121" s="1"/>
      <c r="RBT121" s="1"/>
      <c r="RBU121" s="1"/>
      <c r="RBV121" s="1"/>
      <c r="RBW121" s="1"/>
      <c r="RBX121" s="1"/>
      <c r="RBY121" s="1"/>
      <c r="RBZ121" s="1"/>
      <c r="RCA121" s="1"/>
      <c r="RCB121" s="1"/>
      <c r="RCC121" s="1"/>
      <c r="RCD121" s="1"/>
      <c r="RCE121" s="1"/>
      <c r="RCF121" s="1"/>
      <c r="RCG121" s="1"/>
      <c r="RCH121" s="1"/>
      <c r="RCI121" s="1"/>
      <c r="RCJ121" s="1"/>
      <c r="RCK121" s="1"/>
      <c r="RCL121" s="1"/>
      <c r="RCM121" s="1"/>
      <c r="RCN121" s="1"/>
      <c r="RCO121" s="1"/>
      <c r="RCP121" s="1"/>
      <c r="RCQ121" s="1"/>
      <c r="RCR121" s="1"/>
      <c r="RCS121" s="1"/>
      <c r="RCT121" s="1"/>
      <c r="RCU121" s="1"/>
      <c r="RCV121" s="1"/>
      <c r="RCW121" s="1"/>
      <c r="RCX121" s="1"/>
      <c r="RCY121" s="1"/>
      <c r="RCZ121" s="1"/>
      <c r="RDA121" s="1"/>
      <c r="RDB121" s="1"/>
      <c r="RDC121" s="1"/>
      <c r="RDD121" s="1"/>
      <c r="RDE121" s="1"/>
      <c r="RDF121" s="1"/>
      <c r="RDG121" s="1"/>
      <c r="RDH121" s="1"/>
      <c r="RDI121" s="1"/>
      <c r="RDJ121" s="1"/>
      <c r="RDK121" s="1"/>
      <c r="RDL121" s="1"/>
      <c r="RDM121" s="1"/>
      <c r="RDN121" s="1"/>
      <c r="RDO121" s="1"/>
      <c r="RDP121" s="1"/>
      <c r="RDQ121" s="1"/>
      <c r="RDR121" s="1"/>
      <c r="RDS121" s="1"/>
      <c r="RDT121" s="1"/>
      <c r="RDU121" s="1"/>
      <c r="RDV121" s="1"/>
      <c r="RDW121" s="1"/>
      <c r="RDX121" s="1"/>
      <c r="RDY121" s="1"/>
      <c r="RDZ121" s="1"/>
      <c r="REA121" s="1"/>
      <c r="REB121" s="1"/>
      <c r="REC121" s="1"/>
      <c r="RED121" s="1"/>
      <c r="REE121" s="1"/>
      <c r="REF121" s="1"/>
      <c r="REG121" s="1"/>
      <c r="REH121" s="1"/>
      <c r="REI121" s="1"/>
      <c r="REJ121" s="1"/>
      <c r="REK121" s="1"/>
      <c r="REL121" s="1"/>
      <c r="REM121" s="1"/>
      <c r="REN121" s="1"/>
      <c r="REO121" s="1"/>
      <c r="REP121" s="1"/>
      <c r="REQ121" s="1"/>
      <c r="RER121" s="1"/>
      <c r="RES121" s="1"/>
      <c r="RET121" s="1"/>
      <c r="REU121" s="1"/>
      <c r="REV121" s="1"/>
      <c r="REW121" s="1"/>
      <c r="REX121" s="1"/>
      <c r="REY121" s="1"/>
      <c r="REZ121" s="1"/>
      <c r="RFA121" s="1"/>
      <c r="RFB121" s="1"/>
      <c r="RFC121" s="1"/>
      <c r="RFD121" s="1"/>
      <c r="RFE121" s="1"/>
      <c r="RFF121" s="1"/>
      <c r="RFG121" s="1"/>
      <c r="RFH121" s="1"/>
      <c r="RFI121" s="1"/>
      <c r="RFJ121" s="1"/>
      <c r="RFK121" s="1"/>
      <c r="RFL121" s="1"/>
      <c r="RFM121" s="1"/>
      <c r="RFN121" s="1"/>
      <c r="RFO121" s="1"/>
      <c r="RFP121" s="1"/>
      <c r="RFQ121" s="1"/>
      <c r="RFR121" s="1"/>
      <c r="RFS121" s="1"/>
      <c r="RFT121" s="1"/>
      <c r="RFU121" s="1"/>
      <c r="RFV121" s="1"/>
      <c r="RFW121" s="1"/>
      <c r="RFX121" s="1"/>
      <c r="RFY121" s="1"/>
      <c r="RFZ121" s="1"/>
      <c r="RGA121" s="1"/>
      <c r="RGB121" s="1"/>
      <c r="RGC121" s="1"/>
      <c r="RGD121" s="1"/>
      <c r="RGE121" s="1"/>
      <c r="RGF121" s="1"/>
      <c r="RGG121" s="1"/>
      <c r="RGH121" s="1"/>
      <c r="RGI121" s="1"/>
      <c r="RGJ121" s="1"/>
      <c r="RGK121" s="1"/>
      <c r="RGL121" s="1"/>
      <c r="RGM121" s="1"/>
      <c r="RGN121" s="1"/>
      <c r="RGO121" s="1"/>
      <c r="RGP121" s="1"/>
      <c r="RGQ121" s="1"/>
      <c r="RGR121" s="1"/>
      <c r="RGS121" s="1"/>
      <c r="RGT121" s="1"/>
      <c r="RGU121" s="1"/>
      <c r="RGV121" s="1"/>
      <c r="RGW121" s="1"/>
      <c r="RGX121" s="1"/>
      <c r="RGY121" s="1"/>
      <c r="RGZ121" s="1"/>
      <c r="RHA121" s="1"/>
      <c r="RHB121" s="1"/>
      <c r="RHC121" s="1"/>
      <c r="RHD121" s="1"/>
      <c r="RHE121" s="1"/>
      <c r="RHF121" s="1"/>
      <c r="RHG121" s="1"/>
      <c r="RHH121" s="1"/>
      <c r="RHI121" s="1"/>
      <c r="RHJ121" s="1"/>
      <c r="RHK121" s="1"/>
      <c r="RHL121" s="1"/>
      <c r="RHM121" s="1"/>
      <c r="RHN121" s="1"/>
      <c r="RHO121" s="1"/>
      <c r="RHP121" s="1"/>
      <c r="RHQ121" s="1"/>
      <c r="RHR121" s="1"/>
      <c r="RHS121" s="1"/>
      <c r="RHT121" s="1"/>
      <c r="RHU121" s="1"/>
      <c r="RHV121" s="1"/>
      <c r="RHW121" s="1"/>
      <c r="RHX121" s="1"/>
      <c r="RHY121" s="1"/>
      <c r="RHZ121" s="1"/>
      <c r="RIA121" s="1"/>
      <c r="RIB121" s="1"/>
      <c r="RIC121" s="1"/>
      <c r="RID121" s="1"/>
      <c r="RIE121" s="1"/>
      <c r="RIF121" s="1"/>
      <c r="RIG121" s="1"/>
      <c r="RIH121" s="1"/>
      <c r="RII121" s="1"/>
      <c r="RIJ121" s="1"/>
      <c r="RIK121" s="1"/>
      <c r="RIL121" s="1"/>
      <c r="RIM121" s="1"/>
      <c r="RIN121" s="1"/>
      <c r="RIO121" s="1"/>
      <c r="RIP121" s="1"/>
      <c r="RIQ121" s="1"/>
      <c r="RIR121" s="1"/>
      <c r="RIS121" s="1"/>
      <c r="RIT121" s="1"/>
      <c r="RIU121" s="1"/>
      <c r="RIV121" s="1"/>
      <c r="RIW121" s="1"/>
      <c r="RIX121" s="1"/>
      <c r="RIY121" s="1"/>
      <c r="RIZ121" s="1"/>
      <c r="RJA121" s="1"/>
      <c r="RJB121" s="1"/>
      <c r="RJC121" s="1"/>
      <c r="RJD121" s="1"/>
      <c r="RJE121" s="1"/>
      <c r="RJF121" s="1"/>
      <c r="RJG121" s="1"/>
      <c r="RJH121" s="1"/>
      <c r="RJI121" s="1"/>
      <c r="RJJ121" s="1"/>
      <c r="RJK121" s="1"/>
      <c r="RJL121" s="1"/>
      <c r="RJM121" s="1"/>
      <c r="RJN121" s="1"/>
      <c r="RJO121" s="1"/>
      <c r="RJP121" s="1"/>
      <c r="RJQ121" s="1"/>
      <c r="RJR121" s="1"/>
      <c r="RJS121" s="1"/>
      <c r="RJT121" s="1"/>
      <c r="RJU121" s="1"/>
      <c r="RJV121" s="1"/>
      <c r="RJW121" s="1"/>
      <c r="RJX121" s="1"/>
      <c r="RJY121" s="1"/>
      <c r="RJZ121" s="1"/>
      <c r="RKA121" s="1"/>
      <c r="RKB121" s="1"/>
      <c r="RKC121" s="1"/>
      <c r="RKD121" s="1"/>
      <c r="RKE121" s="1"/>
      <c r="RKF121" s="1"/>
      <c r="RKG121" s="1"/>
      <c r="RKH121" s="1"/>
      <c r="RKI121" s="1"/>
      <c r="RKJ121" s="1"/>
      <c r="RKK121" s="1"/>
      <c r="RKL121" s="1"/>
      <c r="RKM121" s="1"/>
      <c r="RKN121" s="1"/>
      <c r="RKO121" s="1"/>
      <c r="RKP121" s="1"/>
      <c r="RKQ121" s="1"/>
      <c r="RKR121" s="1"/>
      <c r="RKS121" s="1"/>
      <c r="RKT121" s="1"/>
      <c r="RKU121" s="1"/>
      <c r="RKV121" s="1"/>
      <c r="RKW121" s="1"/>
      <c r="RKX121" s="1"/>
      <c r="RKY121" s="1"/>
      <c r="RKZ121" s="1"/>
      <c r="RLA121" s="1"/>
      <c r="RLB121" s="1"/>
      <c r="RLC121" s="1"/>
      <c r="RLD121" s="1"/>
      <c r="RLE121" s="1"/>
      <c r="RLF121" s="1"/>
      <c r="RLG121" s="1"/>
      <c r="RLH121" s="1"/>
      <c r="RLI121" s="1"/>
      <c r="RLJ121" s="1"/>
      <c r="RLK121" s="1"/>
      <c r="RLL121" s="1"/>
      <c r="RLM121" s="1"/>
      <c r="RLN121" s="1"/>
      <c r="RLO121" s="1"/>
      <c r="RLP121" s="1"/>
      <c r="RLQ121" s="1"/>
      <c r="RLR121" s="1"/>
      <c r="RLS121" s="1"/>
      <c r="RLT121" s="1"/>
      <c r="RLU121" s="1"/>
      <c r="RLV121" s="1"/>
      <c r="RLW121" s="1"/>
      <c r="RLX121" s="1"/>
      <c r="RLY121" s="1"/>
      <c r="RLZ121" s="1"/>
      <c r="RMA121" s="1"/>
      <c r="RMB121" s="1"/>
      <c r="RMC121" s="1"/>
      <c r="RMD121" s="1"/>
      <c r="RME121" s="1"/>
      <c r="RMF121" s="1"/>
      <c r="RMG121" s="1"/>
      <c r="RMH121" s="1"/>
      <c r="RMI121" s="1"/>
      <c r="RMJ121" s="1"/>
      <c r="RMK121" s="1"/>
      <c r="RML121" s="1"/>
      <c r="RMM121" s="1"/>
      <c r="RMN121" s="1"/>
      <c r="RMO121" s="1"/>
      <c r="RMP121" s="1"/>
      <c r="RMQ121" s="1"/>
      <c r="RMR121" s="1"/>
      <c r="RMS121" s="1"/>
      <c r="RMT121" s="1"/>
      <c r="RMU121" s="1"/>
      <c r="RMV121" s="1"/>
      <c r="RMW121" s="1"/>
      <c r="RMX121" s="1"/>
      <c r="RMY121" s="1"/>
      <c r="RMZ121" s="1"/>
      <c r="RNA121" s="1"/>
      <c r="RNB121" s="1"/>
      <c r="RNC121" s="1"/>
      <c r="RND121" s="1"/>
      <c r="RNE121" s="1"/>
      <c r="RNF121" s="1"/>
      <c r="RNG121" s="1"/>
      <c r="RNH121" s="1"/>
      <c r="RNI121" s="1"/>
      <c r="RNJ121" s="1"/>
      <c r="RNK121" s="1"/>
      <c r="RNL121" s="1"/>
      <c r="RNM121" s="1"/>
      <c r="RNN121" s="1"/>
      <c r="RNO121" s="1"/>
      <c r="RNP121" s="1"/>
      <c r="RNQ121" s="1"/>
      <c r="RNR121" s="1"/>
      <c r="RNS121" s="1"/>
      <c r="RNT121" s="1"/>
      <c r="RNU121" s="1"/>
      <c r="RNV121" s="1"/>
      <c r="RNW121" s="1"/>
      <c r="RNX121" s="1"/>
      <c r="RNY121" s="1"/>
      <c r="RNZ121" s="1"/>
      <c r="ROA121" s="1"/>
      <c r="ROB121" s="1"/>
      <c r="ROC121" s="1"/>
      <c r="ROD121" s="1"/>
      <c r="ROE121" s="1"/>
      <c r="ROF121" s="1"/>
      <c r="ROG121" s="1"/>
      <c r="ROH121" s="1"/>
      <c r="ROI121" s="1"/>
      <c r="ROJ121" s="1"/>
      <c r="ROK121" s="1"/>
      <c r="ROL121" s="1"/>
      <c r="ROM121" s="1"/>
      <c r="RON121" s="1"/>
      <c r="ROO121" s="1"/>
      <c r="ROP121" s="1"/>
      <c r="ROQ121" s="1"/>
      <c r="ROR121" s="1"/>
      <c r="ROS121" s="1"/>
      <c r="ROT121" s="1"/>
      <c r="ROU121" s="1"/>
      <c r="ROV121" s="1"/>
      <c r="ROW121" s="1"/>
      <c r="ROX121" s="1"/>
      <c r="ROY121" s="1"/>
      <c r="ROZ121" s="1"/>
      <c r="RPA121" s="1"/>
      <c r="RPB121" s="1"/>
      <c r="RPC121" s="1"/>
      <c r="RPD121" s="1"/>
      <c r="RPE121" s="1"/>
      <c r="RPF121" s="1"/>
      <c r="RPG121" s="1"/>
      <c r="RPH121" s="1"/>
      <c r="RPI121" s="1"/>
      <c r="RPJ121" s="1"/>
      <c r="RPK121" s="1"/>
      <c r="RPL121" s="1"/>
      <c r="RPM121" s="1"/>
      <c r="RPN121" s="1"/>
      <c r="RPO121" s="1"/>
      <c r="RPP121" s="1"/>
      <c r="RPQ121" s="1"/>
      <c r="RPR121" s="1"/>
      <c r="RPS121" s="1"/>
      <c r="RPT121" s="1"/>
      <c r="RPU121" s="1"/>
      <c r="RPV121" s="1"/>
      <c r="RPW121" s="1"/>
      <c r="RPX121" s="1"/>
      <c r="RPY121" s="1"/>
      <c r="RPZ121" s="1"/>
      <c r="RQA121" s="1"/>
      <c r="RQB121" s="1"/>
      <c r="RQC121" s="1"/>
      <c r="RQD121" s="1"/>
      <c r="RQE121" s="1"/>
      <c r="RQF121" s="1"/>
      <c r="RQG121" s="1"/>
      <c r="RQH121" s="1"/>
      <c r="RQI121" s="1"/>
      <c r="RQJ121" s="1"/>
      <c r="RQK121" s="1"/>
      <c r="RQL121" s="1"/>
      <c r="RQM121" s="1"/>
      <c r="RQN121" s="1"/>
      <c r="RQO121" s="1"/>
      <c r="RQP121" s="1"/>
      <c r="RQQ121" s="1"/>
      <c r="RQR121" s="1"/>
      <c r="RQS121" s="1"/>
      <c r="RQT121" s="1"/>
      <c r="RQU121" s="1"/>
      <c r="RQV121" s="1"/>
      <c r="RQW121" s="1"/>
      <c r="RQX121" s="1"/>
      <c r="RQY121" s="1"/>
      <c r="RQZ121" s="1"/>
      <c r="RRA121" s="1"/>
      <c r="RRB121" s="1"/>
      <c r="RRC121" s="1"/>
      <c r="RRD121" s="1"/>
      <c r="RRE121" s="1"/>
      <c r="RRF121" s="1"/>
      <c r="RRG121" s="1"/>
      <c r="RRH121" s="1"/>
      <c r="RRI121" s="1"/>
      <c r="RRJ121" s="1"/>
      <c r="RRK121" s="1"/>
      <c r="RRL121" s="1"/>
      <c r="RRM121" s="1"/>
      <c r="RRN121" s="1"/>
      <c r="RRO121" s="1"/>
      <c r="RRP121" s="1"/>
      <c r="RRQ121" s="1"/>
      <c r="RRR121" s="1"/>
      <c r="RRS121" s="1"/>
      <c r="RRT121" s="1"/>
      <c r="RRU121" s="1"/>
      <c r="RRV121" s="1"/>
      <c r="RRW121" s="1"/>
      <c r="RRX121" s="1"/>
      <c r="RRY121" s="1"/>
      <c r="RRZ121" s="1"/>
      <c r="RSA121" s="1"/>
      <c r="RSB121" s="1"/>
      <c r="RSC121" s="1"/>
      <c r="RSD121" s="1"/>
      <c r="RSE121" s="1"/>
      <c r="RSF121" s="1"/>
      <c r="RSG121" s="1"/>
      <c r="RSH121" s="1"/>
      <c r="RSI121" s="1"/>
      <c r="RSJ121" s="1"/>
      <c r="RSK121" s="1"/>
      <c r="RSL121" s="1"/>
      <c r="RSM121" s="1"/>
      <c r="RSN121" s="1"/>
      <c r="RSO121" s="1"/>
      <c r="RSP121" s="1"/>
      <c r="RSQ121" s="1"/>
      <c r="RSR121" s="1"/>
      <c r="RSS121" s="1"/>
      <c r="RST121" s="1"/>
      <c r="RSU121" s="1"/>
      <c r="RSV121" s="1"/>
      <c r="RSW121" s="1"/>
      <c r="RSX121" s="1"/>
      <c r="RSY121" s="1"/>
      <c r="RSZ121" s="1"/>
      <c r="RTA121" s="1"/>
      <c r="RTB121" s="1"/>
      <c r="RTC121" s="1"/>
      <c r="RTD121" s="1"/>
      <c r="RTE121" s="1"/>
      <c r="RTF121" s="1"/>
      <c r="RTG121" s="1"/>
      <c r="RTH121" s="1"/>
      <c r="RTI121" s="1"/>
      <c r="RTJ121" s="1"/>
      <c r="RTK121" s="1"/>
      <c r="RTL121" s="1"/>
      <c r="RTM121" s="1"/>
      <c r="RTN121" s="1"/>
      <c r="RTO121" s="1"/>
      <c r="RTP121" s="1"/>
      <c r="RTQ121" s="1"/>
      <c r="RTR121" s="1"/>
      <c r="RTS121" s="1"/>
      <c r="RTT121" s="1"/>
      <c r="RTU121" s="1"/>
      <c r="RTV121" s="1"/>
      <c r="RTW121" s="1"/>
      <c r="RTX121" s="1"/>
      <c r="RTY121" s="1"/>
      <c r="RTZ121" s="1"/>
      <c r="RUA121" s="1"/>
      <c r="RUB121" s="1"/>
      <c r="RUC121" s="1"/>
      <c r="RUD121" s="1"/>
      <c r="RUE121" s="1"/>
      <c r="RUF121" s="1"/>
      <c r="RUG121" s="1"/>
      <c r="RUH121" s="1"/>
      <c r="RUI121" s="1"/>
      <c r="RUJ121" s="1"/>
      <c r="RUK121" s="1"/>
      <c r="RUL121" s="1"/>
      <c r="RUM121" s="1"/>
      <c r="RUN121" s="1"/>
      <c r="RUO121" s="1"/>
      <c r="RUP121" s="1"/>
      <c r="RUQ121" s="1"/>
      <c r="RUR121" s="1"/>
      <c r="RUS121" s="1"/>
      <c r="RUT121" s="1"/>
      <c r="RUU121" s="1"/>
      <c r="RUV121" s="1"/>
      <c r="RUW121" s="1"/>
      <c r="RUX121" s="1"/>
      <c r="RUY121" s="1"/>
      <c r="RUZ121" s="1"/>
      <c r="RVA121" s="1"/>
      <c r="RVB121" s="1"/>
      <c r="RVC121" s="1"/>
      <c r="RVD121" s="1"/>
      <c r="RVE121" s="1"/>
      <c r="RVF121" s="1"/>
      <c r="RVG121" s="1"/>
      <c r="RVH121" s="1"/>
      <c r="RVI121" s="1"/>
      <c r="RVJ121" s="1"/>
      <c r="RVK121" s="1"/>
      <c r="RVL121" s="1"/>
      <c r="RVM121" s="1"/>
      <c r="RVN121" s="1"/>
      <c r="RVO121" s="1"/>
      <c r="RVP121" s="1"/>
      <c r="RVQ121" s="1"/>
      <c r="RVR121" s="1"/>
      <c r="RVS121" s="1"/>
      <c r="RVT121" s="1"/>
      <c r="RVU121" s="1"/>
      <c r="RVV121" s="1"/>
      <c r="RVW121" s="1"/>
      <c r="RVX121" s="1"/>
      <c r="RVY121" s="1"/>
      <c r="RVZ121" s="1"/>
      <c r="RWA121" s="1"/>
      <c r="RWB121" s="1"/>
      <c r="RWC121" s="1"/>
      <c r="RWD121" s="1"/>
      <c r="RWE121" s="1"/>
      <c r="RWF121" s="1"/>
      <c r="RWG121" s="1"/>
      <c r="RWH121" s="1"/>
      <c r="RWI121" s="1"/>
      <c r="RWJ121" s="1"/>
      <c r="RWK121" s="1"/>
      <c r="RWL121" s="1"/>
      <c r="RWM121" s="1"/>
      <c r="RWN121" s="1"/>
      <c r="RWO121" s="1"/>
      <c r="RWP121" s="1"/>
      <c r="RWQ121" s="1"/>
      <c r="RWR121" s="1"/>
      <c r="RWS121" s="1"/>
      <c r="RWT121" s="1"/>
      <c r="RWU121" s="1"/>
      <c r="RWV121" s="1"/>
      <c r="RWW121" s="1"/>
      <c r="RWX121" s="1"/>
      <c r="RWY121" s="1"/>
      <c r="RWZ121" s="1"/>
      <c r="RXA121" s="1"/>
      <c r="RXB121" s="1"/>
      <c r="RXC121" s="1"/>
      <c r="RXD121" s="1"/>
      <c r="RXE121" s="1"/>
      <c r="RXF121" s="1"/>
      <c r="RXG121" s="1"/>
      <c r="RXH121" s="1"/>
      <c r="RXI121" s="1"/>
      <c r="RXJ121" s="1"/>
      <c r="RXK121" s="1"/>
      <c r="RXL121" s="1"/>
      <c r="RXM121" s="1"/>
      <c r="RXN121" s="1"/>
      <c r="RXO121" s="1"/>
      <c r="RXP121" s="1"/>
      <c r="RXQ121" s="1"/>
      <c r="RXR121" s="1"/>
      <c r="RXS121" s="1"/>
      <c r="RXT121" s="1"/>
      <c r="RXU121" s="1"/>
      <c r="RXV121" s="1"/>
      <c r="RXW121" s="1"/>
      <c r="RXX121" s="1"/>
      <c r="RXY121" s="1"/>
      <c r="RXZ121" s="1"/>
      <c r="RYA121" s="1"/>
      <c r="RYB121" s="1"/>
      <c r="RYC121" s="1"/>
      <c r="RYD121" s="1"/>
      <c r="RYE121" s="1"/>
      <c r="RYF121" s="1"/>
      <c r="RYG121" s="1"/>
      <c r="RYH121" s="1"/>
      <c r="RYI121" s="1"/>
      <c r="RYJ121" s="1"/>
      <c r="RYK121" s="1"/>
      <c r="RYL121" s="1"/>
      <c r="RYM121" s="1"/>
      <c r="RYN121" s="1"/>
      <c r="RYO121" s="1"/>
      <c r="RYP121" s="1"/>
      <c r="RYQ121" s="1"/>
      <c r="RYR121" s="1"/>
      <c r="RYS121" s="1"/>
      <c r="RYT121" s="1"/>
      <c r="RYU121" s="1"/>
      <c r="RYV121" s="1"/>
      <c r="RYW121" s="1"/>
      <c r="RYX121" s="1"/>
      <c r="RYY121" s="1"/>
      <c r="RYZ121" s="1"/>
      <c r="RZA121" s="1"/>
      <c r="RZB121" s="1"/>
      <c r="RZC121" s="1"/>
      <c r="RZD121" s="1"/>
      <c r="RZE121" s="1"/>
      <c r="RZF121" s="1"/>
      <c r="RZG121" s="1"/>
      <c r="RZH121" s="1"/>
      <c r="RZI121" s="1"/>
      <c r="RZJ121" s="1"/>
      <c r="RZK121" s="1"/>
      <c r="RZL121" s="1"/>
      <c r="RZM121" s="1"/>
      <c r="RZN121" s="1"/>
      <c r="RZO121" s="1"/>
      <c r="RZP121" s="1"/>
      <c r="RZQ121" s="1"/>
      <c r="RZR121" s="1"/>
      <c r="RZS121" s="1"/>
      <c r="RZT121" s="1"/>
      <c r="RZU121" s="1"/>
      <c r="RZV121" s="1"/>
      <c r="RZW121" s="1"/>
      <c r="RZX121" s="1"/>
      <c r="RZY121" s="1"/>
      <c r="RZZ121" s="1"/>
      <c r="SAA121" s="1"/>
      <c r="SAB121" s="1"/>
      <c r="SAC121" s="1"/>
      <c r="SAD121" s="1"/>
      <c r="SAE121" s="1"/>
      <c r="SAF121" s="1"/>
      <c r="SAG121" s="1"/>
      <c r="SAH121" s="1"/>
      <c r="SAI121" s="1"/>
      <c r="SAJ121" s="1"/>
      <c r="SAK121" s="1"/>
      <c r="SAL121" s="1"/>
      <c r="SAM121" s="1"/>
      <c r="SAN121" s="1"/>
      <c r="SAO121" s="1"/>
      <c r="SAP121" s="1"/>
      <c r="SAQ121" s="1"/>
      <c r="SAR121" s="1"/>
      <c r="SAS121" s="1"/>
      <c r="SAT121" s="1"/>
      <c r="SAU121" s="1"/>
      <c r="SAV121" s="1"/>
      <c r="SAW121" s="1"/>
      <c r="SAX121" s="1"/>
      <c r="SAY121" s="1"/>
      <c r="SAZ121" s="1"/>
      <c r="SBA121" s="1"/>
      <c r="SBB121" s="1"/>
      <c r="SBC121" s="1"/>
      <c r="SBD121" s="1"/>
      <c r="SBE121" s="1"/>
      <c r="SBF121" s="1"/>
      <c r="SBG121" s="1"/>
      <c r="SBH121" s="1"/>
      <c r="SBI121" s="1"/>
      <c r="SBJ121" s="1"/>
      <c r="SBK121" s="1"/>
      <c r="SBL121" s="1"/>
      <c r="SBM121" s="1"/>
      <c r="SBN121" s="1"/>
      <c r="SBO121" s="1"/>
      <c r="SBP121" s="1"/>
      <c r="SBQ121" s="1"/>
      <c r="SBR121" s="1"/>
      <c r="SBS121" s="1"/>
      <c r="SBT121" s="1"/>
      <c r="SBU121" s="1"/>
      <c r="SBV121" s="1"/>
      <c r="SBW121" s="1"/>
      <c r="SBX121" s="1"/>
      <c r="SBY121" s="1"/>
      <c r="SBZ121" s="1"/>
      <c r="SCA121" s="1"/>
      <c r="SCB121" s="1"/>
      <c r="SCC121" s="1"/>
      <c r="SCD121" s="1"/>
      <c r="SCE121" s="1"/>
      <c r="SCF121" s="1"/>
      <c r="SCG121" s="1"/>
      <c r="SCH121" s="1"/>
      <c r="SCI121" s="1"/>
      <c r="SCJ121" s="1"/>
      <c r="SCK121" s="1"/>
      <c r="SCL121" s="1"/>
      <c r="SCM121" s="1"/>
      <c r="SCN121" s="1"/>
      <c r="SCO121" s="1"/>
      <c r="SCP121" s="1"/>
      <c r="SCQ121" s="1"/>
      <c r="SCR121" s="1"/>
      <c r="SCS121" s="1"/>
      <c r="SCT121" s="1"/>
      <c r="SCU121" s="1"/>
      <c r="SCV121" s="1"/>
      <c r="SCW121" s="1"/>
      <c r="SCX121" s="1"/>
      <c r="SCY121" s="1"/>
      <c r="SCZ121" s="1"/>
      <c r="SDA121" s="1"/>
      <c r="SDB121" s="1"/>
      <c r="SDC121" s="1"/>
      <c r="SDD121" s="1"/>
      <c r="SDE121" s="1"/>
      <c r="SDF121" s="1"/>
      <c r="SDG121" s="1"/>
      <c r="SDH121" s="1"/>
      <c r="SDI121" s="1"/>
      <c r="SDJ121" s="1"/>
      <c r="SDK121" s="1"/>
      <c r="SDL121" s="1"/>
      <c r="SDM121" s="1"/>
      <c r="SDN121" s="1"/>
      <c r="SDO121" s="1"/>
      <c r="SDP121" s="1"/>
      <c r="SDQ121" s="1"/>
      <c r="SDR121" s="1"/>
      <c r="SDS121" s="1"/>
      <c r="SDT121" s="1"/>
      <c r="SDU121" s="1"/>
      <c r="SDV121" s="1"/>
      <c r="SDW121" s="1"/>
      <c r="SDX121" s="1"/>
      <c r="SDY121" s="1"/>
      <c r="SDZ121" s="1"/>
      <c r="SEA121" s="1"/>
      <c r="SEB121" s="1"/>
      <c r="SEC121" s="1"/>
      <c r="SED121" s="1"/>
      <c r="SEE121" s="1"/>
      <c r="SEF121" s="1"/>
      <c r="SEG121" s="1"/>
      <c r="SEH121" s="1"/>
      <c r="SEI121" s="1"/>
      <c r="SEJ121" s="1"/>
      <c r="SEK121" s="1"/>
      <c r="SEL121" s="1"/>
      <c r="SEM121" s="1"/>
      <c r="SEN121" s="1"/>
      <c r="SEO121" s="1"/>
      <c r="SEP121" s="1"/>
      <c r="SEQ121" s="1"/>
      <c r="SER121" s="1"/>
      <c r="SES121" s="1"/>
      <c r="SET121" s="1"/>
      <c r="SEU121" s="1"/>
      <c r="SEV121" s="1"/>
      <c r="SEW121" s="1"/>
      <c r="SEX121" s="1"/>
      <c r="SEY121" s="1"/>
      <c r="SEZ121" s="1"/>
      <c r="SFA121" s="1"/>
      <c r="SFB121" s="1"/>
      <c r="SFC121" s="1"/>
      <c r="SFD121" s="1"/>
      <c r="SFE121" s="1"/>
      <c r="SFF121" s="1"/>
      <c r="SFG121" s="1"/>
      <c r="SFH121" s="1"/>
      <c r="SFI121" s="1"/>
      <c r="SFJ121" s="1"/>
      <c r="SFK121" s="1"/>
      <c r="SFL121" s="1"/>
      <c r="SFM121" s="1"/>
      <c r="SFN121" s="1"/>
      <c r="SFO121" s="1"/>
      <c r="SFP121" s="1"/>
      <c r="SFQ121" s="1"/>
      <c r="SFR121" s="1"/>
      <c r="SFS121" s="1"/>
      <c r="SFT121" s="1"/>
      <c r="SFU121" s="1"/>
      <c r="SFV121" s="1"/>
      <c r="SFW121" s="1"/>
      <c r="SFX121" s="1"/>
      <c r="SFY121" s="1"/>
      <c r="SFZ121" s="1"/>
      <c r="SGA121" s="1"/>
      <c r="SGB121" s="1"/>
      <c r="SGC121" s="1"/>
      <c r="SGD121" s="1"/>
      <c r="SGE121" s="1"/>
      <c r="SGF121" s="1"/>
      <c r="SGG121" s="1"/>
      <c r="SGH121" s="1"/>
      <c r="SGI121" s="1"/>
      <c r="SGJ121" s="1"/>
      <c r="SGK121" s="1"/>
      <c r="SGL121" s="1"/>
      <c r="SGM121" s="1"/>
      <c r="SGN121" s="1"/>
      <c r="SGO121" s="1"/>
      <c r="SGP121" s="1"/>
      <c r="SGQ121" s="1"/>
      <c r="SGR121" s="1"/>
      <c r="SGS121" s="1"/>
      <c r="SGT121" s="1"/>
      <c r="SGU121" s="1"/>
      <c r="SGV121" s="1"/>
      <c r="SGW121" s="1"/>
      <c r="SGX121" s="1"/>
      <c r="SGY121" s="1"/>
      <c r="SGZ121" s="1"/>
      <c r="SHA121" s="1"/>
      <c r="SHB121" s="1"/>
      <c r="SHC121" s="1"/>
      <c r="SHD121" s="1"/>
      <c r="SHE121" s="1"/>
      <c r="SHF121" s="1"/>
      <c r="SHG121" s="1"/>
      <c r="SHH121" s="1"/>
      <c r="SHI121" s="1"/>
      <c r="SHJ121" s="1"/>
      <c r="SHK121" s="1"/>
      <c r="SHL121" s="1"/>
      <c r="SHM121" s="1"/>
      <c r="SHN121" s="1"/>
      <c r="SHO121" s="1"/>
      <c r="SHP121" s="1"/>
      <c r="SHQ121" s="1"/>
      <c r="SHR121" s="1"/>
      <c r="SHS121" s="1"/>
      <c r="SHT121" s="1"/>
      <c r="SHU121" s="1"/>
      <c r="SHV121" s="1"/>
      <c r="SHW121" s="1"/>
      <c r="SHX121" s="1"/>
      <c r="SHY121" s="1"/>
      <c r="SHZ121" s="1"/>
      <c r="SIA121" s="1"/>
      <c r="SIB121" s="1"/>
      <c r="SIC121" s="1"/>
      <c r="SID121" s="1"/>
      <c r="SIE121" s="1"/>
      <c r="SIF121" s="1"/>
      <c r="SIG121" s="1"/>
      <c r="SIH121" s="1"/>
      <c r="SII121" s="1"/>
      <c r="SIJ121" s="1"/>
      <c r="SIK121" s="1"/>
      <c r="SIL121" s="1"/>
      <c r="SIM121" s="1"/>
      <c r="SIN121" s="1"/>
      <c r="SIO121" s="1"/>
      <c r="SIP121" s="1"/>
      <c r="SIQ121" s="1"/>
      <c r="SIR121" s="1"/>
      <c r="SIS121" s="1"/>
      <c r="SIT121" s="1"/>
      <c r="SIU121" s="1"/>
      <c r="SIV121" s="1"/>
      <c r="SIW121" s="1"/>
      <c r="SIX121" s="1"/>
      <c r="SIY121" s="1"/>
      <c r="SIZ121" s="1"/>
      <c r="SJA121" s="1"/>
      <c r="SJB121" s="1"/>
      <c r="SJC121" s="1"/>
      <c r="SJD121" s="1"/>
      <c r="SJE121" s="1"/>
      <c r="SJF121" s="1"/>
      <c r="SJG121" s="1"/>
      <c r="SJH121" s="1"/>
      <c r="SJI121" s="1"/>
      <c r="SJJ121" s="1"/>
      <c r="SJK121" s="1"/>
      <c r="SJL121" s="1"/>
      <c r="SJM121" s="1"/>
      <c r="SJN121" s="1"/>
      <c r="SJO121" s="1"/>
      <c r="SJP121" s="1"/>
      <c r="SJQ121" s="1"/>
      <c r="SJR121" s="1"/>
      <c r="SJS121" s="1"/>
      <c r="SJT121" s="1"/>
      <c r="SJU121" s="1"/>
      <c r="SJV121" s="1"/>
      <c r="SJW121" s="1"/>
      <c r="SJX121" s="1"/>
      <c r="SJY121" s="1"/>
      <c r="SJZ121" s="1"/>
      <c r="SKA121" s="1"/>
      <c r="SKB121" s="1"/>
      <c r="SKC121" s="1"/>
      <c r="SKD121" s="1"/>
      <c r="SKE121" s="1"/>
      <c r="SKF121" s="1"/>
      <c r="SKG121" s="1"/>
      <c r="SKH121" s="1"/>
      <c r="SKI121" s="1"/>
      <c r="SKJ121" s="1"/>
      <c r="SKK121" s="1"/>
      <c r="SKL121" s="1"/>
      <c r="SKM121" s="1"/>
      <c r="SKN121" s="1"/>
      <c r="SKO121" s="1"/>
      <c r="SKP121" s="1"/>
      <c r="SKQ121" s="1"/>
      <c r="SKR121" s="1"/>
      <c r="SKS121" s="1"/>
      <c r="SKT121" s="1"/>
      <c r="SKU121" s="1"/>
      <c r="SKV121" s="1"/>
      <c r="SKW121" s="1"/>
      <c r="SKX121" s="1"/>
      <c r="SKY121" s="1"/>
      <c r="SKZ121" s="1"/>
      <c r="SLA121" s="1"/>
      <c r="SLB121" s="1"/>
      <c r="SLC121" s="1"/>
      <c r="SLD121" s="1"/>
      <c r="SLE121" s="1"/>
      <c r="SLF121" s="1"/>
      <c r="SLG121" s="1"/>
      <c r="SLH121" s="1"/>
      <c r="SLI121" s="1"/>
      <c r="SLJ121" s="1"/>
      <c r="SLK121" s="1"/>
      <c r="SLL121" s="1"/>
      <c r="SLM121" s="1"/>
      <c r="SLN121" s="1"/>
      <c r="SLO121" s="1"/>
      <c r="SLP121" s="1"/>
      <c r="SLQ121" s="1"/>
      <c r="SLR121" s="1"/>
      <c r="SLS121" s="1"/>
      <c r="SLT121" s="1"/>
      <c r="SLU121" s="1"/>
      <c r="SLV121" s="1"/>
      <c r="SLW121" s="1"/>
      <c r="SLX121" s="1"/>
      <c r="SLY121" s="1"/>
      <c r="SLZ121" s="1"/>
      <c r="SMA121" s="1"/>
      <c r="SMB121" s="1"/>
      <c r="SMC121" s="1"/>
      <c r="SMD121" s="1"/>
      <c r="SME121" s="1"/>
      <c r="SMF121" s="1"/>
      <c r="SMG121" s="1"/>
      <c r="SMH121" s="1"/>
      <c r="SMI121" s="1"/>
      <c r="SMJ121" s="1"/>
      <c r="SMK121" s="1"/>
      <c r="SML121" s="1"/>
      <c r="SMM121" s="1"/>
      <c r="SMN121" s="1"/>
      <c r="SMO121" s="1"/>
      <c r="SMP121" s="1"/>
      <c r="SMQ121" s="1"/>
      <c r="SMR121" s="1"/>
      <c r="SMS121" s="1"/>
      <c r="SMT121" s="1"/>
      <c r="SMU121" s="1"/>
      <c r="SMV121" s="1"/>
      <c r="SMW121" s="1"/>
      <c r="SMX121" s="1"/>
      <c r="SMY121" s="1"/>
      <c r="SMZ121" s="1"/>
      <c r="SNA121" s="1"/>
      <c r="SNB121" s="1"/>
      <c r="SNC121" s="1"/>
      <c r="SND121" s="1"/>
      <c r="SNE121" s="1"/>
      <c r="SNF121" s="1"/>
      <c r="SNG121" s="1"/>
      <c r="SNH121" s="1"/>
      <c r="SNI121" s="1"/>
      <c r="SNJ121" s="1"/>
      <c r="SNK121" s="1"/>
      <c r="SNL121" s="1"/>
      <c r="SNM121" s="1"/>
      <c r="SNN121" s="1"/>
      <c r="SNO121" s="1"/>
      <c r="SNP121" s="1"/>
      <c r="SNQ121" s="1"/>
      <c r="SNR121" s="1"/>
      <c r="SNS121" s="1"/>
      <c r="SNT121" s="1"/>
      <c r="SNU121" s="1"/>
      <c r="SNV121" s="1"/>
      <c r="SNW121" s="1"/>
      <c r="SNX121" s="1"/>
      <c r="SNY121" s="1"/>
      <c r="SNZ121" s="1"/>
      <c r="SOA121" s="1"/>
      <c r="SOB121" s="1"/>
      <c r="SOC121" s="1"/>
      <c r="SOD121" s="1"/>
      <c r="SOE121" s="1"/>
      <c r="SOF121" s="1"/>
      <c r="SOG121" s="1"/>
      <c r="SOH121" s="1"/>
      <c r="SOI121" s="1"/>
      <c r="SOJ121" s="1"/>
      <c r="SOK121" s="1"/>
      <c r="SOL121" s="1"/>
      <c r="SOM121" s="1"/>
      <c r="SON121" s="1"/>
      <c r="SOO121" s="1"/>
      <c r="SOP121" s="1"/>
      <c r="SOQ121" s="1"/>
      <c r="SOR121" s="1"/>
      <c r="SOS121" s="1"/>
      <c r="SOT121" s="1"/>
      <c r="SOU121" s="1"/>
      <c r="SOV121" s="1"/>
      <c r="SOW121" s="1"/>
      <c r="SOX121" s="1"/>
      <c r="SOY121" s="1"/>
      <c r="SOZ121" s="1"/>
      <c r="SPA121" s="1"/>
      <c r="SPB121" s="1"/>
      <c r="SPC121" s="1"/>
      <c r="SPD121" s="1"/>
      <c r="SPE121" s="1"/>
      <c r="SPF121" s="1"/>
      <c r="SPG121" s="1"/>
      <c r="SPH121" s="1"/>
      <c r="SPI121" s="1"/>
      <c r="SPJ121" s="1"/>
      <c r="SPK121" s="1"/>
      <c r="SPL121" s="1"/>
      <c r="SPM121" s="1"/>
      <c r="SPN121" s="1"/>
      <c r="SPO121" s="1"/>
      <c r="SPP121" s="1"/>
      <c r="SPQ121" s="1"/>
      <c r="SPR121" s="1"/>
      <c r="SPS121" s="1"/>
      <c r="SPT121" s="1"/>
      <c r="SPU121" s="1"/>
      <c r="SPV121" s="1"/>
      <c r="SPW121" s="1"/>
      <c r="SPX121" s="1"/>
      <c r="SPY121" s="1"/>
      <c r="SPZ121" s="1"/>
      <c r="SQA121" s="1"/>
      <c r="SQB121" s="1"/>
      <c r="SQC121" s="1"/>
      <c r="SQD121" s="1"/>
      <c r="SQE121" s="1"/>
      <c r="SQF121" s="1"/>
      <c r="SQG121" s="1"/>
      <c r="SQH121" s="1"/>
      <c r="SQI121" s="1"/>
      <c r="SQJ121" s="1"/>
      <c r="SQK121" s="1"/>
      <c r="SQL121" s="1"/>
      <c r="SQM121" s="1"/>
      <c r="SQN121" s="1"/>
      <c r="SQO121" s="1"/>
      <c r="SQP121" s="1"/>
      <c r="SQQ121" s="1"/>
      <c r="SQR121" s="1"/>
      <c r="SQS121" s="1"/>
      <c r="SQT121" s="1"/>
      <c r="SQU121" s="1"/>
      <c r="SQV121" s="1"/>
      <c r="SQW121" s="1"/>
      <c r="SQX121" s="1"/>
      <c r="SQY121" s="1"/>
      <c r="SQZ121" s="1"/>
      <c r="SRA121" s="1"/>
      <c r="SRB121" s="1"/>
      <c r="SRC121" s="1"/>
      <c r="SRD121" s="1"/>
      <c r="SRE121" s="1"/>
      <c r="SRF121" s="1"/>
      <c r="SRG121" s="1"/>
      <c r="SRH121" s="1"/>
      <c r="SRI121" s="1"/>
      <c r="SRJ121" s="1"/>
      <c r="SRK121" s="1"/>
      <c r="SRL121" s="1"/>
      <c r="SRM121" s="1"/>
      <c r="SRN121" s="1"/>
      <c r="SRO121" s="1"/>
      <c r="SRP121" s="1"/>
      <c r="SRQ121" s="1"/>
      <c r="SRR121" s="1"/>
      <c r="SRS121" s="1"/>
      <c r="SRT121" s="1"/>
      <c r="SRU121" s="1"/>
      <c r="SRV121" s="1"/>
      <c r="SRW121" s="1"/>
      <c r="SRX121" s="1"/>
      <c r="SRY121" s="1"/>
      <c r="SRZ121" s="1"/>
      <c r="SSA121" s="1"/>
      <c r="SSB121" s="1"/>
      <c r="SSC121" s="1"/>
      <c r="SSD121" s="1"/>
      <c r="SSE121" s="1"/>
      <c r="SSF121" s="1"/>
      <c r="SSG121" s="1"/>
      <c r="SSH121" s="1"/>
      <c r="SSI121" s="1"/>
      <c r="SSJ121" s="1"/>
      <c r="SSK121" s="1"/>
      <c r="SSL121" s="1"/>
      <c r="SSM121" s="1"/>
      <c r="SSN121" s="1"/>
      <c r="SSO121" s="1"/>
      <c r="SSP121" s="1"/>
      <c r="SSQ121" s="1"/>
      <c r="SSR121" s="1"/>
      <c r="SSS121" s="1"/>
      <c r="SST121" s="1"/>
      <c r="SSU121" s="1"/>
      <c r="SSV121" s="1"/>
      <c r="SSW121" s="1"/>
      <c r="SSX121" s="1"/>
      <c r="SSY121" s="1"/>
      <c r="SSZ121" s="1"/>
      <c r="STA121" s="1"/>
      <c r="STB121" s="1"/>
      <c r="STC121" s="1"/>
      <c r="STD121" s="1"/>
      <c r="STE121" s="1"/>
      <c r="STF121" s="1"/>
      <c r="STG121" s="1"/>
      <c r="STH121" s="1"/>
      <c r="STI121" s="1"/>
      <c r="STJ121" s="1"/>
      <c r="STK121" s="1"/>
      <c r="STL121" s="1"/>
      <c r="STM121" s="1"/>
      <c r="STN121" s="1"/>
      <c r="STO121" s="1"/>
      <c r="STP121" s="1"/>
      <c r="STQ121" s="1"/>
      <c r="STR121" s="1"/>
      <c r="STS121" s="1"/>
      <c r="STT121" s="1"/>
      <c r="STU121" s="1"/>
      <c r="STV121" s="1"/>
      <c r="STW121" s="1"/>
      <c r="STX121" s="1"/>
      <c r="STY121" s="1"/>
      <c r="STZ121" s="1"/>
      <c r="SUA121" s="1"/>
      <c r="SUB121" s="1"/>
      <c r="SUC121" s="1"/>
      <c r="SUD121" s="1"/>
      <c r="SUE121" s="1"/>
      <c r="SUF121" s="1"/>
      <c r="SUG121" s="1"/>
      <c r="SUH121" s="1"/>
      <c r="SUI121" s="1"/>
      <c r="SUJ121" s="1"/>
      <c r="SUK121" s="1"/>
      <c r="SUL121" s="1"/>
      <c r="SUM121" s="1"/>
      <c r="SUN121" s="1"/>
      <c r="SUO121" s="1"/>
      <c r="SUP121" s="1"/>
      <c r="SUQ121" s="1"/>
      <c r="SUR121" s="1"/>
      <c r="SUS121" s="1"/>
      <c r="SUT121" s="1"/>
      <c r="SUU121" s="1"/>
      <c r="SUV121" s="1"/>
      <c r="SUW121" s="1"/>
      <c r="SUX121" s="1"/>
      <c r="SUY121" s="1"/>
      <c r="SUZ121" s="1"/>
      <c r="SVA121" s="1"/>
      <c r="SVB121" s="1"/>
      <c r="SVC121" s="1"/>
      <c r="SVD121" s="1"/>
      <c r="SVE121" s="1"/>
      <c r="SVF121" s="1"/>
      <c r="SVG121" s="1"/>
      <c r="SVH121" s="1"/>
      <c r="SVI121" s="1"/>
      <c r="SVJ121" s="1"/>
      <c r="SVK121" s="1"/>
      <c r="SVL121" s="1"/>
      <c r="SVM121" s="1"/>
      <c r="SVN121" s="1"/>
      <c r="SVO121" s="1"/>
      <c r="SVP121" s="1"/>
      <c r="SVQ121" s="1"/>
      <c r="SVR121" s="1"/>
      <c r="SVS121" s="1"/>
      <c r="SVT121" s="1"/>
      <c r="SVU121" s="1"/>
      <c r="SVV121" s="1"/>
      <c r="SVW121" s="1"/>
      <c r="SVX121" s="1"/>
      <c r="SVY121" s="1"/>
      <c r="SVZ121" s="1"/>
      <c r="SWA121" s="1"/>
      <c r="SWB121" s="1"/>
      <c r="SWC121" s="1"/>
      <c r="SWD121" s="1"/>
      <c r="SWE121" s="1"/>
      <c r="SWF121" s="1"/>
      <c r="SWG121" s="1"/>
      <c r="SWH121" s="1"/>
      <c r="SWI121" s="1"/>
      <c r="SWJ121" s="1"/>
      <c r="SWK121" s="1"/>
      <c r="SWL121" s="1"/>
      <c r="SWM121" s="1"/>
      <c r="SWN121" s="1"/>
      <c r="SWO121" s="1"/>
      <c r="SWP121" s="1"/>
      <c r="SWQ121" s="1"/>
      <c r="SWR121" s="1"/>
      <c r="SWS121" s="1"/>
      <c r="SWT121" s="1"/>
      <c r="SWU121" s="1"/>
      <c r="SWV121" s="1"/>
      <c r="SWW121" s="1"/>
      <c r="SWX121" s="1"/>
      <c r="SWY121" s="1"/>
      <c r="SWZ121" s="1"/>
      <c r="SXA121" s="1"/>
      <c r="SXB121" s="1"/>
      <c r="SXC121" s="1"/>
      <c r="SXD121" s="1"/>
      <c r="SXE121" s="1"/>
      <c r="SXF121" s="1"/>
      <c r="SXG121" s="1"/>
      <c r="SXH121" s="1"/>
      <c r="SXI121" s="1"/>
      <c r="SXJ121" s="1"/>
      <c r="SXK121" s="1"/>
      <c r="SXL121" s="1"/>
      <c r="SXM121" s="1"/>
      <c r="SXN121" s="1"/>
      <c r="SXO121" s="1"/>
      <c r="SXP121" s="1"/>
      <c r="SXQ121" s="1"/>
      <c r="SXR121" s="1"/>
      <c r="SXS121" s="1"/>
      <c r="SXT121" s="1"/>
      <c r="SXU121" s="1"/>
      <c r="SXV121" s="1"/>
      <c r="SXW121" s="1"/>
      <c r="SXX121" s="1"/>
      <c r="SXY121" s="1"/>
      <c r="SXZ121" s="1"/>
      <c r="SYA121" s="1"/>
      <c r="SYB121" s="1"/>
      <c r="SYC121" s="1"/>
      <c r="SYD121" s="1"/>
      <c r="SYE121" s="1"/>
      <c r="SYF121" s="1"/>
      <c r="SYG121" s="1"/>
      <c r="SYH121" s="1"/>
      <c r="SYI121" s="1"/>
      <c r="SYJ121" s="1"/>
      <c r="SYK121" s="1"/>
      <c r="SYL121" s="1"/>
      <c r="SYM121" s="1"/>
      <c r="SYN121" s="1"/>
      <c r="SYO121" s="1"/>
      <c r="SYP121" s="1"/>
      <c r="SYQ121" s="1"/>
      <c r="SYR121" s="1"/>
      <c r="SYS121" s="1"/>
      <c r="SYT121" s="1"/>
      <c r="SYU121" s="1"/>
      <c r="SYV121" s="1"/>
      <c r="SYW121" s="1"/>
      <c r="SYX121" s="1"/>
      <c r="SYY121" s="1"/>
      <c r="SYZ121" s="1"/>
      <c r="SZA121" s="1"/>
      <c r="SZB121" s="1"/>
      <c r="SZC121" s="1"/>
      <c r="SZD121" s="1"/>
      <c r="SZE121" s="1"/>
      <c r="SZF121" s="1"/>
      <c r="SZG121" s="1"/>
      <c r="SZH121" s="1"/>
      <c r="SZI121" s="1"/>
      <c r="SZJ121" s="1"/>
      <c r="SZK121" s="1"/>
      <c r="SZL121" s="1"/>
      <c r="SZM121" s="1"/>
      <c r="SZN121" s="1"/>
      <c r="SZO121" s="1"/>
      <c r="SZP121" s="1"/>
      <c r="SZQ121" s="1"/>
      <c r="SZR121" s="1"/>
      <c r="SZS121" s="1"/>
      <c r="SZT121" s="1"/>
      <c r="SZU121" s="1"/>
      <c r="SZV121" s="1"/>
      <c r="SZW121" s="1"/>
      <c r="SZX121" s="1"/>
      <c r="SZY121" s="1"/>
      <c r="SZZ121" s="1"/>
      <c r="TAA121" s="1"/>
      <c r="TAB121" s="1"/>
      <c r="TAC121" s="1"/>
      <c r="TAD121" s="1"/>
      <c r="TAE121" s="1"/>
      <c r="TAF121" s="1"/>
      <c r="TAG121" s="1"/>
      <c r="TAH121" s="1"/>
      <c r="TAI121" s="1"/>
      <c r="TAJ121" s="1"/>
      <c r="TAK121" s="1"/>
      <c r="TAL121" s="1"/>
      <c r="TAM121" s="1"/>
      <c r="TAN121" s="1"/>
      <c r="TAO121" s="1"/>
      <c r="TAP121" s="1"/>
      <c r="TAQ121" s="1"/>
      <c r="TAR121" s="1"/>
      <c r="TAS121" s="1"/>
      <c r="TAT121" s="1"/>
      <c r="TAU121" s="1"/>
      <c r="TAV121" s="1"/>
      <c r="TAW121" s="1"/>
      <c r="TAX121" s="1"/>
      <c r="TAY121" s="1"/>
      <c r="TAZ121" s="1"/>
      <c r="TBA121" s="1"/>
      <c r="TBB121" s="1"/>
      <c r="TBC121" s="1"/>
      <c r="TBD121" s="1"/>
      <c r="TBE121" s="1"/>
      <c r="TBF121" s="1"/>
      <c r="TBG121" s="1"/>
      <c r="TBH121" s="1"/>
      <c r="TBI121" s="1"/>
      <c r="TBJ121" s="1"/>
      <c r="TBK121" s="1"/>
      <c r="TBL121" s="1"/>
      <c r="TBM121" s="1"/>
      <c r="TBN121" s="1"/>
      <c r="TBO121" s="1"/>
      <c r="TBP121" s="1"/>
      <c r="TBQ121" s="1"/>
      <c r="TBR121" s="1"/>
      <c r="TBS121" s="1"/>
      <c r="TBT121" s="1"/>
      <c r="TBU121" s="1"/>
      <c r="TBV121" s="1"/>
      <c r="TBW121" s="1"/>
      <c r="TBX121" s="1"/>
      <c r="TBY121" s="1"/>
      <c r="TBZ121" s="1"/>
      <c r="TCA121" s="1"/>
      <c r="TCB121" s="1"/>
      <c r="TCC121" s="1"/>
      <c r="TCD121" s="1"/>
      <c r="TCE121" s="1"/>
      <c r="TCF121" s="1"/>
      <c r="TCG121" s="1"/>
      <c r="TCH121" s="1"/>
      <c r="TCI121" s="1"/>
      <c r="TCJ121" s="1"/>
      <c r="TCK121" s="1"/>
      <c r="TCL121" s="1"/>
      <c r="TCM121" s="1"/>
      <c r="TCN121" s="1"/>
      <c r="TCO121" s="1"/>
      <c r="TCP121" s="1"/>
      <c r="TCQ121" s="1"/>
      <c r="TCR121" s="1"/>
      <c r="TCS121" s="1"/>
      <c r="TCT121" s="1"/>
      <c r="TCU121" s="1"/>
      <c r="TCV121" s="1"/>
      <c r="TCW121" s="1"/>
      <c r="TCX121" s="1"/>
      <c r="TCY121" s="1"/>
      <c r="TCZ121" s="1"/>
      <c r="TDA121" s="1"/>
      <c r="TDB121" s="1"/>
      <c r="TDC121" s="1"/>
      <c r="TDD121" s="1"/>
      <c r="TDE121" s="1"/>
      <c r="TDF121" s="1"/>
      <c r="TDG121" s="1"/>
      <c r="TDH121" s="1"/>
      <c r="TDI121" s="1"/>
      <c r="TDJ121" s="1"/>
      <c r="TDK121" s="1"/>
      <c r="TDL121" s="1"/>
      <c r="TDM121" s="1"/>
      <c r="TDN121" s="1"/>
      <c r="TDO121" s="1"/>
      <c r="TDP121" s="1"/>
      <c r="TDQ121" s="1"/>
      <c r="TDR121" s="1"/>
      <c r="TDS121" s="1"/>
      <c r="TDT121" s="1"/>
      <c r="TDU121" s="1"/>
      <c r="TDV121" s="1"/>
      <c r="TDW121" s="1"/>
      <c r="TDX121" s="1"/>
      <c r="TDY121" s="1"/>
      <c r="TDZ121" s="1"/>
      <c r="TEA121" s="1"/>
      <c r="TEB121" s="1"/>
      <c r="TEC121" s="1"/>
      <c r="TED121" s="1"/>
      <c r="TEE121" s="1"/>
      <c r="TEF121" s="1"/>
      <c r="TEG121" s="1"/>
      <c r="TEH121" s="1"/>
      <c r="TEI121" s="1"/>
      <c r="TEJ121" s="1"/>
      <c r="TEK121" s="1"/>
      <c r="TEL121" s="1"/>
      <c r="TEM121" s="1"/>
      <c r="TEN121" s="1"/>
      <c r="TEO121" s="1"/>
      <c r="TEP121" s="1"/>
      <c r="TEQ121" s="1"/>
      <c r="TER121" s="1"/>
      <c r="TES121" s="1"/>
      <c r="TET121" s="1"/>
      <c r="TEU121" s="1"/>
      <c r="TEV121" s="1"/>
      <c r="TEW121" s="1"/>
      <c r="TEX121" s="1"/>
      <c r="TEY121" s="1"/>
      <c r="TEZ121" s="1"/>
      <c r="TFA121" s="1"/>
      <c r="TFB121" s="1"/>
      <c r="TFC121" s="1"/>
      <c r="TFD121" s="1"/>
      <c r="TFE121" s="1"/>
      <c r="TFF121" s="1"/>
      <c r="TFG121" s="1"/>
      <c r="TFH121" s="1"/>
      <c r="TFI121" s="1"/>
      <c r="TFJ121" s="1"/>
      <c r="TFK121" s="1"/>
      <c r="TFL121" s="1"/>
      <c r="TFM121" s="1"/>
      <c r="TFN121" s="1"/>
      <c r="TFO121" s="1"/>
      <c r="TFP121" s="1"/>
      <c r="TFQ121" s="1"/>
      <c r="TFR121" s="1"/>
      <c r="TFS121" s="1"/>
      <c r="TFT121" s="1"/>
      <c r="TFU121" s="1"/>
      <c r="TFV121" s="1"/>
      <c r="TFW121" s="1"/>
      <c r="TFX121" s="1"/>
      <c r="TFY121" s="1"/>
      <c r="TFZ121" s="1"/>
      <c r="TGA121" s="1"/>
      <c r="TGB121" s="1"/>
      <c r="TGC121" s="1"/>
      <c r="TGD121" s="1"/>
      <c r="TGE121" s="1"/>
      <c r="TGF121" s="1"/>
      <c r="TGG121" s="1"/>
      <c r="TGH121" s="1"/>
      <c r="TGI121" s="1"/>
      <c r="TGJ121" s="1"/>
      <c r="TGK121" s="1"/>
      <c r="TGL121" s="1"/>
      <c r="TGM121" s="1"/>
      <c r="TGN121" s="1"/>
      <c r="TGO121" s="1"/>
      <c r="TGP121" s="1"/>
      <c r="TGQ121" s="1"/>
      <c r="TGR121" s="1"/>
      <c r="TGS121" s="1"/>
      <c r="TGT121" s="1"/>
      <c r="TGU121" s="1"/>
      <c r="TGV121" s="1"/>
      <c r="TGW121" s="1"/>
      <c r="TGX121" s="1"/>
      <c r="TGY121" s="1"/>
      <c r="TGZ121" s="1"/>
      <c r="THA121" s="1"/>
      <c r="THB121" s="1"/>
      <c r="THC121" s="1"/>
      <c r="THD121" s="1"/>
      <c r="THE121" s="1"/>
      <c r="THF121" s="1"/>
      <c r="THG121" s="1"/>
      <c r="THH121" s="1"/>
      <c r="THI121" s="1"/>
      <c r="THJ121" s="1"/>
      <c r="THK121" s="1"/>
      <c r="THL121" s="1"/>
      <c r="THM121" s="1"/>
      <c r="THN121" s="1"/>
      <c r="THO121" s="1"/>
      <c r="THP121" s="1"/>
      <c r="THQ121" s="1"/>
      <c r="THR121" s="1"/>
      <c r="THS121" s="1"/>
      <c r="THT121" s="1"/>
      <c r="THU121" s="1"/>
      <c r="THV121" s="1"/>
      <c r="THW121" s="1"/>
      <c r="THX121" s="1"/>
      <c r="THY121" s="1"/>
      <c r="THZ121" s="1"/>
      <c r="TIA121" s="1"/>
      <c r="TIB121" s="1"/>
      <c r="TIC121" s="1"/>
      <c r="TID121" s="1"/>
      <c r="TIE121" s="1"/>
      <c r="TIF121" s="1"/>
      <c r="TIG121" s="1"/>
      <c r="TIH121" s="1"/>
      <c r="TII121" s="1"/>
      <c r="TIJ121" s="1"/>
      <c r="TIK121" s="1"/>
      <c r="TIL121" s="1"/>
      <c r="TIM121" s="1"/>
      <c r="TIN121" s="1"/>
      <c r="TIO121" s="1"/>
      <c r="TIP121" s="1"/>
      <c r="TIQ121" s="1"/>
      <c r="TIR121" s="1"/>
      <c r="TIS121" s="1"/>
      <c r="TIT121" s="1"/>
      <c r="TIU121" s="1"/>
      <c r="TIV121" s="1"/>
      <c r="TIW121" s="1"/>
      <c r="TIX121" s="1"/>
      <c r="TIY121" s="1"/>
      <c r="TIZ121" s="1"/>
      <c r="TJA121" s="1"/>
      <c r="TJB121" s="1"/>
      <c r="TJC121" s="1"/>
      <c r="TJD121" s="1"/>
      <c r="TJE121" s="1"/>
      <c r="TJF121" s="1"/>
      <c r="TJG121" s="1"/>
      <c r="TJH121" s="1"/>
      <c r="TJI121" s="1"/>
      <c r="TJJ121" s="1"/>
      <c r="TJK121" s="1"/>
      <c r="TJL121" s="1"/>
      <c r="TJM121" s="1"/>
      <c r="TJN121" s="1"/>
      <c r="TJO121" s="1"/>
      <c r="TJP121" s="1"/>
      <c r="TJQ121" s="1"/>
      <c r="TJR121" s="1"/>
      <c r="TJS121" s="1"/>
      <c r="TJT121" s="1"/>
      <c r="TJU121" s="1"/>
      <c r="TJV121" s="1"/>
      <c r="TJW121" s="1"/>
      <c r="TJX121" s="1"/>
      <c r="TJY121" s="1"/>
      <c r="TJZ121" s="1"/>
      <c r="TKA121" s="1"/>
      <c r="TKB121" s="1"/>
      <c r="TKC121" s="1"/>
      <c r="TKD121" s="1"/>
      <c r="TKE121" s="1"/>
      <c r="TKF121" s="1"/>
      <c r="TKG121" s="1"/>
      <c r="TKH121" s="1"/>
      <c r="TKI121" s="1"/>
      <c r="TKJ121" s="1"/>
      <c r="TKK121" s="1"/>
      <c r="TKL121" s="1"/>
      <c r="TKM121" s="1"/>
      <c r="TKN121" s="1"/>
      <c r="TKO121" s="1"/>
      <c r="TKP121" s="1"/>
      <c r="TKQ121" s="1"/>
      <c r="TKR121" s="1"/>
      <c r="TKS121" s="1"/>
      <c r="TKT121" s="1"/>
      <c r="TKU121" s="1"/>
      <c r="TKV121" s="1"/>
      <c r="TKW121" s="1"/>
      <c r="TKX121" s="1"/>
      <c r="TKY121" s="1"/>
      <c r="TKZ121" s="1"/>
      <c r="TLA121" s="1"/>
      <c r="TLB121" s="1"/>
      <c r="TLC121" s="1"/>
      <c r="TLD121" s="1"/>
      <c r="TLE121" s="1"/>
      <c r="TLF121" s="1"/>
      <c r="TLG121" s="1"/>
      <c r="TLH121" s="1"/>
      <c r="TLI121" s="1"/>
      <c r="TLJ121" s="1"/>
      <c r="TLK121" s="1"/>
      <c r="TLL121" s="1"/>
      <c r="TLM121" s="1"/>
      <c r="TLN121" s="1"/>
      <c r="TLO121" s="1"/>
      <c r="TLP121" s="1"/>
      <c r="TLQ121" s="1"/>
      <c r="TLR121" s="1"/>
      <c r="TLS121" s="1"/>
      <c r="TLT121" s="1"/>
      <c r="TLU121" s="1"/>
      <c r="TLV121" s="1"/>
      <c r="TLW121" s="1"/>
      <c r="TLX121" s="1"/>
      <c r="TLY121" s="1"/>
      <c r="TLZ121" s="1"/>
      <c r="TMA121" s="1"/>
      <c r="TMB121" s="1"/>
      <c r="TMC121" s="1"/>
      <c r="TMD121" s="1"/>
      <c r="TME121" s="1"/>
      <c r="TMF121" s="1"/>
      <c r="TMG121" s="1"/>
      <c r="TMH121" s="1"/>
      <c r="TMI121" s="1"/>
      <c r="TMJ121" s="1"/>
      <c r="TMK121" s="1"/>
      <c r="TML121" s="1"/>
      <c r="TMM121" s="1"/>
      <c r="TMN121" s="1"/>
      <c r="TMO121" s="1"/>
      <c r="TMP121" s="1"/>
      <c r="TMQ121" s="1"/>
      <c r="TMR121" s="1"/>
      <c r="TMS121" s="1"/>
      <c r="TMT121" s="1"/>
      <c r="TMU121" s="1"/>
      <c r="TMV121" s="1"/>
      <c r="TMW121" s="1"/>
      <c r="TMX121" s="1"/>
      <c r="TMY121" s="1"/>
      <c r="TMZ121" s="1"/>
      <c r="TNA121" s="1"/>
      <c r="TNB121" s="1"/>
      <c r="TNC121" s="1"/>
      <c r="TND121" s="1"/>
      <c r="TNE121" s="1"/>
      <c r="TNF121" s="1"/>
      <c r="TNG121" s="1"/>
      <c r="TNH121" s="1"/>
      <c r="TNI121" s="1"/>
      <c r="TNJ121" s="1"/>
      <c r="TNK121" s="1"/>
      <c r="TNL121" s="1"/>
      <c r="TNM121" s="1"/>
      <c r="TNN121" s="1"/>
      <c r="TNO121" s="1"/>
      <c r="TNP121" s="1"/>
      <c r="TNQ121" s="1"/>
      <c r="TNR121" s="1"/>
      <c r="TNS121" s="1"/>
      <c r="TNT121" s="1"/>
      <c r="TNU121" s="1"/>
      <c r="TNV121" s="1"/>
      <c r="TNW121" s="1"/>
      <c r="TNX121" s="1"/>
      <c r="TNY121" s="1"/>
      <c r="TNZ121" s="1"/>
      <c r="TOA121" s="1"/>
      <c r="TOB121" s="1"/>
      <c r="TOC121" s="1"/>
      <c r="TOD121" s="1"/>
      <c r="TOE121" s="1"/>
      <c r="TOF121" s="1"/>
      <c r="TOG121" s="1"/>
      <c r="TOH121" s="1"/>
      <c r="TOI121" s="1"/>
      <c r="TOJ121" s="1"/>
      <c r="TOK121" s="1"/>
      <c r="TOL121" s="1"/>
      <c r="TOM121" s="1"/>
      <c r="TON121" s="1"/>
      <c r="TOO121" s="1"/>
      <c r="TOP121" s="1"/>
      <c r="TOQ121" s="1"/>
      <c r="TOR121" s="1"/>
      <c r="TOS121" s="1"/>
      <c r="TOT121" s="1"/>
      <c r="TOU121" s="1"/>
      <c r="TOV121" s="1"/>
      <c r="TOW121" s="1"/>
      <c r="TOX121" s="1"/>
      <c r="TOY121" s="1"/>
      <c r="TOZ121" s="1"/>
      <c r="TPA121" s="1"/>
      <c r="TPB121" s="1"/>
      <c r="TPC121" s="1"/>
      <c r="TPD121" s="1"/>
      <c r="TPE121" s="1"/>
      <c r="TPF121" s="1"/>
      <c r="TPG121" s="1"/>
      <c r="TPH121" s="1"/>
      <c r="TPI121" s="1"/>
      <c r="TPJ121" s="1"/>
      <c r="TPK121" s="1"/>
      <c r="TPL121" s="1"/>
      <c r="TPM121" s="1"/>
      <c r="TPN121" s="1"/>
      <c r="TPO121" s="1"/>
      <c r="TPP121" s="1"/>
      <c r="TPQ121" s="1"/>
      <c r="TPR121" s="1"/>
      <c r="TPS121" s="1"/>
      <c r="TPT121" s="1"/>
      <c r="TPU121" s="1"/>
      <c r="TPV121" s="1"/>
      <c r="TPW121" s="1"/>
      <c r="TPX121" s="1"/>
      <c r="TPY121" s="1"/>
      <c r="TPZ121" s="1"/>
      <c r="TQA121" s="1"/>
      <c r="TQB121" s="1"/>
      <c r="TQC121" s="1"/>
      <c r="TQD121" s="1"/>
      <c r="TQE121" s="1"/>
      <c r="TQF121" s="1"/>
      <c r="TQG121" s="1"/>
      <c r="TQH121" s="1"/>
      <c r="TQI121" s="1"/>
      <c r="TQJ121" s="1"/>
      <c r="TQK121" s="1"/>
      <c r="TQL121" s="1"/>
      <c r="TQM121" s="1"/>
      <c r="TQN121" s="1"/>
      <c r="TQO121" s="1"/>
      <c r="TQP121" s="1"/>
      <c r="TQQ121" s="1"/>
      <c r="TQR121" s="1"/>
      <c r="TQS121" s="1"/>
      <c r="TQT121" s="1"/>
      <c r="TQU121" s="1"/>
      <c r="TQV121" s="1"/>
      <c r="TQW121" s="1"/>
      <c r="TQX121" s="1"/>
      <c r="TQY121" s="1"/>
      <c r="TQZ121" s="1"/>
      <c r="TRA121" s="1"/>
      <c r="TRB121" s="1"/>
      <c r="TRC121" s="1"/>
      <c r="TRD121" s="1"/>
      <c r="TRE121" s="1"/>
      <c r="TRF121" s="1"/>
      <c r="TRG121" s="1"/>
      <c r="TRH121" s="1"/>
      <c r="TRI121" s="1"/>
      <c r="TRJ121" s="1"/>
      <c r="TRK121" s="1"/>
      <c r="TRL121" s="1"/>
      <c r="TRM121" s="1"/>
      <c r="TRN121" s="1"/>
      <c r="TRO121" s="1"/>
      <c r="TRP121" s="1"/>
      <c r="TRQ121" s="1"/>
      <c r="TRR121" s="1"/>
      <c r="TRS121" s="1"/>
      <c r="TRT121" s="1"/>
      <c r="TRU121" s="1"/>
      <c r="TRV121" s="1"/>
      <c r="TRW121" s="1"/>
      <c r="TRX121" s="1"/>
      <c r="TRY121" s="1"/>
      <c r="TRZ121" s="1"/>
      <c r="TSA121" s="1"/>
      <c r="TSB121" s="1"/>
      <c r="TSC121" s="1"/>
      <c r="TSD121" s="1"/>
      <c r="TSE121" s="1"/>
      <c r="TSF121" s="1"/>
      <c r="TSG121" s="1"/>
      <c r="TSH121" s="1"/>
      <c r="TSI121" s="1"/>
      <c r="TSJ121" s="1"/>
      <c r="TSK121" s="1"/>
      <c r="TSL121" s="1"/>
      <c r="TSM121" s="1"/>
      <c r="TSN121" s="1"/>
      <c r="TSO121" s="1"/>
      <c r="TSP121" s="1"/>
      <c r="TSQ121" s="1"/>
      <c r="TSR121" s="1"/>
      <c r="TSS121" s="1"/>
      <c r="TST121" s="1"/>
      <c r="TSU121" s="1"/>
      <c r="TSV121" s="1"/>
      <c r="TSW121" s="1"/>
      <c r="TSX121" s="1"/>
      <c r="TSY121" s="1"/>
      <c r="TSZ121" s="1"/>
      <c r="TTA121" s="1"/>
      <c r="TTB121" s="1"/>
      <c r="TTC121" s="1"/>
      <c r="TTD121" s="1"/>
      <c r="TTE121" s="1"/>
      <c r="TTF121" s="1"/>
      <c r="TTG121" s="1"/>
      <c r="TTH121" s="1"/>
      <c r="TTI121" s="1"/>
      <c r="TTJ121" s="1"/>
      <c r="TTK121" s="1"/>
      <c r="TTL121" s="1"/>
      <c r="TTM121" s="1"/>
      <c r="TTN121" s="1"/>
      <c r="TTO121" s="1"/>
      <c r="TTP121" s="1"/>
      <c r="TTQ121" s="1"/>
      <c r="TTR121" s="1"/>
      <c r="TTS121" s="1"/>
      <c r="TTT121" s="1"/>
      <c r="TTU121" s="1"/>
      <c r="TTV121" s="1"/>
      <c r="TTW121" s="1"/>
      <c r="TTX121" s="1"/>
      <c r="TTY121" s="1"/>
      <c r="TTZ121" s="1"/>
      <c r="TUA121" s="1"/>
      <c r="TUB121" s="1"/>
      <c r="TUC121" s="1"/>
      <c r="TUD121" s="1"/>
      <c r="TUE121" s="1"/>
      <c r="TUF121" s="1"/>
      <c r="TUG121" s="1"/>
      <c r="TUH121" s="1"/>
      <c r="TUI121" s="1"/>
      <c r="TUJ121" s="1"/>
      <c r="TUK121" s="1"/>
      <c r="TUL121" s="1"/>
      <c r="TUM121" s="1"/>
      <c r="TUN121" s="1"/>
      <c r="TUO121" s="1"/>
      <c r="TUP121" s="1"/>
      <c r="TUQ121" s="1"/>
      <c r="TUR121" s="1"/>
      <c r="TUS121" s="1"/>
      <c r="TUT121" s="1"/>
      <c r="TUU121" s="1"/>
      <c r="TUV121" s="1"/>
      <c r="TUW121" s="1"/>
      <c r="TUX121" s="1"/>
      <c r="TUY121" s="1"/>
      <c r="TUZ121" s="1"/>
      <c r="TVA121" s="1"/>
      <c r="TVB121" s="1"/>
      <c r="TVC121" s="1"/>
      <c r="TVD121" s="1"/>
      <c r="TVE121" s="1"/>
      <c r="TVF121" s="1"/>
      <c r="TVG121" s="1"/>
      <c r="TVH121" s="1"/>
      <c r="TVI121" s="1"/>
      <c r="TVJ121" s="1"/>
      <c r="TVK121" s="1"/>
      <c r="TVL121" s="1"/>
      <c r="TVM121" s="1"/>
      <c r="TVN121" s="1"/>
      <c r="TVO121" s="1"/>
      <c r="TVP121" s="1"/>
      <c r="TVQ121" s="1"/>
      <c r="TVR121" s="1"/>
      <c r="TVS121" s="1"/>
      <c r="TVT121" s="1"/>
      <c r="TVU121" s="1"/>
      <c r="TVV121" s="1"/>
      <c r="TVW121" s="1"/>
      <c r="TVX121" s="1"/>
      <c r="TVY121" s="1"/>
      <c r="TVZ121" s="1"/>
      <c r="TWA121" s="1"/>
      <c r="TWB121" s="1"/>
      <c r="TWC121" s="1"/>
      <c r="TWD121" s="1"/>
      <c r="TWE121" s="1"/>
      <c r="TWF121" s="1"/>
      <c r="TWG121" s="1"/>
      <c r="TWH121" s="1"/>
      <c r="TWI121" s="1"/>
      <c r="TWJ121" s="1"/>
      <c r="TWK121" s="1"/>
      <c r="TWL121" s="1"/>
      <c r="TWM121" s="1"/>
      <c r="TWN121" s="1"/>
      <c r="TWO121" s="1"/>
      <c r="TWP121" s="1"/>
      <c r="TWQ121" s="1"/>
      <c r="TWR121" s="1"/>
      <c r="TWS121" s="1"/>
      <c r="TWT121" s="1"/>
      <c r="TWU121" s="1"/>
      <c r="TWV121" s="1"/>
      <c r="TWW121" s="1"/>
      <c r="TWX121" s="1"/>
      <c r="TWY121" s="1"/>
      <c r="TWZ121" s="1"/>
      <c r="TXA121" s="1"/>
      <c r="TXB121" s="1"/>
      <c r="TXC121" s="1"/>
      <c r="TXD121" s="1"/>
      <c r="TXE121" s="1"/>
      <c r="TXF121" s="1"/>
      <c r="TXG121" s="1"/>
      <c r="TXH121" s="1"/>
      <c r="TXI121" s="1"/>
      <c r="TXJ121" s="1"/>
      <c r="TXK121" s="1"/>
      <c r="TXL121" s="1"/>
      <c r="TXM121" s="1"/>
      <c r="TXN121" s="1"/>
      <c r="TXO121" s="1"/>
      <c r="TXP121" s="1"/>
      <c r="TXQ121" s="1"/>
      <c r="TXR121" s="1"/>
      <c r="TXS121" s="1"/>
      <c r="TXT121" s="1"/>
      <c r="TXU121" s="1"/>
      <c r="TXV121" s="1"/>
      <c r="TXW121" s="1"/>
      <c r="TXX121" s="1"/>
      <c r="TXY121" s="1"/>
      <c r="TXZ121" s="1"/>
      <c r="TYA121" s="1"/>
      <c r="TYB121" s="1"/>
      <c r="TYC121" s="1"/>
      <c r="TYD121" s="1"/>
      <c r="TYE121" s="1"/>
      <c r="TYF121" s="1"/>
      <c r="TYG121" s="1"/>
      <c r="TYH121" s="1"/>
      <c r="TYI121" s="1"/>
      <c r="TYJ121" s="1"/>
      <c r="TYK121" s="1"/>
      <c r="TYL121" s="1"/>
      <c r="TYM121" s="1"/>
      <c r="TYN121" s="1"/>
      <c r="TYO121" s="1"/>
      <c r="TYP121" s="1"/>
      <c r="TYQ121" s="1"/>
      <c r="TYR121" s="1"/>
      <c r="TYS121" s="1"/>
      <c r="TYT121" s="1"/>
      <c r="TYU121" s="1"/>
      <c r="TYV121" s="1"/>
      <c r="TYW121" s="1"/>
      <c r="TYX121" s="1"/>
      <c r="TYY121" s="1"/>
      <c r="TYZ121" s="1"/>
      <c r="TZA121" s="1"/>
      <c r="TZB121" s="1"/>
      <c r="TZC121" s="1"/>
      <c r="TZD121" s="1"/>
      <c r="TZE121" s="1"/>
      <c r="TZF121" s="1"/>
      <c r="TZG121" s="1"/>
      <c r="TZH121" s="1"/>
      <c r="TZI121" s="1"/>
      <c r="TZJ121" s="1"/>
      <c r="TZK121" s="1"/>
      <c r="TZL121" s="1"/>
      <c r="TZM121" s="1"/>
      <c r="TZN121" s="1"/>
      <c r="TZO121" s="1"/>
      <c r="TZP121" s="1"/>
      <c r="TZQ121" s="1"/>
      <c r="TZR121" s="1"/>
      <c r="TZS121" s="1"/>
      <c r="TZT121" s="1"/>
      <c r="TZU121" s="1"/>
      <c r="TZV121" s="1"/>
      <c r="TZW121" s="1"/>
      <c r="TZX121" s="1"/>
      <c r="TZY121" s="1"/>
      <c r="TZZ121" s="1"/>
      <c r="UAA121" s="1"/>
      <c r="UAB121" s="1"/>
      <c r="UAC121" s="1"/>
      <c r="UAD121" s="1"/>
      <c r="UAE121" s="1"/>
      <c r="UAF121" s="1"/>
      <c r="UAG121" s="1"/>
      <c r="UAH121" s="1"/>
      <c r="UAI121" s="1"/>
      <c r="UAJ121" s="1"/>
      <c r="UAK121" s="1"/>
      <c r="UAL121" s="1"/>
      <c r="UAM121" s="1"/>
      <c r="UAN121" s="1"/>
      <c r="UAO121" s="1"/>
      <c r="UAP121" s="1"/>
      <c r="UAQ121" s="1"/>
      <c r="UAR121" s="1"/>
      <c r="UAS121" s="1"/>
      <c r="UAT121" s="1"/>
      <c r="UAU121" s="1"/>
      <c r="UAV121" s="1"/>
      <c r="UAW121" s="1"/>
      <c r="UAX121" s="1"/>
      <c r="UAY121" s="1"/>
      <c r="UAZ121" s="1"/>
      <c r="UBA121" s="1"/>
      <c r="UBB121" s="1"/>
      <c r="UBC121" s="1"/>
      <c r="UBD121" s="1"/>
      <c r="UBE121" s="1"/>
      <c r="UBF121" s="1"/>
      <c r="UBG121" s="1"/>
      <c r="UBH121" s="1"/>
      <c r="UBI121" s="1"/>
      <c r="UBJ121" s="1"/>
      <c r="UBK121" s="1"/>
      <c r="UBL121" s="1"/>
      <c r="UBM121" s="1"/>
      <c r="UBN121" s="1"/>
      <c r="UBO121" s="1"/>
      <c r="UBP121" s="1"/>
      <c r="UBQ121" s="1"/>
      <c r="UBR121" s="1"/>
      <c r="UBS121" s="1"/>
      <c r="UBT121" s="1"/>
      <c r="UBU121" s="1"/>
      <c r="UBV121" s="1"/>
      <c r="UBW121" s="1"/>
      <c r="UBX121" s="1"/>
      <c r="UBY121" s="1"/>
      <c r="UBZ121" s="1"/>
      <c r="UCA121" s="1"/>
      <c r="UCB121" s="1"/>
      <c r="UCC121" s="1"/>
      <c r="UCD121" s="1"/>
      <c r="UCE121" s="1"/>
      <c r="UCF121" s="1"/>
      <c r="UCG121" s="1"/>
      <c r="UCH121" s="1"/>
      <c r="UCI121" s="1"/>
      <c r="UCJ121" s="1"/>
      <c r="UCK121" s="1"/>
      <c r="UCL121" s="1"/>
      <c r="UCM121" s="1"/>
      <c r="UCN121" s="1"/>
      <c r="UCO121" s="1"/>
      <c r="UCP121" s="1"/>
      <c r="UCQ121" s="1"/>
      <c r="UCR121" s="1"/>
      <c r="UCS121" s="1"/>
      <c r="UCT121" s="1"/>
      <c r="UCU121" s="1"/>
      <c r="UCV121" s="1"/>
      <c r="UCW121" s="1"/>
      <c r="UCX121" s="1"/>
      <c r="UCY121" s="1"/>
      <c r="UCZ121" s="1"/>
      <c r="UDA121" s="1"/>
      <c r="UDB121" s="1"/>
      <c r="UDC121" s="1"/>
      <c r="UDD121" s="1"/>
      <c r="UDE121" s="1"/>
      <c r="UDF121" s="1"/>
      <c r="UDG121" s="1"/>
      <c r="UDH121" s="1"/>
      <c r="UDI121" s="1"/>
      <c r="UDJ121" s="1"/>
      <c r="UDK121" s="1"/>
      <c r="UDL121" s="1"/>
      <c r="UDM121" s="1"/>
      <c r="UDN121" s="1"/>
      <c r="UDO121" s="1"/>
      <c r="UDP121" s="1"/>
      <c r="UDQ121" s="1"/>
      <c r="UDR121" s="1"/>
      <c r="UDS121" s="1"/>
      <c r="UDT121" s="1"/>
      <c r="UDU121" s="1"/>
      <c r="UDV121" s="1"/>
      <c r="UDW121" s="1"/>
      <c r="UDX121" s="1"/>
      <c r="UDY121" s="1"/>
      <c r="UDZ121" s="1"/>
      <c r="UEA121" s="1"/>
      <c r="UEB121" s="1"/>
      <c r="UEC121" s="1"/>
      <c r="UED121" s="1"/>
      <c r="UEE121" s="1"/>
      <c r="UEF121" s="1"/>
      <c r="UEG121" s="1"/>
      <c r="UEH121" s="1"/>
      <c r="UEI121" s="1"/>
      <c r="UEJ121" s="1"/>
      <c r="UEK121" s="1"/>
      <c r="UEL121" s="1"/>
      <c r="UEM121" s="1"/>
      <c r="UEN121" s="1"/>
      <c r="UEO121" s="1"/>
      <c r="UEP121" s="1"/>
      <c r="UEQ121" s="1"/>
      <c r="UER121" s="1"/>
      <c r="UES121" s="1"/>
      <c r="UET121" s="1"/>
      <c r="UEU121" s="1"/>
      <c r="UEV121" s="1"/>
      <c r="UEW121" s="1"/>
      <c r="UEX121" s="1"/>
      <c r="UEY121" s="1"/>
      <c r="UEZ121" s="1"/>
      <c r="UFA121" s="1"/>
      <c r="UFB121" s="1"/>
      <c r="UFC121" s="1"/>
      <c r="UFD121" s="1"/>
      <c r="UFE121" s="1"/>
      <c r="UFF121" s="1"/>
      <c r="UFG121" s="1"/>
      <c r="UFH121" s="1"/>
      <c r="UFI121" s="1"/>
      <c r="UFJ121" s="1"/>
      <c r="UFK121" s="1"/>
      <c r="UFL121" s="1"/>
      <c r="UFM121" s="1"/>
      <c r="UFN121" s="1"/>
      <c r="UFO121" s="1"/>
      <c r="UFP121" s="1"/>
      <c r="UFQ121" s="1"/>
      <c r="UFR121" s="1"/>
      <c r="UFS121" s="1"/>
      <c r="UFT121" s="1"/>
      <c r="UFU121" s="1"/>
      <c r="UFV121" s="1"/>
      <c r="UFW121" s="1"/>
      <c r="UFX121" s="1"/>
      <c r="UFY121" s="1"/>
      <c r="UFZ121" s="1"/>
      <c r="UGA121" s="1"/>
      <c r="UGB121" s="1"/>
      <c r="UGC121" s="1"/>
      <c r="UGD121" s="1"/>
      <c r="UGE121" s="1"/>
      <c r="UGF121" s="1"/>
      <c r="UGG121" s="1"/>
      <c r="UGH121" s="1"/>
      <c r="UGI121" s="1"/>
      <c r="UGJ121" s="1"/>
      <c r="UGK121" s="1"/>
      <c r="UGL121" s="1"/>
      <c r="UGM121" s="1"/>
      <c r="UGN121" s="1"/>
      <c r="UGO121" s="1"/>
      <c r="UGP121" s="1"/>
      <c r="UGQ121" s="1"/>
      <c r="UGR121" s="1"/>
      <c r="UGS121" s="1"/>
      <c r="UGT121" s="1"/>
      <c r="UGU121" s="1"/>
      <c r="UGV121" s="1"/>
      <c r="UGW121" s="1"/>
      <c r="UGX121" s="1"/>
      <c r="UGY121" s="1"/>
      <c r="UGZ121" s="1"/>
      <c r="UHA121" s="1"/>
      <c r="UHB121" s="1"/>
      <c r="UHC121" s="1"/>
      <c r="UHD121" s="1"/>
      <c r="UHE121" s="1"/>
      <c r="UHF121" s="1"/>
      <c r="UHG121" s="1"/>
      <c r="UHH121" s="1"/>
      <c r="UHI121" s="1"/>
      <c r="UHJ121" s="1"/>
      <c r="UHK121" s="1"/>
      <c r="UHL121" s="1"/>
      <c r="UHM121" s="1"/>
      <c r="UHN121" s="1"/>
      <c r="UHO121" s="1"/>
      <c r="UHP121" s="1"/>
      <c r="UHQ121" s="1"/>
      <c r="UHR121" s="1"/>
      <c r="UHS121" s="1"/>
      <c r="UHT121" s="1"/>
      <c r="UHU121" s="1"/>
      <c r="UHV121" s="1"/>
      <c r="UHW121" s="1"/>
      <c r="UHX121" s="1"/>
      <c r="UHY121" s="1"/>
      <c r="UHZ121" s="1"/>
      <c r="UIA121" s="1"/>
      <c r="UIB121" s="1"/>
      <c r="UIC121" s="1"/>
      <c r="UID121" s="1"/>
      <c r="UIE121" s="1"/>
      <c r="UIF121" s="1"/>
      <c r="UIG121" s="1"/>
      <c r="UIH121" s="1"/>
      <c r="UII121" s="1"/>
      <c r="UIJ121" s="1"/>
      <c r="UIK121" s="1"/>
      <c r="UIL121" s="1"/>
      <c r="UIM121" s="1"/>
      <c r="UIN121" s="1"/>
      <c r="UIO121" s="1"/>
      <c r="UIP121" s="1"/>
      <c r="UIQ121" s="1"/>
      <c r="UIR121" s="1"/>
      <c r="UIS121" s="1"/>
      <c r="UIT121" s="1"/>
      <c r="UIU121" s="1"/>
      <c r="UIV121" s="1"/>
      <c r="UIW121" s="1"/>
      <c r="UIX121" s="1"/>
      <c r="UIY121" s="1"/>
      <c r="UIZ121" s="1"/>
      <c r="UJA121" s="1"/>
      <c r="UJB121" s="1"/>
      <c r="UJC121" s="1"/>
      <c r="UJD121" s="1"/>
      <c r="UJE121" s="1"/>
      <c r="UJF121" s="1"/>
      <c r="UJG121" s="1"/>
      <c r="UJH121" s="1"/>
      <c r="UJI121" s="1"/>
      <c r="UJJ121" s="1"/>
      <c r="UJK121" s="1"/>
      <c r="UJL121" s="1"/>
      <c r="UJM121" s="1"/>
      <c r="UJN121" s="1"/>
      <c r="UJO121" s="1"/>
      <c r="UJP121" s="1"/>
      <c r="UJQ121" s="1"/>
      <c r="UJR121" s="1"/>
      <c r="UJS121" s="1"/>
      <c r="UJT121" s="1"/>
      <c r="UJU121" s="1"/>
      <c r="UJV121" s="1"/>
      <c r="UJW121" s="1"/>
      <c r="UJX121" s="1"/>
      <c r="UJY121" s="1"/>
      <c r="UJZ121" s="1"/>
      <c r="UKA121" s="1"/>
      <c r="UKB121" s="1"/>
      <c r="UKC121" s="1"/>
      <c r="UKD121" s="1"/>
      <c r="UKE121" s="1"/>
      <c r="UKF121" s="1"/>
      <c r="UKG121" s="1"/>
      <c r="UKH121" s="1"/>
      <c r="UKI121" s="1"/>
      <c r="UKJ121" s="1"/>
      <c r="UKK121" s="1"/>
      <c r="UKL121" s="1"/>
      <c r="UKM121" s="1"/>
      <c r="UKN121" s="1"/>
      <c r="UKO121" s="1"/>
      <c r="UKP121" s="1"/>
      <c r="UKQ121" s="1"/>
      <c r="UKR121" s="1"/>
      <c r="UKS121" s="1"/>
      <c r="UKT121" s="1"/>
      <c r="UKU121" s="1"/>
      <c r="UKV121" s="1"/>
      <c r="UKW121" s="1"/>
      <c r="UKX121" s="1"/>
      <c r="UKY121" s="1"/>
      <c r="UKZ121" s="1"/>
      <c r="ULA121" s="1"/>
      <c r="ULB121" s="1"/>
      <c r="ULC121" s="1"/>
      <c r="ULD121" s="1"/>
      <c r="ULE121" s="1"/>
      <c r="ULF121" s="1"/>
      <c r="ULG121" s="1"/>
      <c r="ULH121" s="1"/>
      <c r="ULI121" s="1"/>
      <c r="ULJ121" s="1"/>
      <c r="ULK121" s="1"/>
      <c r="ULL121" s="1"/>
      <c r="ULM121" s="1"/>
      <c r="ULN121" s="1"/>
      <c r="ULO121" s="1"/>
      <c r="ULP121" s="1"/>
      <c r="ULQ121" s="1"/>
      <c r="ULR121" s="1"/>
      <c r="ULS121" s="1"/>
      <c r="ULT121" s="1"/>
      <c r="ULU121" s="1"/>
      <c r="ULV121" s="1"/>
      <c r="ULW121" s="1"/>
      <c r="ULX121" s="1"/>
      <c r="ULY121" s="1"/>
      <c r="ULZ121" s="1"/>
      <c r="UMA121" s="1"/>
      <c r="UMB121" s="1"/>
      <c r="UMC121" s="1"/>
      <c r="UMD121" s="1"/>
      <c r="UME121" s="1"/>
      <c r="UMF121" s="1"/>
      <c r="UMG121" s="1"/>
      <c r="UMH121" s="1"/>
      <c r="UMI121" s="1"/>
      <c r="UMJ121" s="1"/>
      <c r="UMK121" s="1"/>
      <c r="UML121" s="1"/>
      <c r="UMM121" s="1"/>
      <c r="UMN121" s="1"/>
      <c r="UMO121" s="1"/>
      <c r="UMP121" s="1"/>
      <c r="UMQ121" s="1"/>
      <c r="UMR121" s="1"/>
      <c r="UMS121" s="1"/>
      <c r="UMT121" s="1"/>
      <c r="UMU121" s="1"/>
      <c r="UMV121" s="1"/>
      <c r="UMW121" s="1"/>
      <c r="UMX121" s="1"/>
      <c r="UMY121" s="1"/>
      <c r="UMZ121" s="1"/>
      <c r="UNA121" s="1"/>
      <c r="UNB121" s="1"/>
      <c r="UNC121" s="1"/>
      <c r="UND121" s="1"/>
      <c r="UNE121" s="1"/>
      <c r="UNF121" s="1"/>
      <c r="UNG121" s="1"/>
      <c r="UNH121" s="1"/>
      <c r="UNI121" s="1"/>
      <c r="UNJ121" s="1"/>
      <c r="UNK121" s="1"/>
      <c r="UNL121" s="1"/>
      <c r="UNM121" s="1"/>
      <c r="UNN121" s="1"/>
      <c r="UNO121" s="1"/>
      <c r="UNP121" s="1"/>
      <c r="UNQ121" s="1"/>
      <c r="UNR121" s="1"/>
      <c r="UNS121" s="1"/>
      <c r="UNT121" s="1"/>
      <c r="UNU121" s="1"/>
      <c r="UNV121" s="1"/>
      <c r="UNW121" s="1"/>
      <c r="UNX121" s="1"/>
      <c r="UNY121" s="1"/>
      <c r="UNZ121" s="1"/>
      <c r="UOA121" s="1"/>
      <c r="UOB121" s="1"/>
      <c r="UOC121" s="1"/>
      <c r="UOD121" s="1"/>
      <c r="UOE121" s="1"/>
      <c r="UOF121" s="1"/>
      <c r="UOG121" s="1"/>
      <c r="UOH121" s="1"/>
      <c r="UOI121" s="1"/>
      <c r="UOJ121" s="1"/>
      <c r="UOK121" s="1"/>
      <c r="UOL121" s="1"/>
      <c r="UOM121" s="1"/>
      <c r="UON121" s="1"/>
      <c r="UOO121" s="1"/>
      <c r="UOP121" s="1"/>
      <c r="UOQ121" s="1"/>
      <c r="UOR121" s="1"/>
      <c r="UOS121" s="1"/>
      <c r="UOT121" s="1"/>
      <c r="UOU121" s="1"/>
      <c r="UOV121" s="1"/>
      <c r="UOW121" s="1"/>
      <c r="UOX121" s="1"/>
      <c r="UOY121" s="1"/>
      <c r="UOZ121" s="1"/>
      <c r="UPA121" s="1"/>
      <c r="UPB121" s="1"/>
      <c r="UPC121" s="1"/>
      <c r="UPD121" s="1"/>
      <c r="UPE121" s="1"/>
      <c r="UPF121" s="1"/>
      <c r="UPG121" s="1"/>
      <c r="UPH121" s="1"/>
      <c r="UPI121" s="1"/>
      <c r="UPJ121" s="1"/>
      <c r="UPK121" s="1"/>
      <c r="UPL121" s="1"/>
      <c r="UPM121" s="1"/>
      <c r="UPN121" s="1"/>
      <c r="UPO121" s="1"/>
      <c r="UPP121" s="1"/>
      <c r="UPQ121" s="1"/>
      <c r="UPR121" s="1"/>
      <c r="UPS121" s="1"/>
      <c r="UPT121" s="1"/>
      <c r="UPU121" s="1"/>
      <c r="UPV121" s="1"/>
      <c r="UPW121" s="1"/>
      <c r="UPX121" s="1"/>
      <c r="UPY121" s="1"/>
      <c r="UPZ121" s="1"/>
      <c r="UQA121" s="1"/>
      <c r="UQB121" s="1"/>
      <c r="UQC121" s="1"/>
      <c r="UQD121" s="1"/>
      <c r="UQE121" s="1"/>
      <c r="UQF121" s="1"/>
      <c r="UQG121" s="1"/>
      <c r="UQH121" s="1"/>
      <c r="UQI121" s="1"/>
      <c r="UQJ121" s="1"/>
      <c r="UQK121" s="1"/>
      <c r="UQL121" s="1"/>
      <c r="UQM121" s="1"/>
      <c r="UQN121" s="1"/>
      <c r="UQO121" s="1"/>
      <c r="UQP121" s="1"/>
      <c r="UQQ121" s="1"/>
      <c r="UQR121" s="1"/>
      <c r="UQS121" s="1"/>
      <c r="UQT121" s="1"/>
      <c r="UQU121" s="1"/>
      <c r="UQV121" s="1"/>
      <c r="UQW121" s="1"/>
      <c r="UQX121" s="1"/>
      <c r="UQY121" s="1"/>
      <c r="UQZ121" s="1"/>
      <c r="URA121" s="1"/>
      <c r="URB121" s="1"/>
      <c r="URC121" s="1"/>
      <c r="URD121" s="1"/>
      <c r="URE121" s="1"/>
      <c r="URF121" s="1"/>
      <c r="URG121" s="1"/>
      <c r="URH121" s="1"/>
      <c r="URI121" s="1"/>
      <c r="URJ121" s="1"/>
      <c r="URK121" s="1"/>
      <c r="URL121" s="1"/>
      <c r="URM121" s="1"/>
      <c r="URN121" s="1"/>
      <c r="URO121" s="1"/>
      <c r="URP121" s="1"/>
      <c r="URQ121" s="1"/>
      <c r="URR121" s="1"/>
      <c r="URS121" s="1"/>
      <c r="URT121" s="1"/>
      <c r="URU121" s="1"/>
      <c r="URV121" s="1"/>
      <c r="URW121" s="1"/>
      <c r="URX121" s="1"/>
      <c r="URY121" s="1"/>
      <c r="URZ121" s="1"/>
      <c r="USA121" s="1"/>
      <c r="USB121" s="1"/>
      <c r="USC121" s="1"/>
      <c r="USD121" s="1"/>
      <c r="USE121" s="1"/>
      <c r="USF121" s="1"/>
      <c r="USG121" s="1"/>
      <c r="USH121" s="1"/>
      <c r="USI121" s="1"/>
      <c r="USJ121" s="1"/>
      <c r="USK121" s="1"/>
      <c r="USL121" s="1"/>
      <c r="USM121" s="1"/>
      <c r="USN121" s="1"/>
      <c r="USO121" s="1"/>
      <c r="USP121" s="1"/>
      <c r="USQ121" s="1"/>
      <c r="USR121" s="1"/>
      <c r="USS121" s="1"/>
      <c r="UST121" s="1"/>
      <c r="USU121" s="1"/>
      <c r="USV121" s="1"/>
      <c r="USW121" s="1"/>
      <c r="USX121" s="1"/>
      <c r="USY121" s="1"/>
      <c r="USZ121" s="1"/>
      <c r="UTA121" s="1"/>
      <c r="UTB121" s="1"/>
      <c r="UTC121" s="1"/>
      <c r="UTD121" s="1"/>
      <c r="UTE121" s="1"/>
      <c r="UTF121" s="1"/>
      <c r="UTG121" s="1"/>
      <c r="UTH121" s="1"/>
      <c r="UTI121" s="1"/>
      <c r="UTJ121" s="1"/>
      <c r="UTK121" s="1"/>
      <c r="UTL121" s="1"/>
      <c r="UTM121" s="1"/>
      <c r="UTN121" s="1"/>
      <c r="UTO121" s="1"/>
      <c r="UTP121" s="1"/>
      <c r="UTQ121" s="1"/>
      <c r="UTR121" s="1"/>
      <c r="UTS121" s="1"/>
      <c r="UTT121" s="1"/>
      <c r="UTU121" s="1"/>
      <c r="UTV121" s="1"/>
      <c r="UTW121" s="1"/>
      <c r="UTX121" s="1"/>
      <c r="UTY121" s="1"/>
      <c r="UTZ121" s="1"/>
      <c r="UUA121" s="1"/>
      <c r="UUB121" s="1"/>
      <c r="UUC121" s="1"/>
      <c r="UUD121" s="1"/>
      <c r="UUE121" s="1"/>
      <c r="UUF121" s="1"/>
      <c r="UUG121" s="1"/>
      <c r="UUH121" s="1"/>
      <c r="UUI121" s="1"/>
      <c r="UUJ121" s="1"/>
      <c r="UUK121" s="1"/>
      <c r="UUL121" s="1"/>
      <c r="UUM121" s="1"/>
      <c r="UUN121" s="1"/>
      <c r="UUO121" s="1"/>
      <c r="UUP121" s="1"/>
      <c r="UUQ121" s="1"/>
      <c r="UUR121" s="1"/>
      <c r="UUS121" s="1"/>
      <c r="UUT121" s="1"/>
      <c r="UUU121" s="1"/>
      <c r="UUV121" s="1"/>
      <c r="UUW121" s="1"/>
      <c r="UUX121" s="1"/>
      <c r="UUY121" s="1"/>
      <c r="UUZ121" s="1"/>
      <c r="UVA121" s="1"/>
      <c r="UVB121" s="1"/>
      <c r="UVC121" s="1"/>
      <c r="UVD121" s="1"/>
      <c r="UVE121" s="1"/>
      <c r="UVF121" s="1"/>
      <c r="UVG121" s="1"/>
      <c r="UVH121" s="1"/>
      <c r="UVI121" s="1"/>
      <c r="UVJ121" s="1"/>
      <c r="UVK121" s="1"/>
      <c r="UVL121" s="1"/>
      <c r="UVM121" s="1"/>
      <c r="UVN121" s="1"/>
      <c r="UVO121" s="1"/>
      <c r="UVP121" s="1"/>
      <c r="UVQ121" s="1"/>
      <c r="UVR121" s="1"/>
      <c r="UVS121" s="1"/>
      <c r="UVT121" s="1"/>
      <c r="UVU121" s="1"/>
      <c r="UVV121" s="1"/>
      <c r="UVW121" s="1"/>
      <c r="UVX121" s="1"/>
      <c r="UVY121" s="1"/>
      <c r="UVZ121" s="1"/>
      <c r="UWA121" s="1"/>
      <c r="UWB121" s="1"/>
      <c r="UWC121" s="1"/>
      <c r="UWD121" s="1"/>
      <c r="UWE121" s="1"/>
      <c r="UWF121" s="1"/>
      <c r="UWG121" s="1"/>
      <c r="UWH121" s="1"/>
      <c r="UWI121" s="1"/>
      <c r="UWJ121" s="1"/>
      <c r="UWK121" s="1"/>
      <c r="UWL121" s="1"/>
      <c r="UWM121" s="1"/>
      <c r="UWN121" s="1"/>
      <c r="UWO121" s="1"/>
      <c r="UWP121" s="1"/>
      <c r="UWQ121" s="1"/>
      <c r="UWR121" s="1"/>
      <c r="UWS121" s="1"/>
      <c r="UWT121" s="1"/>
      <c r="UWU121" s="1"/>
      <c r="UWV121" s="1"/>
      <c r="UWW121" s="1"/>
      <c r="UWX121" s="1"/>
      <c r="UWY121" s="1"/>
      <c r="UWZ121" s="1"/>
      <c r="UXA121" s="1"/>
      <c r="UXB121" s="1"/>
      <c r="UXC121" s="1"/>
      <c r="UXD121" s="1"/>
      <c r="UXE121" s="1"/>
      <c r="UXF121" s="1"/>
      <c r="UXG121" s="1"/>
      <c r="UXH121" s="1"/>
      <c r="UXI121" s="1"/>
      <c r="UXJ121" s="1"/>
      <c r="UXK121" s="1"/>
      <c r="UXL121" s="1"/>
      <c r="UXM121" s="1"/>
      <c r="UXN121" s="1"/>
      <c r="UXO121" s="1"/>
      <c r="UXP121" s="1"/>
      <c r="UXQ121" s="1"/>
      <c r="UXR121" s="1"/>
      <c r="UXS121" s="1"/>
      <c r="UXT121" s="1"/>
      <c r="UXU121" s="1"/>
      <c r="UXV121" s="1"/>
      <c r="UXW121" s="1"/>
      <c r="UXX121" s="1"/>
      <c r="UXY121" s="1"/>
      <c r="UXZ121" s="1"/>
      <c r="UYA121" s="1"/>
      <c r="UYB121" s="1"/>
      <c r="UYC121" s="1"/>
      <c r="UYD121" s="1"/>
      <c r="UYE121" s="1"/>
      <c r="UYF121" s="1"/>
      <c r="UYG121" s="1"/>
      <c r="UYH121" s="1"/>
      <c r="UYI121" s="1"/>
      <c r="UYJ121" s="1"/>
      <c r="UYK121" s="1"/>
      <c r="UYL121" s="1"/>
      <c r="UYM121" s="1"/>
      <c r="UYN121" s="1"/>
      <c r="UYO121" s="1"/>
      <c r="UYP121" s="1"/>
      <c r="UYQ121" s="1"/>
      <c r="UYR121" s="1"/>
      <c r="UYS121" s="1"/>
      <c r="UYT121" s="1"/>
      <c r="UYU121" s="1"/>
      <c r="UYV121" s="1"/>
      <c r="UYW121" s="1"/>
      <c r="UYX121" s="1"/>
      <c r="UYY121" s="1"/>
      <c r="UYZ121" s="1"/>
      <c r="UZA121" s="1"/>
      <c r="UZB121" s="1"/>
      <c r="UZC121" s="1"/>
      <c r="UZD121" s="1"/>
      <c r="UZE121" s="1"/>
      <c r="UZF121" s="1"/>
      <c r="UZG121" s="1"/>
      <c r="UZH121" s="1"/>
      <c r="UZI121" s="1"/>
      <c r="UZJ121" s="1"/>
      <c r="UZK121" s="1"/>
      <c r="UZL121" s="1"/>
      <c r="UZM121" s="1"/>
      <c r="UZN121" s="1"/>
      <c r="UZO121" s="1"/>
      <c r="UZP121" s="1"/>
      <c r="UZQ121" s="1"/>
      <c r="UZR121" s="1"/>
      <c r="UZS121" s="1"/>
      <c r="UZT121" s="1"/>
      <c r="UZU121" s="1"/>
      <c r="UZV121" s="1"/>
      <c r="UZW121" s="1"/>
      <c r="UZX121" s="1"/>
      <c r="UZY121" s="1"/>
      <c r="UZZ121" s="1"/>
      <c r="VAA121" s="1"/>
      <c r="VAB121" s="1"/>
      <c r="VAC121" s="1"/>
      <c r="VAD121" s="1"/>
      <c r="VAE121" s="1"/>
      <c r="VAF121" s="1"/>
      <c r="VAG121" s="1"/>
      <c r="VAH121" s="1"/>
      <c r="VAI121" s="1"/>
      <c r="VAJ121" s="1"/>
      <c r="VAK121" s="1"/>
      <c r="VAL121" s="1"/>
      <c r="VAM121" s="1"/>
      <c r="VAN121" s="1"/>
      <c r="VAO121" s="1"/>
      <c r="VAP121" s="1"/>
      <c r="VAQ121" s="1"/>
      <c r="VAR121" s="1"/>
      <c r="VAS121" s="1"/>
      <c r="VAT121" s="1"/>
      <c r="VAU121" s="1"/>
      <c r="VAV121" s="1"/>
      <c r="VAW121" s="1"/>
      <c r="VAX121" s="1"/>
      <c r="VAY121" s="1"/>
      <c r="VAZ121" s="1"/>
      <c r="VBA121" s="1"/>
      <c r="VBB121" s="1"/>
      <c r="VBC121" s="1"/>
      <c r="VBD121" s="1"/>
      <c r="VBE121" s="1"/>
      <c r="VBF121" s="1"/>
      <c r="VBG121" s="1"/>
      <c r="VBH121" s="1"/>
      <c r="VBI121" s="1"/>
      <c r="VBJ121" s="1"/>
      <c r="VBK121" s="1"/>
      <c r="VBL121" s="1"/>
      <c r="VBM121" s="1"/>
      <c r="VBN121" s="1"/>
      <c r="VBO121" s="1"/>
      <c r="VBP121" s="1"/>
      <c r="VBQ121" s="1"/>
      <c r="VBR121" s="1"/>
      <c r="VBS121" s="1"/>
      <c r="VBT121" s="1"/>
      <c r="VBU121" s="1"/>
      <c r="VBV121" s="1"/>
      <c r="VBW121" s="1"/>
      <c r="VBX121" s="1"/>
      <c r="VBY121" s="1"/>
      <c r="VBZ121" s="1"/>
      <c r="VCA121" s="1"/>
      <c r="VCB121" s="1"/>
      <c r="VCC121" s="1"/>
      <c r="VCD121" s="1"/>
      <c r="VCE121" s="1"/>
      <c r="VCF121" s="1"/>
      <c r="VCG121" s="1"/>
      <c r="VCH121" s="1"/>
      <c r="VCI121" s="1"/>
      <c r="VCJ121" s="1"/>
      <c r="VCK121" s="1"/>
      <c r="VCL121" s="1"/>
      <c r="VCM121" s="1"/>
      <c r="VCN121" s="1"/>
      <c r="VCO121" s="1"/>
      <c r="VCP121" s="1"/>
      <c r="VCQ121" s="1"/>
      <c r="VCR121" s="1"/>
      <c r="VCS121" s="1"/>
      <c r="VCT121" s="1"/>
      <c r="VCU121" s="1"/>
      <c r="VCV121" s="1"/>
      <c r="VCW121" s="1"/>
      <c r="VCX121" s="1"/>
      <c r="VCY121" s="1"/>
      <c r="VCZ121" s="1"/>
      <c r="VDA121" s="1"/>
      <c r="VDB121" s="1"/>
      <c r="VDC121" s="1"/>
      <c r="VDD121" s="1"/>
      <c r="VDE121" s="1"/>
      <c r="VDF121" s="1"/>
      <c r="VDG121" s="1"/>
      <c r="VDH121" s="1"/>
      <c r="VDI121" s="1"/>
      <c r="VDJ121" s="1"/>
      <c r="VDK121" s="1"/>
      <c r="VDL121" s="1"/>
      <c r="VDM121" s="1"/>
      <c r="VDN121" s="1"/>
      <c r="VDO121" s="1"/>
      <c r="VDP121" s="1"/>
      <c r="VDQ121" s="1"/>
      <c r="VDR121" s="1"/>
      <c r="VDS121" s="1"/>
      <c r="VDT121" s="1"/>
      <c r="VDU121" s="1"/>
      <c r="VDV121" s="1"/>
      <c r="VDW121" s="1"/>
      <c r="VDX121" s="1"/>
      <c r="VDY121" s="1"/>
      <c r="VDZ121" s="1"/>
      <c r="VEA121" s="1"/>
      <c r="VEB121" s="1"/>
      <c r="VEC121" s="1"/>
      <c r="VED121" s="1"/>
      <c r="VEE121" s="1"/>
      <c r="VEF121" s="1"/>
      <c r="VEG121" s="1"/>
      <c r="VEH121" s="1"/>
      <c r="VEI121" s="1"/>
      <c r="VEJ121" s="1"/>
      <c r="VEK121" s="1"/>
      <c r="VEL121" s="1"/>
      <c r="VEM121" s="1"/>
      <c r="VEN121" s="1"/>
      <c r="VEO121" s="1"/>
      <c r="VEP121" s="1"/>
      <c r="VEQ121" s="1"/>
      <c r="VER121" s="1"/>
      <c r="VES121" s="1"/>
      <c r="VET121" s="1"/>
      <c r="VEU121" s="1"/>
      <c r="VEV121" s="1"/>
      <c r="VEW121" s="1"/>
      <c r="VEX121" s="1"/>
      <c r="VEY121" s="1"/>
      <c r="VEZ121" s="1"/>
      <c r="VFA121" s="1"/>
      <c r="VFB121" s="1"/>
      <c r="VFC121" s="1"/>
      <c r="VFD121" s="1"/>
      <c r="VFE121" s="1"/>
      <c r="VFF121" s="1"/>
      <c r="VFG121" s="1"/>
      <c r="VFH121" s="1"/>
      <c r="VFI121" s="1"/>
      <c r="VFJ121" s="1"/>
      <c r="VFK121" s="1"/>
      <c r="VFL121" s="1"/>
      <c r="VFM121" s="1"/>
      <c r="VFN121" s="1"/>
      <c r="VFO121" s="1"/>
      <c r="VFP121" s="1"/>
      <c r="VFQ121" s="1"/>
      <c r="VFR121" s="1"/>
      <c r="VFS121" s="1"/>
      <c r="VFT121" s="1"/>
      <c r="VFU121" s="1"/>
      <c r="VFV121" s="1"/>
      <c r="VFW121" s="1"/>
      <c r="VFX121" s="1"/>
      <c r="VFY121" s="1"/>
      <c r="VFZ121" s="1"/>
      <c r="VGA121" s="1"/>
      <c r="VGB121" s="1"/>
      <c r="VGC121" s="1"/>
      <c r="VGD121" s="1"/>
      <c r="VGE121" s="1"/>
      <c r="VGF121" s="1"/>
      <c r="VGG121" s="1"/>
      <c r="VGH121" s="1"/>
      <c r="VGI121" s="1"/>
      <c r="VGJ121" s="1"/>
      <c r="VGK121" s="1"/>
      <c r="VGL121" s="1"/>
      <c r="VGM121" s="1"/>
      <c r="VGN121" s="1"/>
      <c r="VGO121" s="1"/>
      <c r="VGP121" s="1"/>
      <c r="VGQ121" s="1"/>
      <c r="VGR121" s="1"/>
      <c r="VGS121" s="1"/>
      <c r="VGT121" s="1"/>
      <c r="VGU121" s="1"/>
      <c r="VGV121" s="1"/>
      <c r="VGW121" s="1"/>
      <c r="VGX121" s="1"/>
      <c r="VGY121" s="1"/>
      <c r="VGZ121" s="1"/>
      <c r="VHA121" s="1"/>
      <c r="VHB121" s="1"/>
      <c r="VHC121" s="1"/>
      <c r="VHD121" s="1"/>
      <c r="VHE121" s="1"/>
      <c r="VHF121" s="1"/>
      <c r="VHG121" s="1"/>
      <c r="VHH121" s="1"/>
      <c r="VHI121" s="1"/>
      <c r="VHJ121" s="1"/>
      <c r="VHK121" s="1"/>
      <c r="VHL121" s="1"/>
      <c r="VHM121" s="1"/>
      <c r="VHN121" s="1"/>
      <c r="VHO121" s="1"/>
      <c r="VHP121" s="1"/>
      <c r="VHQ121" s="1"/>
      <c r="VHR121" s="1"/>
      <c r="VHS121" s="1"/>
      <c r="VHT121" s="1"/>
      <c r="VHU121" s="1"/>
      <c r="VHV121" s="1"/>
      <c r="VHW121" s="1"/>
      <c r="VHX121" s="1"/>
      <c r="VHY121" s="1"/>
      <c r="VHZ121" s="1"/>
      <c r="VIA121" s="1"/>
      <c r="VIB121" s="1"/>
      <c r="VIC121" s="1"/>
      <c r="VID121" s="1"/>
      <c r="VIE121" s="1"/>
      <c r="VIF121" s="1"/>
      <c r="VIG121" s="1"/>
      <c r="VIH121" s="1"/>
      <c r="VII121" s="1"/>
      <c r="VIJ121" s="1"/>
      <c r="VIK121" s="1"/>
      <c r="VIL121" s="1"/>
      <c r="VIM121" s="1"/>
      <c r="VIN121" s="1"/>
      <c r="VIO121" s="1"/>
      <c r="VIP121" s="1"/>
      <c r="VIQ121" s="1"/>
      <c r="VIR121" s="1"/>
      <c r="VIS121" s="1"/>
      <c r="VIT121" s="1"/>
      <c r="VIU121" s="1"/>
      <c r="VIV121" s="1"/>
      <c r="VIW121" s="1"/>
      <c r="VIX121" s="1"/>
      <c r="VIY121" s="1"/>
      <c r="VIZ121" s="1"/>
      <c r="VJA121" s="1"/>
      <c r="VJB121" s="1"/>
      <c r="VJC121" s="1"/>
      <c r="VJD121" s="1"/>
      <c r="VJE121" s="1"/>
      <c r="VJF121" s="1"/>
      <c r="VJG121" s="1"/>
      <c r="VJH121" s="1"/>
      <c r="VJI121" s="1"/>
      <c r="VJJ121" s="1"/>
      <c r="VJK121" s="1"/>
      <c r="VJL121" s="1"/>
      <c r="VJM121" s="1"/>
      <c r="VJN121" s="1"/>
      <c r="VJO121" s="1"/>
      <c r="VJP121" s="1"/>
      <c r="VJQ121" s="1"/>
      <c r="VJR121" s="1"/>
      <c r="VJS121" s="1"/>
      <c r="VJT121" s="1"/>
      <c r="VJU121" s="1"/>
      <c r="VJV121" s="1"/>
      <c r="VJW121" s="1"/>
      <c r="VJX121" s="1"/>
      <c r="VJY121" s="1"/>
      <c r="VJZ121" s="1"/>
      <c r="VKA121" s="1"/>
      <c r="VKB121" s="1"/>
      <c r="VKC121" s="1"/>
      <c r="VKD121" s="1"/>
      <c r="VKE121" s="1"/>
      <c r="VKF121" s="1"/>
      <c r="VKG121" s="1"/>
      <c r="VKH121" s="1"/>
      <c r="VKI121" s="1"/>
      <c r="VKJ121" s="1"/>
      <c r="VKK121" s="1"/>
      <c r="VKL121" s="1"/>
      <c r="VKM121" s="1"/>
      <c r="VKN121" s="1"/>
      <c r="VKO121" s="1"/>
      <c r="VKP121" s="1"/>
      <c r="VKQ121" s="1"/>
      <c r="VKR121" s="1"/>
      <c r="VKS121" s="1"/>
      <c r="VKT121" s="1"/>
      <c r="VKU121" s="1"/>
      <c r="VKV121" s="1"/>
      <c r="VKW121" s="1"/>
      <c r="VKX121" s="1"/>
      <c r="VKY121" s="1"/>
      <c r="VKZ121" s="1"/>
      <c r="VLA121" s="1"/>
      <c r="VLB121" s="1"/>
      <c r="VLC121" s="1"/>
      <c r="VLD121" s="1"/>
      <c r="VLE121" s="1"/>
      <c r="VLF121" s="1"/>
      <c r="VLG121" s="1"/>
      <c r="VLH121" s="1"/>
      <c r="VLI121" s="1"/>
      <c r="VLJ121" s="1"/>
      <c r="VLK121" s="1"/>
      <c r="VLL121" s="1"/>
      <c r="VLM121" s="1"/>
      <c r="VLN121" s="1"/>
      <c r="VLO121" s="1"/>
      <c r="VLP121" s="1"/>
      <c r="VLQ121" s="1"/>
      <c r="VLR121" s="1"/>
      <c r="VLS121" s="1"/>
      <c r="VLT121" s="1"/>
      <c r="VLU121" s="1"/>
      <c r="VLV121" s="1"/>
      <c r="VLW121" s="1"/>
      <c r="VLX121" s="1"/>
      <c r="VLY121" s="1"/>
      <c r="VLZ121" s="1"/>
      <c r="VMA121" s="1"/>
      <c r="VMB121" s="1"/>
      <c r="VMC121" s="1"/>
      <c r="VMD121" s="1"/>
      <c r="VME121" s="1"/>
      <c r="VMF121" s="1"/>
      <c r="VMG121" s="1"/>
      <c r="VMH121" s="1"/>
      <c r="VMI121" s="1"/>
      <c r="VMJ121" s="1"/>
      <c r="VMK121" s="1"/>
      <c r="VML121" s="1"/>
      <c r="VMM121" s="1"/>
      <c r="VMN121" s="1"/>
      <c r="VMO121" s="1"/>
      <c r="VMP121" s="1"/>
      <c r="VMQ121" s="1"/>
      <c r="VMR121" s="1"/>
      <c r="VMS121" s="1"/>
      <c r="VMT121" s="1"/>
      <c r="VMU121" s="1"/>
      <c r="VMV121" s="1"/>
      <c r="VMW121" s="1"/>
      <c r="VMX121" s="1"/>
      <c r="VMY121" s="1"/>
      <c r="VMZ121" s="1"/>
      <c r="VNA121" s="1"/>
      <c r="VNB121" s="1"/>
      <c r="VNC121" s="1"/>
      <c r="VND121" s="1"/>
      <c r="VNE121" s="1"/>
      <c r="VNF121" s="1"/>
      <c r="VNG121" s="1"/>
      <c r="VNH121" s="1"/>
      <c r="VNI121" s="1"/>
      <c r="VNJ121" s="1"/>
      <c r="VNK121" s="1"/>
      <c r="VNL121" s="1"/>
      <c r="VNM121" s="1"/>
      <c r="VNN121" s="1"/>
      <c r="VNO121" s="1"/>
      <c r="VNP121" s="1"/>
      <c r="VNQ121" s="1"/>
      <c r="VNR121" s="1"/>
      <c r="VNS121" s="1"/>
      <c r="VNT121" s="1"/>
      <c r="VNU121" s="1"/>
      <c r="VNV121" s="1"/>
      <c r="VNW121" s="1"/>
      <c r="VNX121" s="1"/>
      <c r="VNY121" s="1"/>
      <c r="VNZ121" s="1"/>
      <c r="VOA121" s="1"/>
      <c r="VOB121" s="1"/>
      <c r="VOC121" s="1"/>
      <c r="VOD121" s="1"/>
      <c r="VOE121" s="1"/>
      <c r="VOF121" s="1"/>
      <c r="VOG121" s="1"/>
      <c r="VOH121" s="1"/>
      <c r="VOI121" s="1"/>
      <c r="VOJ121" s="1"/>
      <c r="VOK121" s="1"/>
      <c r="VOL121" s="1"/>
      <c r="VOM121" s="1"/>
      <c r="VON121" s="1"/>
      <c r="VOO121" s="1"/>
      <c r="VOP121" s="1"/>
      <c r="VOQ121" s="1"/>
      <c r="VOR121" s="1"/>
      <c r="VOS121" s="1"/>
      <c r="VOT121" s="1"/>
      <c r="VOU121" s="1"/>
      <c r="VOV121" s="1"/>
      <c r="VOW121" s="1"/>
      <c r="VOX121" s="1"/>
      <c r="VOY121" s="1"/>
      <c r="VOZ121" s="1"/>
      <c r="VPA121" s="1"/>
      <c r="VPB121" s="1"/>
      <c r="VPC121" s="1"/>
      <c r="VPD121" s="1"/>
      <c r="VPE121" s="1"/>
      <c r="VPF121" s="1"/>
      <c r="VPG121" s="1"/>
      <c r="VPH121" s="1"/>
      <c r="VPI121" s="1"/>
      <c r="VPJ121" s="1"/>
      <c r="VPK121" s="1"/>
      <c r="VPL121" s="1"/>
      <c r="VPM121" s="1"/>
      <c r="VPN121" s="1"/>
      <c r="VPO121" s="1"/>
      <c r="VPP121" s="1"/>
      <c r="VPQ121" s="1"/>
      <c r="VPR121" s="1"/>
      <c r="VPS121" s="1"/>
      <c r="VPT121" s="1"/>
      <c r="VPU121" s="1"/>
      <c r="VPV121" s="1"/>
      <c r="VPW121" s="1"/>
      <c r="VPX121" s="1"/>
      <c r="VPY121" s="1"/>
      <c r="VPZ121" s="1"/>
      <c r="VQA121" s="1"/>
      <c r="VQB121" s="1"/>
      <c r="VQC121" s="1"/>
      <c r="VQD121" s="1"/>
      <c r="VQE121" s="1"/>
      <c r="VQF121" s="1"/>
      <c r="VQG121" s="1"/>
      <c r="VQH121" s="1"/>
      <c r="VQI121" s="1"/>
      <c r="VQJ121" s="1"/>
      <c r="VQK121" s="1"/>
      <c r="VQL121" s="1"/>
      <c r="VQM121" s="1"/>
      <c r="VQN121" s="1"/>
      <c r="VQO121" s="1"/>
      <c r="VQP121" s="1"/>
      <c r="VQQ121" s="1"/>
      <c r="VQR121" s="1"/>
      <c r="VQS121" s="1"/>
      <c r="VQT121" s="1"/>
      <c r="VQU121" s="1"/>
      <c r="VQV121" s="1"/>
      <c r="VQW121" s="1"/>
      <c r="VQX121" s="1"/>
      <c r="VQY121" s="1"/>
      <c r="VQZ121" s="1"/>
      <c r="VRA121" s="1"/>
      <c r="VRB121" s="1"/>
      <c r="VRC121" s="1"/>
      <c r="VRD121" s="1"/>
      <c r="VRE121" s="1"/>
      <c r="VRF121" s="1"/>
      <c r="VRG121" s="1"/>
      <c r="VRH121" s="1"/>
      <c r="VRI121" s="1"/>
      <c r="VRJ121" s="1"/>
      <c r="VRK121" s="1"/>
      <c r="VRL121" s="1"/>
      <c r="VRM121" s="1"/>
      <c r="VRN121" s="1"/>
      <c r="VRO121" s="1"/>
      <c r="VRP121" s="1"/>
      <c r="VRQ121" s="1"/>
      <c r="VRR121" s="1"/>
      <c r="VRS121" s="1"/>
      <c r="VRT121" s="1"/>
      <c r="VRU121" s="1"/>
      <c r="VRV121" s="1"/>
      <c r="VRW121" s="1"/>
      <c r="VRX121" s="1"/>
      <c r="VRY121" s="1"/>
      <c r="VRZ121" s="1"/>
      <c r="VSA121" s="1"/>
      <c r="VSB121" s="1"/>
      <c r="VSC121" s="1"/>
      <c r="VSD121" s="1"/>
      <c r="VSE121" s="1"/>
      <c r="VSF121" s="1"/>
      <c r="VSG121" s="1"/>
      <c r="VSH121" s="1"/>
      <c r="VSI121" s="1"/>
      <c r="VSJ121" s="1"/>
      <c r="VSK121" s="1"/>
      <c r="VSL121" s="1"/>
      <c r="VSM121" s="1"/>
      <c r="VSN121" s="1"/>
      <c r="VSO121" s="1"/>
      <c r="VSP121" s="1"/>
      <c r="VSQ121" s="1"/>
      <c r="VSR121" s="1"/>
      <c r="VSS121" s="1"/>
      <c r="VST121" s="1"/>
      <c r="VSU121" s="1"/>
      <c r="VSV121" s="1"/>
      <c r="VSW121" s="1"/>
      <c r="VSX121" s="1"/>
      <c r="VSY121" s="1"/>
      <c r="VSZ121" s="1"/>
      <c r="VTA121" s="1"/>
      <c r="VTB121" s="1"/>
      <c r="VTC121" s="1"/>
      <c r="VTD121" s="1"/>
      <c r="VTE121" s="1"/>
      <c r="VTF121" s="1"/>
      <c r="VTG121" s="1"/>
      <c r="VTH121" s="1"/>
      <c r="VTI121" s="1"/>
      <c r="VTJ121" s="1"/>
      <c r="VTK121" s="1"/>
      <c r="VTL121" s="1"/>
      <c r="VTM121" s="1"/>
      <c r="VTN121" s="1"/>
      <c r="VTO121" s="1"/>
      <c r="VTP121" s="1"/>
      <c r="VTQ121" s="1"/>
      <c r="VTR121" s="1"/>
      <c r="VTS121" s="1"/>
      <c r="VTT121" s="1"/>
      <c r="VTU121" s="1"/>
      <c r="VTV121" s="1"/>
      <c r="VTW121" s="1"/>
      <c r="VTX121" s="1"/>
      <c r="VTY121" s="1"/>
      <c r="VTZ121" s="1"/>
      <c r="VUA121" s="1"/>
      <c r="VUB121" s="1"/>
      <c r="VUC121" s="1"/>
      <c r="VUD121" s="1"/>
      <c r="VUE121" s="1"/>
      <c r="VUF121" s="1"/>
      <c r="VUG121" s="1"/>
      <c r="VUH121" s="1"/>
      <c r="VUI121" s="1"/>
      <c r="VUJ121" s="1"/>
      <c r="VUK121" s="1"/>
      <c r="VUL121" s="1"/>
      <c r="VUM121" s="1"/>
      <c r="VUN121" s="1"/>
      <c r="VUO121" s="1"/>
      <c r="VUP121" s="1"/>
      <c r="VUQ121" s="1"/>
      <c r="VUR121" s="1"/>
      <c r="VUS121" s="1"/>
      <c r="VUT121" s="1"/>
      <c r="VUU121" s="1"/>
      <c r="VUV121" s="1"/>
      <c r="VUW121" s="1"/>
      <c r="VUX121" s="1"/>
      <c r="VUY121" s="1"/>
      <c r="VUZ121" s="1"/>
      <c r="VVA121" s="1"/>
      <c r="VVB121" s="1"/>
      <c r="VVC121" s="1"/>
      <c r="VVD121" s="1"/>
      <c r="VVE121" s="1"/>
      <c r="VVF121" s="1"/>
      <c r="VVG121" s="1"/>
      <c r="VVH121" s="1"/>
      <c r="VVI121" s="1"/>
      <c r="VVJ121" s="1"/>
      <c r="VVK121" s="1"/>
      <c r="VVL121" s="1"/>
      <c r="VVM121" s="1"/>
      <c r="VVN121" s="1"/>
      <c r="VVO121" s="1"/>
      <c r="VVP121" s="1"/>
      <c r="VVQ121" s="1"/>
      <c r="VVR121" s="1"/>
      <c r="VVS121" s="1"/>
      <c r="VVT121" s="1"/>
      <c r="VVU121" s="1"/>
      <c r="VVV121" s="1"/>
      <c r="VVW121" s="1"/>
      <c r="VVX121" s="1"/>
      <c r="VVY121" s="1"/>
      <c r="VVZ121" s="1"/>
      <c r="VWA121" s="1"/>
      <c r="VWB121" s="1"/>
      <c r="VWC121" s="1"/>
      <c r="VWD121" s="1"/>
      <c r="VWE121" s="1"/>
      <c r="VWF121" s="1"/>
      <c r="VWG121" s="1"/>
      <c r="VWH121" s="1"/>
      <c r="VWI121" s="1"/>
      <c r="VWJ121" s="1"/>
      <c r="VWK121" s="1"/>
      <c r="VWL121" s="1"/>
      <c r="VWM121" s="1"/>
      <c r="VWN121" s="1"/>
      <c r="VWO121" s="1"/>
      <c r="VWP121" s="1"/>
      <c r="VWQ121" s="1"/>
      <c r="VWR121" s="1"/>
      <c r="VWS121" s="1"/>
      <c r="VWT121" s="1"/>
      <c r="VWU121" s="1"/>
      <c r="VWV121" s="1"/>
      <c r="VWW121" s="1"/>
      <c r="VWX121" s="1"/>
      <c r="VWY121" s="1"/>
      <c r="VWZ121" s="1"/>
      <c r="VXA121" s="1"/>
      <c r="VXB121" s="1"/>
      <c r="VXC121" s="1"/>
      <c r="VXD121" s="1"/>
      <c r="VXE121" s="1"/>
      <c r="VXF121" s="1"/>
      <c r="VXG121" s="1"/>
      <c r="VXH121" s="1"/>
      <c r="VXI121" s="1"/>
      <c r="VXJ121" s="1"/>
      <c r="VXK121" s="1"/>
      <c r="VXL121" s="1"/>
      <c r="VXM121" s="1"/>
      <c r="VXN121" s="1"/>
      <c r="VXO121" s="1"/>
      <c r="VXP121" s="1"/>
      <c r="VXQ121" s="1"/>
      <c r="VXR121" s="1"/>
      <c r="VXS121" s="1"/>
      <c r="VXT121" s="1"/>
      <c r="VXU121" s="1"/>
      <c r="VXV121" s="1"/>
      <c r="VXW121" s="1"/>
      <c r="VXX121" s="1"/>
      <c r="VXY121" s="1"/>
      <c r="VXZ121" s="1"/>
      <c r="VYA121" s="1"/>
      <c r="VYB121" s="1"/>
      <c r="VYC121" s="1"/>
      <c r="VYD121" s="1"/>
      <c r="VYE121" s="1"/>
      <c r="VYF121" s="1"/>
      <c r="VYG121" s="1"/>
      <c r="VYH121" s="1"/>
      <c r="VYI121" s="1"/>
      <c r="VYJ121" s="1"/>
      <c r="VYK121" s="1"/>
      <c r="VYL121" s="1"/>
      <c r="VYM121" s="1"/>
      <c r="VYN121" s="1"/>
      <c r="VYO121" s="1"/>
      <c r="VYP121" s="1"/>
      <c r="VYQ121" s="1"/>
      <c r="VYR121" s="1"/>
      <c r="VYS121" s="1"/>
      <c r="VYT121" s="1"/>
      <c r="VYU121" s="1"/>
      <c r="VYV121" s="1"/>
      <c r="VYW121" s="1"/>
      <c r="VYX121" s="1"/>
      <c r="VYY121" s="1"/>
      <c r="VYZ121" s="1"/>
      <c r="VZA121" s="1"/>
      <c r="VZB121" s="1"/>
      <c r="VZC121" s="1"/>
      <c r="VZD121" s="1"/>
      <c r="VZE121" s="1"/>
      <c r="VZF121" s="1"/>
      <c r="VZG121" s="1"/>
      <c r="VZH121" s="1"/>
      <c r="VZI121" s="1"/>
      <c r="VZJ121" s="1"/>
      <c r="VZK121" s="1"/>
      <c r="VZL121" s="1"/>
      <c r="VZM121" s="1"/>
      <c r="VZN121" s="1"/>
      <c r="VZO121" s="1"/>
      <c r="VZP121" s="1"/>
      <c r="VZQ121" s="1"/>
      <c r="VZR121" s="1"/>
      <c r="VZS121" s="1"/>
      <c r="VZT121" s="1"/>
      <c r="VZU121" s="1"/>
      <c r="VZV121" s="1"/>
      <c r="VZW121" s="1"/>
      <c r="VZX121" s="1"/>
      <c r="VZY121" s="1"/>
      <c r="VZZ121" s="1"/>
      <c r="WAA121" s="1"/>
      <c r="WAB121" s="1"/>
      <c r="WAC121" s="1"/>
      <c r="WAD121" s="1"/>
      <c r="WAE121" s="1"/>
      <c r="WAF121" s="1"/>
      <c r="WAG121" s="1"/>
      <c r="WAH121" s="1"/>
      <c r="WAI121" s="1"/>
      <c r="WAJ121" s="1"/>
      <c r="WAK121" s="1"/>
      <c r="WAL121" s="1"/>
      <c r="WAM121" s="1"/>
      <c r="WAN121" s="1"/>
      <c r="WAO121" s="1"/>
      <c r="WAP121" s="1"/>
      <c r="WAQ121" s="1"/>
      <c r="WAR121" s="1"/>
      <c r="WAS121" s="1"/>
      <c r="WAT121" s="1"/>
      <c r="WAU121" s="1"/>
      <c r="WAV121" s="1"/>
      <c r="WAW121" s="1"/>
      <c r="WAX121" s="1"/>
      <c r="WAY121" s="1"/>
      <c r="WAZ121" s="1"/>
      <c r="WBA121" s="1"/>
      <c r="WBB121" s="1"/>
      <c r="WBC121" s="1"/>
      <c r="WBD121" s="1"/>
      <c r="WBE121" s="1"/>
      <c r="WBF121" s="1"/>
      <c r="WBG121" s="1"/>
      <c r="WBH121" s="1"/>
      <c r="WBI121" s="1"/>
      <c r="WBJ121" s="1"/>
      <c r="WBK121" s="1"/>
      <c r="WBL121" s="1"/>
      <c r="WBM121" s="1"/>
      <c r="WBN121" s="1"/>
      <c r="WBO121" s="1"/>
      <c r="WBP121" s="1"/>
      <c r="WBQ121" s="1"/>
      <c r="WBR121" s="1"/>
      <c r="WBS121" s="1"/>
      <c r="WBT121" s="1"/>
      <c r="WBU121" s="1"/>
      <c r="WBV121" s="1"/>
      <c r="WBW121" s="1"/>
      <c r="WBX121" s="1"/>
      <c r="WBY121" s="1"/>
      <c r="WBZ121" s="1"/>
      <c r="WCA121" s="1"/>
      <c r="WCB121" s="1"/>
      <c r="WCC121" s="1"/>
      <c r="WCD121" s="1"/>
      <c r="WCE121" s="1"/>
      <c r="WCF121" s="1"/>
      <c r="WCG121" s="1"/>
      <c r="WCH121" s="1"/>
      <c r="WCI121" s="1"/>
      <c r="WCJ121" s="1"/>
      <c r="WCK121" s="1"/>
      <c r="WCL121" s="1"/>
      <c r="WCM121" s="1"/>
      <c r="WCN121" s="1"/>
      <c r="WCO121" s="1"/>
      <c r="WCP121" s="1"/>
      <c r="WCQ121" s="1"/>
      <c r="WCR121" s="1"/>
      <c r="WCS121" s="1"/>
      <c r="WCT121" s="1"/>
      <c r="WCU121" s="1"/>
      <c r="WCV121" s="1"/>
      <c r="WCW121" s="1"/>
      <c r="WCX121" s="1"/>
      <c r="WCY121" s="1"/>
      <c r="WCZ121" s="1"/>
      <c r="WDA121" s="1"/>
      <c r="WDB121" s="1"/>
      <c r="WDC121" s="1"/>
      <c r="WDD121" s="1"/>
      <c r="WDE121" s="1"/>
      <c r="WDF121" s="1"/>
      <c r="WDG121" s="1"/>
      <c r="WDH121" s="1"/>
      <c r="WDI121" s="1"/>
      <c r="WDJ121" s="1"/>
      <c r="WDK121" s="1"/>
      <c r="WDL121" s="1"/>
      <c r="WDM121" s="1"/>
      <c r="WDN121" s="1"/>
      <c r="WDO121" s="1"/>
      <c r="WDP121" s="1"/>
      <c r="WDQ121" s="1"/>
      <c r="WDR121" s="1"/>
      <c r="WDS121" s="1"/>
      <c r="WDT121" s="1"/>
      <c r="WDU121" s="1"/>
      <c r="WDV121" s="1"/>
      <c r="WDW121" s="1"/>
      <c r="WDX121" s="1"/>
      <c r="WDY121" s="1"/>
      <c r="WDZ121" s="1"/>
      <c r="WEA121" s="1"/>
      <c r="WEB121" s="1"/>
      <c r="WEC121" s="1"/>
      <c r="WED121" s="1"/>
      <c r="WEE121" s="1"/>
      <c r="WEF121" s="1"/>
      <c r="WEG121" s="1"/>
      <c r="WEH121" s="1"/>
      <c r="WEI121" s="1"/>
      <c r="WEJ121" s="1"/>
      <c r="WEK121" s="1"/>
      <c r="WEL121" s="1"/>
      <c r="WEM121" s="1"/>
      <c r="WEN121" s="1"/>
      <c r="WEO121" s="1"/>
      <c r="WEP121" s="1"/>
      <c r="WEQ121" s="1"/>
      <c r="WER121" s="1"/>
      <c r="WES121" s="1"/>
      <c r="WET121" s="1"/>
      <c r="WEU121" s="1"/>
      <c r="WEV121" s="1"/>
      <c r="WEW121" s="1"/>
      <c r="WEX121" s="1"/>
      <c r="WEY121" s="1"/>
      <c r="WEZ121" s="1"/>
      <c r="WFA121" s="1"/>
      <c r="WFB121" s="1"/>
      <c r="WFC121" s="1"/>
      <c r="WFD121" s="1"/>
      <c r="WFE121" s="1"/>
      <c r="WFF121" s="1"/>
      <c r="WFG121" s="1"/>
      <c r="WFH121" s="1"/>
      <c r="WFI121" s="1"/>
      <c r="WFJ121" s="1"/>
      <c r="WFK121" s="1"/>
      <c r="WFL121" s="1"/>
      <c r="WFM121" s="1"/>
      <c r="WFN121" s="1"/>
      <c r="WFO121" s="1"/>
      <c r="WFP121" s="1"/>
      <c r="WFQ121" s="1"/>
      <c r="WFR121" s="1"/>
      <c r="WFS121" s="1"/>
      <c r="WFT121" s="1"/>
      <c r="WFU121" s="1"/>
      <c r="WFV121" s="1"/>
      <c r="WFW121" s="1"/>
      <c r="WFX121" s="1"/>
      <c r="WFY121" s="1"/>
      <c r="WFZ121" s="1"/>
      <c r="WGA121" s="1"/>
      <c r="WGB121" s="1"/>
      <c r="WGC121" s="1"/>
      <c r="WGD121" s="1"/>
      <c r="WGE121" s="1"/>
      <c r="WGF121" s="1"/>
      <c r="WGG121" s="1"/>
      <c r="WGH121" s="1"/>
      <c r="WGI121" s="1"/>
      <c r="WGJ121" s="1"/>
      <c r="WGK121" s="1"/>
      <c r="WGL121" s="1"/>
      <c r="WGM121" s="1"/>
      <c r="WGN121" s="1"/>
      <c r="WGO121" s="1"/>
      <c r="WGP121" s="1"/>
      <c r="WGQ121" s="1"/>
      <c r="WGR121" s="1"/>
      <c r="WGS121" s="1"/>
      <c r="WGT121" s="1"/>
      <c r="WGU121" s="1"/>
      <c r="WGV121" s="1"/>
      <c r="WGW121" s="1"/>
      <c r="WGX121" s="1"/>
      <c r="WGY121" s="1"/>
      <c r="WGZ121" s="1"/>
      <c r="WHA121" s="1"/>
      <c r="WHB121" s="1"/>
      <c r="WHC121" s="1"/>
      <c r="WHD121" s="1"/>
      <c r="WHE121" s="1"/>
      <c r="WHF121" s="1"/>
      <c r="WHG121" s="1"/>
      <c r="WHH121" s="1"/>
      <c r="WHI121" s="1"/>
      <c r="WHJ121" s="1"/>
      <c r="WHK121" s="1"/>
      <c r="WHL121" s="1"/>
      <c r="WHM121" s="1"/>
      <c r="WHN121" s="1"/>
      <c r="WHO121" s="1"/>
      <c r="WHP121" s="1"/>
      <c r="WHQ121" s="1"/>
      <c r="WHR121" s="1"/>
      <c r="WHS121" s="1"/>
      <c r="WHT121" s="1"/>
      <c r="WHU121" s="1"/>
      <c r="WHV121" s="1"/>
      <c r="WHW121" s="1"/>
      <c r="WHX121" s="1"/>
      <c r="WHY121" s="1"/>
      <c r="WHZ121" s="1"/>
      <c r="WIA121" s="1"/>
      <c r="WIB121" s="1"/>
      <c r="WIC121" s="1"/>
      <c r="WID121" s="1"/>
      <c r="WIE121" s="1"/>
      <c r="WIF121" s="1"/>
      <c r="WIG121" s="1"/>
      <c r="WIH121" s="1"/>
      <c r="WII121" s="1"/>
      <c r="WIJ121" s="1"/>
      <c r="WIK121" s="1"/>
      <c r="WIL121" s="1"/>
      <c r="WIM121" s="1"/>
      <c r="WIN121" s="1"/>
      <c r="WIO121" s="1"/>
      <c r="WIP121" s="1"/>
      <c r="WIQ121" s="1"/>
      <c r="WIR121" s="1"/>
      <c r="WIS121" s="1"/>
      <c r="WIT121" s="1"/>
      <c r="WIU121" s="1"/>
      <c r="WIV121" s="1"/>
      <c r="WIW121" s="1"/>
      <c r="WIX121" s="1"/>
      <c r="WIY121" s="1"/>
      <c r="WIZ121" s="1"/>
      <c r="WJA121" s="1"/>
      <c r="WJB121" s="1"/>
      <c r="WJC121" s="1"/>
      <c r="WJD121" s="1"/>
      <c r="WJE121" s="1"/>
      <c r="WJF121" s="1"/>
      <c r="WJG121" s="1"/>
      <c r="WJH121" s="1"/>
      <c r="WJI121" s="1"/>
      <c r="WJJ121" s="1"/>
      <c r="WJK121" s="1"/>
      <c r="WJL121" s="1"/>
      <c r="WJM121" s="1"/>
      <c r="WJN121" s="1"/>
      <c r="WJO121" s="1"/>
      <c r="WJP121" s="1"/>
      <c r="WJQ121" s="1"/>
      <c r="WJR121" s="1"/>
      <c r="WJS121" s="1"/>
      <c r="WJT121" s="1"/>
      <c r="WJU121" s="1"/>
      <c r="WJV121" s="1"/>
      <c r="WJW121" s="1"/>
      <c r="WJX121" s="1"/>
      <c r="WJY121" s="1"/>
      <c r="WJZ121" s="1"/>
      <c r="WKA121" s="1"/>
      <c r="WKB121" s="1"/>
      <c r="WKC121" s="1"/>
      <c r="WKD121" s="1"/>
      <c r="WKE121" s="1"/>
      <c r="WKF121" s="1"/>
      <c r="WKG121" s="1"/>
      <c r="WKH121" s="1"/>
      <c r="WKI121" s="1"/>
      <c r="WKJ121" s="1"/>
      <c r="WKK121" s="1"/>
      <c r="WKL121" s="1"/>
      <c r="WKM121" s="1"/>
      <c r="WKN121" s="1"/>
      <c r="WKO121" s="1"/>
      <c r="WKP121" s="1"/>
      <c r="WKQ121" s="1"/>
      <c r="WKR121" s="1"/>
      <c r="WKS121" s="1"/>
      <c r="WKT121" s="1"/>
      <c r="WKU121" s="1"/>
      <c r="WKV121" s="1"/>
      <c r="WKW121" s="1"/>
      <c r="WKX121" s="1"/>
      <c r="WKY121" s="1"/>
      <c r="WKZ121" s="1"/>
      <c r="WLA121" s="1"/>
      <c r="WLB121" s="1"/>
      <c r="WLC121" s="1"/>
      <c r="WLD121" s="1"/>
      <c r="WLE121" s="1"/>
      <c r="WLF121" s="1"/>
      <c r="WLG121" s="1"/>
      <c r="WLH121" s="1"/>
      <c r="WLI121" s="1"/>
      <c r="WLJ121" s="1"/>
      <c r="WLK121" s="1"/>
      <c r="WLL121" s="1"/>
      <c r="WLM121" s="1"/>
      <c r="WLN121" s="1"/>
      <c r="WLO121" s="1"/>
      <c r="WLP121" s="1"/>
      <c r="WLQ121" s="1"/>
      <c r="WLR121" s="1"/>
      <c r="WLS121" s="1"/>
      <c r="WLT121" s="1"/>
      <c r="WLU121" s="1"/>
      <c r="WLV121" s="1"/>
      <c r="WLW121" s="1"/>
      <c r="WLX121" s="1"/>
      <c r="WLY121" s="1"/>
      <c r="WLZ121" s="1"/>
      <c r="WMA121" s="1"/>
      <c r="WMB121" s="1"/>
      <c r="WMC121" s="1"/>
      <c r="WMD121" s="1"/>
      <c r="WME121" s="1"/>
      <c r="WMF121" s="1"/>
      <c r="WMG121" s="1"/>
      <c r="WMH121" s="1"/>
      <c r="WMI121" s="1"/>
      <c r="WMJ121" s="1"/>
      <c r="WMK121" s="1"/>
      <c r="WML121" s="1"/>
      <c r="WMM121" s="1"/>
      <c r="WMN121" s="1"/>
      <c r="WMO121" s="1"/>
      <c r="WMP121" s="1"/>
      <c r="WMQ121" s="1"/>
      <c r="WMR121" s="1"/>
      <c r="WMS121" s="1"/>
      <c r="WMT121" s="1"/>
      <c r="WMU121" s="1"/>
      <c r="WMV121" s="1"/>
      <c r="WMW121" s="1"/>
      <c r="WMX121" s="1"/>
      <c r="WMY121" s="1"/>
      <c r="WMZ121" s="1"/>
      <c r="WNA121" s="1"/>
      <c r="WNB121" s="1"/>
      <c r="WNC121" s="1"/>
      <c r="WND121" s="1"/>
      <c r="WNE121" s="1"/>
      <c r="WNF121" s="1"/>
      <c r="WNG121" s="1"/>
      <c r="WNH121" s="1"/>
      <c r="WNI121" s="1"/>
      <c r="WNJ121" s="1"/>
      <c r="WNK121" s="1"/>
      <c r="WNL121" s="1"/>
      <c r="WNM121" s="1"/>
      <c r="WNN121" s="1"/>
      <c r="WNO121" s="1"/>
      <c r="WNP121" s="1"/>
      <c r="WNQ121" s="1"/>
      <c r="WNR121" s="1"/>
      <c r="WNS121" s="1"/>
      <c r="WNT121" s="1"/>
      <c r="WNU121" s="1"/>
      <c r="WNV121" s="1"/>
      <c r="WNW121" s="1"/>
      <c r="WNX121" s="1"/>
      <c r="WNY121" s="1"/>
      <c r="WNZ121" s="1"/>
      <c r="WOA121" s="1"/>
      <c r="WOB121" s="1"/>
      <c r="WOC121" s="1"/>
      <c r="WOD121" s="1"/>
      <c r="WOE121" s="1"/>
      <c r="WOF121" s="1"/>
      <c r="WOG121" s="1"/>
      <c r="WOH121" s="1"/>
      <c r="WOI121" s="1"/>
      <c r="WOJ121" s="1"/>
      <c r="WOK121" s="1"/>
      <c r="WOL121" s="1"/>
      <c r="WOM121" s="1"/>
      <c r="WON121" s="1"/>
      <c r="WOO121" s="1"/>
      <c r="WOP121" s="1"/>
      <c r="WOQ121" s="1"/>
      <c r="WOR121" s="1"/>
      <c r="WOS121" s="1"/>
      <c r="WOT121" s="1"/>
      <c r="WOU121" s="1"/>
      <c r="WOV121" s="1"/>
      <c r="WOW121" s="1"/>
      <c r="WOX121" s="1"/>
      <c r="WOY121" s="1"/>
      <c r="WOZ121" s="1"/>
      <c r="WPA121" s="1"/>
      <c r="WPB121" s="1"/>
      <c r="WPC121" s="1"/>
      <c r="WPD121" s="1"/>
      <c r="WPE121" s="1"/>
      <c r="WPF121" s="1"/>
      <c r="WPG121" s="1"/>
      <c r="WPH121" s="1"/>
      <c r="WPI121" s="1"/>
      <c r="WPJ121" s="1"/>
      <c r="WPK121" s="1"/>
      <c r="WPL121" s="1"/>
      <c r="WPM121" s="1"/>
      <c r="WPN121" s="1"/>
      <c r="WPO121" s="1"/>
      <c r="WPP121" s="1"/>
      <c r="WPQ121" s="1"/>
      <c r="WPR121" s="1"/>
      <c r="WPS121" s="1"/>
      <c r="WPT121" s="1"/>
      <c r="WPU121" s="1"/>
      <c r="WPV121" s="1"/>
      <c r="WPW121" s="1"/>
      <c r="WPX121" s="1"/>
      <c r="WPY121" s="1"/>
      <c r="WPZ121" s="1"/>
      <c r="WQA121" s="1"/>
      <c r="WQB121" s="1"/>
      <c r="WQC121" s="1"/>
      <c r="WQD121" s="1"/>
      <c r="WQE121" s="1"/>
      <c r="WQF121" s="1"/>
      <c r="WQG121" s="1"/>
      <c r="WQH121" s="1"/>
      <c r="WQI121" s="1"/>
      <c r="WQJ121" s="1"/>
      <c r="WQK121" s="1"/>
      <c r="WQL121" s="1"/>
      <c r="WQM121" s="1"/>
      <c r="WQN121" s="1"/>
      <c r="WQO121" s="1"/>
      <c r="WQP121" s="1"/>
      <c r="WQQ121" s="1"/>
      <c r="WQR121" s="1"/>
      <c r="WQS121" s="1"/>
      <c r="WQT121" s="1"/>
      <c r="WQU121" s="1"/>
      <c r="WQV121" s="1"/>
      <c r="WQW121" s="1"/>
      <c r="WQX121" s="1"/>
      <c r="WQY121" s="1"/>
      <c r="WQZ121" s="1"/>
      <c r="WRA121" s="1"/>
      <c r="WRB121" s="1"/>
      <c r="WRC121" s="1"/>
      <c r="WRD121" s="1"/>
      <c r="WRE121" s="1"/>
      <c r="WRF121" s="1"/>
      <c r="WRG121" s="1"/>
      <c r="WRH121" s="1"/>
      <c r="WRI121" s="1"/>
      <c r="WRJ121" s="1"/>
      <c r="WRK121" s="1"/>
      <c r="WRL121" s="1"/>
      <c r="WRM121" s="1"/>
      <c r="WRN121" s="1"/>
      <c r="WRO121" s="1"/>
      <c r="WRP121" s="1"/>
      <c r="WRQ121" s="1"/>
      <c r="WRR121" s="1"/>
      <c r="WRS121" s="1"/>
      <c r="WRT121" s="1"/>
      <c r="WRU121" s="1"/>
      <c r="WRV121" s="1"/>
      <c r="WRW121" s="1"/>
      <c r="WRX121" s="1"/>
      <c r="WRY121" s="1"/>
      <c r="WRZ121" s="1"/>
      <c r="WSA121" s="1"/>
      <c r="WSB121" s="1"/>
      <c r="WSC121" s="1"/>
      <c r="WSD121" s="1"/>
      <c r="WSE121" s="1"/>
      <c r="WSF121" s="1"/>
      <c r="WSG121" s="1"/>
      <c r="WSH121" s="1"/>
      <c r="WSI121" s="1"/>
      <c r="WSJ121" s="1"/>
      <c r="WSK121" s="1"/>
      <c r="WSL121" s="1"/>
      <c r="WSM121" s="1"/>
      <c r="WSN121" s="1"/>
      <c r="WSO121" s="1"/>
      <c r="WSP121" s="1"/>
      <c r="WSQ121" s="1"/>
      <c r="WSR121" s="1"/>
      <c r="WSS121" s="1"/>
      <c r="WST121" s="1"/>
      <c r="WSU121" s="1"/>
      <c r="WSV121" s="1"/>
      <c r="WSW121" s="1"/>
      <c r="WSX121" s="1"/>
      <c r="WSY121" s="1"/>
      <c r="WSZ121" s="1"/>
      <c r="WTA121" s="1"/>
      <c r="WTB121" s="1"/>
      <c r="WTC121" s="1"/>
      <c r="WTD121" s="1"/>
      <c r="WTE121" s="1"/>
      <c r="WTF121" s="1"/>
      <c r="WTG121" s="1"/>
      <c r="WTH121" s="1"/>
      <c r="WTI121" s="1"/>
      <c r="WTJ121" s="1"/>
      <c r="WTK121" s="1"/>
      <c r="WTL121" s="1"/>
      <c r="WTM121" s="1"/>
      <c r="WTN121" s="1"/>
      <c r="WTO121" s="1"/>
      <c r="WTP121" s="1"/>
      <c r="WTQ121" s="1"/>
      <c r="WTR121" s="1"/>
      <c r="WTS121" s="1"/>
      <c r="WTT121" s="1"/>
      <c r="WTU121" s="1"/>
      <c r="WTV121" s="1"/>
      <c r="WTW121" s="1"/>
      <c r="WTX121" s="1"/>
      <c r="WTY121" s="1"/>
      <c r="WTZ121" s="1"/>
      <c r="WUA121" s="1"/>
      <c r="WUB121" s="1"/>
      <c r="WUC121" s="1"/>
      <c r="WUD121" s="1"/>
      <c r="WUE121" s="1"/>
      <c r="WUF121" s="1"/>
      <c r="WUG121" s="1"/>
      <c r="WUH121" s="1"/>
      <c r="WUI121" s="1"/>
      <c r="WUJ121" s="1"/>
      <c r="WUK121" s="1"/>
      <c r="WUL121" s="1"/>
      <c r="WUM121" s="1"/>
      <c r="WUN121" s="1"/>
      <c r="WUO121" s="1"/>
      <c r="WUP121" s="1"/>
      <c r="WUQ121" s="1"/>
      <c r="WUR121" s="1"/>
      <c r="WUS121" s="1"/>
      <c r="WUT121" s="1"/>
      <c r="WUU121" s="1"/>
      <c r="WUV121" s="1"/>
      <c r="WUW121" s="1"/>
      <c r="WUX121" s="1"/>
      <c r="WUY121" s="1"/>
      <c r="WUZ121" s="1"/>
      <c r="WVA121" s="1"/>
      <c r="WVB121" s="1"/>
      <c r="WVC121" s="1"/>
      <c r="WVD121" s="1"/>
      <c r="WVE121" s="1"/>
      <c r="WVF121" s="1"/>
      <c r="WVG121" s="1"/>
      <c r="WVH121" s="1"/>
      <c r="WVI121" s="1"/>
      <c r="WVJ121" s="1"/>
      <c r="WVK121" s="1"/>
      <c r="WVL121" s="1"/>
      <c r="WVM121" s="1"/>
      <c r="WVN121" s="1"/>
      <c r="WVO121" s="1"/>
      <c r="WVP121" s="1"/>
      <c r="WVQ121" s="1"/>
      <c r="WVR121" s="1"/>
      <c r="WVS121" s="1"/>
      <c r="WVT121" s="1"/>
      <c r="WVU121" s="1"/>
      <c r="WVV121" s="1"/>
      <c r="WVW121" s="1"/>
      <c r="WVX121" s="1"/>
      <c r="WVY121" s="1"/>
      <c r="WVZ121" s="1"/>
      <c r="WWA121" s="1"/>
      <c r="WWB121" s="1"/>
      <c r="WWC121" s="1"/>
      <c r="WWD121" s="1"/>
      <c r="WWE121" s="1"/>
      <c r="WWF121" s="1"/>
      <c r="WWG121" s="1"/>
      <c r="WWH121" s="1"/>
      <c r="WWI121" s="1"/>
      <c r="WWJ121" s="1"/>
      <c r="WWK121" s="1"/>
      <c r="WWL121" s="1"/>
      <c r="WWM121" s="1"/>
      <c r="WWN121" s="1"/>
      <c r="WWO121" s="1"/>
      <c r="WWP121" s="1"/>
      <c r="WWQ121" s="1"/>
      <c r="WWR121" s="1"/>
      <c r="WWS121" s="1"/>
      <c r="WWT121" s="1"/>
      <c r="WWU121" s="1"/>
      <c r="WWV121" s="1"/>
      <c r="WWW121" s="1"/>
      <c r="WWX121" s="1"/>
      <c r="WWY121" s="1"/>
      <c r="WWZ121" s="1"/>
      <c r="WXA121" s="1"/>
      <c r="WXB121" s="1"/>
      <c r="WXC121" s="1"/>
      <c r="WXD121" s="1"/>
      <c r="WXE121" s="1"/>
      <c r="WXF121" s="1"/>
      <c r="WXG121" s="1"/>
      <c r="WXH121" s="1"/>
      <c r="WXI121" s="1"/>
      <c r="WXJ121" s="1"/>
      <c r="WXK121" s="1"/>
      <c r="WXL121" s="1"/>
      <c r="WXM121" s="1"/>
      <c r="WXN121" s="1"/>
      <c r="WXO121" s="1"/>
      <c r="WXP121" s="1"/>
      <c r="WXQ121" s="1"/>
      <c r="WXR121" s="1"/>
      <c r="WXS121" s="1"/>
      <c r="WXT121" s="1"/>
      <c r="WXU121" s="1"/>
      <c r="WXV121" s="1"/>
      <c r="WXW121" s="1"/>
      <c r="WXX121" s="1"/>
      <c r="WXY121" s="1"/>
      <c r="WXZ121" s="1"/>
      <c r="WYA121" s="1"/>
      <c r="WYB121" s="1"/>
      <c r="WYC121" s="1"/>
      <c r="WYD121" s="1"/>
      <c r="WYE121" s="1"/>
      <c r="WYF121" s="1"/>
      <c r="WYG121" s="1"/>
      <c r="WYH121" s="1"/>
      <c r="WYI121" s="1"/>
      <c r="WYJ121" s="1"/>
      <c r="WYK121" s="1"/>
      <c r="WYL121" s="1"/>
      <c r="WYM121" s="1"/>
      <c r="WYN121" s="1"/>
      <c r="WYO121" s="1"/>
      <c r="WYP121" s="1"/>
      <c r="WYQ121" s="1"/>
      <c r="WYR121" s="1"/>
      <c r="WYS121" s="1"/>
      <c r="WYT121" s="1"/>
      <c r="WYU121" s="1"/>
      <c r="WYV121" s="1"/>
      <c r="WYW121" s="1"/>
      <c r="WYX121" s="1"/>
      <c r="WYY121" s="1"/>
      <c r="WYZ121" s="1"/>
      <c r="WZA121" s="1"/>
      <c r="WZB121" s="1"/>
      <c r="WZC121" s="1"/>
      <c r="WZD121" s="1"/>
      <c r="WZE121" s="1"/>
      <c r="WZF121" s="1"/>
      <c r="WZG121" s="1"/>
      <c r="WZH121" s="1"/>
      <c r="WZI121" s="1"/>
      <c r="WZJ121" s="1"/>
      <c r="WZK121" s="1"/>
      <c r="WZL121" s="1"/>
      <c r="WZM121" s="1"/>
      <c r="WZN121" s="1"/>
      <c r="WZO121" s="1"/>
      <c r="WZP121" s="1"/>
      <c r="WZQ121" s="1"/>
      <c r="WZR121" s="1"/>
      <c r="WZS121" s="1"/>
      <c r="WZT121" s="1"/>
      <c r="WZU121" s="1"/>
      <c r="WZV121" s="1"/>
      <c r="WZW121" s="1"/>
      <c r="WZX121" s="1"/>
      <c r="WZY121" s="1"/>
      <c r="WZZ121" s="1"/>
      <c r="XAA121" s="1"/>
      <c r="XAB121" s="1"/>
      <c r="XAC121" s="1"/>
      <c r="XAD121" s="1"/>
      <c r="XAE121" s="1"/>
      <c r="XAF121" s="1"/>
      <c r="XAG121" s="1"/>
      <c r="XAH121" s="1"/>
      <c r="XAI121" s="1"/>
      <c r="XAJ121" s="1"/>
      <c r="XAK121" s="1"/>
      <c r="XAL121" s="1"/>
      <c r="XAM121" s="1"/>
      <c r="XAN121" s="1"/>
      <c r="XAO121" s="1"/>
      <c r="XAP121" s="1"/>
      <c r="XAQ121" s="1"/>
      <c r="XAR121" s="1"/>
      <c r="XAS121" s="1"/>
      <c r="XAT121" s="1"/>
      <c r="XAU121" s="1"/>
      <c r="XAV121" s="1"/>
      <c r="XAW121" s="1"/>
      <c r="XAX121" s="1"/>
      <c r="XAY121" s="1"/>
      <c r="XAZ121" s="1"/>
      <c r="XBA121" s="1"/>
      <c r="XBB121" s="1"/>
      <c r="XBC121" s="1"/>
      <c r="XBD121" s="1"/>
      <c r="XBE121" s="1"/>
      <c r="XBF121" s="1"/>
      <c r="XBG121" s="1"/>
      <c r="XBH121" s="1"/>
      <c r="XBI121" s="1"/>
      <c r="XBJ121" s="1"/>
      <c r="XBK121" s="1"/>
      <c r="XBL121" s="1"/>
      <c r="XBM121" s="1"/>
      <c r="XBN121" s="1"/>
      <c r="XBO121" s="1"/>
      <c r="XBP121" s="1"/>
      <c r="XBQ121" s="1"/>
      <c r="XBR121" s="1"/>
      <c r="XBS121" s="1"/>
      <c r="XBT121" s="1"/>
      <c r="XBU121" s="1"/>
      <c r="XBV121" s="1"/>
      <c r="XBW121" s="1"/>
      <c r="XBX121" s="1"/>
      <c r="XBY121" s="1"/>
      <c r="XBZ121" s="1"/>
      <c r="XCA121" s="1"/>
      <c r="XCB121" s="1"/>
      <c r="XCC121" s="1"/>
      <c r="XCD121" s="1"/>
      <c r="XCE121" s="1"/>
      <c r="XCF121" s="1"/>
      <c r="XCG121" s="1"/>
      <c r="XCH121" s="1"/>
      <c r="XCI121" s="1"/>
      <c r="XCJ121" s="1"/>
      <c r="XCK121" s="1"/>
      <c r="XCL121" s="1"/>
      <c r="XCM121" s="1"/>
      <c r="XCN121" s="1"/>
      <c r="XCO121" s="1"/>
      <c r="XCP121" s="1"/>
      <c r="XCQ121" s="1"/>
      <c r="XCR121" s="1"/>
      <c r="XCS121" s="1"/>
      <c r="XCT121" s="1"/>
      <c r="XCU121" s="1"/>
      <c r="XCV121" s="1"/>
      <c r="XCW121" s="1"/>
      <c r="XCX121" s="1"/>
      <c r="XCY121" s="1"/>
      <c r="XCZ121" s="1"/>
      <c r="XDA121" s="1"/>
      <c r="XDB121" s="1"/>
      <c r="XDC121" s="1"/>
      <c r="XDD121" s="1"/>
      <c r="XDE121" s="1"/>
      <c r="XDF121" s="1"/>
      <c r="XDG121" s="1"/>
      <c r="XDH121" s="1"/>
      <c r="XDI121" s="1"/>
      <c r="XDJ121" s="1"/>
      <c r="XDK121" s="1"/>
      <c r="XDL121" s="1"/>
      <c r="XDM121" s="1"/>
      <c r="XDN121" s="1"/>
      <c r="XDO121" s="1"/>
      <c r="XDP121" s="1"/>
      <c r="XDQ121" s="1"/>
      <c r="XDR121" s="1"/>
      <c r="XDS121" s="1"/>
      <c r="XDT121" s="1"/>
      <c r="XDU121" s="1"/>
      <c r="XDV121" s="1"/>
      <c r="XDW121" s="1"/>
      <c r="XDX121" s="1"/>
      <c r="XDY121" s="1"/>
      <c r="XDZ121" s="1"/>
      <c r="XEA121" s="1"/>
      <c r="XEB121" s="1"/>
      <c r="XEC121" s="1"/>
      <c r="XED121" s="1"/>
      <c r="XEE121" s="1"/>
      <c r="XEF121" s="1"/>
      <c r="XEG121" s="1"/>
      <c r="XEH121" s="1"/>
      <c r="XEI121" s="1"/>
      <c r="XEJ121" s="1"/>
      <c r="XEK121" s="1"/>
      <c r="XEL121" s="1"/>
      <c r="XEM121" s="1"/>
      <c r="XEN121" s="1"/>
      <c r="XEO121" s="1"/>
      <c r="XEP121" s="1"/>
      <c r="XEQ121" s="1"/>
      <c r="XER121" s="1"/>
      <c r="XES121" s="1"/>
      <c r="XET121" s="1"/>
      <c r="XEU121" s="1"/>
      <c r="XEV121" s="1"/>
      <c r="XEW121" s="1"/>
      <c r="XEX121" s="1"/>
      <c r="XEY121" s="1"/>
      <c r="XEZ121" s="1"/>
      <c r="XFA121" s="1"/>
      <c r="XFB121" s="1"/>
      <c r="XFC121" s="1"/>
      <c r="XFD121" s="1"/>
    </row>
    <row r="122" spans="2:16384" s="21" customFormat="1" x14ac:dyDescent="0.25">
      <c r="B122" s="192"/>
      <c r="C122" s="192"/>
      <c r="D122" s="192"/>
      <c r="E122" s="192"/>
      <c r="F122" s="192"/>
      <c r="G122" s="192"/>
      <c r="H122" s="192"/>
      <c r="I122" s="205"/>
      <c r="J122" s="205"/>
      <c r="K122" s="192"/>
      <c r="L122" s="192"/>
      <c r="M122" s="192"/>
      <c r="N122" s="192"/>
      <c r="O122" s="192"/>
      <c r="P122" s="192"/>
      <c r="Q122" s="192"/>
      <c r="R122" s="192"/>
      <c r="S122" s="192"/>
      <c r="T122" s="192"/>
      <c r="U122" s="192"/>
      <c r="V122" s="192"/>
      <c r="W122" s="204"/>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1"/>
      <c r="YB122" s="1"/>
      <c r="YC122" s="1"/>
      <c r="YD122" s="1"/>
      <c r="YE122" s="1"/>
      <c r="YF122" s="1"/>
      <c r="YG122" s="1"/>
      <c r="YH122" s="1"/>
      <c r="YI122" s="1"/>
      <c r="YJ122" s="1"/>
      <c r="YK122" s="1"/>
      <c r="YL122" s="1"/>
      <c r="YM122" s="1"/>
      <c r="YN122" s="1"/>
      <c r="YO122" s="1"/>
      <c r="YP122" s="1"/>
      <c r="YQ122" s="1"/>
      <c r="YR122" s="1"/>
      <c r="YS122" s="1"/>
      <c r="YT122" s="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1"/>
      <c r="ACI122" s="1"/>
      <c r="ACJ122" s="1"/>
      <c r="ACK122" s="1"/>
      <c r="ACL122" s="1"/>
      <c r="ACM122" s="1"/>
      <c r="ACN122" s="1"/>
      <c r="ACO122" s="1"/>
      <c r="ACP122" s="1"/>
      <c r="ACQ122" s="1"/>
      <c r="ACR122" s="1"/>
      <c r="ACS122" s="1"/>
      <c r="ACT122" s="1"/>
      <c r="ACU122" s="1"/>
      <c r="ACV122" s="1"/>
      <c r="ACW122" s="1"/>
      <c r="ACX122" s="1"/>
      <c r="ACY122" s="1"/>
      <c r="ACZ122" s="1"/>
      <c r="ADA122" s="1"/>
      <c r="ADB122" s="1"/>
      <c r="ADC122" s="1"/>
      <c r="ADD122" s="1"/>
      <c r="ADE122" s="1"/>
      <c r="ADF122" s="1"/>
      <c r="ADG122" s="1"/>
      <c r="ADH122" s="1"/>
      <c r="ADI122" s="1"/>
      <c r="ADJ122" s="1"/>
      <c r="ADK122" s="1"/>
      <c r="ADL122" s="1"/>
      <c r="ADM122" s="1"/>
      <c r="ADN122" s="1"/>
      <c r="ADO122" s="1"/>
      <c r="ADP122" s="1"/>
      <c r="ADQ122" s="1"/>
      <c r="ADR122" s="1"/>
      <c r="ADS122" s="1"/>
      <c r="ADT122" s="1"/>
      <c r="ADU122" s="1"/>
      <c r="ADV122" s="1"/>
      <c r="ADW122" s="1"/>
      <c r="ADX122" s="1"/>
      <c r="ADY122" s="1"/>
      <c r="ADZ122" s="1"/>
      <c r="AEA122" s="1"/>
      <c r="AEB122" s="1"/>
      <c r="AEC122" s="1"/>
      <c r="AED122" s="1"/>
      <c r="AEE122" s="1"/>
      <c r="AEF122" s="1"/>
      <c r="AEG122" s="1"/>
      <c r="AEH122" s="1"/>
      <c r="AEI122" s="1"/>
      <c r="AEJ122" s="1"/>
      <c r="AEK122" s="1"/>
      <c r="AEL122" s="1"/>
      <c r="AEM122" s="1"/>
      <c r="AEN122" s="1"/>
      <c r="AEO122" s="1"/>
      <c r="AEP122" s="1"/>
      <c r="AEQ122" s="1"/>
      <c r="AER122" s="1"/>
      <c r="AES122" s="1"/>
      <c r="AET122" s="1"/>
      <c r="AEU122" s="1"/>
      <c r="AEV122" s="1"/>
      <c r="AEW122" s="1"/>
      <c r="AEX122" s="1"/>
      <c r="AEY122" s="1"/>
      <c r="AEZ122" s="1"/>
      <c r="AFA122" s="1"/>
      <c r="AFB122" s="1"/>
      <c r="AFC122" s="1"/>
      <c r="AFD122" s="1"/>
      <c r="AFE122" s="1"/>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1"/>
      <c r="AGN122" s="1"/>
      <c r="AGO122" s="1"/>
      <c r="AGP122" s="1"/>
      <c r="AGQ122" s="1"/>
      <c r="AGR122" s="1"/>
      <c r="AGS122" s="1"/>
      <c r="AGT122" s="1"/>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c r="BOB122" s="1"/>
      <c r="BOC122" s="1"/>
      <c r="BOD122" s="1"/>
      <c r="BOE122" s="1"/>
      <c r="BOF122" s="1"/>
      <c r="BOG122" s="1"/>
      <c r="BOH122" s="1"/>
      <c r="BOI122" s="1"/>
      <c r="BOJ122" s="1"/>
      <c r="BOK122" s="1"/>
      <c r="BOL122" s="1"/>
      <c r="BOM122" s="1"/>
      <c r="BON122" s="1"/>
      <c r="BOO122" s="1"/>
      <c r="BOP122" s="1"/>
      <c r="BOQ122" s="1"/>
      <c r="BOR122" s="1"/>
      <c r="BOS122" s="1"/>
      <c r="BOT122" s="1"/>
      <c r="BOU122" s="1"/>
      <c r="BOV122" s="1"/>
      <c r="BOW122" s="1"/>
      <c r="BOX122" s="1"/>
      <c r="BOY122" s="1"/>
      <c r="BOZ122" s="1"/>
      <c r="BPA122" s="1"/>
      <c r="BPB122" s="1"/>
      <c r="BPC122" s="1"/>
      <c r="BPD122" s="1"/>
      <c r="BPE122" s="1"/>
      <c r="BPF122" s="1"/>
      <c r="BPG122" s="1"/>
      <c r="BPH122" s="1"/>
      <c r="BPI122" s="1"/>
      <c r="BPJ122" s="1"/>
      <c r="BPK122" s="1"/>
      <c r="BPL122" s="1"/>
      <c r="BPM122" s="1"/>
      <c r="BPN122" s="1"/>
      <c r="BPO122" s="1"/>
      <c r="BPP122" s="1"/>
      <c r="BPQ122" s="1"/>
      <c r="BPR122" s="1"/>
      <c r="BPS122" s="1"/>
      <c r="BPT122" s="1"/>
      <c r="BPU122" s="1"/>
      <c r="BPV122" s="1"/>
      <c r="BPW122" s="1"/>
      <c r="BPX122" s="1"/>
      <c r="BPY122" s="1"/>
      <c r="BPZ122" s="1"/>
      <c r="BQA122" s="1"/>
      <c r="BQB122" s="1"/>
      <c r="BQC122" s="1"/>
      <c r="BQD122" s="1"/>
      <c r="BQE122" s="1"/>
      <c r="BQF122" s="1"/>
      <c r="BQG122" s="1"/>
      <c r="BQH122" s="1"/>
      <c r="BQI122" s="1"/>
      <c r="BQJ122" s="1"/>
      <c r="BQK122" s="1"/>
      <c r="BQL122" s="1"/>
      <c r="BQM122" s="1"/>
      <c r="BQN122" s="1"/>
      <c r="BQO122" s="1"/>
      <c r="BQP122" s="1"/>
      <c r="BQQ122" s="1"/>
      <c r="BQR122" s="1"/>
      <c r="BQS122" s="1"/>
      <c r="BQT122" s="1"/>
      <c r="BQU122" s="1"/>
      <c r="BQV122" s="1"/>
      <c r="BQW122" s="1"/>
      <c r="BQX122" s="1"/>
      <c r="BQY122" s="1"/>
      <c r="BQZ122" s="1"/>
      <c r="BRA122" s="1"/>
      <c r="BRB122" s="1"/>
      <c r="BRC122" s="1"/>
      <c r="BRD122" s="1"/>
      <c r="BRE122" s="1"/>
      <c r="BRF122" s="1"/>
      <c r="BRG122" s="1"/>
      <c r="BRH122" s="1"/>
      <c r="BRI122" s="1"/>
      <c r="BRJ122" s="1"/>
      <c r="BRK122" s="1"/>
      <c r="BRL122" s="1"/>
      <c r="BRM122" s="1"/>
      <c r="BRN122" s="1"/>
      <c r="BRO122" s="1"/>
      <c r="BRP122" s="1"/>
      <c r="BRQ122" s="1"/>
      <c r="BRR122" s="1"/>
      <c r="BRS122" s="1"/>
      <c r="BRT122" s="1"/>
      <c r="BRU122" s="1"/>
      <c r="BRV122" s="1"/>
      <c r="BRW122" s="1"/>
      <c r="BRX122" s="1"/>
      <c r="BRY122" s="1"/>
      <c r="BRZ122" s="1"/>
      <c r="BSA122" s="1"/>
      <c r="BSB122" s="1"/>
      <c r="BSC122" s="1"/>
      <c r="BSD122" s="1"/>
      <c r="BSE122" s="1"/>
      <c r="BSF122" s="1"/>
      <c r="BSG122" s="1"/>
      <c r="BSH122" s="1"/>
      <c r="BSI122" s="1"/>
      <c r="BSJ122" s="1"/>
      <c r="BSK122" s="1"/>
      <c r="BSL122" s="1"/>
      <c r="BSM122" s="1"/>
      <c r="BSN122" s="1"/>
      <c r="BSO122" s="1"/>
      <c r="BSP122" s="1"/>
      <c r="BSQ122" s="1"/>
      <c r="BSR122" s="1"/>
      <c r="BSS122" s="1"/>
      <c r="BST122" s="1"/>
      <c r="BSU122" s="1"/>
      <c r="BSV122" s="1"/>
      <c r="BSW122" s="1"/>
      <c r="BSX122" s="1"/>
      <c r="BSY122" s="1"/>
      <c r="BSZ122" s="1"/>
      <c r="BTA122" s="1"/>
      <c r="BTB122" s="1"/>
      <c r="BTC122" s="1"/>
      <c r="BTD122" s="1"/>
      <c r="BTE122" s="1"/>
      <c r="BTF122" s="1"/>
      <c r="BTG122" s="1"/>
      <c r="BTH122" s="1"/>
      <c r="BTI122" s="1"/>
      <c r="BTJ122" s="1"/>
      <c r="BTK122" s="1"/>
      <c r="BTL122" s="1"/>
      <c r="BTM122" s="1"/>
      <c r="BTN122" s="1"/>
      <c r="BTO122" s="1"/>
      <c r="BTP122" s="1"/>
      <c r="BTQ122" s="1"/>
      <c r="BTR122" s="1"/>
      <c r="BTS122" s="1"/>
      <c r="BTT122" s="1"/>
      <c r="BTU122" s="1"/>
      <c r="BTV122" s="1"/>
      <c r="BTW122" s="1"/>
      <c r="BTX122" s="1"/>
      <c r="BTY122" s="1"/>
      <c r="BTZ122" s="1"/>
      <c r="BUA122" s="1"/>
      <c r="BUB122" s="1"/>
      <c r="BUC122" s="1"/>
      <c r="BUD122" s="1"/>
      <c r="BUE122" s="1"/>
      <c r="BUF122" s="1"/>
      <c r="BUG122" s="1"/>
      <c r="BUH122" s="1"/>
      <c r="BUI122" s="1"/>
      <c r="BUJ122" s="1"/>
      <c r="BUK122" s="1"/>
      <c r="BUL122" s="1"/>
      <c r="BUM122" s="1"/>
      <c r="BUN122" s="1"/>
      <c r="BUO122" s="1"/>
      <c r="BUP122" s="1"/>
      <c r="BUQ122" s="1"/>
      <c r="BUR122" s="1"/>
      <c r="BUS122" s="1"/>
      <c r="BUT122" s="1"/>
      <c r="BUU122" s="1"/>
      <c r="BUV122" s="1"/>
      <c r="BUW122" s="1"/>
      <c r="BUX122" s="1"/>
      <c r="BUY122" s="1"/>
      <c r="BUZ122" s="1"/>
      <c r="BVA122" s="1"/>
      <c r="BVB122" s="1"/>
      <c r="BVC122" s="1"/>
      <c r="BVD122" s="1"/>
      <c r="BVE122" s="1"/>
      <c r="BVF122" s="1"/>
      <c r="BVG122" s="1"/>
      <c r="BVH122" s="1"/>
      <c r="BVI122" s="1"/>
      <c r="BVJ122" s="1"/>
      <c r="BVK122" s="1"/>
      <c r="BVL122" s="1"/>
      <c r="BVM122" s="1"/>
      <c r="BVN122" s="1"/>
      <c r="BVO122" s="1"/>
      <c r="BVP122" s="1"/>
      <c r="BVQ122" s="1"/>
      <c r="BVR122" s="1"/>
      <c r="BVS122" s="1"/>
      <c r="BVT122" s="1"/>
      <c r="BVU122" s="1"/>
      <c r="BVV122" s="1"/>
      <c r="BVW122" s="1"/>
      <c r="BVX122" s="1"/>
      <c r="BVY122" s="1"/>
      <c r="BVZ122" s="1"/>
      <c r="BWA122" s="1"/>
      <c r="BWB122" s="1"/>
      <c r="BWC122" s="1"/>
      <c r="BWD122" s="1"/>
      <c r="BWE122" s="1"/>
      <c r="BWF122" s="1"/>
      <c r="BWG122" s="1"/>
      <c r="BWH122" s="1"/>
      <c r="BWI122" s="1"/>
      <c r="BWJ122" s="1"/>
      <c r="BWK122" s="1"/>
      <c r="BWL122" s="1"/>
      <c r="BWM122" s="1"/>
      <c r="BWN122" s="1"/>
      <c r="BWO122" s="1"/>
      <c r="BWP122" s="1"/>
      <c r="BWQ122" s="1"/>
      <c r="BWR122" s="1"/>
      <c r="BWS122" s="1"/>
      <c r="BWT122" s="1"/>
      <c r="BWU122" s="1"/>
      <c r="BWV122" s="1"/>
      <c r="BWW122" s="1"/>
      <c r="BWX122" s="1"/>
      <c r="BWY122" s="1"/>
      <c r="BWZ122" s="1"/>
      <c r="BXA122" s="1"/>
      <c r="BXB122" s="1"/>
      <c r="BXC122" s="1"/>
      <c r="BXD122" s="1"/>
      <c r="BXE122" s="1"/>
      <c r="BXF122" s="1"/>
      <c r="BXG122" s="1"/>
      <c r="BXH122" s="1"/>
      <c r="BXI122" s="1"/>
      <c r="BXJ122" s="1"/>
      <c r="BXK122" s="1"/>
      <c r="BXL122" s="1"/>
      <c r="BXM122" s="1"/>
      <c r="BXN122" s="1"/>
      <c r="BXO122" s="1"/>
      <c r="BXP122" s="1"/>
      <c r="BXQ122" s="1"/>
      <c r="BXR122" s="1"/>
      <c r="BXS122" s="1"/>
      <c r="BXT122" s="1"/>
      <c r="BXU122" s="1"/>
      <c r="BXV122" s="1"/>
      <c r="BXW122" s="1"/>
      <c r="BXX122" s="1"/>
      <c r="BXY122" s="1"/>
      <c r="BXZ122" s="1"/>
      <c r="BYA122" s="1"/>
      <c r="BYB122" s="1"/>
      <c r="BYC122" s="1"/>
      <c r="BYD122" s="1"/>
      <c r="BYE122" s="1"/>
      <c r="BYF122" s="1"/>
      <c r="BYG122" s="1"/>
      <c r="BYH122" s="1"/>
      <c r="BYI122" s="1"/>
      <c r="BYJ122" s="1"/>
      <c r="BYK122" s="1"/>
      <c r="BYL122" s="1"/>
      <c r="BYM122" s="1"/>
      <c r="BYN122" s="1"/>
      <c r="BYO122" s="1"/>
      <c r="BYP122" s="1"/>
      <c r="BYQ122" s="1"/>
      <c r="BYR122" s="1"/>
      <c r="BYS122" s="1"/>
      <c r="BYT122" s="1"/>
      <c r="BYU122" s="1"/>
      <c r="BYV122" s="1"/>
      <c r="BYW122" s="1"/>
      <c r="BYX122" s="1"/>
      <c r="BYY122" s="1"/>
      <c r="BYZ122" s="1"/>
      <c r="BZA122" s="1"/>
      <c r="BZB122" s="1"/>
      <c r="BZC122" s="1"/>
      <c r="BZD122" s="1"/>
      <c r="BZE122" s="1"/>
      <c r="BZF122" s="1"/>
      <c r="BZG122" s="1"/>
      <c r="BZH122" s="1"/>
      <c r="BZI122" s="1"/>
      <c r="BZJ122" s="1"/>
      <c r="BZK122" s="1"/>
      <c r="BZL122" s="1"/>
      <c r="BZM122" s="1"/>
      <c r="BZN122" s="1"/>
      <c r="BZO122" s="1"/>
      <c r="BZP122" s="1"/>
      <c r="BZQ122" s="1"/>
      <c r="BZR122" s="1"/>
      <c r="BZS122" s="1"/>
      <c r="BZT122" s="1"/>
      <c r="BZU122" s="1"/>
      <c r="BZV122" s="1"/>
      <c r="BZW122" s="1"/>
      <c r="BZX122" s="1"/>
      <c r="BZY122" s="1"/>
      <c r="BZZ122" s="1"/>
      <c r="CAA122" s="1"/>
      <c r="CAB122" s="1"/>
      <c r="CAC122" s="1"/>
      <c r="CAD122" s="1"/>
      <c r="CAE122" s="1"/>
      <c r="CAF122" s="1"/>
      <c r="CAG122" s="1"/>
      <c r="CAH122" s="1"/>
      <c r="CAI122" s="1"/>
      <c r="CAJ122" s="1"/>
      <c r="CAK122" s="1"/>
      <c r="CAL122" s="1"/>
      <c r="CAM122" s="1"/>
      <c r="CAN122" s="1"/>
      <c r="CAO122" s="1"/>
      <c r="CAP122" s="1"/>
      <c r="CAQ122" s="1"/>
      <c r="CAR122" s="1"/>
      <c r="CAS122" s="1"/>
      <c r="CAT122" s="1"/>
      <c r="CAU122" s="1"/>
      <c r="CAV122" s="1"/>
      <c r="CAW122" s="1"/>
      <c r="CAX122" s="1"/>
      <c r="CAY122" s="1"/>
      <c r="CAZ122" s="1"/>
      <c r="CBA122" s="1"/>
      <c r="CBB122" s="1"/>
      <c r="CBC122" s="1"/>
      <c r="CBD122" s="1"/>
      <c r="CBE122" s="1"/>
      <c r="CBF122" s="1"/>
      <c r="CBG122" s="1"/>
      <c r="CBH122" s="1"/>
      <c r="CBI122" s="1"/>
      <c r="CBJ122" s="1"/>
      <c r="CBK122" s="1"/>
      <c r="CBL122" s="1"/>
      <c r="CBM122" s="1"/>
      <c r="CBN122" s="1"/>
      <c r="CBO122" s="1"/>
      <c r="CBP122" s="1"/>
      <c r="CBQ122" s="1"/>
      <c r="CBR122" s="1"/>
      <c r="CBS122" s="1"/>
      <c r="CBT122" s="1"/>
      <c r="CBU122" s="1"/>
      <c r="CBV122" s="1"/>
      <c r="CBW122" s="1"/>
      <c r="CBX122" s="1"/>
      <c r="CBY122" s="1"/>
      <c r="CBZ122" s="1"/>
      <c r="CCA122" s="1"/>
      <c r="CCB122" s="1"/>
      <c r="CCC122" s="1"/>
      <c r="CCD122" s="1"/>
      <c r="CCE122" s="1"/>
      <c r="CCF122" s="1"/>
      <c r="CCG122" s="1"/>
      <c r="CCH122" s="1"/>
      <c r="CCI122" s="1"/>
      <c r="CCJ122" s="1"/>
      <c r="CCK122" s="1"/>
      <c r="CCL122" s="1"/>
      <c r="CCM122" s="1"/>
      <c r="CCN122" s="1"/>
      <c r="CCO122" s="1"/>
      <c r="CCP122" s="1"/>
      <c r="CCQ122" s="1"/>
      <c r="CCR122" s="1"/>
      <c r="CCS122" s="1"/>
      <c r="CCT122" s="1"/>
      <c r="CCU122" s="1"/>
      <c r="CCV122" s="1"/>
      <c r="CCW122" s="1"/>
      <c r="CCX122" s="1"/>
      <c r="CCY122" s="1"/>
      <c r="CCZ122" s="1"/>
      <c r="CDA122" s="1"/>
      <c r="CDB122" s="1"/>
      <c r="CDC122" s="1"/>
      <c r="CDD122" s="1"/>
      <c r="CDE122" s="1"/>
      <c r="CDF122" s="1"/>
      <c r="CDG122" s="1"/>
      <c r="CDH122" s="1"/>
      <c r="CDI122" s="1"/>
      <c r="CDJ122" s="1"/>
      <c r="CDK122" s="1"/>
      <c r="CDL122" s="1"/>
      <c r="CDM122" s="1"/>
      <c r="CDN122" s="1"/>
      <c r="CDO122" s="1"/>
      <c r="CDP122" s="1"/>
      <c r="CDQ122" s="1"/>
      <c r="CDR122" s="1"/>
      <c r="CDS122" s="1"/>
      <c r="CDT122" s="1"/>
      <c r="CDU122" s="1"/>
      <c r="CDV122" s="1"/>
      <c r="CDW122" s="1"/>
      <c r="CDX122" s="1"/>
      <c r="CDY122" s="1"/>
      <c r="CDZ122" s="1"/>
      <c r="CEA122" s="1"/>
      <c r="CEB122" s="1"/>
      <c r="CEC122" s="1"/>
      <c r="CED122" s="1"/>
      <c r="CEE122" s="1"/>
      <c r="CEF122" s="1"/>
      <c r="CEG122" s="1"/>
      <c r="CEH122" s="1"/>
      <c r="CEI122" s="1"/>
      <c r="CEJ122" s="1"/>
      <c r="CEK122" s="1"/>
      <c r="CEL122" s="1"/>
      <c r="CEM122" s="1"/>
      <c r="CEN122" s="1"/>
      <c r="CEO122" s="1"/>
      <c r="CEP122" s="1"/>
      <c r="CEQ122" s="1"/>
      <c r="CER122" s="1"/>
      <c r="CES122" s="1"/>
      <c r="CET122" s="1"/>
      <c r="CEU122" s="1"/>
      <c r="CEV122" s="1"/>
      <c r="CEW122" s="1"/>
      <c r="CEX122" s="1"/>
      <c r="CEY122" s="1"/>
      <c r="CEZ122" s="1"/>
      <c r="CFA122" s="1"/>
      <c r="CFB122" s="1"/>
      <c r="CFC122" s="1"/>
      <c r="CFD122" s="1"/>
      <c r="CFE122" s="1"/>
      <c r="CFF122" s="1"/>
      <c r="CFG122" s="1"/>
      <c r="CFH122" s="1"/>
      <c r="CFI122" s="1"/>
      <c r="CFJ122" s="1"/>
      <c r="CFK122" s="1"/>
      <c r="CFL122" s="1"/>
      <c r="CFM122" s="1"/>
      <c r="CFN122" s="1"/>
      <c r="CFO122" s="1"/>
      <c r="CFP122" s="1"/>
      <c r="CFQ122" s="1"/>
      <c r="CFR122" s="1"/>
      <c r="CFS122" s="1"/>
      <c r="CFT122" s="1"/>
      <c r="CFU122" s="1"/>
      <c r="CFV122" s="1"/>
      <c r="CFW122" s="1"/>
      <c r="CFX122" s="1"/>
      <c r="CFY122" s="1"/>
      <c r="CFZ122" s="1"/>
      <c r="CGA122" s="1"/>
      <c r="CGB122" s="1"/>
      <c r="CGC122" s="1"/>
      <c r="CGD122" s="1"/>
      <c r="CGE122" s="1"/>
      <c r="CGF122" s="1"/>
      <c r="CGG122" s="1"/>
      <c r="CGH122" s="1"/>
      <c r="CGI122" s="1"/>
      <c r="CGJ122" s="1"/>
      <c r="CGK122" s="1"/>
      <c r="CGL122" s="1"/>
      <c r="CGM122" s="1"/>
      <c r="CGN122" s="1"/>
      <c r="CGO122" s="1"/>
      <c r="CGP122" s="1"/>
      <c r="CGQ122" s="1"/>
      <c r="CGR122" s="1"/>
      <c r="CGS122" s="1"/>
      <c r="CGT122" s="1"/>
      <c r="CGU122" s="1"/>
      <c r="CGV122" s="1"/>
      <c r="CGW122" s="1"/>
      <c r="CGX122" s="1"/>
      <c r="CGY122" s="1"/>
      <c r="CGZ122" s="1"/>
      <c r="CHA122" s="1"/>
      <c r="CHB122" s="1"/>
      <c r="CHC122" s="1"/>
      <c r="CHD122" s="1"/>
      <c r="CHE122" s="1"/>
      <c r="CHF122" s="1"/>
      <c r="CHG122" s="1"/>
      <c r="CHH122" s="1"/>
      <c r="CHI122" s="1"/>
      <c r="CHJ122" s="1"/>
      <c r="CHK122" s="1"/>
      <c r="CHL122" s="1"/>
      <c r="CHM122" s="1"/>
      <c r="CHN122" s="1"/>
      <c r="CHO122" s="1"/>
      <c r="CHP122" s="1"/>
      <c r="CHQ122" s="1"/>
      <c r="CHR122" s="1"/>
      <c r="CHS122" s="1"/>
      <c r="CHT122" s="1"/>
      <c r="CHU122" s="1"/>
      <c r="CHV122" s="1"/>
      <c r="CHW122" s="1"/>
      <c r="CHX122" s="1"/>
      <c r="CHY122" s="1"/>
      <c r="CHZ122" s="1"/>
      <c r="CIA122" s="1"/>
      <c r="CIB122" s="1"/>
      <c r="CIC122" s="1"/>
      <c r="CID122" s="1"/>
      <c r="CIE122" s="1"/>
      <c r="CIF122" s="1"/>
      <c r="CIG122" s="1"/>
      <c r="CIH122" s="1"/>
      <c r="CII122" s="1"/>
      <c r="CIJ122" s="1"/>
      <c r="CIK122" s="1"/>
      <c r="CIL122" s="1"/>
      <c r="CIM122" s="1"/>
      <c r="CIN122" s="1"/>
      <c r="CIO122" s="1"/>
      <c r="CIP122" s="1"/>
      <c r="CIQ122" s="1"/>
      <c r="CIR122" s="1"/>
      <c r="CIS122" s="1"/>
      <c r="CIT122" s="1"/>
      <c r="CIU122" s="1"/>
      <c r="CIV122" s="1"/>
      <c r="CIW122" s="1"/>
      <c r="CIX122" s="1"/>
      <c r="CIY122" s="1"/>
      <c r="CIZ122" s="1"/>
      <c r="CJA122" s="1"/>
      <c r="CJB122" s="1"/>
      <c r="CJC122" s="1"/>
      <c r="CJD122" s="1"/>
      <c r="CJE122" s="1"/>
      <c r="CJF122" s="1"/>
      <c r="CJG122" s="1"/>
      <c r="CJH122" s="1"/>
      <c r="CJI122" s="1"/>
      <c r="CJJ122" s="1"/>
      <c r="CJK122" s="1"/>
      <c r="CJL122" s="1"/>
      <c r="CJM122" s="1"/>
      <c r="CJN122" s="1"/>
      <c r="CJO122" s="1"/>
      <c r="CJP122" s="1"/>
      <c r="CJQ122" s="1"/>
      <c r="CJR122" s="1"/>
      <c r="CJS122" s="1"/>
      <c r="CJT122" s="1"/>
      <c r="CJU122" s="1"/>
      <c r="CJV122" s="1"/>
      <c r="CJW122" s="1"/>
      <c r="CJX122" s="1"/>
      <c r="CJY122" s="1"/>
      <c r="CJZ122" s="1"/>
      <c r="CKA122" s="1"/>
      <c r="CKB122" s="1"/>
      <c r="CKC122" s="1"/>
      <c r="CKD122" s="1"/>
      <c r="CKE122" s="1"/>
      <c r="CKF122" s="1"/>
      <c r="CKG122" s="1"/>
      <c r="CKH122" s="1"/>
      <c r="CKI122" s="1"/>
      <c r="CKJ122" s="1"/>
      <c r="CKK122" s="1"/>
      <c r="CKL122" s="1"/>
      <c r="CKM122" s="1"/>
      <c r="CKN122" s="1"/>
      <c r="CKO122" s="1"/>
      <c r="CKP122" s="1"/>
      <c r="CKQ122" s="1"/>
      <c r="CKR122" s="1"/>
      <c r="CKS122" s="1"/>
      <c r="CKT122" s="1"/>
      <c r="CKU122" s="1"/>
      <c r="CKV122" s="1"/>
      <c r="CKW122" s="1"/>
      <c r="CKX122" s="1"/>
      <c r="CKY122" s="1"/>
      <c r="CKZ122" s="1"/>
      <c r="CLA122" s="1"/>
      <c r="CLB122" s="1"/>
      <c r="CLC122" s="1"/>
      <c r="CLD122" s="1"/>
      <c r="CLE122" s="1"/>
      <c r="CLF122" s="1"/>
      <c r="CLG122" s="1"/>
      <c r="CLH122" s="1"/>
      <c r="CLI122" s="1"/>
      <c r="CLJ122" s="1"/>
      <c r="CLK122" s="1"/>
      <c r="CLL122" s="1"/>
      <c r="CLM122" s="1"/>
      <c r="CLN122" s="1"/>
      <c r="CLO122" s="1"/>
      <c r="CLP122" s="1"/>
      <c r="CLQ122" s="1"/>
      <c r="CLR122" s="1"/>
      <c r="CLS122" s="1"/>
      <c r="CLT122" s="1"/>
      <c r="CLU122" s="1"/>
      <c r="CLV122" s="1"/>
      <c r="CLW122" s="1"/>
      <c r="CLX122" s="1"/>
      <c r="CLY122" s="1"/>
      <c r="CLZ122" s="1"/>
      <c r="CMA122" s="1"/>
      <c r="CMB122" s="1"/>
      <c r="CMC122" s="1"/>
      <c r="CMD122" s="1"/>
      <c r="CME122" s="1"/>
      <c r="CMF122" s="1"/>
      <c r="CMG122" s="1"/>
      <c r="CMH122" s="1"/>
      <c r="CMI122" s="1"/>
      <c r="CMJ122" s="1"/>
      <c r="CMK122" s="1"/>
      <c r="CML122" s="1"/>
      <c r="CMM122" s="1"/>
      <c r="CMN122" s="1"/>
      <c r="CMO122" s="1"/>
      <c r="CMP122" s="1"/>
      <c r="CMQ122" s="1"/>
      <c r="CMR122" s="1"/>
      <c r="CMS122" s="1"/>
      <c r="CMT122" s="1"/>
      <c r="CMU122" s="1"/>
      <c r="CMV122" s="1"/>
      <c r="CMW122" s="1"/>
      <c r="CMX122" s="1"/>
      <c r="CMY122" s="1"/>
      <c r="CMZ122" s="1"/>
      <c r="CNA122" s="1"/>
      <c r="CNB122" s="1"/>
      <c r="CNC122" s="1"/>
      <c r="CND122" s="1"/>
      <c r="CNE122" s="1"/>
      <c r="CNF122" s="1"/>
      <c r="CNG122" s="1"/>
      <c r="CNH122" s="1"/>
      <c r="CNI122" s="1"/>
      <c r="CNJ122" s="1"/>
      <c r="CNK122" s="1"/>
      <c r="CNL122" s="1"/>
      <c r="CNM122" s="1"/>
      <c r="CNN122" s="1"/>
      <c r="CNO122" s="1"/>
      <c r="CNP122" s="1"/>
      <c r="CNQ122" s="1"/>
      <c r="CNR122" s="1"/>
      <c r="CNS122" s="1"/>
      <c r="CNT122" s="1"/>
      <c r="CNU122" s="1"/>
      <c r="CNV122" s="1"/>
      <c r="CNW122" s="1"/>
      <c r="CNX122" s="1"/>
      <c r="CNY122" s="1"/>
      <c r="CNZ122" s="1"/>
      <c r="COA122" s="1"/>
      <c r="COB122" s="1"/>
      <c r="COC122" s="1"/>
      <c r="COD122" s="1"/>
      <c r="COE122" s="1"/>
      <c r="COF122" s="1"/>
      <c r="COG122" s="1"/>
      <c r="COH122" s="1"/>
      <c r="COI122" s="1"/>
      <c r="COJ122" s="1"/>
      <c r="COK122" s="1"/>
      <c r="COL122" s="1"/>
      <c r="COM122" s="1"/>
      <c r="CON122" s="1"/>
      <c r="COO122" s="1"/>
      <c r="COP122" s="1"/>
      <c r="COQ122" s="1"/>
      <c r="COR122" s="1"/>
      <c r="COS122" s="1"/>
      <c r="COT122" s="1"/>
      <c r="COU122" s="1"/>
      <c r="COV122" s="1"/>
      <c r="COW122" s="1"/>
      <c r="COX122" s="1"/>
      <c r="COY122" s="1"/>
      <c r="COZ122" s="1"/>
      <c r="CPA122" s="1"/>
      <c r="CPB122" s="1"/>
      <c r="CPC122" s="1"/>
      <c r="CPD122" s="1"/>
      <c r="CPE122" s="1"/>
      <c r="CPF122" s="1"/>
      <c r="CPG122" s="1"/>
      <c r="CPH122" s="1"/>
      <c r="CPI122" s="1"/>
      <c r="CPJ122" s="1"/>
      <c r="CPK122" s="1"/>
      <c r="CPL122" s="1"/>
      <c r="CPM122" s="1"/>
      <c r="CPN122" s="1"/>
      <c r="CPO122" s="1"/>
      <c r="CPP122" s="1"/>
      <c r="CPQ122" s="1"/>
      <c r="CPR122" s="1"/>
      <c r="CPS122" s="1"/>
      <c r="CPT122" s="1"/>
      <c r="CPU122" s="1"/>
      <c r="CPV122" s="1"/>
      <c r="CPW122" s="1"/>
      <c r="CPX122" s="1"/>
      <c r="CPY122" s="1"/>
      <c r="CPZ122" s="1"/>
      <c r="CQA122" s="1"/>
      <c r="CQB122" s="1"/>
      <c r="CQC122" s="1"/>
      <c r="CQD122" s="1"/>
      <c r="CQE122" s="1"/>
      <c r="CQF122" s="1"/>
      <c r="CQG122" s="1"/>
      <c r="CQH122" s="1"/>
      <c r="CQI122" s="1"/>
      <c r="CQJ122" s="1"/>
      <c r="CQK122" s="1"/>
      <c r="CQL122" s="1"/>
      <c r="CQM122" s="1"/>
      <c r="CQN122" s="1"/>
      <c r="CQO122" s="1"/>
      <c r="CQP122" s="1"/>
      <c r="CQQ122" s="1"/>
      <c r="CQR122" s="1"/>
      <c r="CQS122" s="1"/>
      <c r="CQT122" s="1"/>
      <c r="CQU122" s="1"/>
      <c r="CQV122" s="1"/>
      <c r="CQW122" s="1"/>
      <c r="CQX122" s="1"/>
      <c r="CQY122" s="1"/>
      <c r="CQZ122" s="1"/>
      <c r="CRA122" s="1"/>
      <c r="CRB122" s="1"/>
      <c r="CRC122" s="1"/>
      <c r="CRD122" s="1"/>
      <c r="CRE122" s="1"/>
      <c r="CRF122" s="1"/>
      <c r="CRG122" s="1"/>
      <c r="CRH122" s="1"/>
      <c r="CRI122" s="1"/>
      <c r="CRJ122" s="1"/>
      <c r="CRK122" s="1"/>
      <c r="CRL122" s="1"/>
      <c r="CRM122" s="1"/>
      <c r="CRN122" s="1"/>
      <c r="CRO122" s="1"/>
      <c r="CRP122" s="1"/>
      <c r="CRQ122" s="1"/>
      <c r="CRR122" s="1"/>
      <c r="CRS122" s="1"/>
      <c r="CRT122" s="1"/>
      <c r="CRU122" s="1"/>
      <c r="CRV122" s="1"/>
      <c r="CRW122" s="1"/>
      <c r="CRX122" s="1"/>
      <c r="CRY122" s="1"/>
      <c r="CRZ122" s="1"/>
      <c r="CSA122" s="1"/>
      <c r="CSB122" s="1"/>
      <c r="CSC122" s="1"/>
      <c r="CSD122" s="1"/>
      <c r="CSE122" s="1"/>
      <c r="CSF122" s="1"/>
      <c r="CSG122" s="1"/>
      <c r="CSH122" s="1"/>
      <c r="CSI122" s="1"/>
      <c r="CSJ122" s="1"/>
      <c r="CSK122" s="1"/>
      <c r="CSL122" s="1"/>
      <c r="CSM122" s="1"/>
      <c r="CSN122" s="1"/>
      <c r="CSO122" s="1"/>
      <c r="CSP122" s="1"/>
      <c r="CSQ122" s="1"/>
      <c r="CSR122" s="1"/>
      <c r="CSS122" s="1"/>
      <c r="CST122" s="1"/>
      <c r="CSU122" s="1"/>
      <c r="CSV122" s="1"/>
      <c r="CSW122" s="1"/>
      <c r="CSX122" s="1"/>
      <c r="CSY122" s="1"/>
      <c r="CSZ122" s="1"/>
      <c r="CTA122" s="1"/>
      <c r="CTB122" s="1"/>
      <c r="CTC122" s="1"/>
      <c r="CTD122" s="1"/>
      <c r="CTE122" s="1"/>
      <c r="CTF122" s="1"/>
      <c r="CTG122" s="1"/>
      <c r="CTH122" s="1"/>
      <c r="CTI122" s="1"/>
      <c r="CTJ122" s="1"/>
      <c r="CTK122" s="1"/>
      <c r="CTL122" s="1"/>
      <c r="CTM122" s="1"/>
      <c r="CTN122" s="1"/>
      <c r="CTO122" s="1"/>
      <c r="CTP122" s="1"/>
      <c r="CTQ122" s="1"/>
      <c r="CTR122" s="1"/>
      <c r="CTS122" s="1"/>
      <c r="CTT122" s="1"/>
      <c r="CTU122" s="1"/>
      <c r="CTV122" s="1"/>
      <c r="CTW122" s="1"/>
      <c r="CTX122" s="1"/>
      <c r="CTY122" s="1"/>
      <c r="CTZ122" s="1"/>
      <c r="CUA122" s="1"/>
      <c r="CUB122" s="1"/>
      <c r="CUC122" s="1"/>
      <c r="CUD122" s="1"/>
      <c r="CUE122" s="1"/>
      <c r="CUF122" s="1"/>
      <c r="CUG122" s="1"/>
      <c r="CUH122" s="1"/>
      <c r="CUI122" s="1"/>
      <c r="CUJ122" s="1"/>
      <c r="CUK122" s="1"/>
      <c r="CUL122" s="1"/>
      <c r="CUM122" s="1"/>
      <c r="CUN122" s="1"/>
      <c r="CUO122" s="1"/>
      <c r="CUP122" s="1"/>
      <c r="CUQ122" s="1"/>
      <c r="CUR122" s="1"/>
      <c r="CUS122" s="1"/>
      <c r="CUT122" s="1"/>
      <c r="CUU122" s="1"/>
      <c r="CUV122" s="1"/>
      <c r="CUW122" s="1"/>
      <c r="CUX122" s="1"/>
      <c r="CUY122" s="1"/>
      <c r="CUZ122" s="1"/>
      <c r="CVA122" s="1"/>
      <c r="CVB122" s="1"/>
      <c r="CVC122" s="1"/>
      <c r="CVD122" s="1"/>
      <c r="CVE122" s="1"/>
      <c r="CVF122" s="1"/>
      <c r="CVG122" s="1"/>
      <c r="CVH122" s="1"/>
      <c r="CVI122" s="1"/>
      <c r="CVJ122" s="1"/>
      <c r="CVK122" s="1"/>
      <c r="CVL122" s="1"/>
      <c r="CVM122" s="1"/>
      <c r="CVN122" s="1"/>
      <c r="CVO122" s="1"/>
      <c r="CVP122" s="1"/>
      <c r="CVQ122" s="1"/>
      <c r="CVR122" s="1"/>
      <c r="CVS122" s="1"/>
      <c r="CVT122" s="1"/>
      <c r="CVU122" s="1"/>
      <c r="CVV122" s="1"/>
      <c r="CVW122" s="1"/>
      <c r="CVX122" s="1"/>
      <c r="CVY122" s="1"/>
      <c r="CVZ122" s="1"/>
      <c r="CWA122" s="1"/>
      <c r="CWB122" s="1"/>
      <c r="CWC122" s="1"/>
      <c r="CWD122" s="1"/>
      <c r="CWE122" s="1"/>
      <c r="CWF122" s="1"/>
      <c r="CWG122" s="1"/>
      <c r="CWH122" s="1"/>
      <c r="CWI122" s="1"/>
      <c r="CWJ122" s="1"/>
      <c r="CWK122" s="1"/>
      <c r="CWL122" s="1"/>
      <c r="CWM122" s="1"/>
      <c r="CWN122" s="1"/>
      <c r="CWO122" s="1"/>
      <c r="CWP122" s="1"/>
      <c r="CWQ122" s="1"/>
      <c r="CWR122" s="1"/>
      <c r="CWS122" s="1"/>
      <c r="CWT122" s="1"/>
      <c r="CWU122" s="1"/>
      <c r="CWV122" s="1"/>
      <c r="CWW122" s="1"/>
      <c r="CWX122" s="1"/>
      <c r="CWY122" s="1"/>
      <c r="CWZ122" s="1"/>
      <c r="CXA122" s="1"/>
      <c r="CXB122" s="1"/>
      <c r="CXC122" s="1"/>
      <c r="CXD122" s="1"/>
      <c r="CXE122" s="1"/>
      <c r="CXF122" s="1"/>
      <c r="CXG122" s="1"/>
      <c r="CXH122" s="1"/>
      <c r="CXI122" s="1"/>
      <c r="CXJ122" s="1"/>
      <c r="CXK122" s="1"/>
      <c r="CXL122" s="1"/>
      <c r="CXM122" s="1"/>
      <c r="CXN122" s="1"/>
      <c r="CXO122" s="1"/>
      <c r="CXP122" s="1"/>
      <c r="CXQ122" s="1"/>
      <c r="CXR122" s="1"/>
      <c r="CXS122" s="1"/>
      <c r="CXT122" s="1"/>
      <c r="CXU122" s="1"/>
      <c r="CXV122" s="1"/>
      <c r="CXW122" s="1"/>
      <c r="CXX122" s="1"/>
      <c r="CXY122" s="1"/>
      <c r="CXZ122" s="1"/>
      <c r="CYA122" s="1"/>
      <c r="CYB122" s="1"/>
      <c r="CYC122" s="1"/>
      <c r="CYD122" s="1"/>
      <c r="CYE122" s="1"/>
      <c r="CYF122" s="1"/>
      <c r="CYG122" s="1"/>
      <c r="CYH122" s="1"/>
      <c r="CYI122" s="1"/>
      <c r="CYJ122" s="1"/>
      <c r="CYK122" s="1"/>
      <c r="CYL122" s="1"/>
      <c r="CYM122" s="1"/>
      <c r="CYN122" s="1"/>
      <c r="CYO122" s="1"/>
      <c r="CYP122" s="1"/>
      <c r="CYQ122" s="1"/>
      <c r="CYR122" s="1"/>
      <c r="CYS122" s="1"/>
      <c r="CYT122" s="1"/>
      <c r="CYU122" s="1"/>
      <c r="CYV122" s="1"/>
      <c r="CYW122" s="1"/>
      <c r="CYX122" s="1"/>
      <c r="CYY122" s="1"/>
      <c r="CYZ122" s="1"/>
      <c r="CZA122" s="1"/>
      <c r="CZB122" s="1"/>
      <c r="CZC122" s="1"/>
      <c r="CZD122" s="1"/>
      <c r="CZE122" s="1"/>
      <c r="CZF122" s="1"/>
      <c r="CZG122" s="1"/>
      <c r="CZH122" s="1"/>
      <c r="CZI122" s="1"/>
      <c r="CZJ122" s="1"/>
      <c r="CZK122" s="1"/>
      <c r="CZL122" s="1"/>
      <c r="CZM122" s="1"/>
      <c r="CZN122" s="1"/>
      <c r="CZO122" s="1"/>
      <c r="CZP122" s="1"/>
      <c r="CZQ122" s="1"/>
      <c r="CZR122" s="1"/>
      <c r="CZS122" s="1"/>
      <c r="CZT122" s="1"/>
      <c r="CZU122" s="1"/>
      <c r="CZV122" s="1"/>
      <c r="CZW122" s="1"/>
      <c r="CZX122" s="1"/>
      <c r="CZY122" s="1"/>
      <c r="CZZ122" s="1"/>
      <c r="DAA122" s="1"/>
      <c r="DAB122" s="1"/>
      <c r="DAC122" s="1"/>
      <c r="DAD122" s="1"/>
      <c r="DAE122" s="1"/>
      <c r="DAF122" s="1"/>
      <c r="DAG122" s="1"/>
      <c r="DAH122" s="1"/>
      <c r="DAI122" s="1"/>
      <c r="DAJ122" s="1"/>
      <c r="DAK122" s="1"/>
      <c r="DAL122" s="1"/>
      <c r="DAM122" s="1"/>
      <c r="DAN122" s="1"/>
      <c r="DAO122" s="1"/>
      <c r="DAP122" s="1"/>
      <c r="DAQ122" s="1"/>
      <c r="DAR122" s="1"/>
      <c r="DAS122" s="1"/>
      <c r="DAT122" s="1"/>
      <c r="DAU122" s="1"/>
      <c r="DAV122" s="1"/>
      <c r="DAW122" s="1"/>
      <c r="DAX122" s="1"/>
      <c r="DAY122" s="1"/>
      <c r="DAZ122" s="1"/>
      <c r="DBA122" s="1"/>
      <c r="DBB122" s="1"/>
      <c r="DBC122" s="1"/>
      <c r="DBD122" s="1"/>
      <c r="DBE122" s="1"/>
      <c r="DBF122" s="1"/>
      <c r="DBG122" s="1"/>
      <c r="DBH122" s="1"/>
      <c r="DBI122" s="1"/>
      <c r="DBJ122" s="1"/>
      <c r="DBK122" s="1"/>
      <c r="DBL122" s="1"/>
      <c r="DBM122" s="1"/>
      <c r="DBN122" s="1"/>
      <c r="DBO122" s="1"/>
      <c r="DBP122" s="1"/>
      <c r="DBQ122" s="1"/>
      <c r="DBR122" s="1"/>
      <c r="DBS122" s="1"/>
      <c r="DBT122" s="1"/>
      <c r="DBU122" s="1"/>
      <c r="DBV122" s="1"/>
      <c r="DBW122" s="1"/>
      <c r="DBX122" s="1"/>
      <c r="DBY122" s="1"/>
      <c r="DBZ122" s="1"/>
      <c r="DCA122" s="1"/>
      <c r="DCB122" s="1"/>
      <c r="DCC122" s="1"/>
      <c r="DCD122" s="1"/>
      <c r="DCE122" s="1"/>
      <c r="DCF122" s="1"/>
      <c r="DCG122" s="1"/>
      <c r="DCH122" s="1"/>
      <c r="DCI122" s="1"/>
      <c r="DCJ122" s="1"/>
      <c r="DCK122" s="1"/>
      <c r="DCL122" s="1"/>
      <c r="DCM122" s="1"/>
      <c r="DCN122" s="1"/>
      <c r="DCO122" s="1"/>
      <c r="DCP122" s="1"/>
      <c r="DCQ122" s="1"/>
      <c r="DCR122" s="1"/>
      <c r="DCS122" s="1"/>
      <c r="DCT122" s="1"/>
      <c r="DCU122" s="1"/>
      <c r="DCV122" s="1"/>
      <c r="DCW122" s="1"/>
      <c r="DCX122" s="1"/>
      <c r="DCY122" s="1"/>
      <c r="DCZ122" s="1"/>
      <c r="DDA122" s="1"/>
      <c r="DDB122" s="1"/>
      <c r="DDC122" s="1"/>
      <c r="DDD122" s="1"/>
      <c r="DDE122" s="1"/>
      <c r="DDF122" s="1"/>
      <c r="DDG122" s="1"/>
      <c r="DDH122" s="1"/>
      <c r="DDI122" s="1"/>
      <c r="DDJ122" s="1"/>
      <c r="DDK122" s="1"/>
      <c r="DDL122" s="1"/>
      <c r="DDM122" s="1"/>
      <c r="DDN122" s="1"/>
      <c r="DDO122" s="1"/>
      <c r="DDP122" s="1"/>
      <c r="DDQ122" s="1"/>
      <c r="DDR122" s="1"/>
      <c r="DDS122" s="1"/>
      <c r="DDT122" s="1"/>
      <c r="DDU122" s="1"/>
      <c r="DDV122" s="1"/>
      <c r="DDW122" s="1"/>
      <c r="DDX122" s="1"/>
      <c r="DDY122" s="1"/>
      <c r="DDZ122" s="1"/>
      <c r="DEA122" s="1"/>
      <c r="DEB122" s="1"/>
      <c r="DEC122" s="1"/>
      <c r="DED122" s="1"/>
      <c r="DEE122" s="1"/>
      <c r="DEF122" s="1"/>
      <c r="DEG122" s="1"/>
      <c r="DEH122" s="1"/>
      <c r="DEI122" s="1"/>
      <c r="DEJ122" s="1"/>
      <c r="DEK122" s="1"/>
      <c r="DEL122" s="1"/>
      <c r="DEM122" s="1"/>
      <c r="DEN122" s="1"/>
      <c r="DEO122" s="1"/>
      <c r="DEP122" s="1"/>
      <c r="DEQ122" s="1"/>
      <c r="DER122" s="1"/>
      <c r="DES122" s="1"/>
      <c r="DET122" s="1"/>
      <c r="DEU122" s="1"/>
      <c r="DEV122" s="1"/>
      <c r="DEW122" s="1"/>
      <c r="DEX122" s="1"/>
      <c r="DEY122" s="1"/>
      <c r="DEZ122" s="1"/>
      <c r="DFA122" s="1"/>
      <c r="DFB122" s="1"/>
      <c r="DFC122" s="1"/>
      <c r="DFD122" s="1"/>
      <c r="DFE122" s="1"/>
      <c r="DFF122" s="1"/>
      <c r="DFG122" s="1"/>
      <c r="DFH122" s="1"/>
      <c r="DFI122" s="1"/>
      <c r="DFJ122" s="1"/>
      <c r="DFK122" s="1"/>
      <c r="DFL122" s="1"/>
      <c r="DFM122" s="1"/>
      <c r="DFN122" s="1"/>
      <c r="DFO122" s="1"/>
      <c r="DFP122" s="1"/>
      <c r="DFQ122" s="1"/>
      <c r="DFR122" s="1"/>
      <c r="DFS122" s="1"/>
      <c r="DFT122" s="1"/>
      <c r="DFU122" s="1"/>
      <c r="DFV122" s="1"/>
      <c r="DFW122" s="1"/>
      <c r="DFX122" s="1"/>
      <c r="DFY122" s="1"/>
      <c r="DFZ122" s="1"/>
      <c r="DGA122" s="1"/>
      <c r="DGB122" s="1"/>
      <c r="DGC122" s="1"/>
      <c r="DGD122" s="1"/>
      <c r="DGE122" s="1"/>
      <c r="DGF122" s="1"/>
      <c r="DGG122" s="1"/>
      <c r="DGH122" s="1"/>
      <c r="DGI122" s="1"/>
      <c r="DGJ122" s="1"/>
      <c r="DGK122" s="1"/>
      <c r="DGL122" s="1"/>
      <c r="DGM122" s="1"/>
      <c r="DGN122" s="1"/>
      <c r="DGO122" s="1"/>
      <c r="DGP122" s="1"/>
      <c r="DGQ122" s="1"/>
      <c r="DGR122" s="1"/>
      <c r="DGS122" s="1"/>
      <c r="DGT122" s="1"/>
      <c r="DGU122" s="1"/>
      <c r="DGV122" s="1"/>
      <c r="DGW122" s="1"/>
      <c r="DGX122" s="1"/>
      <c r="DGY122" s="1"/>
      <c r="DGZ122" s="1"/>
      <c r="DHA122" s="1"/>
      <c r="DHB122" s="1"/>
      <c r="DHC122" s="1"/>
      <c r="DHD122" s="1"/>
      <c r="DHE122" s="1"/>
      <c r="DHF122" s="1"/>
      <c r="DHG122" s="1"/>
      <c r="DHH122" s="1"/>
      <c r="DHI122" s="1"/>
      <c r="DHJ122" s="1"/>
      <c r="DHK122" s="1"/>
      <c r="DHL122" s="1"/>
      <c r="DHM122" s="1"/>
      <c r="DHN122" s="1"/>
      <c r="DHO122" s="1"/>
      <c r="DHP122" s="1"/>
      <c r="DHQ122" s="1"/>
      <c r="DHR122" s="1"/>
      <c r="DHS122" s="1"/>
      <c r="DHT122" s="1"/>
      <c r="DHU122" s="1"/>
      <c r="DHV122" s="1"/>
      <c r="DHW122" s="1"/>
      <c r="DHX122" s="1"/>
      <c r="DHY122" s="1"/>
      <c r="DHZ122" s="1"/>
      <c r="DIA122" s="1"/>
      <c r="DIB122" s="1"/>
      <c r="DIC122" s="1"/>
      <c r="DID122" s="1"/>
      <c r="DIE122" s="1"/>
      <c r="DIF122" s="1"/>
      <c r="DIG122" s="1"/>
      <c r="DIH122" s="1"/>
      <c r="DII122" s="1"/>
      <c r="DIJ122" s="1"/>
      <c r="DIK122" s="1"/>
      <c r="DIL122" s="1"/>
      <c r="DIM122" s="1"/>
      <c r="DIN122" s="1"/>
      <c r="DIO122" s="1"/>
      <c r="DIP122" s="1"/>
      <c r="DIQ122" s="1"/>
      <c r="DIR122" s="1"/>
      <c r="DIS122" s="1"/>
      <c r="DIT122" s="1"/>
      <c r="DIU122" s="1"/>
      <c r="DIV122" s="1"/>
      <c r="DIW122" s="1"/>
      <c r="DIX122" s="1"/>
      <c r="DIY122" s="1"/>
      <c r="DIZ122" s="1"/>
      <c r="DJA122" s="1"/>
      <c r="DJB122" s="1"/>
      <c r="DJC122" s="1"/>
      <c r="DJD122" s="1"/>
      <c r="DJE122" s="1"/>
      <c r="DJF122" s="1"/>
      <c r="DJG122" s="1"/>
      <c r="DJH122" s="1"/>
      <c r="DJI122" s="1"/>
      <c r="DJJ122" s="1"/>
      <c r="DJK122" s="1"/>
      <c r="DJL122" s="1"/>
      <c r="DJM122" s="1"/>
      <c r="DJN122" s="1"/>
      <c r="DJO122" s="1"/>
      <c r="DJP122" s="1"/>
      <c r="DJQ122" s="1"/>
      <c r="DJR122" s="1"/>
      <c r="DJS122" s="1"/>
      <c r="DJT122" s="1"/>
      <c r="DJU122" s="1"/>
      <c r="DJV122" s="1"/>
      <c r="DJW122" s="1"/>
      <c r="DJX122" s="1"/>
      <c r="DJY122" s="1"/>
      <c r="DJZ122" s="1"/>
      <c r="DKA122" s="1"/>
      <c r="DKB122" s="1"/>
      <c r="DKC122" s="1"/>
      <c r="DKD122" s="1"/>
      <c r="DKE122" s="1"/>
      <c r="DKF122" s="1"/>
      <c r="DKG122" s="1"/>
      <c r="DKH122" s="1"/>
      <c r="DKI122" s="1"/>
      <c r="DKJ122" s="1"/>
      <c r="DKK122" s="1"/>
      <c r="DKL122" s="1"/>
      <c r="DKM122" s="1"/>
      <c r="DKN122" s="1"/>
      <c r="DKO122" s="1"/>
      <c r="DKP122" s="1"/>
      <c r="DKQ122" s="1"/>
      <c r="DKR122" s="1"/>
      <c r="DKS122" s="1"/>
      <c r="DKT122" s="1"/>
      <c r="DKU122" s="1"/>
      <c r="DKV122" s="1"/>
      <c r="DKW122" s="1"/>
      <c r="DKX122" s="1"/>
      <c r="DKY122" s="1"/>
      <c r="DKZ122" s="1"/>
      <c r="DLA122" s="1"/>
      <c r="DLB122" s="1"/>
      <c r="DLC122" s="1"/>
      <c r="DLD122" s="1"/>
      <c r="DLE122" s="1"/>
      <c r="DLF122" s="1"/>
      <c r="DLG122" s="1"/>
      <c r="DLH122" s="1"/>
      <c r="DLI122" s="1"/>
      <c r="DLJ122" s="1"/>
      <c r="DLK122" s="1"/>
      <c r="DLL122" s="1"/>
      <c r="DLM122" s="1"/>
      <c r="DLN122" s="1"/>
      <c r="DLO122" s="1"/>
      <c r="DLP122" s="1"/>
      <c r="DLQ122" s="1"/>
      <c r="DLR122" s="1"/>
      <c r="DLS122" s="1"/>
      <c r="DLT122" s="1"/>
      <c r="DLU122" s="1"/>
      <c r="DLV122" s="1"/>
      <c r="DLW122" s="1"/>
      <c r="DLX122" s="1"/>
      <c r="DLY122" s="1"/>
      <c r="DLZ122" s="1"/>
      <c r="DMA122" s="1"/>
      <c r="DMB122" s="1"/>
      <c r="DMC122" s="1"/>
      <c r="DMD122" s="1"/>
      <c r="DME122" s="1"/>
      <c r="DMF122" s="1"/>
      <c r="DMG122" s="1"/>
      <c r="DMH122" s="1"/>
      <c r="DMI122" s="1"/>
      <c r="DMJ122" s="1"/>
      <c r="DMK122" s="1"/>
      <c r="DML122" s="1"/>
      <c r="DMM122" s="1"/>
      <c r="DMN122" s="1"/>
      <c r="DMO122" s="1"/>
      <c r="DMP122" s="1"/>
      <c r="DMQ122" s="1"/>
      <c r="DMR122" s="1"/>
      <c r="DMS122" s="1"/>
      <c r="DMT122" s="1"/>
      <c r="DMU122" s="1"/>
      <c r="DMV122" s="1"/>
      <c r="DMW122" s="1"/>
      <c r="DMX122" s="1"/>
      <c r="DMY122" s="1"/>
      <c r="DMZ122" s="1"/>
      <c r="DNA122" s="1"/>
      <c r="DNB122" s="1"/>
      <c r="DNC122" s="1"/>
      <c r="DND122" s="1"/>
      <c r="DNE122" s="1"/>
      <c r="DNF122" s="1"/>
      <c r="DNG122" s="1"/>
      <c r="DNH122" s="1"/>
      <c r="DNI122" s="1"/>
      <c r="DNJ122" s="1"/>
      <c r="DNK122" s="1"/>
      <c r="DNL122" s="1"/>
      <c r="DNM122" s="1"/>
      <c r="DNN122" s="1"/>
      <c r="DNO122" s="1"/>
      <c r="DNP122" s="1"/>
      <c r="DNQ122" s="1"/>
      <c r="DNR122" s="1"/>
      <c r="DNS122" s="1"/>
      <c r="DNT122" s="1"/>
      <c r="DNU122" s="1"/>
      <c r="DNV122" s="1"/>
      <c r="DNW122" s="1"/>
      <c r="DNX122" s="1"/>
      <c r="DNY122" s="1"/>
      <c r="DNZ122" s="1"/>
      <c r="DOA122" s="1"/>
      <c r="DOB122" s="1"/>
      <c r="DOC122" s="1"/>
      <c r="DOD122" s="1"/>
      <c r="DOE122" s="1"/>
      <c r="DOF122" s="1"/>
      <c r="DOG122" s="1"/>
      <c r="DOH122" s="1"/>
      <c r="DOI122" s="1"/>
      <c r="DOJ122" s="1"/>
      <c r="DOK122" s="1"/>
      <c r="DOL122" s="1"/>
      <c r="DOM122" s="1"/>
      <c r="DON122" s="1"/>
      <c r="DOO122" s="1"/>
      <c r="DOP122" s="1"/>
      <c r="DOQ122" s="1"/>
      <c r="DOR122" s="1"/>
      <c r="DOS122" s="1"/>
      <c r="DOT122" s="1"/>
      <c r="DOU122" s="1"/>
      <c r="DOV122" s="1"/>
      <c r="DOW122" s="1"/>
      <c r="DOX122" s="1"/>
      <c r="DOY122" s="1"/>
      <c r="DOZ122" s="1"/>
      <c r="DPA122" s="1"/>
      <c r="DPB122" s="1"/>
      <c r="DPC122" s="1"/>
      <c r="DPD122" s="1"/>
      <c r="DPE122" s="1"/>
      <c r="DPF122" s="1"/>
      <c r="DPG122" s="1"/>
      <c r="DPH122" s="1"/>
      <c r="DPI122" s="1"/>
      <c r="DPJ122" s="1"/>
      <c r="DPK122" s="1"/>
      <c r="DPL122" s="1"/>
      <c r="DPM122" s="1"/>
      <c r="DPN122" s="1"/>
      <c r="DPO122" s="1"/>
      <c r="DPP122" s="1"/>
      <c r="DPQ122" s="1"/>
      <c r="DPR122" s="1"/>
      <c r="DPS122" s="1"/>
      <c r="DPT122" s="1"/>
      <c r="DPU122" s="1"/>
      <c r="DPV122" s="1"/>
      <c r="DPW122" s="1"/>
      <c r="DPX122" s="1"/>
      <c r="DPY122" s="1"/>
      <c r="DPZ122" s="1"/>
      <c r="DQA122" s="1"/>
      <c r="DQB122" s="1"/>
      <c r="DQC122" s="1"/>
      <c r="DQD122" s="1"/>
      <c r="DQE122" s="1"/>
      <c r="DQF122" s="1"/>
      <c r="DQG122" s="1"/>
      <c r="DQH122" s="1"/>
      <c r="DQI122" s="1"/>
      <c r="DQJ122" s="1"/>
      <c r="DQK122" s="1"/>
      <c r="DQL122" s="1"/>
      <c r="DQM122" s="1"/>
      <c r="DQN122" s="1"/>
      <c r="DQO122" s="1"/>
      <c r="DQP122" s="1"/>
      <c r="DQQ122" s="1"/>
      <c r="DQR122" s="1"/>
      <c r="DQS122" s="1"/>
      <c r="DQT122" s="1"/>
      <c r="DQU122" s="1"/>
      <c r="DQV122" s="1"/>
      <c r="DQW122" s="1"/>
      <c r="DQX122" s="1"/>
      <c r="DQY122" s="1"/>
      <c r="DQZ122" s="1"/>
      <c r="DRA122" s="1"/>
      <c r="DRB122" s="1"/>
      <c r="DRC122" s="1"/>
      <c r="DRD122" s="1"/>
      <c r="DRE122" s="1"/>
      <c r="DRF122" s="1"/>
      <c r="DRG122" s="1"/>
      <c r="DRH122" s="1"/>
      <c r="DRI122" s="1"/>
      <c r="DRJ122" s="1"/>
      <c r="DRK122" s="1"/>
      <c r="DRL122" s="1"/>
      <c r="DRM122" s="1"/>
      <c r="DRN122" s="1"/>
      <c r="DRO122" s="1"/>
      <c r="DRP122" s="1"/>
      <c r="DRQ122" s="1"/>
      <c r="DRR122" s="1"/>
      <c r="DRS122" s="1"/>
      <c r="DRT122" s="1"/>
      <c r="DRU122" s="1"/>
      <c r="DRV122" s="1"/>
      <c r="DRW122" s="1"/>
      <c r="DRX122" s="1"/>
      <c r="DRY122" s="1"/>
      <c r="DRZ122" s="1"/>
      <c r="DSA122" s="1"/>
      <c r="DSB122" s="1"/>
      <c r="DSC122" s="1"/>
      <c r="DSD122" s="1"/>
      <c r="DSE122" s="1"/>
      <c r="DSF122" s="1"/>
      <c r="DSG122" s="1"/>
      <c r="DSH122" s="1"/>
      <c r="DSI122" s="1"/>
      <c r="DSJ122" s="1"/>
      <c r="DSK122" s="1"/>
      <c r="DSL122" s="1"/>
      <c r="DSM122" s="1"/>
      <c r="DSN122" s="1"/>
      <c r="DSO122" s="1"/>
      <c r="DSP122" s="1"/>
      <c r="DSQ122" s="1"/>
      <c r="DSR122" s="1"/>
      <c r="DSS122" s="1"/>
      <c r="DST122" s="1"/>
      <c r="DSU122" s="1"/>
      <c r="DSV122" s="1"/>
      <c r="DSW122" s="1"/>
      <c r="DSX122" s="1"/>
      <c r="DSY122" s="1"/>
      <c r="DSZ122" s="1"/>
      <c r="DTA122" s="1"/>
      <c r="DTB122" s="1"/>
      <c r="DTC122" s="1"/>
      <c r="DTD122" s="1"/>
      <c r="DTE122" s="1"/>
      <c r="DTF122" s="1"/>
      <c r="DTG122" s="1"/>
      <c r="DTH122" s="1"/>
      <c r="DTI122" s="1"/>
      <c r="DTJ122" s="1"/>
      <c r="DTK122" s="1"/>
      <c r="DTL122" s="1"/>
      <c r="DTM122" s="1"/>
      <c r="DTN122" s="1"/>
      <c r="DTO122" s="1"/>
      <c r="DTP122" s="1"/>
      <c r="DTQ122" s="1"/>
      <c r="DTR122" s="1"/>
      <c r="DTS122" s="1"/>
      <c r="DTT122" s="1"/>
      <c r="DTU122" s="1"/>
      <c r="DTV122" s="1"/>
      <c r="DTW122" s="1"/>
      <c r="DTX122" s="1"/>
      <c r="DTY122" s="1"/>
      <c r="DTZ122" s="1"/>
      <c r="DUA122" s="1"/>
      <c r="DUB122" s="1"/>
      <c r="DUC122" s="1"/>
      <c r="DUD122" s="1"/>
      <c r="DUE122" s="1"/>
      <c r="DUF122" s="1"/>
      <c r="DUG122" s="1"/>
      <c r="DUH122" s="1"/>
      <c r="DUI122" s="1"/>
      <c r="DUJ122" s="1"/>
      <c r="DUK122" s="1"/>
      <c r="DUL122" s="1"/>
      <c r="DUM122" s="1"/>
      <c r="DUN122" s="1"/>
      <c r="DUO122" s="1"/>
      <c r="DUP122" s="1"/>
      <c r="DUQ122" s="1"/>
      <c r="DUR122" s="1"/>
      <c r="DUS122" s="1"/>
      <c r="DUT122" s="1"/>
      <c r="DUU122" s="1"/>
      <c r="DUV122" s="1"/>
      <c r="DUW122" s="1"/>
      <c r="DUX122" s="1"/>
      <c r="DUY122" s="1"/>
      <c r="DUZ122" s="1"/>
      <c r="DVA122" s="1"/>
      <c r="DVB122" s="1"/>
      <c r="DVC122" s="1"/>
      <c r="DVD122" s="1"/>
      <c r="DVE122" s="1"/>
      <c r="DVF122" s="1"/>
      <c r="DVG122" s="1"/>
      <c r="DVH122" s="1"/>
      <c r="DVI122" s="1"/>
      <c r="DVJ122" s="1"/>
      <c r="DVK122" s="1"/>
      <c r="DVL122" s="1"/>
      <c r="DVM122" s="1"/>
      <c r="DVN122" s="1"/>
      <c r="DVO122" s="1"/>
      <c r="DVP122" s="1"/>
      <c r="DVQ122" s="1"/>
      <c r="DVR122" s="1"/>
      <c r="DVS122" s="1"/>
      <c r="DVT122" s="1"/>
      <c r="DVU122" s="1"/>
      <c r="DVV122" s="1"/>
      <c r="DVW122" s="1"/>
      <c r="DVX122" s="1"/>
      <c r="DVY122" s="1"/>
      <c r="DVZ122" s="1"/>
      <c r="DWA122" s="1"/>
      <c r="DWB122" s="1"/>
      <c r="DWC122" s="1"/>
      <c r="DWD122" s="1"/>
      <c r="DWE122" s="1"/>
      <c r="DWF122" s="1"/>
      <c r="DWG122" s="1"/>
      <c r="DWH122" s="1"/>
      <c r="DWI122" s="1"/>
      <c r="DWJ122" s="1"/>
      <c r="DWK122" s="1"/>
      <c r="DWL122" s="1"/>
      <c r="DWM122" s="1"/>
      <c r="DWN122" s="1"/>
      <c r="DWO122" s="1"/>
      <c r="DWP122" s="1"/>
      <c r="DWQ122" s="1"/>
      <c r="DWR122" s="1"/>
      <c r="DWS122" s="1"/>
      <c r="DWT122" s="1"/>
      <c r="DWU122" s="1"/>
      <c r="DWV122" s="1"/>
      <c r="DWW122" s="1"/>
      <c r="DWX122" s="1"/>
      <c r="DWY122" s="1"/>
      <c r="DWZ122" s="1"/>
      <c r="DXA122" s="1"/>
      <c r="DXB122" s="1"/>
      <c r="DXC122" s="1"/>
      <c r="DXD122" s="1"/>
      <c r="DXE122" s="1"/>
      <c r="DXF122" s="1"/>
      <c r="DXG122" s="1"/>
      <c r="DXH122" s="1"/>
      <c r="DXI122" s="1"/>
      <c r="DXJ122" s="1"/>
      <c r="DXK122" s="1"/>
      <c r="DXL122" s="1"/>
      <c r="DXM122" s="1"/>
      <c r="DXN122" s="1"/>
      <c r="DXO122" s="1"/>
      <c r="DXP122" s="1"/>
      <c r="DXQ122" s="1"/>
      <c r="DXR122" s="1"/>
      <c r="DXS122" s="1"/>
      <c r="DXT122" s="1"/>
      <c r="DXU122" s="1"/>
      <c r="DXV122" s="1"/>
      <c r="DXW122" s="1"/>
      <c r="DXX122" s="1"/>
      <c r="DXY122" s="1"/>
      <c r="DXZ122" s="1"/>
      <c r="DYA122" s="1"/>
      <c r="DYB122" s="1"/>
      <c r="DYC122" s="1"/>
      <c r="DYD122" s="1"/>
      <c r="DYE122" s="1"/>
      <c r="DYF122" s="1"/>
      <c r="DYG122" s="1"/>
      <c r="DYH122" s="1"/>
      <c r="DYI122" s="1"/>
      <c r="DYJ122" s="1"/>
      <c r="DYK122" s="1"/>
      <c r="DYL122" s="1"/>
      <c r="DYM122" s="1"/>
      <c r="DYN122" s="1"/>
      <c r="DYO122" s="1"/>
      <c r="DYP122" s="1"/>
      <c r="DYQ122" s="1"/>
      <c r="DYR122" s="1"/>
      <c r="DYS122" s="1"/>
      <c r="DYT122" s="1"/>
      <c r="DYU122" s="1"/>
      <c r="DYV122" s="1"/>
      <c r="DYW122" s="1"/>
      <c r="DYX122" s="1"/>
      <c r="DYY122" s="1"/>
      <c r="DYZ122" s="1"/>
      <c r="DZA122" s="1"/>
      <c r="DZB122" s="1"/>
      <c r="DZC122" s="1"/>
      <c r="DZD122" s="1"/>
      <c r="DZE122" s="1"/>
      <c r="DZF122" s="1"/>
      <c r="DZG122" s="1"/>
      <c r="DZH122" s="1"/>
      <c r="DZI122" s="1"/>
      <c r="DZJ122" s="1"/>
      <c r="DZK122" s="1"/>
      <c r="DZL122" s="1"/>
      <c r="DZM122" s="1"/>
      <c r="DZN122" s="1"/>
      <c r="DZO122" s="1"/>
      <c r="DZP122" s="1"/>
      <c r="DZQ122" s="1"/>
      <c r="DZR122" s="1"/>
      <c r="DZS122" s="1"/>
      <c r="DZT122" s="1"/>
      <c r="DZU122" s="1"/>
      <c r="DZV122" s="1"/>
      <c r="DZW122" s="1"/>
      <c r="DZX122" s="1"/>
      <c r="DZY122" s="1"/>
      <c r="DZZ122" s="1"/>
      <c r="EAA122" s="1"/>
      <c r="EAB122" s="1"/>
      <c r="EAC122" s="1"/>
      <c r="EAD122" s="1"/>
      <c r="EAE122" s="1"/>
      <c r="EAF122" s="1"/>
      <c r="EAG122" s="1"/>
      <c r="EAH122" s="1"/>
      <c r="EAI122" s="1"/>
      <c r="EAJ122" s="1"/>
      <c r="EAK122" s="1"/>
      <c r="EAL122" s="1"/>
      <c r="EAM122" s="1"/>
      <c r="EAN122" s="1"/>
      <c r="EAO122" s="1"/>
      <c r="EAP122" s="1"/>
      <c r="EAQ122" s="1"/>
      <c r="EAR122" s="1"/>
      <c r="EAS122" s="1"/>
      <c r="EAT122" s="1"/>
      <c r="EAU122" s="1"/>
      <c r="EAV122" s="1"/>
      <c r="EAW122" s="1"/>
      <c r="EAX122" s="1"/>
      <c r="EAY122" s="1"/>
      <c r="EAZ122" s="1"/>
      <c r="EBA122" s="1"/>
      <c r="EBB122" s="1"/>
      <c r="EBC122" s="1"/>
      <c r="EBD122" s="1"/>
      <c r="EBE122" s="1"/>
      <c r="EBF122" s="1"/>
      <c r="EBG122" s="1"/>
      <c r="EBH122" s="1"/>
      <c r="EBI122" s="1"/>
      <c r="EBJ122" s="1"/>
      <c r="EBK122" s="1"/>
      <c r="EBL122" s="1"/>
      <c r="EBM122" s="1"/>
      <c r="EBN122" s="1"/>
      <c r="EBO122" s="1"/>
      <c r="EBP122" s="1"/>
      <c r="EBQ122" s="1"/>
      <c r="EBR122" s="1"/>
      <c r="EBS122" s="1"/>
      <c r="EBT122" s="1"/>
      <c r="EBU122" s="1"/>
      <c r="EBV122" s="1"/>
      <c r="EBW122" s="1"/>
      <c r="EBX122" s="1"/>
      <c r="EBY122" s="1"/>
      <c r="EBZ122" s="1"/>
      <c r="ECA122" s="1"/>
      <c r="ECB122" s="1"/>
      <c r="ECC122" s="1"/>
      <c r="ECD122" s="1"/>
      <c r="ECE122" s="1"/>
      <c r="ECF122" s="1"/>
      <c r="ECG122" s="1"/>
      <c r="ECH122" s="1"/>
      <c r="ECI122" s="1"/>
      <c r="ECJ122" s="1"/>
      <c r="ECK122" s="1"/>
      <c r="ECL122" s="1"/>
      <c r="ECM122" s="1"/>
      <c r="ECN122" s="1"/>
      <c r="ECO122" s="1"/>
      <c r="ECP122" s="1"/>
      <c r="ECQ122" s="1"/>
      <c r="ECR122" s="1"/>
      <c r="ECS122" s="1"/>
      <c r="ECT122" s="1"/>
      <c r="ECU122" s="1"/>
      <c r="ECV122" s="1"/>
      <c r="ECW122" s="1"/>
      <c r="ECX122" s="1"/>
      <c r="ECY122" s="1"/>
      <c r="ECZ122" s="1"/>
      <c r="EDA122" s="1"/>
      <c r="EDB122" s="1"/>
      <c r="EDC122" s="1"/>
      <c r="EDD122" s="1"/>
      <c r="EDE122" s="1"/>
      <c r="EDF122" s="1"/>
      <c r="EDG122" s="1"/>
      <c r="EDH122" s="1"/>
      <c r="EDI122" s="1"/>
      <c r="EDJ122" s="1"/>
      <c r="EDK122" s="1"/>
      <c r="EDL122" s="1"/>
      <c r="EDM122" s="1"/>
      <c r="EDN122" s="1"/>
      <c r="EDO122" s="1"/>
      <c r="EDP122" s="1"/>
      <c r="EDQ122" s="1"/>
      <c r="EDR122" s="1"/>
      <c r="EDS122" s="1"/>
      <c r="EDT122" s="1"/>
      <c r="EDU122" s="1"/>
      <c r="EDV122" s="1"/>
      <c r="EDW122" s="1"/>
      <c r="EDX122" s="1"/>
      <c r="EDY122" s="1"/>
      <c r="EDZ122" s="1"/>
      <c r="EEA122" s="1"/>
      <c r="EEB122" s="1"/>
      <c r="EEC122" s="1"/>
      <c r="EED122" s="1"/>
      <c r="EEE122" s="1"/>
      <c r="EEF122" s="1"/>
      <c r="EEG122" s="1"/>
      <c r="EEH122" s="1"/>
      <c r="EEI122" s="1"/>
      <c r="EEJ122" s="1"/>
      <c r="EEK122" s="1"/>
      <c r="EEL122" s="1"/>
      <c r="EEM122" s="1"/>
      <c r="EEN122" s="1"/>
      <c r="EEO122" s="1"/>
      <c r="EEP122" s="1"/>
      <c r="EEQ122" s="1"/>
      <c r="EER122" s="1"/>
      <c r="EES122" s="1"/>
      <c r="EET122" s="1"/>
      <c r="EEU122" s="1"/>
      <c r="EEV122" s="1"/>
      <c r="EEW122" s="1"/>
      <c r="EEX122" s="1"/>
      <c r="EEY122" s="1"/>
      <c r="EEZ122" s="1"/>
      <c r="EFA122" s="1"/>
      <c r="EFB122" s="1"/>
      <c r="EFC122" s="1"/>
      <c r="EFD122" s="1"/>
      <c r="EFE122" s="1"/>
      <c r="EFF122" s="1"/>
      <c r="EFG122" s="1"/>
      <c r="EFH122" s="1"/>
      <c r="EFI122" s="1"/>
      <c r="EFJ122" s="1"/>
      <c r="EFK122" s="1"/>
      <c r="EFL122" s="1"/>
      <c r="EFM122" s="1"/>
      <c r="EFN122" s="1"/>
      <c r="EFO122" s="1"/>
      <c r="EFP122" s="1"/>
      <c r="EFQ122" s="1"/>
      <c r="EFR122" s="1"/>
      <c r="EFS122" s="1"/>
      <c r="EFT122" s="1"/>
      <c r="EFU122" s="1"/>
      <c r="EFV122" s="1"/>
      <c r="EFW122" s="1"/>
      <c r="EFX122" s="1"/>
      <c r="EFY122" s="1"/>
      <c r="EFZ122" s="1"/>
      <c r="EGA122" s="1"/>
      <c r="EGB122" s="1"/>
      <c r="EGC122" s="1"/>
      <c r="EGD122" s="1"/>
      <c r="EGE122" s="1"/>
      <c r="EGF122" s="1"/>
      <c r="EGG122" s="1"/>
      <c r="EGH122" s="1"/>
      <c r="EGI122" s="1"/>
      <c r="EGJ122" s="1"/>
      <c r="EGK122" s="1"/>
      <c r="EGL122" s="1"/>
      <c r="EGM122" s="1"/>
      <c r="EGN122" s="1"/>
      <c r="EGO122" s="1"/>
      <c r="EGP122" s="1"/>
      <c r="EGQ122" s="1"/>
      <c r="EGR122" s="1"/>
      <c r="EGS122" s="1"/>
      <c r="EGT122" s="1"/>
      <c r="EGU122" s="1"/>
      <c r="EGV122" s="1"/>
      <c r="EGW122" s="1"/>
      <c r="EGX122" s="1"/>
      <c r="EGY122" s="1"/>
      <c r="EGZ122" s="1"/>
      <c r="EHA122" s="1"/>
      <c r="EHB122" s="1"/>
      <c r="EHC122" s="1"/>
      <c r="EHD122" s="1"/>
      <c r="EHE122" s="1"/>
      <c r="EHF122" s="1"/>
      <c r="EHG122" s="1"/>
      <c r="EHH122" s="1"/>
      <c r="EHI122" s="1"/>
      <c r="EHJ122" s="1"/>
      <c r="EHK122" s="1"/>
      <c r="EHL122" s="1"/>
      <c r="EHM122" s="1"/>
      <c r="EHN122" s="1"/>
      <c r="EHO122" s="1"/>
      <c r="EHP122" s="1"/>
      <c r="EHQ122" s="1"/>
      <c r="EHR122" s="1"/>
      <c r="EHS122" s="1"/>
      <c r="EHT122" s="1"/>
      <c r="EHU122" s="1"/>
      <c r="EHV122" s="1"/>
      <c r="EHW122" s="1"/>
      <c r="EHX122" s="1"/>
      <c r="EHY122" s="1"/>
      <c r="EHZ122" s="1"/>
      <c r="EIA122" s="1"/>
      <c r="EIB122" s="1"/>
      <c r="EIC122" s="1"/>
      <c r="EID122" s="1"/>
      <c r="EIE122" s="1"/>
      <c r="EIF122" s="1"/>
      <c r="EIG122" s="1"/>
      <c r="EIH122" s="1"/>
      <c r="EII122" s="1"/>
      <c r="EIJ122" s="1"/>
      <c r="EIK122" s="1"/>
      <c r="EIL122" s="1"/>
      <c r="EIM122" s="1"/>
      <c r="EIN122" s="1"/>
      <c r="EIO122" s="1"/>
      <c r="EIP122" s="1"/>
      <c r="EIQ122" s="1"/>
      <c r="EIR122" s="1"/>
      <c r="EIS122" s="1"/>
      <c r="EIT122" s="1"/>
      <c r="EIU122" s="1"/>
      <c r="EIV122" s="1"/>
      <c r="EIW122" s="1"/>
      <c r="EIX122" s="1"/>
      <c r="EIY122" s="1"/>
      <c r="EIZ122" s="1"/>
      <c r="EJA122" s="1"/>
      <c r="EJB122" s="1"/>
      <c r="EJC122" s="1"/>
      <c r="EJD122" s="1"/>
      <c r="EJE122" s="1"/>
      <c r="EJF122" s="1"/>
      <c r="EJG122" s="1"/>
      <c r="EJH122" s="1"/>
      <c r="EJI122" s="1"/>
      <c r="EJJ122" s="1"/>
      <c r="EJK122" s="1"/>
      <c r="EJL122" s="1"/>
      <c r="EJM122" s="1"/>
      <c r="EJN122" s="1"/>
      <c r="EJO122" s="1"/>
      <c r="EJP122" s="1"/>
      <c r="EJQ122" s="1"/>
      <c r="EJR122" s="1"/>
      <c r="EJS122" s="1"/>
      <c r="EJT122" s="1"/>
      <c r="EJU122" s="1"/>
      <c r="EJV122" s="1"/>
      <c r="EJW122" s="1"/>
      <c r="EJX122" s="1"/>
      <c r="EJY122" s="1"/>
      <c r="EJZ122" s="1"/>
      <c r="EKA122" s="1"/>
      <c r="EKB122" s="1"/>
      <c r="EKC122" s="1"/>
      <c r="EKD122" s="1"/>
      <c r="EKE122" s="1"/>
      <c r="EKF122" s="1"/>
      <c r="EKG122" s="1"/>
      <c r="EKH122" s="1"/>
      <c r="EKI122" s="1"/>
      <c r="EKJ122" s="1"/>
      <c r="EKK122" s="1"/>
      <c r="EKL122" s="1"/>
      <c r="EKM122" s="1"/>
      <c r="EKN122" s="1"/>
      <c r="EKO122" s="1"/>
      <c r="EKP122" s="1"/>
      <c r="EKQ122" s="1"/>
      <c r="EKR122" s="1"/>
      <c r="EKS122" s="1"/>
      <c r="EKT122" s="1"/>
      <c r="EKU122" s="1"/>
      <c r="EKV122" s="1"/>
      <c r="EKW122" s="1"/>
      <c r="EKX122" s="1"/>
      <c r="EKY122" s="1"/>
      <c r="EKZ122" s="1"/>
      <c r="ELA122" s="1"/>
      <c r="ELB122" s="1"/>
      <c r="ELC122" s="1"/>
      <c r="ELD122" s="1"/>
      <c r="ELE122" s="1"/>
      <c r="ELF122" s="1"/>
      <c r="ELG122" s="1"/>
      <c r="ELH122" s="1"/>
      <c r="ELI122" s="1"/>
      <c r="ELJ122" s="1"/>
      <c r="ELK122" s="1"/>
      <c r="ELL122" s="1"/>
      <c r="ELM122" s="1"/>
      <c r="ELN122" s="1"/>
      <c r="ELO122" s="1"/>
      <c r="ELP122" s="1"/>
      <c r="ELQ122" s="1"/>
      <c r="ELR122" s="1"/>
      <c r="ELS122" s="1"/>
      <c r="ELT122" s="1"/>
      <c r="ELU122" s="1"/>
      <c r="ELV122" s="1"/>
      <c r="ELW122" s="1"/>
      <c r="ELX122" s="1"/>
      <c r="ELY122" s="1"/>
      <c r="ELZ122" s="1"/>
      <c r="EMA122" s="1"/>
      <c r="EMB122" s="1"/>
      <c r="EMC122" s="1"/>
      <c r="EMD122" s="1"/>
      <c r="EME122" s="1"/>
      <c r="EMF122" s="1"/>
      <c r="EMG122" s="1"/>
      <c r="EMH122" s="1"/>
      <c r="EMI122" s="1"/>
      <c r="EMJ122" s="1"/>
      <c r="EMK122" s="1"/>
      <c r="EML122" s="1"/>
      <c r="EMM122" s="1"/>
      <c r="EMN122" s="1"/>
      <c r="EMO122" s="1"/>
      <c r="EMP122" s="1"/>
      <c r="EMQ122" s="1"/>
      <c r="EMR122" s="1"/>
      <c r="EMS122" s="1"/>
      <c r="EMT122" s="1"/>
      <c r="EMU122" s="1"/>
      <c r="EMV122" s="1"/>
      <c r="EMW122" s="1"/>
      <c r="EMX122" s="1"/>
      <c r="EMY122" s="1"/>
      <c r="EMZ122" s="1"/>
      <c r="ENA122" s="1"/>
      <c r="ENB122" s="1"/>
      <c r="ENC122" s="1"/>
      <c r="END122" s="1"/>
      <c r="ENE122" s="1"/>
      <c r="ENF122" s="1"/>
      <c r="ENG122" s="1"/>
      <c r="ENH122" s="1"/>
      <c r="ENI122" s="1"/>
      <c r="ENJ122" s="1"/>
      <c r="ENK122" s="1"/>
      <c r="ENL122" s="1"/>
      <c r="ENM122" s="1"/>
      <c r="ENN122" s="1"/>
      <c r="ENO122" s="1"/>
      <c r="ENP122" s="1"/>
      <c r="ENQ122" s="1"/>
      <c r="ENR122" s="1"/>
      <c r="ENS122" s="1"/>
      <c r="ENT122" s="1"/>
      <c r="ENU122" s="1"/>
      <c r="ENV122" s="1"/>
      <c r="ENW122" s="1"/>
      <c r="ENX122" s="1"/>
      <c r="ENY122" s="1"/>
      <c r="ENZ122" s="1"/>
      <c r="EOA122" s="1"/>
      <c r="EOB122" s="1"/>
      <c r="EOC122" s="1"/>
      <c r="EOD122" s="1"/>
      <c r="EOE122" s="1"/>
      <c r="EOF122" s="1"/>
      <c r="EOG122" s="1"/>
      <c r="EOH122" s="1"/>
      <c r="EOI122" s="1"/>
      <c r="EOJ122" s="1"/>
      <c r="EOK122" s="1"/>
      <c r="EOL122" s="1"/>
      <c r="EOM122" s="1"/>
      <c r="EON122" s="1"/>
      <c r="EOO122" s="1"/>
      <c r="EOP122" s="1"/>
      <c r="EOQ122" s="1"/>
      <c r="EOR122" s="1"/>
      <c r="EOS122" s="1"/>
      <c r="EOT122" s="1"/>
      <c r="EOU122" s="1"/>
      <c r="EOV122" s="1"/>
      <c r="EOW122" s="1"/>
      <c r="EOX122" s="1"/>
      <c r="EOY122" s="1"/>
      <c r="EOZ122" s="1"/>
      <c r="EPA122" s="1"/>
      <c r="EPB122" s="1"/>
      <c r="EPC122" s="1"/>
      <c r="EPD122" s="1"/>
      <c r="EPE122" s="1"/>
      <c r="EPF122" s="1"/>
      <c r="EPG122" s="1"/>
      <c r="EPH122" s="1"/>
      <c r="EPI122" s="1"/>
      <c r="EPJ122" s="1"/>
      <c r="EPK122" s="1"/>
      <c r="EPL122" s="1"/>
      <c r="EPM122" s="1"/>
      <c r="EPN122" s="1"/>
      <c r="EPO122" s="1"/>
      <c r="EPP122" s="1"/>
      <c r="EPQ122" s="1"/>
      <c r="EPR122" s="1"/>
      <c r="EPS122" s="1"/>
      <c r="EPT122" s="1"/>
      <c r="EPU122" s="1"/>
      <c r="EPV122" s="1"/>
      <c r="EPW122" s="1"/>
      <c r="EPX122" s="1"/>
      <c r="EPY122" s="1"/>
      <c r="EPZ122" s="1"/>
      <c r="EQA122" s="1"/>
      <c r="EQB122" s="1"/>
      <c r="EQC122" s="1"/>
      <c r="EQD122" s="1"/>
      <c r="EQE122" s="1"/>
      <c r="EQF122" s="1"/>
      <c r="EQG122" s="1"/>
      <c r="EQH122" s="1"/>
      <c r="EQI122" s="1"/>
      <c r="EQJ122" s="1"/>
      <c r="EQK122" s="1"/>
      <c r="EQL122" s="1"/>
      <c r="EQM122" s="1"/>
      <c r="EQN122" s="1"/>
      <c r="EQO122" s="1"/>
      <c r="EQP122" s="1"/>
      <c r="EQQ122" s="1"/>
      <c r="EQR122" s="1"/>
      <c r="EQS122" s="1"/>
      <c r="EQT122" s="1"/>
      <c r="EQU122" s="1"/>
      <c r="EQV122" s="1"/>
      <c r="EQW122" s="1"/>
      <c r="EQX122" s="1"/>
      <c r="EQY122" s="1"/>
      <c r="EQZ122" s="1"/>
      <c r="ERA122" s="1"/>
      <c r="ERB122" s="1"/>
      <c r="ERC122" s="1"/>
      <c r="ERD122" s="1"/>
      <c r="ERE122" s="1"/>
      <c r="ERF122" s="1"/>
      <c r="ERG122" s="1"/>
      <c r="ERH122" s="1"/>
      <c r="ERI122" s="1"/>
      <c r="ERJ122" s="1"/>
      <c r="ERK122" s="1"/>
      <c r="ERL122" s="1"/>
      <c r="ERM122" s="1"/>
      <c r="ERN122" s="1"/>
      <c r="ERO122" s="1"/>
      <c r="ERP122" s="1"/>
      <c r="ERQ122" s="1"/>
      <c r="ERR122" s="1"/>
      <c r="ERS122" s="1"/>
      <c r="ERT122" s="1"/>
      <c r="ERU122" s="1"/>
      <c r="ERV122" s="1"/>
      <c r="ERW122" s="1"/>
      <c r="ERX122" s="1"/>
      <c r="ERY122" s="1"/>
      <c r="ERZ122" s="1"/>
      <c r="ESA122" s="1"/>
      <c r="ESB122" s="1"/>
      <c r="ESC122" s="1"/>
      <c r="ESD122" s="1"/>
      <c r="ESE122" s="1"/>
      <c r="ESF122" s="1"/>
      <c r="ESG122" s="1"/>
      <c r="ESH122" s="1"/>
      <c r="ESI122" s="1"/>
      <c r="ESJ122" s="1"/>
      <c r="ESK122" s="1"/>
      <c r="ESL122" s="1"/>
      <c r="ESM122" s="1"/>
      <c r="ESN122" s="1"/>
      <c r="ESO122" s="1"/>
      <c r="ESP122" s="1"/>
      <c r="ESQ122" s="1"/>
      <c r="ESR122" s="1"/>
      <c r="ESS122" s="1"/>
      <c r="EST122" s="1"/>
      <c r="ESU122" s="1"/>
      <c r="ESV122" s="1"/>
      <c r="ESW122" s="1"/>
      <c r="ESX122" s="1"/>
      <c r="ESY122" s="1"/>
      <c r="ESZ122" s="1"/>
      <c r="ETA122" s="1"/>
      <c r="ETB122" s="1"/>
      <c r="ETC122" s="1"/>
      <c r="ETD122" s="1"/>
      <c r="ETE122" s="1"/>
      <c r="ETF122" s="1"/>
      <c r="ETG122" s="1"/>
      <c r="ETH122" s="1"/>
      <c r="ETI122" s="1"/>
      <c r="ETJ122" s="1"/>
      <c r="ETK122" s="1"/>
      <c r="ETL122" s="1"/>
      <c r="ETM122" s="1"/>
      <c r="ETN122" s="1"/>
      <c r="ETO122" s="1"/>
      <c r="ETP122" s="1"/>
      <c r="ETQ122" s="1"/>
      <c r="ETR122" s="1"/>
      <c r="ETS122" s="1"/>
      <c r="ETT122" s="1"/>
      <c r="ETU122" s="1"/>
      <c r="ETV122" s="1"/>
      <c r="ETW122" s="1"/>
      <c r="ETX122" s="1"/>
      <c r="ETY122" s="1"/>
      <c r="ETZ122" s="1"/>
      <c r="EUA122" s="1"/>
      <c r="EUB122" s="1"/>
      <c r="EUC122" s="1"/>
      <c r="EUD122" s="1"/>
      <c r="EUE122" s="1"/>
      <c r="EUF122" s="1"/>
      <c r="EUG122" s="1"/>
      <c r="EUH122" s="1"/>
      <c r="EUI122" s="1"/>
      <c r="EUJ122" s="1"/>
      <c r="EUK122" s="1"/>
      <c r="EUL122" s="1"/>
      <c r="EUM122" s="1"/>
      <c r="EUN122" s="1"/>
      <c r="EUO122" s="1"/>
      <c r="EUP122" s="1"/>
      <c r="EUQ122" s="1"/>
      <c r="EUR122" s="1"/>
      <c r="EUS122" s="1"/>
      <c r="EUT122" s="1"/>
      <c r="EUU122" s="1"/>
      <c r="EUV122" s="1"/>
      <c r="EUW122" s="1"/>
      <c r="EUX122" s="1"/>
      <c r="EUY122" s="1"/>
      <c r="EUZ122" s="1"/>
      <c r="EVA122" s="1"/>
      <c r="EVB122" s="1"/>
      <c r="EVC122" s="1"/>
      <c r="EVD122" s="1"/>
      <c r="EVE122" s="1"/>
      <c r="EVF122" s="1"/>
      <c r="EVG122" s="1"/>
      <c r="EVH122" s="1"/>
      <c r="EVI122" s="1"/>
      <c r="EVJ122" s="1"/>
      <c r="EVK122" s="1"/>
      <c r="EVL122" s="1"/>
      <c r="EVM122" s="1"/>
      <c r="EVN122" s="1"/>
      <c r="EVO122" s="1"/>
      <c r="EVP122" s="1"/>
      <c r="EVQ122" s="1"/>
      <c r="EVR122" s="1"/>
      <c r="EVS122" s="1"/>
      <c r="EVT122" s="1"/>
      <c r="EVU122" s="1"/>
      <c r="EVV122" s="1"/>
      <c r="EVW122" s="1"/>
      <c r="EVX122" s="1"/>
      <c r="EVY122" s="1"/>
      <c r="EVZ122" s="1"/>
      <c r="EWA122" s="1"/>
      <c r="EWB122" s="1"/>
      <c r="EWC122" s="1"/>
      <c r="EWD122" s="1"/>
      <c r="EWE122" s="1"/>
      <c r="EWF122" s="1"/>
      <c r="EWG122" s="1"/>
      <c r="EWH122" s="1"/>
      <c r="EWI122" s="1"/>
      <c r="EWJ122" s="1"/>
      <c r="EWK122" s="1"/>
      <c r="EWL122" s="1"/>
      <c r="EWM122" s="1"/>
      <c r="EWN122" s="1"/>
      <c r="EWO122" s="1"/>
      <c r="EWP122" s="1"/>
      <c r="EWQ122" s="1"/>
      <c r="EWR122" s="1"/>
      <c r="EWS122" s="1"/>
      <c r="EWT122" s="1"/>
      <c r="EWU122" s="1"/>
      <c r="EWV122" s="1"/>
      <c r="EWW122" s="1"/>
      <c r="EWX122" s="1"/>
      <c r="EWY122" s="1"/>
      <c r="EWZ122" s="1"/>
      <c r="EXA122" s="1"/>
      <c r="EXB122" s="1"/>
      <c r="EXC122" s="1"/>
      <c r="EXD122" s="1"/>
      <c r="EXE122" s="1"/>
      <c r="EXF122" s="1"/>
      <c r="EXG122" s="1"/>
      <c r="EXH122" s="1"/>
      <c r="EXI122" s="1"/>
      <c r="EXJ122" s="1"/>
      <c r="EXK122" s="1"/>
      <c r="EXL122" s="1"/>
      <c r="EXM122" s="1"/>
      <c r="EXN122" s="1"/>
      <c r="EXO122" s="1"/>
      <c r="EXP122" s="1"/>
      <c r="EXQ122" s="1"/>
      <c r="EXR122" s="1"/>
      <c r="EXS122" s="1"/>
      <c r="EXT122" s="1"/>
      <c r="EXU122" s="1"/>
      <c r="EXV122" s="1"/>
      <c r="EXW122" s="1"/>
      <c r="EXX122" s="1"/>
      <c r="EXY122" s="1"/>
      <c r="EXZ122" s="1"/>
      <c r="EYA122" s="1"/>
      <c r="EYB122" s="1"/>
      <c r="EYC122" s="1"/>
      <c r="EYD122" s="1"/>
      <c r="EYE122" s="1"/>
      <c r="EYF122" s="1"/>
      <c r="EYG122" s="1"/>
      <c r="EYH122" s="1"/>
      <c r="EYI122" s="1"/>
      <c r="EYJ122" s="1"/>
      <c r="EYK122" s="1"/>
      <c r="EYL122" s="1"/>
      <c r="EYM122" s="1"/>
      <c r="EYN122" s="1"/>
      <c r="EYO122" s="1"/>
      <c r="EYP122" s="1"/>
      <c r="EYQ122" s="1"/>
      <c r="EYR122" s="1"/>
      <c r="EYS122" s="1"/>
      <c r="EYT122" s="1"/>
      <c r="EYU122" s="1"/>
      <c r="EYV122" s="1"/>
      <c r="EYW122" s="1"/>
      <c r="EYX122" s="1"/>
      <c r="EYY122" s="1"/>
      <c r="EYZ122" s="1"/>
      <c r="EZA122" s="1"/>
      <c r="EZB122" s="1"/>
      <c r="EZC122" s="1"/>
      <c r="EZD122" s="1"/>
      <c r="EZE122" s="1"/>
      <c r="EZF122" s="1"/>
      <c r="EZG122" s="1"/>
      <c r="EZH122" s="1"/>
      <c r="EZI122" s="1"/>
      <c r="EZJ122" s="1"/>
      <c r="EZK122" s="1"/>
      <c r="EZL122" s="1"/>
      <c r="EZM122" s="1"/>
      <c r="EZN122" s="1"/>
      <c r="EZO122" s="1"/>
      <c r="EZP122" s="1"/>
      <c r="EZQ122" s="1"/>
      <c r="EZR122" s="1"/>
      <c r="EZS122" s="1"/>
      <c r="EZT122" s="1"/>
      <c r="EZU122" s="1"/>
      <c r="EZV122" s="1"/>
      <c r="EZW122" s="1"/>
      <c r="EZX122" s="1"/>
      <c r="EZY122" s="1"/>
      <c r="EZZ122" s="1"/>
      <c r="FAA122" s="1"/>
      <c r="FAB122" s="1"/>
      <c r="FAC122" s="1"/>
      <c r="FAD122" s="1"/>
      <c r="FAE122" s="1"/>
      <c r="FAF122" s="1"/>
      <c r="FAG122" s="1"/>
      <c r="FAH122" s="1"/>
      <c r="FAI122" s="1"/>
      <c r="FAJ122" s="1"/>
      <c r="FAK122" s="1"/>
      <c r="FAL122" s="1"/>
      <c r="FAM122" s="1"/>
      <c r="FAN122" s="1"/>
      <c r="FAO122" s="1"/>
      <c r="FAP122" s="1"/>
      <c r="FAQ122" s="1"/>
      <c r="FAR122" s="1"/>
      <c r="FAS122" s="1"/>
      <c r="FAT122" s="1"/>
      <c r="FAU122" s="1"/>
      <c r="FAV122" s="1"/>
      <c r="FAW122" s="1"/>
      <c r="FAX122" s="1"/>
      <c r="FAY122" s="1"/>
      <c r="FAZ122" s="1"/>
      <c r="FBA122" s="1"/>
      <c r="FBB122" s="1"/>
      <c r="FBC122" s="1"/>
      <c r="FBD122" s="1"/>
      <c r="FBE122" s="1"/>
      <c r="FBF122" s="1"/>
      <c r="FBG122" s="1"/>
      <c r="FBH122" s="1"/>
      <c r="FBI122" s="1"/>
      <c r="FBJ122" s="1"/>
      <c r="FBK122" s="1"/>
      <c r="FBL122" s="1"/>
      <c r="FBM122" s="1"/>
      <c r="FBN122" s="1"/>
      <c r="FBO122" s="1"/>
      <c r="FBP122" s="1"/>
      <c r="FBQ122" s="1"/>
      <c r="FBR122" s="1"/>
      <c r="FBS122" s="1"/>
      <c r="FBT122" s="1"/>
      <c r="FBU122" s="1"/>
      <c r="FBV122" s="1"/>
      <c r="FBW122" s="1"/>
      <c r="FBX122" s="1"/>
      <c r="FBY122" s="1"/>
      <c r="FBZ122" s="1"/>
      <c r="FCA122" s="1"/>
      <c r="FCB122" s="1"/>
      <c r="FCC122" s="1"/>
      <c r="FCD122" s="1"/>
      <c r="FCE122" s="1"/>
      <c r="FCF122" s="1"/>
      <c r="FCG122" s="1"/>
      <c r="FCH122" s="1"/>
      <c r="FCI122" s="1"/>
      <c r="FCJ122" s="1"/>
      <c r="FCK122" s="1"/>
      <c r="FCL122" s="1"/>
      <c r="FCM122" s="1"/>
      <c r="FCN122" s="1"/>
      <c r="FCO122" s="1"/>
      <c r="FCP122" s="1"/>
      <c r="FCQ122" s="1"/>
      <c r="FCR122" s="1"/>
      <c r="FCS122" s="1"/>
      <c r="FCT122" s="1"/>
      <c r="FCU122" s="1"/>
      <c r="FCV122" s="1"/>
      <c r="FCW122" s="1"/>
      <c r="FCX122" s="1"/>
      <c r="FCY122" s="1"/>
      <c r="FCZ122" s="1"/>
      <c r="FDA122" s="1"/>
      <c r="FDB122" s="1"/>
      <c r="FDC122" s="1"/>
      <c r="FDD122" s="1"/>
      <c r="FDE122" s="1"/>
      <c r="FDF122" s="1"/>
      <c r="FDG122" s="1"/>
      <c r="FDH122" s="1"/>
      <c r="FDI122" s="1"/>
      <c r="FDJ122" s="1"/>
      <c r="FDK122" s="1"/>
      <c r="FDL122" s="1"/>
      <c r="FDM122" s="1"/>
      <c r="FDN122" s="1"/>
      <c r="FDO122" s="1"/>
      <c r="FDP122" s="1"/>
      <c r="FDQ122" s="1"/>
      <c r="FDR122" s="1"/>
      <c r="FDS122" s="1"/>
      <c r="FDT122" s="1"/>
      <c r="FDU122" s="1"/>
      <c r="FDV122" s="1"/>
      <c r="FDW122" s="1"/>
      <c r="FDX122" s="1"/>
      <c r="FDY122" s="1"/>
      <c r="FDZ122" s="1"/>
      <c r="FEA122" s="1"/>
      <c r="FEB122" s="1"/>
      <c r="FEC122" s="1"/>
      <c r="FED122" s="1"/>
      <c r="FEE122" s="1"/>
      <c r="FEF122" s="1"/>
      <c r="FEG122" s="1"/>
      <c r="FEH122" s="1"/>
      <c r="FEI122" s="1"/>
      <c r="FEJ122" s="1"/>
      <c r="FEK122" s="1"/>
      <c r="FEL122" s="1"/>
      <c r="FEM122" s="1"/>
      <c r="FEN122" s="1"/>
      <c r="FEO122" s="1"/>
      <c r="FEP122" s="1"/>
      <c r="FEQ122" s="1"/>
      <c r="FER122" s="1"/>
      <c r="FES122" s="1"/>
      <c r="FET122" s="1"/>
      <c r="FEU122" s="1"/>
      <c r="FEV122" s="1"/>
      <c r="FEW122" s="1"/>
      <c r="FEX122" s="1"/>
      <c r="FEY122" s="1"/>
      <c r="FEZ122" s="1"/>
      <c r="FFA122" s="1"/>
      <c r="FFB122" s="1"/>
      <c r="FFC122" s="1"/>
      <c r="FFD122" s="1"/>
      <c r="FFE122" s="1"/>
      <c r="FFF122" s="1"/>
      <c r="FFG122" s="1"/>
      <c r="FFH122" s="1"/>
      <c r="FFI122" s="1"/>
      <c r="FFJ122" s="1"/>
      <c r="FFK122" s="1"/>
      <c r="FFL122" s="1"/>
      <c r="FFM122" s="1"/>
      <c r="FFN122" s="1"/>
      <c r="FFO122" s="1"/>
      <c r="FFP122" s="1"/>
      <c r="FFQ122" s="1"/>
      <c r="FFR122" s="1"/>
      <c r="FFS122" s="1"/>
      <c r="FFT122" s="1"/>
      <c r="FFU122" s="1"/>
      <c r="FFV122" s="1"/>
      <c r="FFW122" s="1"/>
      <c r="FFX122" s="1"/>
      <c r="FFY122" s="1"/>
      <c r="FFZ122" s="1"/>
      <c r="FGA122" s="1"/>
      <c r="FGB122" s="1"/>
      <c r="FGC122" s="1"/>
      <c r="FGD122" s="1"/>
      <c r="FGE122" s="1"/>
      <c r="FGF122" s="1"/>
      <c r="FGG122" s="1"/>
      <c r="FGH122" s="1"/>
      <c r="FGI122" s="1"/>
      <c r="FGJ122" s="1"/>
      <c r="FGK122" s="1"/>
      <c r="FGL122" s="1"/>
      <c r="FGM122" s="1"/>
      <c r="FGN122" s="1"/>
      <c r="FGO122" s="1"/>
      <c r="FGP122" s="1"/>
      <c r="FGQ122" s="1"/>
      <c r="FGR122" s="1"/>
      <c r="FGS122" s="1"/>
      <c r="FGT122" s="1"/>
      <c r="FGU122" s="1"/>
      <c r="FGV122" s="1"/>
      <c r="FGW122" s="1"/>
      <c r="FGX122" s="1"/>
      <c r="FGY122" s="1"/>
      <c r="FGZ122" s="1"/>
      <c r="FHA122" s="1"/>
      <c r="FHB122" s="1"/>
      <c r="FHC122" s="1"/>
      <c r="FHD122" s="1"/>
      <c r="FHE122" s="1"/>
      <c r="FHF122" s="1"/>
      <c r="FHG122" s="1"/>
      <c r="FHH122" s="1"/>
      <c r="FHI122" s="1"/>
      <c r="FHJ122" s="1"/>
      <c r="FHK122" s="1"/>
      <c r="FHL122" s="1"/>
      <c r="FHM122" s="1"/>
      <c r="FHN122" s="1"/>
      <c r="FHO122" s="1"/>
      <c r="FHP122" s="1"/>
      <c r="FHQ122" s="1"/>
      <c r="FHR122" s="1"/>
      <c r="FHS122" s="1"/>
      <c r="FHT122" s="1"/>
      <c r="FHU122" s="1"/>
      <c r="FHV122" s="1"/>
      <c r="FHW122" s="1"/>
      <c r="FHX122" s="1"/>
      <c r="FHY122" s="1"/>
      <c r="FHZ122" s="1"/>
      <c r="FIA122" s="1"/>
      <c r="FIB122" s="1"/>
      <c r="FIC122" s="1"/>
      <c r="FID122" s="1"/>
      <c r="FIE122" s="1"/>
      <c r="FIF122" s="1"/>
      <c r="FIG122" s="1"/>
      <c r="FIH122" s="1"/>
      <c r="FII122" s="1"/>
      <c r="FIJ122" s="1"/>
      <c r="FIK122" s="1"/>
      <c r="FIL122" s="1"/>
      <c r="FIM122" s="1"/>
      <c r="FIN122" s="1"/>
      <c r="FIO122" s="1"/>
      <c r="FIP122" s="1"/>
      <c r="FIQ122" s="1"/>
      <c r="FIR122" s="1"/>
      <c r="FIS122" s="1"/>
      <c r="FIT122" s="1"/>
      <c r="FIU122" s="1"/>
      <c r="FIV122" s="1"/>
      <c r="FIW122" s="1"/>
      <c r="FIX122" s="1"/>
      <c r="FIY122" s="1"/>
      <c r="FIZ122" s="1"/>
      <c r="FJA122" s="1"/>
      <c r="FJB122" s="1"/>
      <c r="FJC122" s="1"/>
      <c r="FJD122" s="1"/>
      <c r="FJE122" s="1"/>
      <c r="FJF122" s="1"/>
      <c r="FJG122" s="1"/>
      <c r="FJH122" s="1"/>
      <c r="FJI122" s="1"/>
      <c r="FJJ122" s="1"/>
      <c r="FJK122" s="1"/>
      <c r="FJL122" s="1"/>
      <c r="FJM122" s="1"/>
      <c r="FJN122" s="1"/>
      <c r="FJO122" s="1"/>
      <c r="FJP122" s="1"/>
      <c r="FJQ122" s="1"/>
      <c r="FJR122" s="1"/>
      <c r="FJS122" s="1"/>
      <c r="FJT122" s="1"/>
      <c r="FJU122" s="1"/>
      <c r="FJV122" s="1"/>
      <c r="FJW122" s="1"/>
      <c r="FJX122" s="1"/>
      <c r="FJY122" s="1"/>
      <c r="FJZ122" s="1"/>
      <c r="FKA122" s="1"/>
      <c r="FKB122" s="1"/>
      <c r="FKC122" s="1"/>
      <c r="FKD122" s="1"/>
      <c r="FKE122" s="1"/>
      <c r="FKF122" s="1"/>
      <c r="FKG122" s="1"/>
      <c r="FKH122" s="1"/>
      <c r="FKI122" s="1"/>
      <c r="FKJ122" s="1"/>
      <c r="FKK122" s="1"/>
      <c r="FKL122" s="1"/>
      <c r="FKM122" s="1"/>
      <c r="FKN122" s="1"/>
      <c r="FKO122" s="1"/>
      <c r="FKP122" s="1"/>
      <c r="FKQ122" s="1"/>
      <c r="FKR122" s="1"/>
      <c r="FKS122" s="1"/>
      <c r="FKT122" s="1"/>
      <c r="FKU122" s="1"/>
      <c r="FKV122" s="1"/>
      <c r="FKW122" s="1"/>
      <c r="FKX122" s="1"/>
      <c r="FKY122" s="1"/>
      <c r="FKZ122" s="1"/>
      <c r="FLA122" s="1"/>
      <c r="FLB122" s="1"/>
      <c r="FLC122" s="1"/>
      <c r="FLD122" s="1"/>
      <c r="FLE122" s="1"/>
      <c r="FLF122" s="1"/>
      <c r="FLG122" s="1"/>
      <c r="FLH122" s="1"/>
      <c r="FLI122" s="1"/>
      <c r="FLJ122" s="1"/>
      <c r="FLK122" s="1"/>
      <c r="FLL122" s="1"/>
      <c r="FLM122" s="1"/>
      <c r="FLN122" s="1"/>
      <c r="FLO122" s="1"/>
      <c r="FLP122" s="1"/>
      <c r="FLQ122" s="1"/>
      <c r="FLR122" s="1"/>
      <c r="FLS122" s="1"/>
      <c r="FLT122" s="1"/>
      <c r="FLU122" s="1"/>
      <c r="FLV122" s="1"/>
      <c r="FLW122" s="1"/>
      <c r="FLX122" s="1"/>
      <c r="FLY122" s="1"/>
      <c r="FLZ122" s="1"/>
      <c r="FMA122" s="1"/>
      <c r="FMB122" s="1"/>
      <c r="FMC122" s="1"/>
      <c r="FMD122" s="1"/>
      <c r="FME122" s="1"/>
      <c r="FMF122" s="1"/>
      <c r="FMG122" s="1"/>
      <c r="FMH122" s="1"/>
      <c r="FMI122" s="1"/>
      <c r="FMJ122" s="1"/>
      <c r="FMK122" s="1"/>
      <c r="FML122" s="1"/>
      <c r="FMM122" s="1"/>
      <c r="FMN122" s="1"/>
      <c r="FMO122" s="1"/>
      <c r="FMP122" s="1"/>
      <c r="FMQ122" s="1"/>
      <c r="FMR122" s="1"/>
      <c r="FMS122" s="1"/>
      <c r="FMT122" s="1"/>
      <c r="FMU122" s="1"/>
      <c r="FMV122" s="1"/>
      <c r="FMW122" s="1"/>
      <c r="FMX122" s="1"/>
      <c r="FMY122" s="1"/>
      <c r="FMZ122" s="1"/>
      <c r="FNA122" s="1"/>
      <c r="FNB122" s="1"/>
      <c r="FNC122" s="1"/>
      <c r="FND122" s="1"/>
      <c r="FNE122" s="1"/>
      <c r="FNF122" s="1"/>
      <c r="FNG122" s="1"/>
      <c r="FNH122" s="1"/>
      <c r="FNI122" s="1"/>
      <c r="FNJ122" s="1"/>
      <c r="FNK122" s="1"/>
      <c r="FNL122" s="1"/>
      <c r="FNM122" s="1"/>
      <c r="FNN122" s="1"/>
      <c r="FNO122" s="1"/>
      <c r="FNP122" s="1"/>
      <c r="FNQ122" s="1"/>
      <c r="FNR122" s="1"/>
      <c r="FNS122" s="1"/>
      <c r="FNT122" s="1"/>
      <c r="FNU122" s="1"/>
      <c r="FNV122" s="1"/>
      <c r="FNW122" s="1"/>
      <c r="FNX122" s="1"/>
      <c r="FNY122" s="1"/>
      <c r="FNZ122" s="1"/>
      <c r="FOA122" s="1"/>
      <c r="FOB122" s="1"/>
      <c r="FOC122" s="1"/>
      <c r="FOD122" s="1"/>
      <c r="FOE122" s="1"/>
      <c r="FOF122" s="1"/>
      <c r="FOG122" s="1"/>
      <c r="FOH122" s="1"/>
      <c r="FOI122" s="1"/>
      <c r="FOJ122" s="1"/>
      <c r="FOK122" s="1"/>
      <c r="FOL122" s="1"/>
      <c r="FOM122" s="1"/>
      <c r="FON122" s="1"/>
      <c r="FOO122" s="1"/>
      <c r="FOP122" s="1"/>
      <c r="FOQ122" s="1"/>
      <c r="FOR122" s="1"/>
      <c r="FOS122" s="1"/>
      <c r="FOT122" s="1"/>
      <c r="FOU122" s="1"/>
      <c r="FOV122" s="1"/>
      <c r="FOW122" s="1"/>
      <c r="FOX122" s="1"/>
      <c r="FOY122" s="1"/>
      <c r="FOZ122" s="1"/>
      <c r="FPA122" s="1"/>
      <c r="FPB122" s="1"/>
      <c r="FPC122" s="1"/>
      <c r="FPD122" s="1"/>
      <c r="FPE122" s="1"/>
      <c r="FPF122" s="1"/>
      <c r="FPG122" s="1"/>
      <c r="FPH122" s="1"/>
      <c r="FPI122" s="1"/>
      <c r="FPJ122" s="1"/>
      <c r="FPK122" s="1"/>
      <c r="FPL122" s="1"/>
      <c r="FPM122" s="1"/>
      <c r="FPN122" s="1"/>
      <c r="FPO122" s="1"/>
      <c r="FPP122" s="1"/>
      <c r="FPQ122" s="1"/>
      <c r="FPR122" s="1"/>
      <c r="FPS122" s="1"/>
      <c r="FPT122" s="1"/>
      <c r="FPU122" s="1"/>
      <c r="FPV122" s="1"/>
      <c r="FPW122" s="1"/>
      <c r="FPX122" s="1"/>
      <c r="FPY122" s="1"/>
      <c r="FPZ122" s="1"/>
      <c r="FQA122" s="1"/>
      <c r="FQB122" s="1"/>
      <c r="FQC122" s="1"/>
      <c r="FQD122" s="1"/>
      <c r="FQE122" s="1"/>
      <c r="FQF122" s="1"/>
      <c r="FQG122" s="1"/>
      <c r="FQH122" s="1"/>
      <c r="FQI122" s="1"/>
      <c r="FQJ122" s="1"/>
      <c r="FQK122" s="1"/>
      <c r="FQL122" s="1"/>
      <c r="FQM122" s="1"/>
      <c r="FQN122" s="1"/>
      <c r="FQO122" s="1"/>
      <c r="FQP122" s="1"/>
      <c r="FQQ122" s="1"/>
      <c r="FQR122" s="1"/>
      <c r="FQS122" s="1"/>
      <c r="FQT122" s="1"/>
      <c r="FQU122" s="1"/>
      <c r="FQV122" s="1"/>
      <c r="FQW122" s="1"/>
      <c r="FQX122" s="1"/>
      <c r="FQY122" s="1"/>
      <c r="FQZ122" s="1"/>
      <c r="FRA122" s="1"/>
      <c r="FRB122" s="1"/>
      <c r="FRC122" s="1"/>
      <c r="FRD122" s="1"/>
      <c r="FRE122" s="1"/>
      <c r="FRF122" s="1"/>
      <c r="FRG122" s="1"/>
      <c r="FRH122" s="1"/>
      <c r="FRI122" s="1"/>
      <c r="FRJ122" s="1"/>
      <c r="FRK122" s="1"/>
      <c r="FRL122" s="1"/>
      <c r="FRM122" s="1"/>
      <c r="FRN122" s="1"/>
      <c r="FRO122" s="1"/>
      <c r="FRP122" s="1"/>
      <c r="FRQ122" s="1"/>
      <c r="FRR122" s="1"/>
      <c r="FRS122" s="1"/>
      <c r="FRT122" s="1"/>
      <c r="FRU122" s="1"/>
      <c r="FRV122" s="1"/>
      <c r="FRW122" s="1"/>
      <c r="FRX122" s="1"/>
      <c r="FRY122" s="1"/>
      <c r="FRZ122" s="1"/>
      <c r="FSA122" s="1"/>
      <c r="FSB122" s="1"/>
      <c r="FSC122" s="1"/>
      <c r="FSD122" s="1"/>
      <c r="FSE122" s="1"/>
      <c r="FSF122" s="1"/>
      <c r="FSG122" s="1"/>
      <c r="FSH122" s="1"/>
      <c r="FSI122" s="1"/>
      <c r="FSJ122" s="1"/>
      <c r="FSK122" s="1"/>
      <c r="FSL122" s="1"/>
      <c r="FSM122" s="1"/>
      <c r="FSN122" s="1"/>
      <c r="FSO122" s="1"/>
      <c r="FSP122" s="1"/>
      <c r="FSQ122" s="1"/>
      <c r="FSR122" s="1"/>
      <c r="FSS122" s="1"/>
      <c r="FST122" s="1"/>
      <c r="FSU122" s="1"/>
      <c r="FSV122" s="1"/>
      <c r="FSW122" s="1"/>
      <c r="FSX122" s="1"/>
      <c r="FSY122" s="1"/>
      <c r="FSZ122" s="1"/>
      <c r="FTA122" s="1"/>
      <c r="FTB122" s="1"/>
      <c r="FTC122" s="1"/>
      <c r="FTD122" s="1"/>
      <c r="FTE122" s="1"/>
      <c r="FTF122" s="1"/>
      <c r="FTG122" s="1"/>
      <c r="FTH122" s="1"/>
      <c r="FTI122" s="1"/>
      <c r="FTJ122" s="1"/>
      <c r="FTK122" s="1"/>
      <c r="FTL122" s="1"/>
      <c r="FTM122" s="1"/>
      <c r="FTN122" s="1"/>
      <c r="FTO122" s="1"/>
      <c r="FTP122" s="1"/>
      <c r="FTQ122" s="1"/>
      <c r="FTR122" s="1"/>
      <c r="FTS122" s="1"/>
      <c r="FTT122" s="1"/>
      <c r="FTU122" s="1"/>
      <c r="FTV122" s="1"/>
      <c r="FTW122" s="1"/>
      <c r="FTX122" s="1"/>
      <c r="FTY122" s="1"/>
      <c r="FTZ122" s="1"/>
      <c r="FUA122" s="1"/>
      <c r="FUB122" s="1"/>
      <c r="FUC122" s="1"/>
      <c r="FUD122" s="1"/>
      <c r="FUE122" s="1"/>
      <c r="FUF122" s="1"/>
      <c r="FUG122" s="1"/>
      <c r="FUH122" s="1"/>
      <c r="FUI122" s="1"/>
      <c r="FUJ122" s="1"/>
      <c r="FUK122" s="1"/>
      <c r="FUL122" s="1"/>
      <c r="FUM122" s="1"/>
      <c r="FUN122" s="1"/>
      <c r="FUO122" s="1"/>
      <c r="FUP122" s="1"/>
      <c r="FUQ122" s="1"/>
      <c r="FUR122" s="1"/>
      <c r="FUS122" s="1"/>
      <c r="FUT122" s="1"/>
      <c r="FUU122" s="1"/>
      <c r="FUV122" s="1"/>
      <c r="FUW122" s="1"/>
      <c r="FUX122" s="1"/>
      <c r="FUY122" s="1"/>
      <c r="FUZ122" s="1"/>
      <c r="FVA122" s="1"/>
      <c r="FVB122" s="1"/>
      <c r="FVC122" s="1"/>
      <c r="FVD122" s="1"/>
      <c r="FVE122" s="1"/>
      <c r="FVF122" s="1"/>
      <c r="FVG122" s="1"/>
      <c r="FVH122" s="1"/>
      <c r="FVI122" s="1"/>
      <c r="FVJ122" s="1"/>
      <c r="FVK122" s="1"/>
      <c r="FVL122" s="1"/>
      <c r="FVM122" s="1"/>
      <c r="FVN122" s="1"/>
      <c r="FVO122" s="1"/>
      <c r="FVP122" s="1"/>
      <c r="FVQ122" s="1"/>
      <c r="FVR122" s="1"/>
      <c r="FVS122" s="1"/>
      <c r="FVT122" s="1"/>
      <c r="FVU122" s="1"/>
      <c r="FVV122" s="1"/>
      <c r="FVW122" s="1"/>
      <c r="FVX122" s="1"/>
      <c r="FVY122" s="1"/>
      <c r="FVZ122" s="1"/>
      <c r="FWA122" s="1"/>
      <c r="FWB122" s="1"/>
      <c r="FWC122" s="1"/>
      <c r="FWD122" s="1"/>
      <c r="FWE122" s="1"/>
      <c r="FWF122" s="1"/>
      <c r="FWG122" s="1"/>
      <c r="FWH122" s="1"/>
      <c r="FWI122" s="1"/>
      <c r="FWJ122" s="1"/>
      <c r="FWK122" s="1"/>
      <c r="FWL122" s="1"/>
      <c r="FWM122" s="1"/>
      <c r="FWN122" s="1"/>
      <c r="FWO122" s="1"/>
      <c r="FWP122" s="1"/>
      <c r="FWQ122" s="1"/>
      <c r="FWR122" s="1"/>
      <c r="FWS122" s="1"/>
      <c r="FWT122" s="1"/>
      <c r="FWU122" s="1"/>
      <c r="FWV122" s="1"/>
      <c r="FWW122" s="1"/>
      <c r="FWX122" s="1"/>
      <c r="FWY122" s="1"/>
      <c r="FWZ122" s="1"/>
      <c r="FXA122" s="1"/>
      <c r="FXB122" s="1"/>
      <c r="FXC122" s="1"/>
      <c r="FXD122" s="1"/>
      <c r="FXE122" s="1"/>
      <c r="FXF122" s="1"/>
      <c r="FXG122" s="1"/>
      <c r="FXH122" s="1"/>
      <c r="FXI122" s="1"/>
      <c r="FXJ122" s="1"/>
      <c r="FXK122" s="1"/>
      <c r="FXL122" s="1"/>
      <c r="FXM122" s="1"/>
      <c r="FXN122" s="1"/>
      <c r="FXO122" s="1"/>
      <c r="FXP122" s="1"/>
      <c r="FXQ122" s="1"/>
      <c r="FXR122" s="1"/>
      <c r="FXS122" s="1"/>
      <c r="FXT122" s="1"/>
      <c r="FXU122" s="1"/>
      <c r="FXV122" s="1"/>
      <c r="FXW122" s="1"/>
      <c r="FXX122" s="1"/>
      <c r="FXY122" s="1"/>
      <c r="FXZ122" s="1"/>
      <c r="FYA122" s="1"/>
      <c r="FYB122" s="1"/>
      <c r="FYC122" s="1"/>
      <c r="FYD122" s="1"/>
      <c r="FYE122" s="1"/>
      <c r="FYF122" s="1"/>
      <c r="FYG122" s="1"/>
      <c r="FYH122" s="1"/>
      <c r="FYI122" s="1"/>
      <c r="FYJ122" s="1"/>
      <c r="FYK122" s="1"/>
      <c r="FYL122" s="1"/>
      <c r="FYM122" s="1"/>
      <c r="FYN122" s="1"/>
      <c r="FYO122" s="1"/>
      <c r="FYP122" s="1"/>
      <c r="FYQ122" s="1"/>
      <c r="FYR122" s="1"/>
      <c r="FYS122" s="1"/>
      <c r="FYT122" s="1"/>
      <c r="FYU122" s="1"/>
      <c r="FYV122" s="1"/>
      <c r="FYW122" s="1"/>
      <c r="FYX122" s="1"/>
      <c r="FYY122" s="1"/>
      <c r="FYZ122" s="1"/>
      <c r="FZA122" s="1"/>
      <c r="FZB122" s="1"/>
      <c r="FZC122" s="1"/>
      <c r="FZD122" s="1"/>
      <c r="FZE122" s="1"/>
      <c r="FZF122" s="1"/>
      <c r="FZG122" s="1"/>
      <c r="FZH122" s="1"/>
      <c r="FZI122" s="1"/>
      <c r="FZJ122" s="1"/>
      <c r="FZK122" s="1"/>
      <c r="FZL122" s="1"/>
      <c r="FZM122" s="1"/>
      <c r="FZN122" s="1"/>
      <c r="FZO122" s="1"/>
      <c r="FZP122" s="1"/>
      <c r="FZQ122" s="1"/>
      <c r="FZR122" s="1"/>
      <c r="FZS122" s="1"/>
      <c r="FZT122" s="1"/>
      <c r="FZU122" s="1"/>
      <c r="FZV122" s="1"/>
      <c r="FZW122" s="1"/>
      <c r="FZX122" s="1"/>
      <c r="FZY122" s="1"/>
      <c r="FZZ122" s="1"/>
      <c r="GAA122" s="1"/>
      <c r="GAB122" s="1"/>
      <c r="GAC122" s="1"/>
      <c r="GAD122" s="1"/>
      <c r="GAE122" s="1"/>
      <c r="GAF122" s="1"/>
      <c r="GAG122" s="1"/>
      <c r="GAH122" s="1"/>
      <c r="GAI122" s="1"/>
      <c r="GAJ122" s="1"/>
      <c r="GAK122" s="1"/>
      <c r="GAL122" s="1"/>
      <c r="GAM122" s="1"/>
      <c r="GAN122" s="1"/>
      <c r="GAO122" s="1"/>
      <c r="GAP122" s="1"/>
      <c r="GAQ122" s="1"/>
      <c r="GAR122" s="1"/>
      <c r="GAS122" s="1"/>
      <c r="GAT122" s="1"/>
      <c r="GAU122" s="1"/>
      <c r="GAV122" s="1"/>
      <c r="GAW122" s="1"/>
      <c r="GAX122" s="1"/>
      <c r="GAY122" s="1"/>
      <c r="GAZ122" s="1"/>
      <c r="GBA122" s="1"/>
      <c r="GBB122" s="1"/>
      <c r="GBC122" s="1"/>
      <c r="GBD122" s="1"/>
      <c r="GBE122" s="1"/>
      <c r="GBF122" s="1"/>
      <c r="GBG122" s="1"/>
      <c r="GBH122" s="1"/>
      <c r="GBI122" s="1"/>
      <c r="GBJ122" s="1"/>
      <c r="GBK122" s="1"/>
      <c r="GBL122" s="1"/>
      <c r="GBM122" s="1"/>
      <c r="GBN122" s="1"/>
      <c r="GBO122" s="1"/>
      <c r="GBP122" s="1"/>
      <c r="GBQ122" s="1"/>
      <c r="GBR122" s="1"/>
      <c r="GBS122" s="1"/>
      <c r="GBT122" s="1"/>
      <c r="GBU122" s="1"/>
      <c r="GBV122" s="1"/>
      <c r="GBW122" s="1"/>
      <c r="GBX122" s="1"/>
      <c r="GBY122" s="1"/>
      <c r="GBZ122" s="1"/>
      <c r="GCA122" s="1"/>
      <c r="GCB122" s="1"/>
      <c r="GCC122" s="1"/>
      <c r="GCD122" s="1"/>
      <c r="GCE122" s="1"/>
      <c r="GCF122" s="1"/>
      <c r="GCG122" s="1"/>
      <c r="GCH122" s="1"/>
      <c r="GCI122" s="1"/>
      <c r="GCJ122" s="1"/>
      <c r="GCK122" s="1"/>
      <c r="GCL122" s="1"/>
      <c r="GCM122" s="1"/>
      <c r="GCN122" s="1"/>
      <c r="GCO122" s="1"/>
      <c r="GCP122" s="1"/>
      <c r="GCQ122" s="1"/>
      <c r="GCR122" s="1"/>
      <c r="GCS122" s="1"/>
      <c r="GCT122" s="1"/>
      <c r="GCU122" s="1"/>
      <c r="GCV122" s="1"/>
      <c r="GCW122" s="1"/>
      <c r="GCX122" s="1"/>
      <c r="GCY122" s="1"/>
      <c r="GCZ122" s="1"/>
      <c r="GDA122" s="1"/>
      <c r="GDB122" s="1"/>
      <c r="GDC122" s="1"/>
      <c r="GDD122" s="1"/>
      <c r="GDE122" s="1"/>
      <c r="GDF122" s="1"/>
      <c r="GDG122" s="1"/>
      <c r="GDH122" s="1"/>
      <c r="GDI122" s="1"/>
      <c r="GDJ122" s="1"/>
      <c r="GDK122" s="1"/>
      <c r="GDL122" s="1"/>
      <c r="GDM122" s="1"/>
      <c r="GDN122" s="1"/>
      <c r="GDO122" s="1"/>
      <c r="GDP122" s="1"/>
      <c r="GDQ122" s="1"/>
      <c r="GDR122" s="1"/>
      <c r="GDS122" s="1"/>
      <c r="GDT122" s="1"/>
      <c r="GDU122" s="1"/>
      <c r="GDV122" s="1"/>
      <c r="GDW122" s="1"/>
      <c r="GDX122" s="1"/>
      <c r="GDY122" s="1"/>
      <c r="GDZ122" s="1"/>
      <c r="GEA122" s="1"/>
      <c r="GEB122" s="1"/>
      <c r="GEC122" s="1"/>
      <c r="GED122" s="1"/>
      <c r="GEE122" s="1"/>
      <c r="GEF122" s="1"/>
      <c r="GEG122" s="1"/>
      <c r="GEH122" s="1"/>
      <c r="GEI122" s="1"/>
      <c r="GEJ122" s="1"/>
      <c r="GEK122" s="1"/>
      <c r="GEL122" s="1"/>
      <c r="GEM122" s="1"/>
      <c r="GEN122" s="1"/>
      <c r="GEO122" s="1"/>
      <c r="GEP122" s="1"/>
      <c r="GEQ122" s="1"/>
      <c r="GER122" s="1"/>
      <c r="GES122" s="1"/>
      <c r="GET122" s="1"/>
      <c r="GEU122" s="1"/>
      <c r="GEV122" s="1"/>
      <c r="GEW122" s="1"/>
      <c r="GEX122" s="1"/>
      <c r="GEY122" s="1"/>
      <c r="GEZ122" s="1"/>
      <c r="GFA122" s="1"/>
      <c r="GFB122" s="1"/>
      <c r="GFC122" s="1"/>
      <c r="GFD122" s="1"/>
      <c r="GFE122" s="1"/>
      <c r="GFF122" s="1"/>
      <c r="GFG122" s="1"/>
      <c r="GFH122" s="1"/>
      <c r="GFI122" s="1"/>
      <c r="GFJ122" s="1"/>
      <c r="GFK122" s="1"/>
      <c r="GFL122" s="1"/>
      <c r="GFM122" s="1"/>
      <c r="GFN122" s="1"/>
      <c r="GFO122" s="1"/>
      <c r="GFP122" s="1"/>
      <c r="GFQ122" s="1"/>
      <c r="GFR122" s="1"/>
      <c r="GFS122" s="1"/>
      <c r="GFT122" s="1"/>
      <c r="GFU122" s="1"/>
      <c r="GFV122" s="1"/>
      <c r="GFW122" s="1"/>
      <c r="GFX122" s="1"/>
      <c r="GFY122" s="1"/>
      <c r="GFZ122" s="1"/>
      <c r="GGA122" s="1"/>
      <c r="GGB122" s="1"/>
      <c r="GGC122" s="1"/>
      <c r="GGD122" s="1"/>
      <c r="GGE122" s="1"/>
      <c r="GGF122" s="1"/>
      <c r="GGG122" s="1"/>
      <c r="GGH122" s="1"/>
      <c r="GGI122" s="1"/>
      <c r="GGJ122" s="1"/>
      <c r="GGK122" s="1"/>
      <c r="GGL122" s="1"/>
      <c r="GGM122" s="1"/>
      <c r="GGN122" s="1"/>
      <c r="GGO122" s="1"/>
      <c r="GGP122" s="1"/>
      <c r="GGQ122" s="1"/>
      <c r="GGR122" s="1"/>
      <c r="GGS122" s="1"/>
      <c r="GGT122" s="1"/>
      <c r="GGU122" s="1"/>
      <c r="GGV122" s="1"/>
      <c r="GGW122" s="1"/>
      <c r="GGX122" s="1"/>
      <c r="GGY122" s="1"/>
      <c r="GGZ122" s="1"/>
      <c r="GHA122" s="1"/>
      <c r="GHB122" s="1"/>
      <c r="GHC122" s="1"/>
      <c r="GHD122" s="1"/>
      <c r="GHE122" s="1"/>
      <c r="GHF122" s="1"/>
      <c r="GHG122" s="1"/>
      <c r="GHH122" s="1"/>
      <c r="GHI122" s="1"/>
      <c r="GHJ122" s="1"/>
      <c r="GHK122" s="1"/>
      <c r="GHL122" s="1"/>
      <c r="GHM122" s="1"/>
      <c r="GHN122" s="1"/>
      <c r="GHO122" s="1"/>
      <c r="GHP122" s="1"/>
      <c r="GHQ122" s="1"/>
      <c r="GHR122" s="1"/>
      <c r="GHS122" s="1"/>
      <c r="GHT122" s="1"/>
      <c r="GHU122" s="1"/>
      <c r="GHV122" s="1"/>
      <c r="GHW122" s="1"/>
      <c r="GHX122" s="1"/>
      <c r="GHY122" s="1"/>
      <c r="GHZ122" s="1"/>
      <c r="GIA122" s="1"/>
      <c r="GIB122" s="1"/>
      <c r="GIC122" s="1"/>
      <c r="GID122" s="1"/>
      <c r="GIE122" s="1"/>
      <c r="GIF122" s="1"/>
      <c r="GIG122" s="1"/>
      <c r="GIH122" s="1"/>
      <c r="GII122" s="1"/>
      <c r="GIJ122" s="1"/>
      <c r="GIK122" s="1"/>
      <c r="GIL122" s="1"/>
      <c r="GIM122" s="1"/>
      <c r="GIN122" s="1"/>
      <c r="GIO122" s="1"/>
      <c r="GIP122" s="1"/>
      <c r="GIQ122" s="1"/>
      <c r="GIR122" s="1"/>
      <c r="GIS122" s="1"/>
      <c r="GIT122" s="1"/>
      <c r="GIU122" s="1"/>
      <c r="GIV122" s="1"/>
      <c r="GIW122" s="1"/>
      <c r="GIX122" s="1"/>
      <c r="GIY122" s="1"/>
      <c r="GIZ122" s="1"/>
      <c r="GJA122" s="1"/>
      <c r="GJB122" s="1"/>
      <c r="GJC122" s="1"/>
      <c r="GJD122" s="1"/>
      <c r="GJE122" s="1"/>
      <c r="GJF122" s="1"/>
      <c r="GJG122" s="1"/>
      <c r="GJH122" s="1"/>
      <c r="GJI122" s="1"/>
      <c r="GJJ122" s="1"/>
      <c r="GJK122" s="1"/>
      <c r="GJL122" s="1"/>
      <c r="GJM122" s="1"/>
      <c r="GJN122" s="1"/>
      <c r="GJO122" s="1"/>
      <c r="GJP122" s="1"/>
      <c r="GJQ122" s="1"/>
      <c r="GJR122" s="1"/>
      <c r="GJS122" s="1"/>
      <c r="GJT122" s="1"/>
      <c r="GJU122" s="1"/>
      <c r="GJV122" s="1"/>
      <c r="GJW122" s="1"/>
      <c r="GJX122" s="1"/>
      <c r="GJY122" s="1"/>
      <c r="GJZ122" s="1"/>
      <c r="GKA122" s="1"/>
      <c r="GKB122" s="1"/>
      <c r="GKC122" s="1"/>
      <c r="GKD122" s="1"/>
      <c r="GKE122" s="1"/>
      <c r="GKF122" s="1"/>
      <c r="GKG122" s="1"/>
      <c r="GKH122" s="1"/>
      <c r="GKI122" s="1"/>
      <c r="GKJ122" s="1"/>
      <c r="GKK122" s="1"/>
      <c r="GKL122" s="1"/>
      <c r="GKM122" s="1"/>
      <c r="GKN122" s="1"/>
      <c r="GKO122" s="1"/>
      <c r="GKP122" s="1"/>
      <c r="GKQ122" s="1"/>
      <c r="GKR122" s="1"/>
      <c r="GKS122" s="1"/>
      <c r="GKT122" s="1"/>
      <c r="GKU122" s="1"/>
      <c r="GKV122" s="1"/>
      <c r="GKW122" s="1"/>
      <c r="GKX122" s="1"/>
      <c r="GKY122" s="1"/>
      <c r="GKZ122" s="1"/>
      <c r="GLA122" s="1"/>
      <c r="GLB122" s="1"/>
      <c r="GLC122" s="1"/>
      <c r="GLD122" s="1"/>
      <c r="GLE122" s="1"/>
      <c r="GLF122" s="1"/>
      <c r="GLG122" s="1"/>
      <c r="GLH122" s="1"/>
      <c r="GLI122" s="1"/>
      <c r="GLJ122" s="1"/>
      <c r="GLK122" s="1"/>
      <c r="GLL122" s="1"/>
      <c r="GLM122" s="1"/>
      <c r="GLN122" s="1"/>
      <c r="GLO122" s="1"/>
      <c r="GLP122" s="1"/>
      <c r="GLQ122" s="1"/>
      <c r="GLR122" s="1"/>
      <c r="GLS122" s="1"/>
      <c r="GLT122" s="1"/>
      <c r="GLU122" s="1"/>
      <c r="GLV122" s="1"/>
      <c r="GLW122" s="1"/>
      <c r="GLX122" s="1"/>
      <c r="GLY122" s="1"/>
      <c r="GLZ122" s="1"/>
      <c r="GMA122" s="1"/>
      <c r="GMB122" s="1"/>
      <c r="GMC122" s="1"/>
      <c r="GMD122" s="1"/>
      <c r="GME122" s="1"/>
      <c r="GMF122" s="1"/>
      <c r="GMG122" s="1"/>
      <c r="GMH122" s="1"/>
      <c r="GMI122" s="1"/>
      <c r="GMJ122" s="1"/>
      <c r="GMK122" s="1"/>
      <c r="GML122" s="1"/>
      <c r="GMM122" s="1"/>
      <c r="GMN122" s="1"/>
      <c r="GMO122" s="1"/>
      <c r="GMP122" s="1"/>
      <c r="GMQ122" s="1"/>
      <c r="GMR122" s="1"/>
      <c r="GMS122" s="1"/>
      <c r="GMT122" s="1"/>
      <c r="GMU122" s="1"/>
      <c r="GMV122" s="1"/>
      <c r="GMW122" s="1"/>
      <c r="GMX122" s="1"/>
      <c r="GMY122" s="1"/>
      <c r="GMZ122" s="1"/>
      <c r="GNA122" s="1"/>
      <c r="GNB122" s="1"/>
      <c r="GNC122" s="1"/>
      <c r="GND122" s="1"/>
      <c r="GNE122" s="1"/>
      <c r="GNF122" s="1"/>
      <c r="GNG122" s="1"/>
      <c r="GNH122" s="1"/>
      <c r="GNI122" s="1"/>
      <c r="GNJ122" s="1"/>
      <c r="GNK122" s="1"/>
      <c r="GNL122" s="1"/>
      <c r="GNM122" s="1"/>
      <c r="GNN122" s="1"/>
      <c r="GNO122" s="1"/>
      <c r="GNP122" s="1"/>
      <c r="GNQ122" s="1"/>
      <c r="GNR122" s="1"/>
      <c r="GNS122" s="1"/>
      <c r="GNT122" s="1"/>
      <c r="GNU122" s="1"/>
      <c r="GNV122" s="1"/>
      <c r="GNW122" s="1"/>
      <c r="GNX122" s="1"/>
      <c r="GNY122" s="1"/>
      <c r="GNZ122" s="1"/>
      <c r="GOA122" s="1"/>
      <c r="GOB122" s="1"/>
      <c r="GOC122" s="1"/>
      <c r="GOD122" s="1"/>
      <c r="GOE122" s="1"/>
      <c r="GOF122" s="1"/>
      <c r="GOG122" s="1"/>
      <c r="GOH122" s="1"/>
      <c r="GOI122" s="1"/>
      <c r="GOJ122" s="1"/>
      <c r="GOK122" s="1"/>
      <c r="GOL122" s="1"/>
      <c r="GOM122" s="1"/>
      <c r="GON122" s="1"/>
      <c r="GOO122" s="1"/>
      <c r="GOP122" s="1"/>
      <c r="GOQ122" s="1"/>
      <c r="GOR122" s="1"/>
      <c r="GOS122" s="1"/>
      <c r="GOT122" s="1"/>
      <c r="GOU122" s="1"/>
      <c r="GOV122" s="1"/>
      <c r="GOW122" s="1"/>
      <c r="GOX122" s="1"/>
      <c r="GOY122" s="1"/>
      <c r="GOZ122" s="1"/>
      <c r="GPA122" s="1"/>
      <c r="GPB122" s="1"/>
      <c r="GPC122" s="1"/>
      <c r="GPD122" s="1"/>
      <c r="GPE122" s="1"/>
      <c r="GPF122" s="1"/>
      <c r="GPG122" s="1"/>
      <c r="GPH122" s="1"/>
      <c r="GPI122" s="1"/>
      <c r="GPJ122" s="1"/>
      <c r="GPK122" s="1"/>
      <c r="GPL122" s="1"/>
      <c r="GPM122" s="1"/>
      <c r="GPN122" s="1"/>
      <c r="GPO122" s="1"/>
      <c r="GPP122" s="1"/>
      <c r="GPQ122" s="1"/>
      <c r="GPR122" s="1"/>
      <c r="GPS122" s="1"/>
      <c r="GPT122" s="1"/>
      <c r="GPU122" s="1"/>
      <c r="GPV122" s="1"/>
      <c r="GPW122" s="1"/>
      <c r="GPX122" s="1"/>
      <c r="GPY122" s="1"/>
      <c r="GPZ122" s="1"/>
      <c r="GQA122" s="1"/>
      <c r="GQB122" s="1"/>
      <c r="GQC122" s="1"/>
      <c r="GQD122" s="1"/>
      <c r="GQE122" s="1"/>
      <c r="GQF122" s="1"/>
      <c r="GQG122" s="1"/>
      <c r="GQH122" s="1"/>
      <c r="GQI122" s="1"/>
      <c r="GQJ122" s="1"/>
      <c r="GQK122" s="1"/>
      <c r="GQL122" s="1"/>
      <c r="GQM122" s="1"/>
      <c r="GQN122" s="1"/>
      <c r="GQO122" s="1"/>
      <c r="GQP122" s="1"/>
      <c r="GQQ122" s="1"/>
      <c r="GQR122" s="1"/>
      <c r="GQS122" s="1"/>
      <c r="GQT122" s="1"/>
      <c r="GQU122" s="1"/>
      <c r="GQV122" s="1"/>
      <c r="GQW122" s="1"/>
      <c r="GQX122" s="1"/>
      <c r="GQY122" s="1"/>
      <c r="GQZ122" s="1"/>
      <c r="GRA122" s="1"/>
      <c r="GRB122" s="1"/>
      <c r="GRC122" s="1"/>
      <c r="GRD122" s="1"/>
      <c r="GRE122" s="1"/>
      <c r="GRF122" s="1"/>
      <c r="GRG122" s="1"/>
      <c r="GRH122" s="1"/>
      <c r="GRI122" s="1"/>
      <c r="GRJ122" s="1"/>
      <c r="GRK122" s="1"/>
      <c r="GRL122" s="1"/>
      <c r="GRM122" s="1"/>
      <c r="GRN122" s="1"/>
      <c r="GRO122" s="1"/>
      <c r="GRP122" s="1"/>
      <c r="GRQ122" s="1"/>
      <c r="GRR122" s="1"/>
      <c r="GRS122" s="1"/>
      <c r="GRT122" s="1"/>
      <c r="GRU122" s="1"/>
      <c r="GRV122" s="1"/>
      <c r="GRW122" s="1"/>
      <c r="GRX122" s="1"/>
      <c r="GRY122" s="1"/>
      <c r="GRZ122" s="1"/>
      <c r="GSA122" s="1"/>
      <c r="GSB122" s="1"/>
      <c r="GSC122" s="1"/>
      <c r="GSD122" s="1"/>
      <c r="GSE122" s="1"/>
      <c r="GSF122" s="1"/>
      <c r="GSG122" s="1"/>
      <c r="GSH122" s="1"/>
      <c r="GSI122" s="1"/>
      <c r="GSJ122" s="1"/>
      <c r="GSK122" s="1"/>
      <c r="GSL122" s="1"/>
      <c r="GSM122" s="1"/>
      <c r="GSN122" s="1"/>
      <c r="GSO122" s="1"/>
      <c r="GSP122" s="1"/>
      <c r="GSQ122" s="1"/>
      <c r="GSR122" s="1"/>
      <c r="GSS122" s="1"/>
      <c r="GST122" s="1"/>
      <c r="GSU122" s="1"/>
      <c r="GSV122" s="1"/>
      <c r="GSW122" s="1"/>
      <c r="GSX122" s="1"/>
      <c r="GSY122" s="1"/>
      <c r="GSZ122" s="1"/>
      <c r="GTA122" s="1"/>
      <c r="GTB122" s="1"/>
      <c r="GTC122" s="1"/>
      <c r="GTD122" s="1"/>
      <c r="GTE122" s="1"/>
      <c r="GTF122" s="1"/>
      <c r="GTG122" s="1"/>
      <c r="GTH122" s="1"/>
      <c r="GTI122" s="1"/>
      <c r="GTJ122" s="1"/>
      <c r="GTK122" s="1"/>
      <c r="GTL122" s="1"/>
      <c r="GTM122" s="1"/>
      <c r="GTN122" s="1"/>
      <c r="GTO122" s="1"/>
      <c r="GTP122" s="1"/>
      <c r="GTQ122" s="1"/>
      <c r="GTR122" s="1"/>
      <c r="GTS122" s="1"/>
      <c r="GTT122" s="1"/>
      <c r="GTU122" s="1"/>
      <c r="GTV122" s="1"/>
      <c r="GTW122" s="1"/>
      <c r="GTX122" s="1"/>
      <c r="GTY122" s="1"/>
      <c r="GTZ122" s="1"/>
      <c r="GUA122" s="1"/>
      <c r="GUB122" s="1"/>
      <c r="GUC122" s="1"/>
      <c r="GUD122" s="1"/>
      <c r="GUE122" s="1"/>
      <c r="GUF122" s="1"/>
      <c r="GUG122" s="1"/>
      <c r="GUH122" s="1"/>
      <c r="GUI122" s="1"/>
      <c r="GUJ122" s="1"/>
      <c r="GUK122" s="1"/>
      <c r="GUL122" s="1"/>
      <c r="GUM122" s="1"/>
      <c r="GUN122" s="1"/>
      <c r="GUO122" s="1"/>
      <c r="GUP122" s="1"/>
      <c r="GUQ122" s="1"/>
      <c r="GUR122" s="1"/>
      <c r="GUS122" s="1"/>
      <c r="GUT122" s="1"/>
      <c r="GUU122" s="1"/>
      <c r="GUV122" s="1"/>
      <c r="GUW122" s="1"/>
      <c r="GUX122" s="1"/>
      <c r="GUY122" s="1"/>
      <c r="GUZ122" s="1"/>
      <c r="GVA122" s="1"/>
      <c r="GVB122" s="1"/>
      <c r="GVC122" s="1"/>
      <c r="GVD122" s="1"/>
      <c r="GVE122" s="1"/>
      <c r="GVF122" s="1"/>
      <c r="GVG122" s="1"/>
      <c r="GVH122" s="1"/>
      <c r="GVI122" s="1"/>
      <c r="GVJ122" s="1"/>
      <c r="GVK122" s="1"/>
      <c r="GVL122" s="1"/>
      <c r="GVM122" s="1"/>
      <c r="GVN122" s="1"/>
      <c r="GVO122" s="1"/>
      <c r="GVP122" s="1"/>
      <c r="GVQ122" s="1"/>
      <c r="GVR122" s="1"/>
      <c r="GVS122" s="1"/>
      <c r="GVT122" s="1"/>
      <c r="GVU122" s="1"/>
      <c r="GVV122" s="1"/>
      <c r="GVW122" s="1"/>
      <c r="GVX122" s="1"/>
      <c r="GVY122" s="1"/>
      <c r="GVZ122" s="1"/>
      <c r="GWA122" s="1"/>
      <c r="GWB122" s="1"/>
      <c r="GWC122" s="1"/>
      <c r="GWD122" s="1"/>
      <c r="GWE122" s="1"/>
      <c r="GWF122" s="1"/>
      <c r="GWG122" s="1"/>
      <c r="GWH122" s="1"/>
      <c r="GWI122" s="1"/>
      <c r="GWJ122" s="1"/>
      <c r="GWK122" s="1"/>
      <c r="GWL122" s="1"/>
      <c r="GWM122" s="1"/>
      <c r="GWN122" s="1"/>
      <c r="GWO122" s="1"/>
      <c r="GWP122" s="1"/>
      <c r="GWQ122" s="1"/>
      <c r="GWR122" s="1"/>
      <c r="GWS122" s="1"/>
      <c r="GWT122" s="1"/>
      <c r="GWU122" s="1"/>
      <c r="GWV122" s="1"/>
      <c r="GWW122" s="1"/>
      <c r="GWX122" s="1"/>
      <c r="GWY122" s="1"/>
      <c r="GWZ122" s="1"/>
      <c r="GXA122" s="1"/>
      <c r="GXB122" s="1"/>
      <c r="GXC122" s="1"/>
      <c r="GXD122" s="1"/>
      <c r="GXE122" s="1"/>
      <c r="GXF122" s="1"/>
      <c r="GXG122" s="1"/>
      <c r="GXH122" s="1"/>
      <c r="GXI122" s="1"/>
      <c r="GXJ122" s="1"/>
      <c r="GXK122" s="1"/>
      <c r="GXL122" s="1"/>
      <c r="GXM122" s="1"/>
      <c r="GXN122" s="1"/>
      <c r="GXO122" s="1"/>
      <c r="GXP122" s="1"/>
      <c r="GXQ122" s="1"/>
      <c r="GXR122" s="1"/>
      <c r="GXS122" s="1"/>
      <c r="GXT122" s="1"/>
      <c r="GXU122" s="1"/>
      <c r="GXV122" s="1"/>
      <c r="GXW122" s="1"/>
      <c r="GXX122" s="1"/>
      <c r="GXY122" s="1"/>
      <c r="GXZ122" s="1"/>
      <c r="GYA122" s="1"/>
      <c r="GYB122" s="1"/>
      <c r="GYC122" s="1"/>
      <c r="GYD122" s="1"/>
      <c r="GYE122" s="1"/>
      <c r="GYF122" s="1"/>
      <c r="GYG122" s="1"/>
      <c r="GYH122" s="1"/>
      <c r="GYI122" s="1"/>
      <c r="GYJ122" s="1"/>
      <c r="GYK122" s="1"/>
      <c r="GYL122" s="1"/>
      <c r="GYM122" s="1"/>
      <c r="GYN122" s="1"/>
      <c r="GYO122" s="1"/>
      <c r="GYP122" s="1"/>
      <c r="GYQ122" s="1"/>
      <c r="GYR122" s="1"/>
      <c r="GYS122" s="1"/>
      <c r="GYT122" s="1"/>
      <c r="GYU122" s="1"/>
      <c r="GYV122" s="1"/>
      <c r="GYW122" s="1"/>
      <c r="GYX122" s="1"/>
      <c r="GYY122" s="1"/>
      <c r="GYZ122" s="1"/>
      <c r="GZA122" s="1"/>
      <c r="GZB122" s="1"/>
      <c r="GZC122" s="1"/>
      <c r="GZD122" s="1"/>
      <c r="GZE122" s="1"/>
      <c r="GZF122" s="1"/>
      <c r="GZG122" s="1"/>
      <c r="GZH122" s="1"/>
      <c r="GZI122" s="1"/>
      <c r="GZJ122" s="1"/>
      <c r="GZK122" s="1"/>
      <c r="GZL122" s="1"/>
      <c r="GZM122" s="1"/>
      <c r="GZN122" s="1"/>
      <c r="GZO122" s="1"/>
      <c r="GZP122" s="1"/>
      <c r="GZQ122" s="1"/>
      <c r="GZR122" s="1"/>
      <c r="GZS122" s="1"/>
      <c r="GZT122" s="1"/>
      <c r="GZU122" s="1"/>
      <c r="GZV122" s="1"/>
      <c r="GZW122" s="1"/>
      <c r="GZX122" s="1"/>
      <c r="GZY122" s="1"/>
      <c r="GZZ122" s="1"/>
      <c r="HAA122" s="1"/>
      <c r="HAB122" s="1"/>
      <c r="HAC122" s="1"/>
      <c r="HAD122" s="1"/>
      <c r="HAE122" s="1"/>
      <c r="HAF122" s="1"/>
      <c r="HAG122" s="1"/>
      <c r="HAH122" s="1"/>
      <c r="HAI122" s="1"/>
      <c r="HAJ122" s="1"/>
      <c r="HAK122" s="1"/>
      <c r="HAL122" s="1"/>
      <c r="HAM122" s="1"/>
      <c r="HAN122" s="1"/>
      <c r="HAO122" s="1"/>
      <c r="HAP122" s="1"/>
      <c r="HAQ122" s="1"/>
      <c r="HAR122" s="1"/>
      <c r="HAS122" s="1"/>
      <c r="HAT122" s="1"/>
      <c r="HAU122" s="1"/>
      <c r="HAV122" s="1"/>
      <c r="HAW122" s="1"/>
      <c r="HAX122" s="1"/>
      <c r="HAY122" s="1"/>
      <c r="HAZ122" s="1"/>
      <c r="HBA122" s="1"/>
      <c r="HBB122" s="1"/>
      <c r="HBC122" s="1"/>
      <c r="HBD122" s="1"/>
      <c r="HBE122" s="1"/>
      <c r="HBF122" s="1"/>
      <c r="HBG122" s="1"/>
      <c r="HBH122" s="1"/>
      <c r="HBI122" s="1"/>
      <c r="HBJ122" s="1"/>
      <c r="HBK122" s="1"/>
      <c r="HBL122" s="1"/>
      <c r="HBM122" s="1"/>
      <c r="HBN122" s="1"/>
      <c r="HBO122" s="1"/>
      <c r="HBP122" s="1"/>
      <c r="HBQ122" s="1"/>
      <c r="HBR122" s="1"/>
      <c r="HBS122" s="1"/>
      <c r="HBT122" s="1"/>
      <c r="HBU122" s="1"/>
      <c r="HBV122" s="1"/>
      <c r="HBW122" s="1"/>
      <c r="HBX122" s="1"/>
      <c r="HBY122" s="1"/>
      <c r="HBZ122" s="1"/>
      <c r="HCA122" s="1"/>
      <c r="HCB122" s="1"/>
      <c r="HCC122" s="1"/>
      <c r="HCD122" s="1"/>
      <c r="HCE122" s="1"/>
      <c r="HCF122" s="1"/>
      <c r="HCG122" s="1"/>
      <c r="HCH122" s="1"/>
      <c r="HCI122" s="1"/>
      <c r="HCJ122" s="1"/>
      <c r="HCK122" s="1"/>
      <c r="HCL122" s="1"/>
      <c r="HCM122" s="1"/>
      <c r="HCN122" s="1"/>
      <c r="HCO122" s="1"/>
      <c r="HCP122" s="1"/>
      <c r="HCQ122" s="1"/>
      <c r="HCR122" s="1"/>
      <c r="HCS122" s="1"/>
      <c r="HCT122" s="1"/>
      <c r="HCU122" s="1"/>
      <c r="HCV122" s="1"/>
      <c r="HCW122" s="1"/>
      <c r="HCX122" s="1"/>
      <c r="HCY122" s="1"/>
      <c r="HCZ122" s="1"/>
      <c r="HDA122" s="1"/>
      <c r="HDB122" s="1"/>
      <c r="HDC122" s="1"/>
      <c r="HDD122" s="1"/>
      <c r="HDE122" s="1"/>
      <c r="HDF122" s="1"/>
      <c r="HDG122" s="1"/>
      <c r="HDH122" s="1"/>
      <c r="HDI122" s="1"/>
      <c r="HDJ122" s="1"/>
      <c r="HDK122" s="1"/>
      <c r="HDL122" s="1"/>
      <c r="HDM122" s="1"/>
      <c r="HDN122" s="1"/>
      <c r="HDO122" s="1"/>
      <c r="HDP122" s="1"/>
      <c r="HDQ122" s="1"/>
      <c r="HDR122" s="1"/>
      <c r="HDS122" s="1"/>
      <c r="HDT122" s="1"/>
      <c r="HDU122" s="1"/>
      <c r="HDV122" s="1"/>
      <c r="HDW122" s="1"/>
      <c r="HDX122" s="1"/>
      <c r="HDY122" s="1"/>
      <c r="HDZ122" s="1"/>
      <c r="HEA122" s="1"/>
      <c r="HEB122" s="1"/>
      <c r="HEC122" s="1"/>
      <c r="HED122" s="1"/>
      <c r="HEE122" s="1"/>
      <c r="HEF122" s="1"/>
      <c r="HEG122" s="1"/>
      <c r="HEH122" s="1"/>
      <c r="HEI122" s="1"/>
      <c r="HEJ122" s="1"/>
      <c r="HEK122" s="1"/>
      <c r="HEL122" s="1"/>
      <c r="HEM122" s="1"/>
      <c r="HEN122" s="1"/>
      <c r="HEO122" s="1"/>
      <c r="HEP122" s="1"/>
      <c r="HEQ122" s="1"/>
      <c r="HER122" s="1"/>
      <c r="HES122" s="1"/>
      <c r="HET122" s="1"/>
      <c r="HEU122" s="1"/>
      <c r="HEV122" s="1"/>
      <c r="HEW122" s="1"/>
      <c r="HEX122" s="1"/>
      <c r="HEY122" s="1"/>
      <c r="HEZ122" s="1"/>
      <c r="HFA122" s="1"/>
      <c r="HFB122" s="1"/>
      <c r="HFC122" s="1"/>
      <c r="HFD122" s="1"/>
      <c r="HFE122" s="1"/>
      <c r="HFF122" s="1"/>
      <c r="HFG122" s="1"/>
      <c r="HFH122" s="1"/>
      <c r="HFI122" s="1"/>
      <c r="HFJ122" s="1"/>
      <c r="HFK122" s="1"/>
      <c r="HFL122" s="1"/>
      <c r="HFM122" s="1"/>
      <c r="HFN122" s="1"/>
      <c r="HFO122" s="1"/>
      <c r="HFP122" s="1"/>
      <c r="HFQ122" s="1"/>
      <c r="HFR122" s="1"/>
      <c r="HFS122" s="1"/>
      <c r="HFT122" s="1"/>
      <c r="HFU122" s="1"/>
      <c r="HFV122" s="1"/>
      <c r="HFW122" s="1"/>
      <c r="HFX122" s="1"/>
      <c r="HFY122" s="1"/>
      <c r="HFZ122" s="1"/>
      <c r="HGA122" s="1"/>
      <c r="HGB122" s="1"/>
      <c r="HGC122" s="1"/>
      <c r="HGD122" s="1"/>
      <c r="HGE122" s="1"/>
      <c r="HGF122" s="1"/>
      <c r="HGG122" s="1"/>
      <c r="HGH122" s="1"/>
      <c r="HGI122" s="1"/>
      <c r="HGJ122" s="1"/>
      <c r="HGK122" s="1"/>
      <c r="HGL122" s="1"/>
      <c r="HGM122" s="1"/>
      <c r="HGN122" s="1"/>
      <c r="HGO122" s="1"/>
      <c r="HGP122" s="1"/>
      <c r="HGQ122" s="1"/>
      <c r="HGR122" s="1"/>
      <c r="HGS122" s="1"/>
      <c r="HGT122" s="1"/>
      <c r="HGU122" s="1"/>
      <c r="HGV122" s="1"/>
      <c r="HGW122" s="1"/>
      <c r="HGX122" s="1"/>
      <c r="HGY122" s="1"/>
      <c r="HGZ122" s="1"/>
      <c r="HHA122" s="1"/>
      <c r="HHB122" s="1"/>
      <c r="HHC122" s="1"/>
      <c r="HHD122" s="1"/>
      <c r="HHE122" s="1"/>
      <c r="HHF122" s="1"/>
      <c r="HHG122" s="1"/>
      <c r="HHH122" s="1"/>
      <c r="HHI122" s="1"/>
      <c r="HHJ122" s="1"/>
      <c r="HHK122" s="1"/>
      <c r="HHL122" s="1"/>
      <c r="HHM122" s="1"/>
      <c r="HHN122" s="1"/>
      <c r="HHO122" s="1"/>
      <c r="HHP122" s="1"/>
      <c r="HHQ122" s="1"/>
      <c r="HHR122" s="1"/>
      <c r="HHS122" s="1"/>
      <c r="HHT122" s="1"/>
      <c r="HHU122" s="1"/>
      <c r="HHV122" s="1"/>
      <c r="HHW122" s="1"/>
      <c r="HHX122" s="1"/>
      <c r="HHY122" s="1"/>
      <c r="HHZ122" s="1"/>
      <c r="HIA122" s="1"/>
      <c r="HIB122" s="1"/>
      <c r="HIC122" s="1"/>
      <c r="HID122" s="1"/>
      <c r="HIE122" s="1"/>
      <c r="HIF122" s="1"/>
      <c r="HIG122" s="1"/>
      <c r="HIH122" s="1"/>
      <c r="HII122" s="1"/>
      <c r="HIJ122" s="1"/>
      <c r="HIK122" s="1"/>
      <c r="HIL122" s="1"/>
      <c r="HIM122" s="1"/>
      <c r="HIN122" s="1"/>
      <c r="HIO122" s="1"/>
      <c r="HIP122" s="1"/>
      <c r="HIQ122" s="1"/>
      <c r="HIR122" s="1"/>
      <c r="HIS122" s="1"/>
      <c r="HIT122" s="1"/>
      <c r="HIU122" s="1"/>
      <c r="HIV122" s="1"/>
      <c r="HIW122" s="1"/>
      <c r="HIX122" s="1"/>
      <c r="HIY122" s="1"/>
      <c r="HIZ122" s="1"/>
      <c r="HJA122" s="1"/>
      <c r="HJB122" s="1"/>
      <c r="HJC122" s="1"/>
      <c r="HJD122" s="1"/>
      <c r="HJE122" s="1"/>
      <c r="HJF122" s="1"/>
      <c r="HJG122" s="1"/>
      <c r="HJH122" s="1"/>
      <c r="HJI122" s="1"/>
      <c r="HJJ122" s="1"/>
      <c r="HJK122" s="1"/>
      <c r="HJL122" s="1"/>
      <c r="HJM122" s="1"/>
      <c r="HJN122" s="1"/>
      <c r="HJO122" s="1"/>
      <c r="HJP122" s="1"/>
      <c r="HJQ122" s="1"/>
      <c r="HJR122" s="1"/>
      <c r="HJS122" s="1"/>
      <c r="HJT122" s="1"/>
      <c r="HJU122" s="1"/>
      <c r="HJV122" s="1"/>
      <c r="HJW122" s="1"/>
      <c r="HJX122" s="1"/>
      <c r="HJY122" s="1"/>
      <c r="HJZ122" s="1"/>
      <c r="HKA122" s="1"/>
      <c r="HKB122" s="1"/>
      <c r="HKC122" s="1"/>
      <c r="HKD122" s="1"/>
      <c r="HKE122" s="1"/>
      <c r="HKF122" s="1"/>
      <c r="HKG122" s="1"/>
      <c r="HKH122" s="1"/>
      <c r="HKI122" s="1"/>
      <c r="HKJ122" s="1"/>
      <c r="HKK122" s="1"/>
      <c r="HKL122" s="1"/>
      <c r="HKM122" s="1"/>
      <c r="HKN122" s="1"/>
      <c r="HKO122" s="1"/>
      <c r="HKP122" s="1"/>
      <c r="HKQ122" s="1"/>
      <c r="HKR122" s="1"/>
      <c r="HKS122" s="1"/>
      <c r="HKT122" s="1"/>
      <c r="HKU122" s="1"/>
      <c r="HKV122" s="1"/>
      <c r="HKW122" s="1"/>
      <c r="HKX122" s="1"/>
      <c r="HKY122" s="1"/>
      <c r="HKZ122" s="1"/>
      <c r="HLA122" s="1"/>
      <c r="HLB122" s="1"/>
      <c r="HLC122" s="1"/>
      <c r="HLD122" s="1"/>
      <c r="HLE122" s="1"/>
      <c r="HLF122" s="1"/>
      <c r="HLG122" s="1"/>
      <c r="HLH122" s="1"/>
      <c r="HLI122" s="1"/>
      <c r="HLJ122" s="1"/>
      <c r="HLK122" s="1"/>
      <c r="HLL122" s="1"/>
      <c r="HLM122" s="1"/>
      <c r="HLN122" s="1"/>
      <c r="HLO122" s="1"/>
      <c r="HLP122" s="1"/>
      <c r="HLQ122" s="1"/>
      <c r="HLR122" s="1"/>
      <c r="HLS122" s="1"/>
      <c r="HLT122" s="1"/>
      <c r="HLU122" s="1"/>
      <c r="HLV122" s="1"/>
      <c r="HLW122" s="1"/>
      <c r="HLX122" s="1"/>
      <c r="HLY122" s="1"/>
      <c r="HLZ122" s="1"/>
      <c r="HMA122" s="1"/>
      <c r="HMB122" s="1"/>
      <c r="HMC122" s="1"/>
      <c r="HMD122" s="1"/>
      <c r="HME122" s="1"/>
      <c r="HMF122" s="1"/>
      <c r="HMG122" s="1"/>
      <c r="HMH122" s="1"/>
      <c r="HMI122" s="1"/>
      <c r="HMJ122" s="1"/>
      <c r="HMK122" s="1"/>
      <c r="HML122" s="1"/>
      <c r="HMM122" s="1"/>
      <c r="HMN122" s="1"/>
      <c r="HMO122" s="1"/>
      <c r="HMP122" s="1"/>
      <c r="HMQ122" s="1"/>
      <c r="HMR122" s="1"/>
      <c r="HMS122" s="1"/>
      <c r="HMT122" s="1"/>
      <c r="HMU122" s="1"/>
      <c r="HMV122" s="1"/>
      <c r="HMW122" s="1"/>
      <c r="HMX122" s="1"/>
      <c r="HMY122" s="1"/>
      <c r="HMZ122" s="1"/>
      <c r="HNA122" s="1"/>
      <c r="HNB122" s="1"/>
      <c r="HNC122" s="1"/>
      <c r="HND122" s="1"/>
      <c r="HNE122" s="1"/>
      <c r="HNF122" s="1"/>
      <c r="HNG122" s="1"/>
      <c r="HNH122" s="1"/>
      <c r="HNI122" s="1"/>
      <c r="HNJ122" s="1"/>
      <c r="HNK122" s="1"/>
      <c r="HNL122" s="1"/>
      <c r="HNM122" s="1"/>
      <c r="HNN122" s="1"/>
      <c r="HNO122" s="1"/>
      <c r="HNP122" s="1"/>
      <c r="HNQ122" s="1"/>
      <c r="HNR122" s="1"/>
      <c r="HNS122" s="1"/>
      <c r="HNT122" s="1"/>
      <c r="HNU122" s="1"/>
      <c r="HNV122" s="1"/>
      <c r="HNW122" s="1"/>
      <c r="HNX122" s="1"/>
      <c r="HNY122" s="1"/>
      <c r="HNZ122" s="1"/>
      <c r="HOA122" s="1"/>
      <c r="HOB122" s="1"/>
      <c r="HOC122" s="1"/>
      <c r="HOD122" s="1"/>
      <c r="HOE122" s="1"/>
      <c r="HOF122" s="1"/>
      <c r="HOG122" s="1"/>
      <c r="HOH122" s="1"/>
      <c r="HOI122" s="1"/>
      <c r="HOJ122" s="1"/>
      <c r="HOK122" s="1"/>
      <c r="HOL122" s="1"/>
      <c r="HOM122" s="1"/>
      <c r="HON122" s="1"/>
      <c r="HOO122" s="1"/>
      <c r="HOP122" s="1"/>
      <c r="HOQ122" s="1"/>
      <c r="HOR122" s="1"/>
      <c r="HOS122" s="1"/>
      <c r="HOT122" s="1"/>
      <c r="HOU122" s="1"/>
      <c r="HOV122" s="1"/>
      <c r="HOW122" s="1"/>
      <c r="HOX122" s="1"/>
      <c r="HOY122" s="1"/>
      <c r="HOZ122" s="1"/>
      <c r="HPA122" s="1"/>
      <c r="HPB122" s="1"/>
      <c r="HPC122" s="1"/>
      <c r="HPD122" s="1"/>
      <c r="HPE122" s="1"/>
      <c r="HPF122" s="1"/>
      <c r="HPG122" s="1"/>
      <c r="HPH122" s="1"/>
      <c r="HPI122" s="1"/>
      <c r="HPJ122" s="1"/>
      <c r="HPK122" s="1"/>
      <c r="HPL122" s="1"/>
      <c r="HPM122" s="1"/>
      <c r="HPN122" s="1"/>
      <c r="HPO122" s="1"/>
      <c r="HPP122" s="1"/>
      <c r="HPQ122" s="1"/>
      <c r="HPR122" s="1"/>
      <c r="HPS122" s="1"/>
      <c r="HPT122" s="1"/>
      <c r="HPU122" s="1"/>
      <c r="HPV122" s="1"/>
      <c r="HPW122" s="1"/>
      <c r="HPX122" s="1"/>
      <c r="HPY122" s="1"/>
      <c r="HPZ122" s="1"/>
      <c r="HQA122" s="1"/>
      <c r="HQB122" s="1"/>
      <c r="HQC122" s="1"/>
      <c r="HQD122" s="1"/>
      <c r="HQE122" s="1"/>
      <c r="HQF122" s="1"/>
      <c r="HQG122" s="1"/>
      <c r="HQH122" s="1"/>
      <c r="HQI122" s="1"/>
      <c r="HQJ122" s="1"/>
      <c r="HQK122" s="1"/>
      <c r="HQL122" s="1"/>
      <c r="HQM122" s="1"/>
      <c r="HQN122" s="1"/>
      <c r="HQO122" s="1"/>
      <c r="HQP122" s="1"/>
      <c r="HQQ122" s="1"/>
      <c r="HQR122" s="1"/>
      <c r="HQS122" s="1"/>
      <c r="HQT122" s="1"/>
      <c r="HQU122" s="1"/>
      <c r="HQV122" s="1"/>
      <c r="HQW122" s="1"/>
      <c r="HQX122" s="1"/>
      <c r="HQY122" s="1"/>
      <c r="HQZ122" s="1"/>
      <c r="HRA122" s="1"/>
      <c r="HRB122" s="1"/>
      <c r="HRC122" s="1"/>
      <c r="HRD122" s="1"/>
      <c r="HRE122" s="1"/>
      <c r="HRF122" s="1"/>
      <c r="HRG122" s="1"/>
      <c r="HRH122" s="1"/>
      <c r="HRI122" s="1"/>
      <c r="HRJ122" s="1"/>
      <c r="HRK122" s="1"/>
      <c r="HRL122" s="1"/>
      <c r="HRM122" s="1"/>
      <c r="HRN122" s="1"/>
      <c r="HRO122" s="1"/>
      <c r="HRP122" s="1"/>
      <c r="HRQ122" s="1"/>
      <c r="HRR122" s="1"/>
      <c r="HRS122" s="1"/>
      <c r="HRT122" s="1"/>
      <c r="HRU122" s="1"/>
      <c r="HRV122" s="1"/>
      <c r="HRW122" s="1"/>
      <c r="HRX122" s="1"/>
      <c r="HRY122" s="1"/>
      <c r="HRZ122" s="1"/>
      <c r="HSA122" s="1"/>
      <c r="HSB122" s="1"/>
      <c r="HSC122" s="1"/>
      <c r="HSD122" s="1"/>
      <c r="HSE122" s="1"/>
      <c r="HSF122" s="1"/>
      <c r="HSG122" s="1"/>
      <c r="HSH122" s="1"/>
      <c r="HSI122" s="1"/>
      <c r="HSJ122" s="1"/>
      <c r="HSK122" s="1"/>
      <c r="HSL122" s="1"/>
      <c r="HSM122" s="1"/>
      <c r="HSN122" s="1"/>
      <c r="HSO122" s="1"/>
      <c r="HSP122" s="1"/>
      <c r="HSQ122" s="1"/>
      <c r="HSR122" s="1"/>
      <c r="HSS122" s="1"/>
      <c r="HST122" s="1"/>
      <c r="HSU122" s="1"/>
      <c r="HSV122" s="1"/>
      <c r="HSW122" s="1"/>
      <c r="HSX122" s="1"/>
      <c r="HSY122" s="1"/>
      <c r="HSZ122" s="1"/>
      <c r="HTA122" s="1"/>
      <c r="HTB122" s="1"/>
      <c r="HTC122" s="1"/>
      <c r="HTD122" s="1"/>
      <c r="HTE122" s="1"/>
      <c r="HTF122" s="1"/>
      <c r="HTG122" s="1"/>
      <c r="HTH122" s="1"/>
      <c r="HTI122" s="1"/>
      <c r="HTJ122" s="1"/>
      <c r="HTK122" s="1"/>
      <c r="HTL122" s="1"/>
      <c r="HTM122" s="1"/>
      <c r="HTN122" s="1"/>
      <c r="HTO122" s="1"/>
      <c r="HTP122" s="1"/>
      <c r="HTQ122" s="1"/>
      <c r="HTR122" s="1"/>
      <c r="HTS122" s="1"/>
      <c r="HTT122" s="1"/>
      <c r="HTU122" s="1"/>
      <c r="HTV122" s="1"/>
      <c r="HTW122" s="1"/>
      <c r="HTX122" s="1"/>
      <c r="HTY122" s="1"/>
      <c r="HTZ122" s="1"/>
      <c r="HUA122" s="1"/>
      <c r="HUB122" s="1"/>
      <c r="HUC122" s="1"/>
      <c r="HUD122" s="1"/>
      <c r="HUE122" s="1"/>
      <c r="HUF122" s="1"/>
      <c r="HUG122" s="1"/>
      <c r="HUH122" s="1"/>
      <c r="HUI122" s="1"/>
      <c r="HUJ122" s="1"/>
      <c r="HUK122" s="1"/>
      <c r="HUL122" s="1"/>
      <c r="HUM122" s="1"/>
      <c r="HUN122" s="1"/>
      <c r="HUO122" s="1"/>
      <c r="HUP122" s="1"/>
      <c r="HUQ122" s="1"/>
      <c r="HUR122" s="1"/>
      <c r="HUS122" s="1"/>
      <c r="HUT122" s="1"/>
      <c r="HUU122" s="1"/>
      <c r="HUV122" s="1"/>
      <c r="HUW122" s="1"/>
      <c r="HUX122" s="1"/>
      <c r="HUY122" s="1"/>
      <c r="HUZ122" s="1"/>
      <c r="HVA122" s="1"/>
      <c r="HVB122" s="1"/>
      <c r="HVC122" s="1"/>
      <c r="HVD122" s="1"/>
      <c r="HVE122" s="1"/>
      <c r="HVF122" s="1"/>
      <c r="HVG122" s="1"/>
      <c r="HVH122" s="1"/>
      <c r="HVI122" s="1"/>
      <c r="HVJ122" s="1"/>
      <c r="HVK122" s="1"/>
      <c r="HVL122" s="1"/>
      <c r="HVM122" s="1"/>
      <c r="HVN122" s="1"/>
      <c r="HVO122" s="1"/>
      <c r="HVP122" s="1"/>
      <c r="HVQ122" s="1"/>
      <c r="HVR122" s="1"/>
      <c r="HVS122" s="1"/>
      <c r="HVT122" s="1"/>
      <c r="HVU122" s="1"/>
      <c r="HVV122" s="1"/>
      <c r="HVW122" s="1"/>
      <c r="HVX122" s="1"/>
      <c r="HVY122" s="1"/>
      <c r="HVZ122" s="1"/>
      <c r="HWA122" s="1"/>
      <c r="HWB122" s="1"/>
      <c r="HWC122" s="1"/>
      <c r="HWD122" s="1"/>
      <c r="HWE122" s="1"/>
      <c r="HWF122" s="1"/>
      <c r="HWG122" s="1"/>
      <c r="HWH122" s="1"/>
      <c r="HWI122" s="1"/>
      <c r="HWJ122" s="1"/>
      <c r="HWK122" s="1"/>
      <c r="HWL122" s="1"/>
      <c r="HWM122" s="1"/>
      <c r="HWN122" s="1"/>
      <c r="HWO122" s="1"/>
      <c r="HWP122" s="1"/>
      <c r="HWQ122" s="1"/>
      <c r="HWR122" s="1"/>
      <c r="HWS122" s="1"/>
      <c r="HWT122" s="1"/>
      <c r="HWU122" s="1"/>
      <c r="HWV122" s="1"/>
      <c r="HWW122" s="1"/>
      <c r="HWX122" s="1"/>
      <c r="HWY122" s="1"/>
      <c r="HWZ122" s="1"/>
      <c r="HXA122" s="1"/>
      <c r="HXB122" s="1"/>
      <c r="HXC122" s="1"/>
      <c r="HXD122" s="1"/>
      <c r="HXE122" s="1"/>
      <c r="HXF122" s="1"/>
      <c r="HXG122" s="1"/>
      <c r="HXH122" s="1"/>
      <c r="HXI122" s="1"/>
      <c r="HXJ122" s="1"/>
      <c r="HXK122" s="1"/>
      <c r="HXL122" s="1"/>
      <c r="HXM122" s="1"/>
      <c r="HXN122" s="1"/>
      <c r="HXO122" s="1"/>
      <c r="HXP122" s="1"/>
      <c r="HXQ122" s="1"/>
      <c r="HXR122" s="1"/>
      <c r="HXS122" s="1"/>
      <c r="HXT122" s="1"/>
      <c r="HXU122" s="1"/>
      <c r="HXV122" s="1"/>
      <c r="HXW122" s="1"/>
      <c r="HXX122" s="1"/>
      <c r="HXY122" s="1"/>
      <c r="HXZ122" s="1"/>
      <c r="HYA122" s="1"/>
      <c r="HYB122" s="1"/>
      <c r="HYC122" s="1"/>
      <c r="HYD122" s="1"/>
      <c r="HYE122" s="1"/>
      <c r="HYF122" s="1"/>
      <c r="HYG122" s="1"/>
      <c r="HYH122" s="1"/>
      <c r="HYI122" s="1"/>
      <c r="HYJ122" s="1"/>
      <c r="HYK122" s="1"/>
      <c r="HYL122" s="1"/>
      <c r="HYM122" s="1"/>
      <c r="HYN122" s="1"/>
      <c r="HYO122" s="1"/>
      <c r="HYP122" s="1"/>
      <c r="HYQ122" s="1"/>
      <c r="HYR122" s="1"/>
      <c r="HYS122" s="1"/>
      <c r="HYT122" s="1"/>
      <c r="HYU122" s="1"/>
      <c r="HYV122" s="1"/>
      <c r="HYW122" s="1"/>
      <c r="HYX122" s="1"/>
      <c r="HYY122" s="1"/>
      <c r="HYZ122" s="1"/>
      <c r="HZA122" s="1"/>
      <c r="HZB122" s="1"/>
      <c r="HZC122" s="1"/>
      <c r="HZD122" s="1"/>
      <c r="HZE122" s="1"/>
      <c r="HZF122" s="1"/>
      <c r="HZG122" s="1"/>
      <c r="HZH122" s="1"/>
      <c r="HZI122" s="1"/>
      <c r="HZJ122" s="1"/>
      <c r="HZK122" s="1"/>
      <c r="HZL122" s="1"/>
      <c r="HZM122" s="1"/>
      <c r="HZN122" s="1"/>
      <c r="HZO122" s="1"/>
      <c r="HZP122" s="1"/>
      <c r="HZQ122" s="1"/>
      <c r="HZR122" s="1"/>
      <c r="HZS122" s="1"/>
      <c r="HZT122" s="1"/>
      <c r="HZU122" s="1"/>
      <c r="HZV122" s="1"/>
      <c r="HZW122" s="1"/>
      <c r="HZX122" s="1"/>
      <c r="HZY122" s="1"/>
      <c r="HZZ122" s="1"/>
      <c r="IAA122" s="1"/>
      <c r="IAB122" s="1"/>
      <c r="IAC122" s="1"/>
      <c r="IAD122" s="1"/>
      <c r="IAE122" s="1"/>
      <c r="IAF122" s="1"/>
      <c r="IAG122" s="1"/>
      <c r="IAH122" s="1"/>
      <c r="IAI122" s="1"/>
      <c r="IAJ122" s="1"/>
      <c r="IAK122" s="1"/>
      <c r="IAL122" s="1"/>
      <c r="IAM122" s="1"/>
      <c r="IAN122" s="1"/>
      <c r="IAO122" s="1"/>
      <c r="IAP122" s="1"/>
      <c r="IAQ122" s="1"/>
      <c r="IAR122" s="1"/>
      <c r="IAS122" s="1"/>
      <c r="IAT122" s="1"/>
      <c r="IAU122" s="1"/>
      <c r="IAV122" s="1"/>
      <c r="IAW122" s="1"/>
      <c r="IAX122" s="1"/>
      <c r="IAY122" s="1"/>
      <c r="IAZ122" s="1"/>
      <c r="IBA122" s="1"/>
      <c r="IBB122" s="1"/>
      <c r="IBC122" s="1"/>
      <c r="IBD122" s="1"/>
      <c r="IBE122" s="1"/>
      <c r="IBF122" s="1"/>
      <c r="IBG122" s="1"/>
      <c r="IBH122" s="1"/>
      <c r="IBI122" s="1"/>
      <c r="IBJ122" s="1"/>
      <c r="IBK122" s="1"/>
      <c r="IBL122" s="1"/>
      <c r="IBM122" s="1"/>
      <c r="IBN122" s="1"/>
      <c r="IBO122" s="1"/>
      <c r="IBP122" s="1"/>
      <c r="IBQ122" s="1"/>
      <c r="IBR122" s="1"/>
      <c r="IBS122" s="1"/>
      <c r="IBT122" s="1"/>
      <c r="IBU122" s="1"/>
      <c r="IBV122" s="1"/>
      <c r="IBW122" s="1"/>
      <c r="IBX122" s="1"/>
      <c r="IBY122" s="1"/>
      <c r="IBZ122" s="1"/>
      <c r="ICA122" s="1"/>
      <c r="ICB122" s="1"/>
      <c r="ICC122" s="1"/>
      <c r="ICD122" s="1"/>
      <c r="ICE122" s="1"/>
      <c r="ICF122" s="1"/>
      <c r="ICG122" s="1"/>
      <c r="ICH122" s="1"/>
      <c r="ICI122" s="1"/>
      <c r="ICJ122" s="1"/>
      <c r="ICK122" s="1"/>
      <c r="ICL122" s="1"/>
      <c r="ICM122" s="1"/>
      <c r="ICN122" s="1"/>
      <c r="ICO122" s="1"/>
      <c r="ICP122" s="1"/>
      <c r="ICQ122" s="1"/>
      <c r="ICR122" s="1"/>
      <c r="ICS122" s="1"/>
      <c r="ICT122" s="1"/>
      <c r="ICU122" s="1"/>
      <c r="ICV122" s="1"/>
      <c r="ICW122" s="1"/>
      <c r="ICX122" s="1"/>
      <c r="ICY122" s="1"/>
      <c r="ICZ122" s="1"/>
      <c r="IDA122" s="1"/>
      <c r="IDB122" s="1"/>
      <c r="IDC122" s="1"/>
      <c r="IDD122" s="1"/>
      <c r="IDE122" s="1"/>
      <c r="IDF122" s="1"/>
      <c r="IDG122" s="1"/>
      <c r="IDH122" s="1"/>
      <c r="IDI122" s="1"/>
      <c r="IDJ122" s="1"/>
      <c r="IDK122" s="1"/>
      <c r="IDL122" s="1"/>
      <c r="IDM122" s="1"/>
      <c r="IDN122" s="1"/>
      <c r="IDO122" s="1"/>
      <c r="IDP122" s="1"/>
      <c r="IDQ122" s="1"/>
      <c r="IDR122" s="1"/>
      <c r="IDS122" s="1"/>
      <c r="IDT122" s="1"/>
      <c r="IDU122" s="1"/>
      <c r="IDV122" s="1"/>
      <c r="IDW122" s="1"/>
      <c r="IDX122" s="1"/>
      <c r="IDY122" s="1"/>
      <c r="IDZ122" s="1"/>
      <c r="IEA122" s="1"/>
      <c r="IEB122" s="1"/>
      <c r="IEC122" s="1"/>
      <c r="IED122" s="1"/>
      <c r="IEE122" s="1"/>
      <c r="IEF122" s="1"/>
      <c r="IEG122" s="1"/>
      <c r="IEH122" s="1"/>
      <c r="IEI122" s="1"/>
      <c r="IEJ122" s="1"/>
      <c r="IEK122" s="1"/>
      <c r="IEL122" s="1"/>
      <c r="IEM122" s="1"/>
      <c r="IEN122" s="1"/>
      <c r="IEO122" s="1"/>
      <c r="IEP122" s="1"/>
      <c r="IEQ122" s="1"/>
      <c r="IER122" s="1"/>
      <c r="IES122" s="1"/>
      <c r="IET122" s="1"/>
      <c r="IEU122" s="1"/>
      <c r="IEV122" s="1"/>
      <c r="IEW122" s="1"/>
      <c r="IEX122" s="1"/>
      <c r="IEY122" s="1"/>
      <c r="IEZ122" s="1"/>
      <c r="IFA122" s="1"/>
      <c r="IFB122" s="1"/>
      <c r="IFC122" s="1"/>
      <c r="IFD122" s="1"/>
      <c r="IFE122" s="1"/>
      <c r="IFF122" s="1"/>
      <c r="IFG122" s="1"/>
      <c r="IFH122" s="1"/>
      <c r="IFI122" s="1"/>
      <c r="IFJ122" s="1"/>
      <c r="IFK122" s="1"/>
      <c r="IFL122" s="1"/>
      <c r="IFM122" s="1"/>
      <c r="IFN122" s="1"/>
      <c r="IFO122" s="1"/>
      <c r="IFP122" s="1"/>
      <c r="IFQ122" s="1"/>
      <c r="IFR122" s="1"/>
      <c r="IFS122" s="1"/>
      <c r="IFT122" s="1"/>
      <c r="IFU122" s="1"/>
      <c r="IFV122" s="1"/>
      <c r="IFW122" s="1"/>
      <c r="IFX122" s="1"/>
      <c r="IFY122" s="1"/>
      <c r="IFZ122" s="1"/>
      <c r="IGA122" s="1"/>
      <c r="IGB122" s="1"/>
      <c r="IGC122" s="1"/>
      <c r="IGD122" s="1"/>
      <c r="IGE122" s="1"/>
      <c r="IGF122" s="1"/>
      <c r="IGG122" s="1"/>
      <c r="IGH122" s="1"/>
      <c r="IGI122" s="1"/>
      <c r="IGJ122" s="1"/>
      <c r="IGK122" s="1"/>
      <c r="IGL122" s="1"/>
      <c r="IGM122" s="1"/>
      <c r="IGN122" s="1"/>
      <c r="IGO122" s="1"/>
      <c r="IGP122" s="1"/>
      <c r="IGQ122" s="1"/>
      <c r="IGR122" s="1"/>
      <c r="IGS122" s="1"/>
      <c r="IGT122" s="1"/>
      <c r="IGU122" s="1"/>
      <c r="IGV122" s="1"/>
      <c r="IGW122" s="1"/>
      <c r="IGX122" s="1"/>
      <c r="IGY122" s="1"/>
      <c r="IGZ122" s="1"/>
      <c r="IHA122" s="1"/>
      <c r="IHB122" s="1"/>
      <c r="IHC122" s="1"/>
      <c r="IHD122" s="1"/>
      <c r="IHE122" s="1"/>
      <c r="IHF122" s="1"/>
      <c r="IHG122" s="1"/>
      <c r="IHH122" s="1"/>
      <c r="IHI122" s="1"/>
      <c r="IHJ122" s="1"/>
      <c r="IHK122" s="1"/>
      <c r="IHL122" s="1"/>
      <c r="IHM122" s="1"/>
      <c r="IHN122" s="1"/>
      <c r="IHO122" s="1"/>
      <c r="IHP122" s="1"/>
      <c r="IHQ122" s="1"/>
      <c r="IHR122" s="1"/>
      <c r="IHS122" s="1"/>
      <c r="IHT122" s="1"/>
      <c r="IHU122" s="1"/>
      <c r="IHV122" s="1"/>
      <c r="IHW122" s="1"/>
      <c r="IHX122" s="1"/>
      <c r="IHY122" s="1"/>
      <c r="IHZ122" s="1"/>
      <c r="IIA122" s="1"/>
      <c r="IIB122" s="1"/>
      <c r="IIC122" s="1"/>
      <c r="IID122" s="1"/>
      <c r="IIE122" s="1"/>
      <c r="IIF122" s="1"/>
      <c r="IIG122" s="1"/>
      <c r="IIH122" s="1"/>
      <c r="III122" s="1"/>
      <c r="IIJ122" s="1"/>
      <c r="IIK122" s="1"/>
      <c r="IIL122" s="1"/>
      <c r="IIM122" s="1"/>
      <c r="IIN122" s="1"/>
      <c r="IIO122" s="1"/>
      <c r="IIP122" s="1"/>
      <c r="IIQ122" s="1"/>
      <c r="IIR122" s="1"/>
      <c r="IIS122" s="1"/>
      <c r="IIT122" s="1"/>
      <c r="IIU122" s="1"/>
      <c r="IIV122" s="1"/>
      <c r="IIW122" s="1"/>
      <c r="IIX122" s="1"/>
      <c r="IIY122" s="1"/>
      <c r="IIZ122" s="1"/>
      <c r="IJA122" s="1"/>
      <c r="IJB122" s="1"/>
      <c r="IJC122" s="1"/>
      <c r="IJD122" s="1"/>
      <c r="IJE122" s="1"/>
      <c r="IJF122" s="1"/>
      <c r="IJG122" s="1"/>
      <c r="IJH122" s="1"/>
      <c r="IJI122" s="1"/>
      <c r="IJJ122" s="1"/>
      <c r="IJK122" s="1"/>
      <c r="IJL122" s="1"/>
      <c r="IJM122" s="1"/>
      <c r="IJN122" s="1"/>
      <c r="IJO122" s="1"/>
      <c r="IJP122" s="1"/>
      <c r="IJQ122" s="1"/>
      <c r="IJR122" s="1"/>
      <c r="IJS122" s="1"/>
      <c r="IJT122" s="1"/>
      <c r="IJU122" s="1"/>
      <c r="IJV122" s="1"/>
      <c r="IJW122" s="1"/>
      <c r="IJX122" s="1"/>
      <c r="IJY122" s="1"/>
      <c r="IJZ122" s="1"/>
      <c r="IKA122" s="1"/>
      <c r="IKB122" s="1"/>
      <c r="IKC122" s="1"/>
      <c r="IKD122" s="1"/>
      <c r="IKE122" s="1"/>
      <c r="IKF122" s="1"/>
      <c r="IKG122" s="1"/>
      <c r="IKH122" s="1"/>
      <c r="IKI122" s="1"/>
      <c r="IKJ122" s="1"/>
      <c r="IKK122" s="1"/>
      <c r="IKL122" s="1"/>
      <c r="IKM122" s="1"/>
      <c r="IKN122" s="1"/>
      <c r="IKO122" s="1"/>
      <c r="IKP122" s="1"/>
      <c r="IKQ122" s="1"/>
      <c r="IKR122" s="1"/>
      <c r="IKS122" s="1"/>
      <c r="IKT122" s="1"/>
      <c r="IKU122" s="1"/>
      <c r="IKV122" s="1"/>
      <c r="IKW122" s="1"/>
      <c r="IKX122" s="1"/>
      <c r="IKY122" s="1"/>
      <c r="IKZ122" s="1"/>
      <c r="ILA122" s="1"/>
      <c r="ILB122" s="1"/>
      <c r="ILC122" s="1"/>
      <c r="ILD122" s="1"/>
      <c r="ILE122" s="1"/>
      <c r="ILF122" s="1"/>
      <c r="ILG122" s="1"/>
      <c r="ILH122" s="1"/>
      <c r="ILI122" s="1"/>
      <c r="ILJ122" s="1"/>
      <c r="ILK122" s="1"/>
      <c r="ILL122" s="1"/>
      <c r="ILM122" s="1"/>
      <c r="ILN122" s="1"/>
      <c r="ILO122" s="1"/>
      <c r="ILP122" s="1"/>
      <c r="ILQ122" s="1"/>
      <c r="ILR122" s="1"/>
      <c r="ILS122" s="1"/>
      <c r="ILT122" s="1"/>
      <c r="ILU122" s="1"/>
      <c r="ILV122" s="1"/>
      <c r="ILW122" s="1"/>
      <c r="ILX122" s="1"/>
      <c r="ILY122" s="1"/>
      <c r="ILZ122" s="1"/>
      <c r="IMA122" s="1"/>
      <c r="IMB122" s="1"/>
      <c r="IMC122" s="1"/>
      <c r="IMD122" s="1"/>
      <c r="IME122" s="1"/>
      <c r="IMF122" s="1"/>
      <c r="IMG122" s="1"/>
      <c r="IMH122" s="1"/>
      <c r="IMI122" s="1"/>
      <c r="IMJ122" s="1"/>
      <c r="IMK122" s="1"/>
      <c r="IML122" s="1"/>
      <c r="IMM122" s="1"/>
      <c r="IMN122" s="1"/>
      <c r="IMO122" s="1"/>
      <c r="IMP122" s="1"/>
      <c r="IMQ122" s="1"/>
      <c r="IMR122" s="1"/>
      <c r="IMS122" s="1"/>
      <c r="IMT122" s="1"/>
      <c r="IMU122" s="1"/>
      <c r="IMV122" s="1"/>
      <c r="IMW122" s="1"/>
      <c r="IMX122" s="1"/>
      <c r="IMY122" s="1"/>
      <c r="IMZ122" s="1"/>
      <c r="INA122" s="1"/>
      <c r="INB122" s="1"/>
      <c r="INC122" s="1"/>
      <c r="IND122" s="1"/>
      <c r="INE122" s="1"/>
      <c r="INF122" s="1"/>
      <c r="ING122" s="1"/>
      <c r="INH122" s="1"/>
      <c r="INI122" s="1"/>
      <c r="INJ122" s="1"/>
      <c r="INK122" s="1"/>
      <c r="INL122" s="1"/>
      <c r="INM122" s="1"/>
      <c r="INN122" s="1"/>
      <c r="INO122" s="1"/>
      <c r="INP122" s="1"/>
      <c r="INQ122" s="1"/>
      <c r="INR122" s="1"/>
      <c r="INS122" s="1"/>
      <c r="INT122" s="1"/>
      <c r="INU122" s="1"/>
      <c r="INV122" s="1"/>
      <c r="INW122" s="1"/>
      <c r="INX122" s="1"/>
      <c r="INY122" s="1"/>
      <c r="INZ122" s="1"/>
      <c r="IOA122" s="1"/>
      <c r="IOB122" s="1"/>
      <c r="IOC122" s="1"/>
      <c r="IOD122" s="1"/>
      <c r="IOE122" s="1"/>
      <c r="IOF122" s="1"/>
      <c r="IOG122" s="1"/>
      <c r="IOH122" s="1"/>
      <c r="IOI122" s="1"/>
      <c r="IOJ122" s="1"/>
      <c r="IOK122" s="1"/>
      <c r="IOL122" s="1"/>
      <c r="IOM122" s="1"/>
      <c r="ION122" s="1"/>
      <c r="IOO122" s="1"/>
      <c r="IOP122" s="1"/>
      <c r="IOQ122" s="1"/>
      <c r="IOR122" s="1"/>
      <c r="IOS122" s="1"/>
      <c r="IOT122" s="1"/>
      <c r="IOU122" s="1"/>
      <c r="IOV122" s="1"/>
      <c r="IOW122" s="1"/>
      <c r="IOX122" s="1"/>
      <c r="IOY122" s="1"/>
      <c r="IOZ122" s="1"/>
      <c r="IPA122" s="1"/>
      <c r="IPB122" s="1"/>
      <c r="IPC122" s="1"/>
      <c r="IPD122" s="1"/>
      <c r="IPE122" s="1"/>
      <c r="IPF122" s="1"/>
      <c r="IPG122" s="1"/>
      <c r="IPH122" s="1"/>
      <c r="IPI122" s="1"/>
      <c r="IPJ122" s="1"/>
      <c r="IPK122" s="1"/>
      <c r="IPL122" s="1"/>
      <c r="IPM122" s="1"/>
      <c r="IPN122" s="1"/>
      <c r="IPO122" s="1"/>
      <c r="IPP122" s="1"/>
      <c r="IPQ122" s="1"/>
      <c r="IPR122" s="1"/>
      <c r="IPS122" s="1"/>
      <c r="IPT122" s="1"/>
      <c r="IPU122" s="1"/>
      <c r="IPV122" s="1"/>
      <c r="IPW122" s="1"/>
      <c r="IPX122" s="1"/>
      <c r="IPY122" s="1"/>
      <c r="IPZ122" s="1"/>
      <c r="IQA122" s="1"/>
      <c r="IQB122" s="1"/>
      <c r="IQC122" s="1"/>
      <c r="IQD122" s="1"/>
      <c r="IQE122" s="1"/>
      <c r="IQF122" s="1"/>
      <c r="IQG122" s="1"/>
      <c r="IQH122" s="1"/>
      <c r="IQI122" s="1"/>
      <c r="IQJ122" s="1"/>
      <c r="IQK122" s="1"/>
      <c r="IQL122" s="1"/>
      <c r="IQM122" s="1"/>
      <c r="IQN122" s="1"/>
      <c r="IQO122" s="1"/>
      <c r="IQP122" s="1"/>
      <c r="IQQ122" s="1"/>
      <c r="IQR122" s="1"/>
      <c r="IQS122" s="1"/>
      <c r="IQT122" s="1"/>
      <c r="IQU122" s="1"/>
      <c r="IQV122" s="1"/>
      <c r="IQW122" s="1"/>
      <c r="IQX122" s="1"/>
      <c r="IQY122" s="1"/>
      <c r="IQZ122" s="1"/>
      <c r="IRA122" s="1"/>
      <c r="IRB122" s="1"/>
      <c r="IRC122" s="1"/>
      <c r="IRD122" s="1"/>
      <c r="IRE122" s="1"/>
      <c r="IRF122" s="1"/>
      <c r="IRG122" s="1"/>
      <c r="IRH122" s="1"/>
      <c r="IRI122" s="1"/>
      <c r="IRJ122" s="1"/>
      <c r="IRK122" s="1"/>
      <c r="IRL122" s="1"/>
      <c r="IRM122" s="1"/>
      <c r="IRN122" s="1"/>
      <c r="IRO122" s="1"/>
      <c r="IRP122" s="1"/>
      <c r="IRQ122" s="1"/>
      <c r="IRR122" s="1"/>
      <c r="IRS122" s="1"/>
      <c r="IRT122" s="1"/>
      <c r="IRU122" s="1"/>
      <c r="IRV122" s="1"/>
      <c r="IRW122" s="1"/>
      <c r="IRX122" s="1"/>
      <c r="IRY122" s="1"/>
      <c r="IRZ122" s="1"/>
      <c r="ISA122" s="1"/>
      <c r="ISB122" s="1"/>
      <c r="ISC122" s="1"/>
      <c r="ISD122" s="1"/>
      <c r="ISE122" s="1"/>
      <c r="ISF122" s="1"/>
      <c r="ISG122" s="1"/>
      <c r="ISH122" s="1"/>
      <c r="ISI122" s="1"/>
      <c r="ISJ122" s="1"/>
      <c r="ISK122" s="1"/>
      <c r="ISL122" s="1"/>
      <c r="ISM122" s="1"/>
      <c r="ISN122" s="1"/>
      <c r="ISO122" s="1"/>
      <c r="ISP122" s="1"/>
      <c r="ISQ122" s="1"/>
      <c r="ISR122" s="1"/>
      <c r="ISS122" s="1"/>
      <c r="IST122" s="1"/>
      <c r="ISU122" s="1"/>
      <c r="ISV122" s="1"/>
      <c r="ISW122" s="1"/>
      <c r="ISX122" s="1"/>
      <c r="ISY122" s="1"/>
      <c r="ISZ122" s="1"/>
      <c r="ITA122" s="1"/>
      <c r="ITB122" s="1"/>
      <c r="ITC122" s="1"/>
      <c r="ITD122" s="1"/>
      <c r="ITE122" s="1"/>
      <c r="ITF122" s="1"/>
      <c r="ITG122" s="1"/>
      <c r="ITH122" s="1"/>
      <c r="ITI122" s="1"/>
      <c r="ITJ122" s="1"/>
      <c r="ITK122" s="1"/>
      <c r="ITL122" s="1"/>
      <c r="ITM122" s="1"/>
      <c r="ITN122" s="1"/>
      <c r="ITO122" s="1"/>
      <c r="ITP122" s="1"/>
      <c r="ITQ122" s="1"/>
      <c r="ITR122" s="1"/>
      <c r="ITS122" s="1"/>
      <c r="ITT122" s="1"/>
      <c r="ITU122" s="1"/>
      <c r="ITV122" s="1"/>
      <c r="ITW122" s="1"/>
      <c r="ITX122" s="1"/>
      <c r="ITY122" s="1"/>
      <c r="ITZ122" s="1"/>
      <c r="IUA122" s="1"/>
      <c r="IUB122" s="1"/>
      <c r="IUC122" s="1"/>
      <c r="IUD122" s="1"/>
      <c r="IUE122" s="1"/>
      <c r="IUF122" s="1"/>
      <c r="IUG122" s="1"/>
      <c r="IUH122" s="1"/>
      <c r="IUI122" s="1"/>
      <c r="IUJ122" s="1"/>
      <c r="IUK122" s="1"/>
      <c r="IUL122" s="1"/>
      <c r="IUM122" s="1"/>
      <c r="IUN122" s="1"/>
      <c r="IUO122" s="1"/>
      <c r="IUP122" s="1"/>
      <c r="IUQ122" s="1"/>
      <c r="IUR122" s="1"/>
      <c r="IUS122" s="1"/>
      <c r="IUT122" s="1"/>
      <c r="IUU122" s="1"/>
      <c r="IUV122" s="1"/>
      <c r="IUW122" s="1"/>
      <c r="IUX122" s="1"/>
      <c r="IUY122" s="1"/>
      <c r="IUZ122" s="1"/>
      <c r="IVA122" s="1"/>
      <c r="IVB122" s="1"/>
      <c r="IVC122" s="1"/>
      <c r="IVD122" s="1"/>
      <c r="IVE122" s="1"/>
      <c r="IVF122" s="1"/>
      <c r="IVG122" s="1"/>
      <c r="IVH122" s="1"/>
      <c r="IVI122" s="1"/>
      <c r="IVJ122" s="1"/>
      <c r="IVK122" s="1"/>
      <c r="IVL122" s="1"/>
      <c r="IVM122" s="1"/>
      <c r="IVN122" s="1"/>
      <c r="IVO122" s="1"/>
      <c r="IVP122" s="1"/>
      <c r="IVQ122" s="1"/>
      <c r="IVR122" s="1"/>
      <c r="IVS122" s="1"/>
      <c r="IVT122" s="1"/>
      <c r="IVU122" s="1"/>
      <c r="IVV122" s="1"/>
      <c r="IVW122" s="1"/>
      <c r="IVX122" s="1"/>
      <c r="IVY122" s="1"/>
      <c r="IVZ122" s="1"/>
      <c r="IWA122" s="1"/>
      <c r="IWB122" s="1"/>
      <c r="IWC122" s="1"/>
      <c r="IWD122" s="1"/>
      <c r="IWE122" s="1"/>
      <c r="IWF122" s="1"/>
      <c r="IWG122" s="1"/>
      <c r="IWH122" s="1"/>
      <c r="IWI122" s="1"/>
      <c r="IWJ122" s="1"/>
      <c r="IWK122" s="1"/>
      <c r="IWL122" s="1"/>
      <c r="IWM122" s="1"/>
      <c r="IWN122" s="1"/>
      <c r="IWO122" s="1"/>
      <c r="IWP122" s="1"/>
      <c r="IWQ122" s="1"/>
      <c r="IWR122" s="1"/>
      <c r="IWS122" s="1"/>
      <c r="IWT122" s="1"/>
      <c r="IWU122" s="1"/>
      <c r="IWV122" s="1"/>
      <c r="IWW122" s="1"/>
      <c r="IWX122" s="1"/>
      <c r="IWY122" s="1"/>
      <c r="IWZ122" s="1"/>
      <c r="IXA122" s="1"/>
      <c r="IXB122" s="1"/>
      <c r="IXC122" s="1"/>
      <c r="IXD122" s="1"/>
      <c r="IXE122" s="1"/>
      <c r="IXF122" s="1"/>
      <c r="IXG122" s="1"/>
      <c r="IXH122" s="1"/>
      <c r="IXI122" s="1"/>
      <c r="IXJ122" s="1"/>
      <c r="IXK122" s="1"/>
      <c r="IXL122" s="1"/>
      <c r="IXM122" s="1"/>
      <c r="IXN122" s="1"/>
      <c r="IXO122" s="1"/>
      <c r="IXP122" s="1"/>
      <c r="IXQ122" s="1"/>
      <c r="IXR122" s="1"/>
      <c r="IXS122" s="1"/>
      <c r="IXT122" s="1"/>
      <c r="IXU122" s="1"/>
      <c r="IXV122" s="1"/>
      <c r="IXW122" s="1"/>
      <c r="IXX122" s="1"/>
      <c r="IXY122" s="1"/>
      <c r="IXZ122" s="1"/>
      <c r="IYA122" s="1"/>
      <c r="IYB122" s="1"/>
      <c r="IYC122" s="1"/>
      <c r="IYD122" s="1"/>
      <c r="IYE122" s="1"/>
      <c r="IYF122" s="1"/>
      <c r="IYG122" s="1"/>
      <c r="IYH122" s="1"/>
      <c r="IYI122" s="1"/>
      <c r="IYJ122" s="1"/>
      <c r="IYK122" s="1"/>
      <c r="IYL122" s="1"/>
      <c r="IYM122" s="1"/>
      <c r="IYN122" s="1"/>
      <c r="IYO122" s="1"/>
      <c r="IYP122" s="1"/>
      <c r="IYQ122" s="1"/>
      <c r="IYR122" s="1"/>
      <c r="IYS122" s="1"/>
      <c r="IYT122" s="1"/>
      <c r="IYU122" s="1"/>
      <c r="IYV122" s="1"/>
      <c r="IYW122" s="1"/>
      <c r="IYX122" s="1"/>
      <c r="IYY122" s="1"/>
      <c r="IYZ122" s="1"/>
      <c r="IZA122" s="1"/>
      <c r="IZB122" s="1"/>
      <c r="IZC122" s="1"/>
      <c r="IZD122" s="1"/>
      <c r="IZE122" s="1"/>
      <c r="IZF122" s="1"/>
      <c r="IZG122" s="1"/>
      <c r="IZH122" s="1"/>
      <c r="IZI122" s="1"/>
      <c r="IZJ122" s="1"/>
      <c r="IZK122" s="1"/>
      <c r="IZL122" s="1"/>
      <c r="IZM122" s="1"/>
      <c r="IZN122" s="1"/>
      <c r="IZO122" s="1"/>
      <c r="IZP122" s="1"/>
      <c r="IZQ122" s="1"/>
      <c r="IZR122" s="1"/>
      <c r="IZS122" s="1"/>
      <c r="IZT122" s="1"/>
      <c r="IZU122" s="1"/>
      <c r="IZV122" s="1"/>
      <c r="IZW122" s="1"/>
      <c r="IZX122" s="1"/>
      <c r="IZY122" s="1"/>
      <c r="IZZ122" s="1"/>
      <c r="JAA122" s="1"/>
      <c r="JAB122" s="1"/>
      <c r="JAC122" s="1"/>
      <c r="JAD122" s="1"/>
      <c r="JAE122" s="1"/>
      <c r="JAF122" s="1"/>
      <c r="JAG122" s="1"/>
      <c r="JAH122" s="1"/>
      <c r="JAI122" s="1"/>
      <c r="JAJ122" s="1"/>
      <c r="JAK122" s="1"/>
      <c r="JAL122" s="1"/>
      <c r="JAM122" s="1"/>
      <c r="JAN122" s="1"/>
      <c r="JAO122" s="1"/>
      <c r="JAP122" s="1"/>
      <c r="JAQ122" s="1"/>
      <c r="JAR122" s="1"/>
      <c r="JAS122" s="1"/>
      <c r="JAT122" s="1"/>
      <c r="JAU122" s="1"/>
      <c r="JAV122" s="1"/>
      <c r="JAW122" s="1"/>
      <c r="JAX122" s="1"/>
      <c r="JAY122" s="1"/>
      <c r="JAZ122" s="1"/>
      <c r="JBA122" s="1"/>
      <c r="JBB122" s="1"/>
      <c r="JBC122" s="1"/>
      <c r="JBD122" s="1"/>
      <c r="JBE122" s="1"/>
      <c r="JBF122" s="1"/>
      <c r="JBG122" s="1"/>
      <c r="JBH122" s="1"/>
      <c r="JBI122" s="1"/>
      <c r="JBJ122" s="1"/>
      <c r="JBK122" s="1"/>
      <c r="JBL122" s="1"/>
      <c r="JBM122" s="1"/>
      <c r="JBN122" s="1"/>
      <c r="JBO122" s="1"/>
      <c r="JBP122" s="1"/>
      <c r="JBQ122" s="1"/>
      <c r="JBR122" s="1"/>
      <c r="JBS122" s="1"/>
      <c r="JBT122" s="1"/>
      <c r="JBU122" s="1"/>
      <c r="JBV122" s="1"/>
      <c r="JBW122" s="1"/>
      <c r="JBX122" s="1"/>
      <c r="JBY122" s="1"/>
      <c r="JBZ122" s="1"/>
      <c r="JCA122" s="1"/>
      <c r="JCB122" s="1"/>
      <c r="JCC122" s="1"/>
      <c r="JCD122" s="1"/>
      <c r="JCE122" s="1"/>
      <c r="JCF122" s="1"/>
      <c r="JCG122" s="1"/>
      <c r="JCH122" s="1"/>
      <c r="JCI122" s="1"/>
      <c r="JCJ122" s="1"/>
      <c r="JCK122" s="1"/>
      <c r="JCL122" s="1"/>
      <c r="JCM122" s="1"/>
      <c r="JCN122" s="1"/>
      <c r="JCO122" s="1"/>
      <c r="JCP122" s="1"/>
      <c r="JCQ122" s="1"/>
      <c r="JCR122" s="1"/>
      <c r="JCS122" s="1"/>
      <c r="JCT122" s="1"/>
      <c r="JCU122" s="1"/>
      <c r="JCV122" s="1"/>
      <c r="JCW122" s="1"/>
      <c r="JCX122" s="1"/>
      <c r="JCY122" s="1"/>
      <c r="JCZ122" s="1"/>
      <c r="JDA122" s="1"/>
      <c r="JDB122" s="1"/>
      <c r="JDC122" s="1"/>
      <c r="JDD122" s="1"/>
      <c r="JDE122" s="1"/>
      <c r="JDF122" s="1"/>
      <c r="JDG122" s="1"/>
      <c r="JDH122" s="1"/>
      <c r="JDI122" s="1"/>
      <c r="JDJ122" s="1"/>
      <c r="JDK122" s="1"/>
      <c r="JDL122" s="1"/>
      <c r="JDM122" s="1"/>
      <c r="JDN122" s="1"/>
      <c r="JDO122" s="1"/>
      <c r="JDP122" s="1"/>
      <c r="JDQ122" s="1"/>
      <c r="JDR122" s="1"/>
      <c r="JDS122" s="1"/>
      <c r="JDT122" s="1"/>
      <c r="JDU122" s="1"/>
      <c r="JDV122" s="1"/>
      <c r="JDW122" s="1"/>
      <c r="JDX122" s="1"/>
      <c r="JDY122" s="1"/>
      <c r="JDZ122" s="1"/>
      <c r="JEA122" s="1"/>
      <c r="JEB122" s="1"/>
      <c r="JEC122" s="1"/>
      <c r="JED122" s="1"/>
      <c r="JEE122" s="1"/>
      <c r="JEF122" s="1"/>
      <c r="JEG122" s="1"/>
      <c r="JEH122" s="1"/>
      <c r="JEI122" s="1"/>
      <c r="JEJ122" s="1"/>
      <c r="JEK122" s="1"/>
      <c r="JEL122" s="1"/>
      <c r="JEM122" s="1"/>
      <c r="JEN122" s="1"/>
      <c r="JEO122" s="1"/>
      <c r="JEP122" s="1"/>
      <c r="JEQ122" s="1"/>
      <c r="JER122" s="1"/>
      <c r="JES122" s="1"/>
      <c r="JET122" s="1"/>
      <c r="JEU122" s="1"/>
      <c r="JEV122" s="1"/>
      <c r="JEW122" s="1"/>
      <c r="JEX122" s="1"/>
      <c r="JEY122" s="1"/>
      <c r="JEZ122" s="1"/>
      <c r="JFA122" s="1"/>
      <c r="JFB122" s="1"/>
      <c r="JFC122" s="1"/>
      <c r="JFD122" s="1"/>
      <c r="JFE122" s="1"/>
      <c r="JFF122" s="1"/>
      <c r="JFG122" s="1"/>
      <c r="JFH122" s="1"/>
      <c r="JFI122" s="1"/>
      <c r="JFJ122" s="1"/>
      <c r="JFK122" s="1"/>
      <c r="JFL122" s="1"/>
      <c r="JFM122" s="1"/>
      <c r="JFN122" s="1"/>
      <c r="JFO122" s="1"/>
      <c r="JFP122" s="1"/>
      <c r="JFQ122" s="1"/>
      <c r="JFR122" s="1"/>
      <c r="JFS122" s="1"/>
      <c r="JFT122" s="1"/>
      <c r="JFU122" s="1"/>
      <c r="JFV122" s="1"/>
      <c r="JFW122" s="1"/>
      <c r="JFX122" s="1"/>
      <c r="JFY122" s="1"/>
      <c r="JFZ122" s="1"/>
      <c r="JGA122" s="1"/>
      <c r="JGB122" s="1"/>
      <c r="JGC122" s="1"/>
      <c r="JGD122" s="1"/>
      <c r="JGE122" s="1"/>
      <c r="JGF122" s="1"/>
      <c r="JGG122" s="1"/>
      <c r="JGH122" s="1"/>
      <c r="JGI122" s="1"/>
      <c r="JGJ122" s="1"/>
      <c r="JGK122" s="1"/>
      <c r="JGL122" s="1"/>
      <c r="JGM122" s="1"/>
      <c r="JGN122" s="1"/>
      <c r="JGO122" s="1"/>
      <c r="JGP122" s="1"/>
      <c r="JGQ122" s="1"/>
      <c r="JGR122" s="1"/>
      <c r="JGS122" s="1"/>
      <c r="JGT122" s="1"/>
      <c r="JGU122" s="1"/>
      <c r="JGV122" s="1"/>
      <c r="JGW122" s="1"/>
      <c r="JGX122" s="1"/>
      <c r="JGY122" s="1"/>
      <c r="JGZ122" s="1"/>
      <c r="JHA122" s="1"/>
      <c r="JHB122" s="1"/>
      <c r="JHC122" s="1"/>
      <c r="JHD122" s="1"/>
      <c r="JHE122" s="1"/>
      <c r="JHF122" s="1"/>
      <c r="JHG122" s="1"/>
      <c r="JHH122" s="1"/>
      <c r="JHI122" s="1"/>
      <c r="JHJ122" s="1"/>
      <c r="JHK122" s="1"/>
      <c r="JHL122" s="1"/>
      <c r="JHM122" s="1"/>
      <c r="JHN122" s="1"/>
      <c r="JHO122" s="1"/>
      <c r="JHP122" s="1"/>
      <c r="JHQ122" s="1"/>
      <c r="JHR122" s="1"/>
      <c r="JHS122" s="1"/>
      <c r="JHT122" s="1"/>
      <c r="JHU122" s="1"/>
      <c r="JHV122" s="1"/>
      <c r="JHW122" s="1"/>
      <c r="JHX122" s="1"/>
      <c r="JHY122" s="1"/>
      <c r="JHZ122" s="1"/>
      <c r="JIA122" s="1"/>
      <c r="JIB122" s="1"/>
      <c r="JIC122" s="1"/>
      <c r="JID122" s="1"/>
      <c r="JIE122" s="1"/>
      <c r="JIF122" s="1"/>
      <c r="JIG122" s="1"/>
      <c r="JIH122" s="1"/>
      <c r="JII122" s="1"/>
      <c r="JIJ122" s="1"/>
      <c r="JIK122" s="1"/>
      <c r="JIL122" s="1"/>
      <c r="JIM122" s="1"/>
      <c r="JIN122" s="1"/>
      <c r="JIO122" s="1"/>
      <c r="JIP122" s="1"/>
      <c r="JIQ122" s="1"/>
      <c r="JIR122" s="1"/>
      <c r="JIS122" s="1"/>
      <c r="JIT122" s="1"/>
      <c r="JIU122" s="1"/>
      <c r="JIV122" s="1"/>
      <c r="JIW122" s="1"/>
      <c r="JIX122" s="1"/>
      <c r="JIY122" s="1"/>
      <c r="JIZ122" s="1"/>
      <c r="JJA122" s="1"/>
      <c r="JJB122" s="1"/>
      <c r="JJC122" s="1"/>
      <c r="JJD122" s="1"/>
      <c r="JJE122" s="1"/>
      <c r="JJF122" s="1"/>
      <c r="JJG122" s="1"/>
      <c r="JJH122" s="1"/>
      <c r="JJI122" s="1"/>
      <c r="JJJ122" s="1"/>
      <c r="JJK122" s="1"/>
      <c r="JJL122" s="1"/>
      <c r="JJM122" s="1"/>
      <c r="JJN122" s="1"/>
      <c r="JJO122" s="1"/>
      <c r="JJP122" s="1"/>
      <c r="JJQ122" s="1"/>
      <c r="JJR122" s="1"/>
      <c r="JJS122" s="1"/>
      <c r="JJT122" s="1"/>
      <c r="JJU122" s="1"/>
      <c r="JJV122" s="1"/>
      <c r="JJW122" s="1"/>
      <c r="JJX122" s="1"/>
      <c r="JJY122" s="1"/>
      <c r="JJZ122" s="1"/>
      <c r="JKA122" s="1"/>
      <c r="JKB122" s="1"/>
      <c r="JKC122" s="1"/>
      <c r="JKD122" s="1"/>
      <c r="JKE122" s="1"/>
      <c r="JKF122" s="1"/>
      <c r="JKG122" s="1"/>
      <c r="JKH122" s="1"/>
      <c r="JKI122" s="1"/>
      <c r="JKJ122" s="1"/>
      <c r="JKK122" s="1"/>
      <c r="JKL122" s="1"/>
      <c r="JKM122" s="1"/>
      <c r="JKN122" s="1"/>
      <c r="JKO122" s="1"/>
      <c r="JKP122" s="1"/>
      <c r="JKQ122" s="1"/>
      <c r="JKR122" s="1"/>
      <c r="JKS122" s="1"/>
      <c r="JKT122" s="1"/>
      <c r="JKU122" s="1"/>
      <c r="JKV122" s="1"/>
      <c r="JKW122" s="1"/>
      <c r="JKX122" s="1"/>
      <c r="JKY122" s="1"/>
      <c r="JKZ122" s="1"/>
      <c r="JLA122" s="1"/>
      <c r="JLB122" s="1"/>
      <c r="JLC122" s="1"/>
      <c r="JLD122" s="1"/>
      <c r="JLE122" s="1"/>
      <c r="JLF122" s="1"/>
      <c r="JLG122" s="1"/>
      <c r="JLH122" s="1"/>
      <c r="JLI122" s="1"/>
      <c r="JLJ122" s="1"/>
      <c r="JLK122" s="1"/>
      <c r="JLL122" s="1"/>
      <c r="JLM122" s="1"/>
      <c r="JLN122" s="1"/>
      <c r="JLO122" s="1"/>
      <c r="JLP122" s="1"/>
      <c r="JLQ122" s="1"/>
      <c r="JLR122" s="1"/>
      <c r="JLS122" s="1"/>
      <c r="JLT122" s="1"/>
      <c r="JLU122" s="1"/>
      <c r="JLV122" s="1"/>
      <c r="JLW122" s="1"/>
      <c r="JLX122" s="1"/>
      <c r="JLY122" s="1"/>
      <c r="JLZ122" s="1"/>
      <c r="JMA122" s="1"/>
      <c r="JMB122" s="1"/>
      <c r="JMC122" s="1"/>
      <c r="JMD122" s="1"/>
      <c r="JME122" s="1"/>
      <c r="JMF122" s="1"/>
      <c r="JMG122" s="1"/>
      <c r="JMH122" s="1"/>
      <c r="JMI122" s="1"/>
      <c r="JMJ122" s="1"/>
      <c r="JMK122" s="1"/>
      <c r="JML122" s="1"/>
      <c r="JMM122" s="1"/>
      <c r="JMN122" s="1"/>
      <c r="JMO122" s="1"/>
      <c r="JMP122" s="1"/>
      <c r="JMQ122" s="1"/>
      <c r="JMR122" s="1"/>
      <c r="JMS122" s="1"/>
      <c r="JMT122" s="1"/>
      <c r="JMU122" s="1"/>
      <c r="JMV122" s="1"/>
      <c r="JMW122" s="1"/>
      <c r="JMX122" s="1"/>
      <c r="JMY122" s="1"/>
      <c r="JMZ122" s="1"/>
      <c r="JNA122" s="1"/>
      <c r="JNB122" s="1"/>
      <c r="JNC122" s="1"/>
      <c r="JND122" s="1"/>
      <c r="JNE122" s="1"/>
      <c r="JNF122" s="1"/>
      <c r="JNG122" s="1"/>
      <c r="JNH122" s="1"/>
      <c r="JNI122" s="1"/>
      <c r="JNJ122" s="1"/>
      <c r="JNK122" s="1"/>
      <c r="JNL122" s="1"/>
      <c r="JNM122" s="1"/>
      <c r="JNN122" s="1"/>
      <c r="JNO122" s="1"/>
      <c r="JNP122" s="1"/>
      <c r="JNQ122" s="1"/>
      <c r="JNR122" s="1"/>
      <c r="JNS122" s="1"/>
      <c r="JNT122" s="1"/>
      <c r="JNU122" s="1"/>
      <c r="JNV122" s="1"/>
      <c r="JNW122" s="1"/>
      <c r="JNX122" s="1"/>
      <c r="JNY122" s="1"/>
      <c r="JNZ122" s="1"/>
      <c r="JOA122" s="1"/>
      <c r="JOB122" s="1"/>
      <c r="JOC122" s="1"/>
      <c r="JOD122" s="1"/>
      <c r="JOE122" s="1"/>
      <c r="JOF122" s="1"/>
      <c r="JOG122" s="1"/>
      <c r="JOH122" s="1"/>
      <c r="JOI122" s="1"/>
      <c r="JOJ122" s="1"/>
      <c r="JOK122" s="1"/>
      <c r="JOL122" s="1"/>
      <c r="JOM122" s="1"/>
      <c r="JON122" s="1"/>
      <c r="JOO122" s="1"/>
      <c r="JOP122" s="1"/>
      <c r="JOQ122" s="1"/>
      <c r="JOR122" s="1"/>
      <c r="JOS122" s="1"/>
      <c r="JOT122" s="1"/>
      <c r="JOU122" s="1"/>
      <c r="JOV122" s="1"/>
      <c r="JOW122" s="1"/>
      <c r="JOX122" s="1"/>
      <c r="JOY122" s="1"/>
      <c r="JOZ122" s="1"/>
      <c r="JPA122" s="1"/>
      <c r="JPB122" s="1"/>
      <c r="JPC122" s="1"/>
      <c r="JPD122" s="1"/>
      <c r="JPE122" s="1"/>
      <c r="JPF122" s="1"/>
      <c r="JPG122" s="1"/>
      <c r="JPH122" s="1"/>
      <c r="JPI122" s="1"/>
      <c r="JPJ122" s="1"/>
      <c r="JPK122" s="1"/>
      <c r="JPL122" s="1"/>
      <c r="JPM122" s="1"/>
      <c r="JPN122" s="1"/>
      <c r="JPO122" s="1"/>
      <c r="JPP122" s="1"/>
      <c r="JPQ122" s="1"/>
      <c r="JPR122" s="1"/>
      <c r="JPS122" s="1"/>
      <c r="JPT122" s="1"/>
      <c r="JPU122" s="1"/>
      <c r="JPV122" s="1"/>
      <c r="JPW122" s="1"/>
      <c r="JPX122" s="1"/>
      <c r="JPY122" s="1"/>
      <c r="JPZ122" s="1"/>
      <c r="JQA122" s="1"/>
      <c r="JQB122" s="1"/>
      <c r="JQC122" s="1"/>
      <c r="JQD122" s="1"/>
      <c r="JQE122" s="1"/>
      <c r="JQF122" s="1"/>
      <c r="JQG122" s="1"/>
      <c r="JQH122" s="1"/>
      <c r="JQI122" s="1"/>
      <c r="JQJ122" s="1"/>
      <c r="JQK122" s="1"/>
      <c r="JQL122" s="1"/>
      <c r="JQM122" s="1"/>
      <c r="JQN122" s="1"/>
      <c r="JQO122" s="1"/>
      <c r="JQP122" s="1"/>
      <c r="JQQ122" s="1"/>
      <c r="JQR122" s="1"/>
      <c r="JQS122" s="1"/>
      <c r="JQT122" s="1"/>
      <c r="JQU122" s="1"/>
      <c r="JQV122" s="1"/>
      <c r="JQW122" s="1"/>
      <c r="JQX122" s="1"/>
      <c r="JQY122" s="1"/>
      <c r="JQZ122" s="1"/>
      <c r="JRA122" s="1"/>
      <c r="JRB122" s="1"/>
      <c r="JRC122" s="1"/>
      <c r="JRD122" s="1"/>
      <c r="JRE122" s="1"/>
      <c r="JRF122" s="1"/>
      <c r="JRG122" s="1"/>
      <c r="JRH122" s="1"/>
      <c r="JRI122" s="1"/>
      <c r="JRJ122" s="1"/>
      <c r="JRK122" s="1"/>
      <c r="JRL122" s="1"/>
      <c r="JRM122" s="1"/>
      <c r="JRN122" s="1"/>
      <c r="JRO122" s="1"/>
      <c r="JRP122" s="1"/>
      <c r="JRQ122" s="1"/>
      <c r="JRR122" s="1"/>
      <c r="JRS122" s="1"/>
      <c r="JRT122" s="1"/>
      <c r="JRU122" s="1"/>
      <c r="JRV122" s="1"/>
      <c r="JRW122" s="1"/>
      <c r="JRX122" s="1"/>
      <c r="JRY122" s="1"/>
      <c r="JRZ122" s="1"/>
      <c r="JSA122" s="1"/>
      <c r="JSB122" s="1"/>
      <c r="JSC122" s="1"/>
      <c r="JSD122" s="1"/>
      <c r="JSE122" s="1"/>
      <c r="JSF122" s="1"/>
      <c r="JSG122" s="1"/>
      <c r="JSH122" s="1"/>
      <c r="JSI122" s="1"/>
      <c r="JSJ122" s="1"/>
      <c r="JSK122" s="1"/>
      <c r="JSL122" s="1"/>
      <c r="JSM122" s="1"/>
      <c r="JSN122" s="1"/>
      <c r="JSO122" s="1"/>
      <c r="JSP122" s="1"/>
      <c r="JSQ122" s="1"/>
      <c r="JSR122" s="1"/>
      <c r="JSS122" s="1"/>
      <c r="JST122" s="1"/>
      <c r="JSU122" s="1"/>
      <c r="JSV122" s="1"/>
      <c r="JSW122" s="1"/>
      <c r="JSX122" s="1"/>
      <c r="JSY122" s="1"/>
      <c r="JSZ122" s="1"/>
      <c r="JTA122" s="1"/>
      <c r="JTB122" s="1"/>
      <c r="JTC122" s="1"/>
      <c r="JTD122" s="1"/>
      <c r="JTE122" s="1"/>
      <c r="JTF122" s="1"/>
      <c r="JTG122" s="1"/>
      <c r="JTH122" s="1"/>
      <c r="JTI122" s="1"/>
      <c r="JTJ122" s="1"/>
      <c r="JTK122" s="1"/>
      <c r="JTL122" s="1"/>
      <c r="JTM122" s="1"/>
      <c r="JTN122" s="1"/>
      <c r="JTO122" s="1"/>
      <c r="JTP122" s="1"/>
      <c r="JTQ122" s="1"/>
      <c r="JTR122" s="1"/>
      <c r="JTS122" s="1"/>
      <c r="JTT122" s="1"/>
      <c r="JTU122" s="1"/>
      <c r="JTV122" s="1"/>
      <c r="JTW122" s="1"/>
      <c r="JTX122" s="1"/>
      <c r="JTY122" s="1"/>
      <c r="JTZ122" s="1"/>
      <c r="JUA122" s="1"/>
      <c r="JUB122" s="1"/>
      <c r="JUC122" s="1"/>
      <c r="JUD122" s="1"/>
      <c r="JUE122" s="1"/>
      <c r="JUF122" s="1"/>
      <c r="JUG122" s="1"/>
      <c r="JUH122" s="1"/>
      <c r="JUI122" s="1"/>
      <c r="JUJ122" s="1"/>
      <c r="JUK122" s="1"/>
      <c r="JUL122" s="1"/>
      <c r="JUM122" s="1"/>
      <c r="JUN122" s="1"/>
      <c r="JUO122" s="1"/>
      <c r="JUP122" s="1"/>
      <c r="JUQ122" s="1"/>
      <c r="JUR122" s="1"/>
      <c r="JUS122" s="1"/>
      <c r="JUT122" s="1"/>
      <c r="JUU122" s="1"/>
      <c r="JUV122" s="1"/>
      <c r="JUW122" s="1"/>
      <c r="JUX122" s="1"/>
      <c r="JUY122" s="1"/>
      <c r="JUZ122" s="1"/>
      <c r="JVA122" s="1"/>
      <c r="JVB122" s="1"/>
      <c r="JVC122" s="1"/>
      <c r="JVD122" s="1"/>
      <c r="JVE122" s="1"/>
      <c r="JVF122" s="1"/>
      <c r="JVG122" s="1"/>
      <c r="JVH122" s="1"/>
      <c r="JVI122" s="1"/>
      <c r="JVJ122" s="1"/>
      <c r="JVK122" s="1"/>
      <c r="JVL122" s="1"/>
      <c r="JVM122" s="1"/>
      <c r="JVN122" s="1"/>
      <c r="JVO122" s="1"/>
      <c r="JVP122" s="1"/>
      <c r="JVQ122" s="1"/>
      <c r="JVR122" s="1"/>
      <c r="JVS122" s="1"/>
      <c r="JVT122" s="1"/>
      <c r="JVU122" s="1"/>
      <c r="JVV122" s="1"/>
      <c r="JVW122" s="1"/>
      <c r="JVX122" s="1"/>
      <c r="JVY122" s="1"/>
      <c r="JVZ122" s="1"/>
      <c r="JWA122" s="1"/>
      <c r="JWB122" s="1"/>
      <c r="JWC122" s="1"/>
      <c r="JWD122" s="1"/>
      <c r="JWE122" s="1"/>
      <c r="JWF122" s="1"/>
      <c r="JWG122" s="1"/>
      <c r="JWH122" s="1"/>
      <c r="JWI122" s="1"/>
      <c r="JWJ122" s="1"/>
      <c r="JWK122" s="1"/>
      <c r="JWL122" s="1"/>
      <c r="JWM122" s="1"/>
      <c r="JWN122" s="1"/>
      <c r="JWO122" s="1"/>
      <c r="JWP122" s="1"/>
      <c r="JWQ122" s="1"/>
      <c r="JWR122" s="1"/>
      <c r="JWS122" s="1"/>
      <c r="JWT122" s="1"/>
      <c r="JWU122" s="1"/>
      <c r="JWV122" s="1"/>
      <c r="JWW122" s="1"/>
      <c r="JWX122" s="1"/>
      <c r="JWY122" s="1"/>
      <c r="JWZ122" s="1"/>
      <c r="JXA122" s="1"/>
      <c r="JXB122" s="1"/>
      <c r="JXC122" s="1"/>
      <c r="JXD122" s="1"/>
      <c r="JXE122" s="1"/>
      <c r="JXF122" s="1"/>
      <c r="JXG122" s="1"/>
      <c r="JXH122" s="1"/>
      <c r="JXI122" s="1"/>
      <c r="JXJ122" s="1"/>
      <c r="JXK122" s="1"/>
      <c r="JXL122" s="1"/>
      <c r="JXM122" s="1"/>
      <c r="JXN122" s="1"/>
      <c r="JXO122" s="1"/>
      <c r="JXP122" s="1"/>
      <c r="JXQ122" s="1"/>
      <c r="JXR122" s="1"/>
      <c r="JXS122" s="1"/>
      <c r="JXT122" s="1"/>
      <c r="JXU122" s="1"/>
      <c r="JXV122" s="1"/>
      <c r="JXW122" s="1"/>
      <c r="JXX122" s="1"/>
      <c r="JXY122" s="1"/>
      <c r="JXZ122" s="1"/>
      <c r="JYA122" s="1"/>
      <c r="JYB122" s="1"/>
      <c r="JYC122" s="1"/>
      <c r="JYD122" s="1"/>
      <c r="JYE122" s="1"/>
      <c r="JYF122" s="1"/>
      <c r="JYG122" s="1"/>
      <c r="JYH122" s="1"/>
      <c r="JYI122" s="1"/>
      <c r="JYJ122" s="1"/>
      <c r="JYK122" s="1"/>
      <c r="JYL122" s="1"/>
      <c r="JYM122" s="1"/>
      <c r="JYN122" s="1"/>
      <c r="JYO122" s="1"/>
      <c r="JYP122" s="1"/>
      <c r="JYQ122" s="1"/>
      <c r="JYR122" s="1"/>
      <c r="JYS122" s="1"/>
      <c r="JYT122" s="1"/>
      <c r="JYU122" s="1"/>
      <c r="JYV122" s="1"/>
      <c r="JYW122" s="1"/>
      <c r="JYX122" s="1"/>
      <c r="JYY122" s="1"/>
      <c r="JYZ122" s="1"/>
      <c r="JZA122" s="1"/>
      <c r="JZB122" s="1"/>
      <c r="JZC122" s="1"/>
      <c r="JZD122" s="1"/>
      <c r="JZE122" s="1"/>
      <c r="JZF122" s="1"/>
      <c r="JZG122" s="1"/>
      <c r="JZH122" s="1"/>
      <c r="JZI122" s="1"/>
      <c r="JZJ122" s="1"/>
      <c r="JZK122" s="1"/>
      <c r="JZL122" s="1"/>
      <c r="JZM122" s="1"/>
      <c r="JZN122" s="1"/>
      <c r="JZO122" s="1"/>
      <c r="JZP122" s="1"/>
      <c r="JZQ122" s="1"/>
      <c r="JZR122" s="1"/>
      <c r="JZS122" s="1"/>
      <c r="JZT122" s="1"/>
      <c r="JZU122" s="1"/>
      <c r="JZV122" s="1"/>
      <c r="JZW122" s="1"/>
      <c r="JZX122" s="1"/>
      <c r="JZY122" s="1"/>
      <c r="JZZ122" s="1"/>
      <c r="KAA122" s="1"/>
      <c r="KAB122" s="1"/>
      <c r="KAC122" s="1"/>
      <c r="KAD122" s="1"/>
      <c r="KAE122" s="1"/>
      <c r="KAF122" s="1"/>
      <c r="KAG122" s="1"/>
      <c r="KAH122" s="1"/>
      <c r="KAI122" s="1"/>
      <c r="KAJ122" s="1"/>
      <c r="KAK122" s="1"/>
      <c r="KAL122" s="1"/>
      <c r="KAM122" s="1"/>
      <c r="KAN122" s="1"/>
      <c r="KAO122" s="1"/>
      <c r="KAP122" s="1"/>
      <c r="KAQ122" s="1"/>
      <c r="KAR122" s="1"/>
      <c r="KAS122" s="1"/>
      <c r="KAT122" s="1"/>
      <c r="KAU122" s="1"/>
      <c r="KAV122" s="1"/>
      <c r="KAW122" s="1"/>
      <c r="KAX122" s="1"/>
      <c r="KAY122" s="1"/>
      <c r="KAZ122" s="1"/>
      <c r="KBA122" s="1"/>
      <c r="KBB122" s="1"/>
      <c r="KBC122" s="1"/>
      <c r="KBD122" s="1"/>
      <c r="KBE122" s="1"/>
      <c r="KBF122" s="1"/>
      <c r="KBG122" s="1"/>
      <c r="KBH122" s="1"/>
      <c r="KBI122" s="1"/>
      <c r="KBJ122" s="1"/>
      <c r="KBK122" s="1"/>
      <c r="KBL122" s="1"/>
      <c r="KBM122" s="1"/>
      <c r="KBN122" s="1"/>
      <c r="KBO122" s="1"/>
      <c r="KBP122" s="1"/>
      <c r="KBQ122" s="1"/>
      <c r="KBR122" s="1"/>
      <c r="KBS122" s="1"/>
      <c r="KBT122" s="1"/>
      <c r="KBU122" s="1"/>
      <c r="KBV122" s="1"/>
      <c r="KBW122" s="1"/>
      <c r="KBX122" s="1"/>
      <c r="KBY122" s="1"/>
      <c r="KBZ122" s="1"/>
      <c r="KCA122" s="1"/>
      <c r="KCB122" s="1"/>
      <c r="KCC122" s="1"/>
      <c r="KCD122" s="1"/>
      <c r="KCE122" s="1"/>
      <c r="KCF122" s="1"/>
      <c r="KCG122" s="1"/>
      <c r="KCH122" s="1"/>
      <c r="KCI122" s="1"/>
      <c r="KCJ122" s="1"/>
      <c r="KCK122" s="1"/>
      <c r="KCL122" s="1"/>
      <c r="KCM122" s="1"/>
      <c r="KCN122" s="1"/>
      <c r="KCO122" s="1"/>
      <c r="KCP122" s="1"/>
      <c r="KCQ122" s="1"/>
      <c r="KCR122" s="1"/>
      <c r="KCS122" s="1"/>
      <c r="KCT122" s="1"/>
      <c r="KCU122" s="1"/>
      <c r="KCV122" s="1"/>
      <c r="KCW122" s="1"/>
      <c r="KCX122" s="1"/>
      <c r="KCY122" s="1"/>
      <c r="KCZ122" s="1"/>
      <c r="KDA122" s="1"/>
      <c r="KDB122" s="1"/>
      <c r="KDC122" s="1"/>
      <c r="KDD122" s="1"/>
      <c r="KDE122" s="1"/>
      <c r="KDF122" s="1"/>
      <c r="KDG122" s="1"/>
      <c r="KDH122" s="1"/>
      <c r="KDI122" s="1"/>
      <c r="KDJ122" s="1"/>
      <c r="KDK122" s="1"/>
      <c r="KDL122" s="1"/>
      <c r="KDM122" s="1"/>
      <c r="KDN122" s="1"/>
      <c r="KDO122" s="1"/>
      <c r="KDP122" s="1"/>
      <c r="KDQ122" s="1"/>
      <c r="KDR122" s="1"/>
      <c r="KDS122" s="1"/>
      <c r="KDT122" s="1"/>
      <c r="KDU122" s="1"/>
      <c r="KDV122" s="1"/>
      <c r="KDW122" s="1"/>
      <c r="KDX122" s="1"/>
      <c r="KDY122" s="1"/>
      <c r="KDZ122" s="1"/>
      <c r="KEA122" s="1"/>
      <c r="KEB122" s="1"/>
      <c r="KEC122" s="1"/>
      <c r="KED122" s="1"/>
      <c r="KEE122" s="1"/>
      <c r="KEF122" s="1"/>
      <c r="KEG122" s="1"/>
      <c r="KEH122" s="1"/>
      <c r="KEI122" s="1"/>
      <c r="KEJ122" s="1"/>
      <c r="KEK122" s="1"/>
      <c r="KEL122" s="1"/>
      <c r="KEM122" s="1"/>
      <c r="KEN122" s="1"/>
      <c r="KEO122" s="1"/>
      <c r="KEP122" s="1"/>
      <c r="KEQ122" s="1"/>
      <c r="KER122" s="1"/>
      <c r="KES122" s="1"/>
      <c r="KET122" s="1"/>
      <c r="KEU122" s="1"/>
      <c r="KEV122" s="1"/>
      <c r="KEW122" s="1"/>
      <c r="KEX122" s="1"/>
      <c r="KEY122" s="1"/>
      <c r="KEZ122" s="1"/>
      <c r="KFA122" s="1"/>
      <c r="KFB122" s="1"/>
      <c r="KFC122" s="1"/>
      <c r="KFD122" s="1"/>
      <c r="KFE122" s="1"/>
      <c r="KFF122" s="1"/>
      <c r="KFG122" s="1"/>
      <c r="KFH122" s="1"/>
      <c r="KFI122" s="1"/>
      <c r="KFJ122" s="1"/>
      <c r="KFK122" s="1"/>
      <c r="KFL122" s="1"/>
      <c r="KFM122" s="1"/>
      <c r="KFN122" s="1"/>
      <c r="KFO122" s="1"/>
      <c r="KFP122" s="1"/>
      <c r="KFQ122" s="1"/>
      <c r="KFR122" s="1"/>
      <c r="KFS122" s="1"/>
      <c r="KFT122" s="1"/>
      <c r="KFU122" s="1"/>
      <c r="KFV122" s="1"/>
      <c r="KFW122" s="1"/>
      <c r="KFX122" s="1"/>
      <c r="KFY122" s="1"/>
      <c r="KFZ122" s="1"/>
      <c r="KGA122" s="1"/>
      <c r="KGB122" s="1"/>
      <c r="KGC122" s="1"/>
      <c r="KGD122" s="1"/>
      <c r="KGE122" s="1"/>
      <c r="KGF122" s="1"/>
      <c r="KGG122" s="1"/>
      <c r="KGH122" s="1"/>
      <c r="KGI122" s="1"/>
      <c r="KGJ122" s="1"/>
      <c r="KGK122" s="1"/>
      <c r="KGL122" s="1"/>
      <c r="KGM122" s="1"/>
      <c r="KGN122" s="1"/>
      <c r="KGO122" s="1"/>
      <c r="KGP122" s="1"/>
      <c r="KGQ122" s="1"/>
      <c r="KGR122" s="1"/>
      <c r="KGS122" s="1"/>
      <c r="KGT122" s="1"/>
      <c r="KGU122" s="1"/>
      <c r="KGV122" s="1"/>
      <c r="KGW122" s="1"/>
      <c r="KGX122" s="1"/>
      <c r="KGY122" s="1"/>
      <c r="KGZ122" s="1"/>
      <c r="KHA122" s="1"/>
      <c r="KHB122" s="1"/>
      <c r="KHC122" s="1"/>
      <c r="KHD122" s="1"/>
      <c r="KHE122" s="1"/>
      <c r="KHF122" s="1"/>
      <c r="KHG122" s="1"/>
      <c r="KHH122" s="1"/>
      <c r="KHI122" s="1"/>
      <c r="KHJ122" s="1"/>
      <c r="KHK122" s="1"/>
      <c r="KHL122" s="1"/>
      <c r="KHM122" s="1"/>
      <c r="KHN122" s="1"/>
      <c r="KHO122" s="1"/>
      <c r="KHP122" s="1"/>
      <c r="KHQ122" s="1"/>
      <c r="KHR122" s="1"/>
      <c r="KHS122" s="1"/>
      <c r="KHT122" s="1"/>
      <c r="KHU122" s="1"/>
      <c r="KHV122" s="1"/>
      <c r="KHW122" s="1"/>
      <c r="KHX122" s="1"/>
      <c r="KHY122" s="1"/>
      <c r="KHZ122" s="1"/>
      <c r="KIA122" s="1"/>
      <c r="KIB122" s="1"/>
      <c r="KIC122" s="1"/>
      <c r="KID122" s="1"/>
      <c r="KIE122" s="1"/>
      <c r="KIF122" s="1"/>
      <c r="KIG122" s="1"/>
      <c r="KIH122" s="1"/>
      <c r="KII122" s="1"/>
      <c r="KIJ122" s="1"/>
      <c r="KIK122" s="1"/>
      <c r="KIL122" s="1"/>
      <c r="KIM122" s="1"/>
      <c r="KIN122" s="1"/>
      <c r="KIO122" s="1"/>
      <c r="KIP122" s="1"/>
      <c r="KIQ122" s="1"/>
      <c r="KIR122" s="1"/>
      <c r="KIS122" s="1"/>
      <c r="KIT122" s="1"/>
      <c r="KIU122" s="1"/>
      <c r="KIV122" s="1"/>
      <c r="KIW122" s="1"/>
      <c r="KIX122" s="1"/>
      <c r="KIY122" s="1"/>
      <c r="KIZ122" s="1"/>
      <c r="KJA122" s="1"/>
      <c r="KJB122" s="1"/>
      <c r="KJC122" s="1"/>
      <c r="KJD122" s="1"/>
      <c r="KJE122" s="1"/>
      <c r="KJF122" s="1"/>
      <c r="KJG122" s="1"/>
      <c r="KJH122" s="1"/>
      <c r="KJI122" s="1"/>
      <c r="KJJ122" s="1"/>
      <c r="KJK122" s="1"/>
      <c r="KJL122" s="1"/>
      <c r="KJM122" s="1"/>
      <c r="KJN122" s="1"/>
      <c r="KJO122" s="1"/>
      <c r="KJP122" s="1"/>
      <c r="KJQ122" s="1"/>
      <c r="KJR122" s="1"/>
      <c r="KJS122" s="1"/>
      <c r="KJT122" s="1"/>
      <c r="KJU122" s="1"/>
      <c r="KJV122" s="1"/>
      <c r="KJW122" s="1"/>
      <c r="KJX122" s="1"/>
      <c r="KJY122" s="1"/>
      <c r="KJZ122" s="1"/>
      <c r="KKA122" s="1"/>
      <c r="KKB122" s="1"/>
      <c r="KKC122" s="1"/>
      <c r="KKD122" s="1"/>
      <c r="KKE122" s="1"/>
      <c r="KKF122" s="1"/>
      <c r="KKG122" s="1"/>
      <c r="KKH122" s="1"/>
      <c r="KKI122" s="1"/>
      <c r="KKJ122" s="1"/>
      <c r="KKK122" s="1"/>
      <c r="KKL122" s="1"/>
      <c r="KKM122" s="1"/>
      <c r="KKN122" s="1"/>
      <c r="KKO122" s="1"/>
      <c r="KKP122" s="1"/>
      <c r="KKQ122" s="1"/>
      <c r="KKR122" s="1"/>
      <c r="KKS122" s="1"/>
      <c r="KKT122" s="1"/>
      <c r="KKU122" s="1"/>
      <c r="KKV122" s="1"/>
      <c r="KKW122" s="1"/>
      <c r="KKX122" s="1"/>
      <c r="KKY122" s="1"/>
      <c r="KKZ122" s="1"/>
      <c r="KLA122" s="1"/>
      <c r="KLB122" s="1"/>
      <c r="KLC122" s="1"/>
      <c r="KLD122" s="1"/>
      <c r="KLE122" s="1"/>
      <c r="KLF122" s="1"/>
      <c r="KLG122" s="1"/>
      <c r="KLH122" s="1"/>
      <c r="KLI122" s="1"/>
      <c r="KLJ122" s="1"/>
      <c r="KLK122" s="1"/>
      <c r="KLL122" s="1"/>
      <c r="KLM122" s="1"/>
      <c r="KLN122" s="1"/>
      <c r="KLO122" s="1"/>
      <c r="KLP122" s="1"/>
      <c r="KLQ122" s="1"/>
      <c r="KLR122" s="1"/>
      <c r="KLS122" s="1"/>
      <c r="KLT122" s="1"/>
      <c r="KLU122" s="1"/>
      <c r="KLV122" s="1"/>
      <c r="KLW122" s="1"/>
      <c r="KLX122" s="1"/>
      <c r="KLY122" s="1"/>
      <c r="KLZ122" s="1"/>
      <c r="KMA122" s="1"/>
      <c r="KMB122" s="1"/>
      <c r="KMC122" s="1"/>
      <c r="KMD122" s="1"/>
      <c r="KME122" s="1"/>
      <c r="KMF122" s="1"/>
      <c r="KMG122" s="1"/>
      <c r="KMH122" s="1"/>
      <c r="KMI122" s="1"/>
      <c r="KMJ122" s="1"/>
      <c r="KMK122" s="1"/>
      <c r="KML122" s="1"/>
      <c r="KMM122" s="1"/>
      <c r="KMN122" s="1"/>
      <c r="KMO122" s="1"/>
      <c r="KMP122" s="1"/>
      <c r="KMQ122" s="1"/>
      <c r="KMR122" s="1"/>
      <c r="KMS122" s="1"/>
      <c r="KMT122" s="1"/>
      <c r="KMU122" s="1"/>
      <c r="KMV122" s="1"/>
      <c r="KMW122" s="1"/>
      <c r="KMX122" s="1"/>
      <c r="KMY122" s="1"/>
      <c r="KMZ122" s="1"/>
      <c r="KNA122" s="1"/>
      <c r="KNB122" s="1"/>
      <c r="KNC122" s="1"/>
      <c r="KND122" s="1"/>
      <c r="KNE122" s="1"/>
      <c r="KNF122" s="1"/>
      <c r="KNG122" s="1"/>
      <c r="KNH122" s="1"/>
      <c r="KNI122" s="1"/>
      <c r="KNJ122" s="1"/>
      <c r="KNK122" s="1"/>
      <c r="KNL122" s="1"/>
      <c r="KNM122" s="1"/>
      <c r="KNN122" s="1"/>
      <c r="KNO122" s="1"/>
      <c r="KNP122" s="1"/>
      <c r="KNQ122" s="1"/>
      <c r="KNR122" s="1"/>
      <c r="KNS122" s="1"/>
      <c r="KNT122" s="1"/>
      <c r="KNU122" s="1"/>
      <c r="KNV122" s="1"/>
      <c r="KNW122" s="1"/>
      <c r="KNX122" s="1"/>
      <c r="KNY122" s="1"/>
      <c r="KNZ122" s="1"/>
      <c r="KOA122" s="1"/>
      <c r="KOB122" s="1"/>
      <c r="KOC122" s="1"/>
      <c r="KOD122" s="1"/>
      <c r="KOE122" s="1"/>
      <c r="KOF122" s="1"/>
      <c r="KOG122" s="1"/>
      <c r="KOH122" s="1"/>
      <c r="KOI122" s="1"/>
      <c r="KOJ122" s="1"/>
      <c r="KOK122" s="1"/>
      <c r="KOL122" s="1"/>
      <c r="KOM122" s="1"/>
      <c r="KON122" s="1"/>
      <c r="KOO122" s="1"/>
      <c r="KOP122" s="1"/>
      <c r="KOQ122" s="1"/>
      <c r="KOR122" s="1"/>
      <c r="KOS122" s="1"/>
      <c r="KOT122" s="1"/>
      <c r="KOU122" s="1"/>
      <c r="KOV122" s="1"/>
      <c r="KOW122" s="1"/>
      <c r="KOX122" s="1"/>
      <c r="KOY122" s="1"/>
      <c r="KOZ122" s="1"/>
      <c r="KPA122" s="1"/>
      <c r="KPB122" s="1"/>
      <c r="KPC122" s="1"/>
      <c r="KPD122" s="1"/>
      <c r="KPE122" s="1"/>
      <c r="KPF122" s="1"/>
      <c r="KPG122" s="1"/>
      <c r="KPH122" s="1"/>
      <c r="KPI122" s="1"/>
      <c r="KPJ122" s="1"/>
      <c r="KPK122" s="1"/>
      <c r="KPL122" s="1"/>
      <c r="KPM122" s="1"/>
      <c r="KPN122" s="1"/>
      <c r="KPO122" s="1"/>
      <c r="KPP122" s="1"/>
      <c r="KPQ122" s="1"/>
      <c r="KPR122" s="1"/>
      <c r="KPS122" s="1"/>
      <c r="KPT122" s="1"/>
      <c r="KPU122" s="1"/>
      <c r="KPV122" s="1"/>
      <c r="KPW122" s="1"/>
      <c r="KPX122" s="1"/>
      <c r="KPY122" s="1"/>
      <c r="KPZ122" s="1"/>
      <c r="KQA122" s="1"/>
      <c r="KQB122" s="1"/>
      <c r="KQC122" s="1"/>
      <c r="KQD122" s="1"/>
      <c r="KQE122" s="1"/>
      <c r="KQF122" s="1"/>
      <c r="KQG122" s="1"/>
      <c r="KQH122" s="1"/>
      <c r="KQI122" s="1"/>
      <c r="KQJ122" s="1"/>
      <c r="KQK122" s="1"/>
      <c r="KQL122" s="1"/>
      <c r="KQM122" s="1"/>
      <c r="KQN122" s="1"/>
      <c r="KQO122" s="1"/>
      <c r="KQP122" s="1"/>
      <c r="KQQ122" s="1"/>
      <c r="KQR122" s="1"/>
      <c r="KQS122" s="1"/>
      <c r="KQT122" s="1"/>
      <c r="KQU122" s="1"/>
      <c r="KQV122" s="1"/>
      <c r="KQW122" s="1"/>
      <c r="KQX122" s="1"/>
      <c r="KQY122" s="1"/>
      <c r="KQZ122" s="1"/>
      <c r="KRA122" s="1"/>
      <c r="KRB122" s="1"/>
      <c r="KRC122" s="1"/>
      <c r="KRD122" s="1"/>
      <c r="KRE122" s="1"/>
      <c r="KRF122" s="1"/>
      <c r="KRG122" s="1"/>
      <c r="KRH122" s="1"/>
      <c r="KRI122" s="1"/>
      <c r="KRJ122" s="1"/>
      <c r="KRK122" s="1"/>
      <c r="KRL122" s="1"/>
      <c r="KRM122" s="1"/>
      <c r="KRN122" s="1"/>
      <c r="KRO122" s="1"/>
      <c r="KRP122" s="1"/>
      <c r="KRQ122" s="1"/>
      <c r="KRR122" s="1"/>
      <c r="KRS122" s="1"/>
      <c r="KRT122" s="1"/>
      <c r="KRU122" s="1"/>
      <c r="KRV122" s="1"/>
      <c r="KRW122" s="1"/>
      <c r="KRX122" s="1"/>
      <c r="KRY122" s="1"/>
      <c r="KRZ122" s="1"/>
      <c r="KSA122" s="1"/>
      <c r="KSB122" s="1"/>
      <c r="KSC122" s="1"/>
      <c r="KSD122" s="1"/>
      <c r="KSE122" s="1"/>
      <c r="KSF122" s="1"/>
      <c r="KSG122" s="1"/>
      <c r="KSH122" s="1"/>
      <c r="KSI122" s="1"/>
      <c r="KSJ122" s="1"/>
      <c r="KSK122" s="1"/>
      <c r="KSL122" s="1"/>
      <c r="KSM122" s="1"/>
      <c r="KSN122" s="1"/>
      <c r="KSO122" s="1"/>
      <c r="KSP122" s="1"/>
      <c r="KSQ122" s="1"/>
      <c r="KSR122" s="1"/>
      <c r="KSS122" s="1"/>
      <c r="KST122" s="1"/>
      <c r="KSU122" s="1"/>
      <c r="KSV122" s="1"/>
      <c r="KSW122" s="1"/>
      <c r="KSX122" s="1"/>
      <c r="KSY122" s="1"/>
      <c r="KSZ122" s="1"/>
      <c r="KTA122" s="1"/>
      <c r="KTB122" s="1"/>
      <c r="KTC122" s="1"/>
      <c r="KTD122" s="1"/>
      <c r="KTE122" s="1"/>
      <c r="KTF122" s="1"/>
      <c r="KTG122" s="1"/>
      <c r="KTH122" s="1"/>
      <c r="KTI122" s="1"/>
      <c r="KTJ122" s="1"/>
      <c r="KTK122" s="1"/>
      <c r="KTL122" s="1"/>
      <c r="KTM122" s="1"/>
      <c r="KTN122" s="1"/>
      <c r="KTO122" s="1"/>
      <c r="KTP122" s="1"/>
      <c r="KTQ122" s="1"/>
      <c r="KTR122" s="1"/>
      <c r="KTS122" s="1"/>
      <c r="KTT122" s="1"/>
      <c r="KTU122" s="1"/>
      <c r="KTV122" s="1"/>
      <c r="KTW122" s="1"/>
      <c r="KTX122" s="1"/>
      <c r="KTY122" s="1"/>
      <c r="KTZ122" s="1"/>
      <c r="KUA122" s="1"/>
      <c r="KUB122" s="1"/>
      <c r="KUC122" s="1"/>
      <c r="KUD122" s="1"/>
      <c r="KUE122" s="1"/>
      <c r="KUF122" s="1"/>
      <c r="KUG122" s="1"/>
      <c r="KUH122" s="1"/>
      <c r="KUI122" s="1"/>
      <c r="KUJ122" s="1"/>
      <c r="KUK122" s="1"/>
      <c r="KUL122" s="1"/>
      <c r="KUM122" s="1"/>
      <c r="KUN122" s="1"/>
      <c r="KUO122" s="1"/>
      <c r="KUP122" s="1"/>
      <c r="KUQ122" s="1"/>
      <c r="KUR122" s="1"/>
      <c r="KUS122" s="1"/>
      <c r="KUT122" s="1"/>
      <c r="KUU122" s="1"/>
      <c r="KUV122" s="1"/>
      <c r="KUW122" s="1"/>
      <c r="KUX122" s="1"/>
      <c r="KUY122" s="1"/>
      <c r="KUZ122" s="1"/>
      <c r="KVA122" s="1"/>
      <c r="KVB122" s="1"/>
      <c r="KVC122" s="1"/>
      <c r="KVD122" s="1"/>
      <c r="KVE122" s="1"/>
      <c r="KVF122" s="1"/>
      <c r="KVG122" s="1"/>
      <c r="KVH122" s="1"/>
      <c r="KVI122" s="1"/>
      <c r="KVJ122" s="1"/>
      <c r="KVK122" s="1"/>
      <c r="KVL122" s="1"/>
      <c r="KVM122" s="1"/>
      <c r="KVN122" s="1"/>
      <c r="KVO122" s="1"/>
      <c r="KVP122" s="1"/>
      <c r="KVQ122" s="1"/>
      <c r="KVR122" s="1"/>
      <c r="KVS122" s="1"/>
      <c r="KVT122" s="1"/>
      <c r="KVU122" s="1"/>
      <c r="KVV122" s="1"/>
      <c r="KVW122" s="1"/>
      <c r="KVX122" s="1"/>
      <c r="KVY122" s="1"/>
      <c r="KVZ122" s="1"/>
      <c r="KWA122" s="1"/>
      <c r="KWB122" s="1"/>
      <c r="KWC122" s="1"/>
      <c r="KWD122" s="1"/>
      <c r="KWE122" s="1"/>
      <c r="KWF122" s="1"/>
      <c r="KWG122" s="1"/>
      <c r="KWH122" s="1"/>
      <c r="KWI122" s="1"/>
      <c r="KWJ122" s="1"/>
      <c r="KWK122" s="1"/>
      <c r="KWL122" s="1"/>
      <c r="KWM122" s="1"/>
      <c r="KWN122" s="1"/>
      <c r="KWO122" s="1"/>
      <c r="KWP122" s="1"/>
      <c r="KWQ122" s="1"/>
      <c r="KWR122" s="1"/>
      <c r="KWS122" s="1"/>
      <c r="KWT122" s="1"/>
      <c r="KWU122" s="1"/>
      <c r="KWV122" s="1"/>
      <c r="KWW122" s="1"/>
      <c r="KWX122" s="1"/>
      <c r="KWY122" s="1"/>
      <c r="KWZ122" s="1"/>
      <c r="KXA122" s="1"/>
      <c r="KXB122" s="1"/>
      <c r="KXC122" s="1"/>
      <c r="KXD122" s="1"/>
      <c r="KXE122" s="1"/>
      <c r="KXF122" s="1"/>
      <c r="KXG122" s="1"/>
      <c r="KXH122" s="1"/>
      <c r="KXI122" s="1"/>
      <c r="KXJ122" s="1"/>
      <c r="KXK122" s="1"/>
      <c r="KXL122" s="1"/>
      <c r="KXM122" s="1"/>
      <c r="KXN122" s="1"/>
      <c r="KXO122" s="1"/>
      <c r="KXP122" s="1"/>
      <c r="KXQ122" s="1"/>
      <c r="KXR122" s="1"/>
      <c r="KXS122" s="1"/>
      <c r="KXT122" s="1"/>
      <c r="KXU122" s="1"/>
      <c r="KXV122" s="1"/>
      <c r="KXW122" s="1"/>
      <c r="KXX122" s="1"/>
      <c r="KXY122" s="1"/>
      <c r="KXZ122" s="1"/>
      <c r="KYA122" s="1"/>
      <c r="KYB122" s="1"/>
      <c r="KYC122" s="1"/>
      <c r="KYD122" s="1"/>
      <c r="KYE122" s="1"/>
      <c r="KYF122" s="1"/>
      <c r="KYG122" s="1"/>
      <c r="KYH122" s="1"/>
      <c r="KYI122" s="1"/>
      <c r="KYJ122" s="1"/>
      <c r="KYK122" s="1"/>
      <c r="KYL122" s="1"/>
      <c r="KYM122" s="1"/>
      <c r="KYN122" s="1"/>
      <c r="KYO122" s="1"/>
      <c r="KYP122" s="1"/>
      <c r="KYQ122" s="1"/>
      <c r="KYR122" s="1"/>
      <c r="KYS122" s="1"/>
      <c r="KYT122" s="1"/>
      <c r="KYU122" s="1"/>
      <c r="KYV122" s="1"/>
      <c r="KYW122" s="1"/>
      <c r="KYX122" s="1"/>
      <c r="KYY122" s="1"/>
      <c r="KYZ122" s="1"/>
      <c r="KZA122" s="1"/>
      <c r="KZB122" s="1"/>
      <c r="KZC122" s="1"/>
      <c r="KZD122" s="1"/>
      <c r="KZE122" s="1"/>
      <c r="KZF122" s="1"/>
      <c r="KZG122" s="1"/>
      <c r="KZH122" s="1"/>
      <c r="KZI122" s="1"/>
      <c r="KZJ122" s="1"/>
      <c r="KZK122" s="1"/>
      <c r="KZL122" s="1"/>
      <c r="KZM122" s="1"/>
      <c r="KZN122" s="1"/>
      <c r="KZO122" s="1"/>
      <c r="KZP122" s="1"/>
      <c r="KZQ122" s="1"/>
      <c r="KZR122" s="1"/>
      <c r="KZS122" s="1"/>
      <c r="KZT122" s="1"/>
      <c r="KZU122" s="1"/>
      <c r="KZV122" s="1"/>
      <c r="KZW122" s="1"/>
      <c r="KZX122" s="1"/>
      <c r="KZY122" s="1"/>
      <c r="KZZ122" s="1"/>
      <c r="LAA122" s="1"/>
      <c r="LAB122" s="1"/>
      <c r="LAC122" s="1"/>
      <c r="LAD122" s="1"/>
      <c r="LAE122" s="1"/>
      <c r="LAF122" s="1"/>
      <c r="LAG122" s="1"/>
      <c r="LAH122" s="1"/>
      <c r="LAI122" s="1"/>
      <c r="LAJ122" s="1"/>
      <c r="LAK122" s="1"/>
      <c r="LAL122" s="1"/>
      <c r="LAM122" s="1"/>
      <c r="LAN122" s="1"/>
      <c r="LAO122" s="1"/>
      <c r="LAP122" s="1"/>
      <c r="LAQ122" s="1"/>
      <c r="LAR122" s="1"/>
      <c r="LAS122" s="1"/>
      <c r="LAT122" s="1"/>
      <c r="LAU122" s="1"/>
      <c r="LAV122" s="1"/>
      <c r="LAW122" s="1"/>
      <c r="LAX122" s="1"/>
      <c r="LAY122" s="1"/>
      <c r="LAZ122" s="1"/>
      <c r="LBA122" s="1"/>
      <c r="LBB122" s="1"/>
      <c r="LBC122" s="1"/>
      <c r="LBD122" s="1"/>
      <c r="LBE122" s="1"/>
      <c r="LBF122" s="1"/>
      <c r="LBG122" s="1"/>
      <c r="LBH122" s="1"/>
      <c r="LBI122" s="1"/>
      <c r="LBJ122" s="1"/>
      <c r="LBK122" s="1"/>
      <c r="LBL122" s="1"/>
      <c r="LBM122" s="1"/>
      <c r="LBN122" s="1"/>
      <c r="LBO122" s="1"/>
      <c r="LBP122" s="1"/>
      <c r="LBQ122" s="1"/>
      <c r="LBR122" s="1"/>
      <c r="LBS122" s="1"/>
      <c r="LBT122" s="1"/>
      <c r="LBU122" s="1"/>
      <c r="LBV122" s="1"/>
      <c r="LBW122" s="1"/>
      <c r="LBX122" s="1"/>
      <c r="LBY122" s="1"/>
      <c r="LBZ122" s="1"/>
      <c r="LCA122" s="1"/>
      <c r="LCB122" s="1"/>
      <c r="LCC122" s="1"/>
      <c r="LCD122" s="1"/>
      <c r="LCE122" s="1"/>
      <c r="LCF122" s="1"/>
      <c r="LCG122" s="1"/>
      <c r="LCH122" s="1"/>
      <c r="LCI122" s="1"/>
      <c r="LCJ122" s="1"/>
      <c r="LCK122" s="1"/>
      <c r="LCL122" s="1"/>
      <c r="LCM122" s="1"/>
      <c r="LCN122" s="1"/>
      <c r="LCO122" s="1"/>
      <c r="LCP122" s="1"/>
      <c r="LCQ122" s="1"/>
      <c r="LCR122" s="1"/>
      <c r="LCS122" s="1"/>
      <c r="LCT122" s="1"/>
      <c r="LCU122" s="1"/>
      <c r="LCV122" s="1"/>
      <c r="LCW122" s="1"/>
      <c r="LCX122" s="1"/>
      <c r="LCY122" s="1"/>
      <c r="LCZ122" s="1"/>
      <c r="LDA122" s="1"/>
      <c r="LDB122" s="1"/>
      <c r="LDC122" s="1"/>
      <c r="LDD122" s="1"/>
      <c r="LDE122" s="1"/>
      <c r="LDF122" s="1"/>
      <c r="LDG122" s="1"/>
      <c r="LDH122" s="1"/>
      <c r="LDI122" s="1"/>
      <c r="LDJ122" s="1"/>
      <c r="LDK122" s="1"/>
      <c r="LDL122" s="1"/>
      <c r="LDM122" s="1"/>
      <c r="LDN122" s="1"/>
      <c r="LDO122" s="1"/>
      <c r="LDP122" s="1"/>
      <c r="LDQ122" s="1"/>
      <c r="LDR122" s="1"/>
      <c r="LDS122" s="1"/>
      <c r="LDT122" s="1"/>
      <c r="LDU122" s="1"/>
      <c r="LDV122" s="1"/>
      <c r="LDW122" s="1"/>
      <c r="LDX122" s="1"/>
      <c r="LDY122" s="1"/>
      <c r="LDZ122" s="1"/>
      <c r="LEA122" s="1"/>
      <c r="LEB122" s="1"/>
      <c r="LEC122" s="1"/>
      <c r="LED122" s="1"/>
      <c r="LEE122" s="1"/>
      <c r="LEF122" s="1"/>
      <c r="LEG122" s="1"/>
      <c r="LEH122" s="1"/>
      <c r="LEI122" s="1"/>
      <c r="LEJ122" s="1"/>
      <c r="LEK122" s="1"/>
      <c r="LEL122" s="1"/>
      <c r="LEM122" s="1"/>
      <c r="LEN122" s="1"/>
      <c r="LEO122" s="1"/>
      <c r="LEP122" s="1"/>
      <c r="LEQ122" s="1"/>
      <c r="LER122" s="1"/>
      <c r="LES122" s="1"/>
      <c r="LET122" s="1"/>
      <c r="LEU122" s="1"/>
      <c r="LEV122" s="1"/>
      <c r="LEW122" s="1"/>
      <c r="LEX122" s="1"/>
      <c r="LEY122" s="1"/>
      <c r="LEZ122" s="1"/>
      <c r="LFA122" s="1"/>
      <c r="LFB122" s="1"/>
      <c r="LFC122" s="1"/>
      <c r="LFD122" s="1"/>
      <c r="LFE122" s="1"/>
      <c r="LFF122" s="1"/>
      <c r="LFG122" s="1"/>
      <c r="LFH122" s="1"/>
      <c r="LFI122" s="1"/>
      <c r="LFJ122" s="1"/>
      <c r="LFK122" s="1"/>
      <c r="LFL122" s="1"/>
      <c r="LFM122" s="1"/>
      <c r="LFN122" s="1"/>
      <c r="LFO122" s="1"/>
      <c r="LFP122" s="1"/>
      <c r="LFQ122" s="1"/>
      <c r="LFR122" s="1"/>
      <c r="LFS122" s="1"/>
      <c r="LFT122" s="1"/>
      <c r="LFU122" s="1"/>
      <c r="LFV122" s="1"/>
      <c r="LFW122" s="1"/>
      <c r="LFX122" s="1"/>
      <c r="LFY122" s="1"/>
      <c r="LFZ122" s="1"/>
      <c r="LGA122" s="1"/>
      <c r="LGB122" s="1"/>
      <c r="LGC122" s="1"/>
      <c r="LGD122" s="1"/>
      <c r="LGE122" s="1"/>
      <c r="LGF122" s="1"/>
      <c r="LGG122" s="1"/>
      <c r="LGH122" s="1"/>
      <c r="LGI122" s="1"/>
      <c r="LGJ122" s="1"/>
      <c r="LGK122" s="1"/>
      <c r="LGL122" s="1"/>
      <c r="LGM122" s="1"/>
      <c r="LGN122" s="1"/>
      <c r="LGO122" s="1"/>
      <c r="LGP122" s="1"/>
      <c r="LGQ122" s="1"/>
      <c r="LGR122" s="1"/>
      <c r="LGS122" s="1"/>
      <c r="LGT122" s="1"/>
      <c r="LGU122" s="1"/>
      <c r="LGV122" s="1"/>
      <c r="LGW122" s="1"/>
      <c r="LGX122" s="1"/>
      <c r="LGY122" s="1"/>
      <c r="LGZ122" s="1"/>
      <c r="LHA122" s="1"/>
      <c r="LHB122" s="1"/>
      <c r="LHC122" s="1"/>
      <c r="LHD122" s="1"/>
      <c r="LHE122" s="1"/>
      <c r="LHF122" s="1"/>
      <c r="LHG122" s="1"/>
      <c r="LHH122" s="1"/>
      <c r="LHI122" s="1"/>
      <c r="LHJ122" s="1"/>
      <c r="LHK122" s="1"/>
      <c r="LHL122" s="1"/>
      <c r="LHM122" s="1"/>
      <c r="LHN122" s="1"/>
      <c r="LHO122" s="1"/>
      <c r="LHP122" s="1"/>
      <c r="LHQ122" s="1"/>
      <c r="LHR122" s="1"/>
      <c r="LHS122" s="1"/>
      <c r="LHT122" s="1"/>
      <c r="LHU122" s="1"/>
      <c r="LHV122" s="1"/>
      <c r="LHW122" s="1"/>
      <c r="LHX122" s="1"/>
      <c r="LHY122" s="1"/>
      <c r="LHZ122" s="1"/>
      <c r="LIA122" s="1"/>
      <c r="LIB122" s="1"/>
      <c r="LIC122" s="1"/>
      <c r="LID122" s="1"/>
      <c r="LIE122" s="1"/>
      <c r="LIF122" s="1"/>
      <c r="LIG122" s="1"/>
      <c r="LIH122" s="1"/>
      <c r="LII122" s="1"/>
      <c r="LIJ122" s="1"/>
      <c r="LIK122" s="1"/>
      <c r="LIL122" s="1"/>
      <c r="LIM122" s="1"/>
      <c r="LIN122" s="1"/>
      <c r="LIO122" s="1"/>
      <c r="LIP122" s="1"/>
      <c r="LIQ122" s="1"/>
      <c r="LIR122" s="1"/>
      <c r="LIS122" s="1"/>
      <c r="LIT122" s="1"/>
      <c r="LIU122" s="1"/>
      <c r="LIV122" s="1"/>
      <c r="LIW122" s="1"/>
      <c r="LIX122" s="1"/>
      <c r="LIY122" s="1"/>
      <c r="LIZ122" s="1"/>
      <c r="LJA122" s="1"/>
      <c r="LJB122" s="1"/>
      <c r="LJC122" s="1"/>
      <c r="LJD122" s="1"/>
      <c r="LJE122" s="1"/>
      <c r="LJF122" s="1"/>
      <c r="LJG122" s="1"/>
      <c r="LJH122" s="1"/>
      <c r="LJI122" s="1"/>
      <c r="LJJ122" s="1"/>
      <c r="LJK122" s="1"/>
      <c r="LJL122" s="1"/>
      <c r="LJM122" s="1"/>
      <c r="LJN122" s="1"/>
      <c r="LJO122" s="1"/>
      <c r="LJP122" s="1"/>
      <c r="LJQ122" s="1"/>
      <c r="LJR122" s="1"/>
      <c r="LJS122" s="1"/>
      <c r="LJT122" s="1"/>
      <c r="LJU122" s="1"/>
      <c r="LJV122" s="1"/>
      <c r="LJW122" s="1"/>
      <c r="LJX122" s="1"/>
      <c r="LJY122" s="1"/>
      <c r="LJZ122" s="1"/>
      <c r="LKA122" s="1"/>
      <c r="LKB122" s="1"/>
      <c r="LKC122" s="1"/>
      <c r="LKD122" s="1"/>
      <c r="LKE122" s="1"/>
      <c r="LKF122" s="1"/>
      <c r="LKG122" s="1"/>
      <c r="LKH122" s="1"/>
      <c r="LKI122" s="1"/>
      <c r="LKJ122" s="1"/>
      <c r="LKK122" s="1"/>
      <c r="LKL122" s="1"/>
      <c r="LKM122" s="1"/>
      <c r="LKN122" s="1"/>
      <c r="LKO122" s="1"/>
      <c r="LKP122" s="1"/>
      <c r="LKQ122" s="1"/>
      <c r="LKR122" s="1"/>
      <c r="LKS122" s="1"/>
      <c r="LKT122" s="1"/>
      <c r="LKU122" s="1"/>
      <c r="LKV122" s="1"/>
      <c r="LKW122" s="1"/>
      <c r="LKX122" s="1"/>
      <c r="LKY122" s="1"/>
      <c r="LKZ122" s="1"/>
      <c r="LLA122" s="1"/>
      <c r="LLB122" s="1"/>
      <c r="LLC122" s="1"/>
      <c r="LLD122" s="1"/>
      <c r="LLE122" s="1"/>
      <c r="LLF122" s="1"/>
      <c r="LLG122" s="1"/>
      <c r="LLH122" s="1"/>
      <c r="LLI122" s="1"/>
      <c r="LLJ122" s="1"/>
      <c r="LLK122" s="1"/>
      <c r="LLL122" s="1"/>
      <c r="LLM122" s="1"/>
      <c r="LLN122" s="1"/>
      <c r="LLO122" s="1"/>
      <c r="LLP122" s="1"/>
      <c r="LLQ122" s="1"/>
      <c r="LLR122" s="1"/>
      <c r="LLS122" s="1"/>
      <c r="LLT122" s="1"/>
      <c r="LLU122" s="1"/>
      <c r="LLV122" s="1"/>
      <c r="LLW122" s="1"/>
      <c r="LLX122" s="1"/>
      <c r="LLY122" s="1"/>
      <c r="LLZ122" s="1"/>
      <c r="LMA122" s="1"/>
      <c r="LMB122" s="1"/>
      <c r="LMC122" s="1"/>
      <c r="LMD122" s="1"/>
      <c r="LME122" s="1"/>
      <c r="LMF122" s="1"/>
      <c r="LMG122" s="1"/>
      <c r="LMH122" s="1"/>
      <c r="LMI122" s="1"/>
      <c r="LMJ122" s="1"/>
      <c r="LMK122" s="1"/>
      <c r="LML122" s="1"/>
      <c r="LMM122" s="1"/>
      <c r="LMN122" s="1"/>
      <c r="LMO122" s="1"/>
      <c r="LMP122" s="1"/>
      <c r="LMQ122" s="1"/>
      <c r="LMR122" s="1"/>
      <c r="LMS122" s="1"/>
      <c r="LMT122" s="1"/>
      <c r="LMU122" s="1"/>
      <c r="LMV122" s="1"/>
      <c r="LMW122" s="1"/>
      <c r="LMX122" s="1"/>
      <c r="LMY122" s="1"/>
      <c r="LMZ122" s="1"/>
      <c r="LNA122" s="1"/>
      <c r="LNB122" s="1"/>
      <c r="LNC122" s="1"/>
      <c r="LND122" s="1"/>
      <c r="LNE122" s="1"/>
      <c r="LNF122" s="1"/>
      <c r="LNG122" s="1"/>
      <c r="LNH122" s="1"/>
      <c r="LNI122" s="1"/>
      <c r="LNJ122" s="1"/>
      <c r="LNK122" s="1"/>
      <c r="LNL122" s="1"/>
      <c r="LNM122" s="1"/>
      <c r="LNN122" s="1"/>
      <c r="LNO122" s="1"/>
      <c r="LNP122" s="1"/>
      <c r="LNQ122" s="1"/>
      <c r="LNR122" s="1"/>
      <c r="LNS122" s="1"/>
      <c r="LNT122" s="1"/>
      <c r="LNU122" s="1"/>
      <c r="LNV122" s="1"/>
      <c r="LNW122" s="1"/>
      <c r="LNX122" s="1"/>
      <c r="LNY122" s="1"/>
      <c r="LNZ122" s="1"/>
      <c r="LOA122" s="1"/>
      <c r="LOB122" s="1"/>
      <c r="LOC122" s="1"/>
      <c r="LOD122" s="1"/>
      <c r="LOE122" s="1"/>
      <c r="LOF122" s="1"/>
      <c r="LOG122" s="1"/>
      <c r="LOH122" s="1"/>
      <c r="LOI122" s="1"/>
      <c r="LOJ122" s="1"/>
      <c r="LOK122" s="1"/>
      <c r="LOL122" s="1"/>
      <c r="LOM122" s="1"/>
      <c r="LON122" s="1"/>
      <c r="LOO122" s="1"/>
      <c r="LOP122" s="1"/>
      <c r="LOQ122" s="1"/>
      <c r="LOR122" s="1"/>
      <c r="LOS122" s="1"/>
      <c r="LOT122" s="1"/>
      <c r="LOU122" s="1"/>
      <c r="LOV122" s="1"/>
      <c r="LOW122" s="1"/>
      <c r="LOX122" s="1"/>
      <c r="LOY122" s="1"/>
      <c r="LOZ122" s="1"/>
      <c r="LPA122" s="1"/>
      <c r="LPB122" s="1"/>
      <c r="LPC122" s="1"/>
      <c r="LPD122" s="1"/>
      <c r="LPE122" s="1"/>
      <c r="LPF122" s="1"/>
      <c r="LPG122" s="1"/>
      <c r="LPH122" s="1"/>
      <c r="LPI122" s="1"/>
      <c r="LPJ122" s="1"/>
      <c r="LPK122" s="1"/>
      <c r="LPL122" s="1"/>
      <c r="LPM122" s="1"/>
      <c r="LPN122" s="1"/>
      <c r="LPO122" s="1"/>
      <c r="LPP122" s="1"/>
      <c r="LPQ122" s="1"/>
      <c r="LPR122" s="1"/>
      <c r="LPS122" s="1"/>
      <c r="LPT122" s="1"/>
      <c r="LPU122" s="1"/>
      <c r="LPV122" s="1"/>
      <c r="LPW122" s="1"/>
      <c r="LPX122" s="1"/>
      <c r="LPY122" s="1"/>
      <c r="LPZ122" s="1"/>
      <c r="LQA122" s="1"/>
      <c r="LQB122" s="1"/>
      <c r="LQC122" s="1"/>
      <c r="LQD122" s="1"/>
      <c r="LQE122" s="1"/>
      <c r="LQF122" s="1"/>
      <c r="LQG122" s="1"/>
      <c r="LQH122" s="1"/>
      <c r="LQI122" s="1"/>
      <c r="LQJ122" s="1"/>
      <c r="LQK122" s="1"/>
      <c r="LQL122" s="1"/>
      <c r="LQM122" s="1"/>
      <c r="LQN122" s="1"/>
      <c r="LQO122" s="1"/>
      <c r="LQP122" s="1"/>
      <c r="LQQ122" s="1"/>
      <c r="LQR122" s="1"/>
      <c r="LQS122" s="1"/>
      <c r="LQT122" s="1"/>
      <c r="LQU122" s="1"/>
      <c r="LQV122" s="1"/>
      <c r="LQW122" s="1"/>
      <c r="LQX122" s="1"/>
      <c r="LQY122" s="1"/>
      <c r="LQZ122" s="1"/>
      <c r="LRA122" s="1"/>
      <c r="LRB122" s="1"/>
      <c r="LRC122" s="1"/>
      <c r="LRD122" s="1"/>
      <c r="LRE122" s="1"/>
      <c r="LRF122" s="1"/>
      <c r="LRG122" s="1"/>
      <c r="LRH122" s="1"/>
      <c r="LRI122" s="1"/>
      <c r="LRJ122" s="1"/>
      <c r="LRK122" s="1"/>
      <c r="LRL122" s="1"/>
      <c r="LRM122" s="1"/>
      <c r="LRN122" s="1"/>
      <c r="LRO122" s="1"/>
      <c r="LRP122" s="1"/>
      <c r="LRQ122" s="1"/>
      <c r="LRR122" s="1"/>
      <c r="LRS122" s="1"/>
      <c r="LRT122" s="1"/>
      <c r="LRU122" s="1"/>
      <c r="LRV122" s="1"/>
      <c r="LRW122" s="1"/>
      <c r="LRX122" s="1"/>
      <c r="LRY122" s="1"/>
      <c r="LRZ122" s="1"/>
      <c r="LSA122" s="1"/>
      <c r="LSB122" s="1"/>
      <c r="LSC122" s="1"/>
      <c r="LSD122" s="1"/>
      <c r="LSE122" s="1"/>
      <c r="LSF122" s="1"/>
      <c r="LSG122" s="1"/>
      <c r="LSH122" s="1"/>
      <c r="LSI122" s="1"/>
      <c r="LSJ122" s="1"/>
      <c r="LSK122" s="1"/>
      <c r="LSL122" s="1"/>
      <c r="LSM122" s="1"/>
      <c r="LSN122" s="1"/>
      <c r="LSO122" s="1"/>
      <c r="LSP122" s="1"/>
      <c r="LSQ122" s="1"/>
      <c r="LSR122" s="1"/>
      <c r="LSS122" s="1"/>
      <c r="LST122" s="1"/>
      <c r="LSU122" s="1"/>
      <c r="LSV122" s="1"/>
      <c r="LSW122" s="1"/>
      <c r="LSX122" s="1"/>
      <c r="LSY122" s="1"/>
      <c r="LSZ122" s="1"/>
      <c r="LTA122" s="1"/>
      <c r="LTB122" s="1"/>
      <c r="LTC122" s="1"/>
      <c r="LTD122" s="1"/>
      <c r="LTE122" s="1"/>
      <c r="LTF122" s="1"/>
      <c r="LTG122" s="1"/>
      <c r="LTH122" s="1"/>
      <c r="LTI122" s="1"/>
      <c r="LTJ122" s="1"/>
      <c r="LTK122" s="1"/>
      <c r="LTL122" s="1"/>
      <c r="LTM122" s="1"/>
      <c r="LTN122" s="1"/>
      <c r="LTO122" s="1"/>
      <c r="LTP122" s="1"/>
      <c r="LTQ122" s="1"/>
      <c r="LTR122" s="1"/>
      <c r="LTS122" s="1"/>
      <c r="LTT122" s="1"/>
      <c r="LTU122" s="1"/>
      <c r="LTV122" s="1"/>
      <c r="LTW122" s="1"/>
      <c r="LTX122" s="1"/>
      <c r="LTY122" s="1"/>
      <c r="LTZ122" s="1"/>
      <c r="LUA122" s="1"/>
      <c r="LUB122" s="1"/>
      <c r="LUC122" s="1"/>
      <c r="LUD122" s="1"/>
      <c r="LUE122" s="1"/>
      <c r="LUF122" s="1"/>
      <c r="LUG122" s="1"/>
      <c r="LUH122" s="1"/>
      <c r="LUI122" s="1"/>
      <c r="LUJ122" s="1"/>
      <c r="LUK122" s="1"/>
      <c r="LUL122" s="1"/>
      <c r="LUM122" s="1"/>
      <c r="LUN122" s="1"/>
      <c r="LUO122" s="1"/>
      <c r="LUP122" s="1"/>
      <c r="LUQ122" s="1"/>
      <c r="LUR122" s="1"/>
      <c r="LUS122" s="1"/>
      <c r="LUT122" s="1"/>
      <c r="LUU122" s="1"/>
      <c r="LUV122" s="1"/>
      <c r="LUW122" s="1"/>
      <c r="LUX122" s="1"/>
      <c r="LUY122" s="1"/>
      <c r="LUZ122" s="1"/>
      <c r="LVA122" s="1"/>
      <c r="LVB122" s="1"/>
      <c r="LVC122" s="1"/>
      <c r="LVD122" s="1"/>
      <c r="LVE122" s="1"/>
      <c r="LVF122" s="1"/>
      <c r="LVG122" s="1"/>
      <c r="LVH122" s="1"/>
      <c r="LVI122" s="1"/>
      <c r="LVJ122" s="1"/>
      <c r="LVK122" s="1"/>
      <c r="LVL122" s="1"/>
      <c r="LVM122" s="1"/>
      <c r="LVN122" s="1"/>
      <c r="LVO122" s="1"/>
      <c r="LVP122" s="1"/>
      <c r="LVQ122" s="1"/>
      <c r="LVR122" s="1"/>
      <c r="LVS122" s="1"/>
      <c r="LVT122" s="1"/>
      <c r="LVU122" s="1"/>
      <c r="LVV122" s="1"/>
      <c r="LVW122" s="1"/>
      <c r="LVX122" s="1"/>
      <c r="LVY122" s="1"/>
      <c r="LVZ122" s="1"/>
      <c r="LWA122" s="1"/>
      <c r="LWB122" s="1"/>
      <c r="LWC122" s="1"/>
      <c r="LWD122" s="1"/>
      <c r="LWE122" s="1"/>
      <c r="LWF122" s="1"/>
      <c r="LWG122" s="1"/>
      <c r="LWH122" s="1"/>
      <c r="LWI122" s="1"/>
      <c r="LWJ122" s="1"/>
      <c r="LWK122" s="1"/>
      <c r="LWL122" s="1"/>
      <c r="LWM122" s="1"/>
      <c r="LWN122" s="1"/>
      <c r="LWO122" s="1"/>
      <c r="LWP122" s="1"/>
      <c r="LWQ122" s="1"/>
      <c r="LWR122" s="1"/>
      <c r="LWS122" s="1"/>
      <c r="LWT122" s="1"/>
      <c r="LWU122" s="1"/>
      <c r="LWV122" s="1"/>
      <c r="LWW122" s="1"/>
      <c r="LWX122" s="1"/>
      <c r="LWY122" s="1"/>
      <c r="LWZ122" s="1"/>
      <c r="LXA122" s="1"/>
      <c r="LXB122" s="1"/>
      <c r="LXC122" s="1"/>
      <c r="LXD122" s="1"/>
      <c r="LXE122" s="1"/>
      <c r="LXF122" s="1"/>
      <c r="LXG122" s="1"/>
      <c r="LXH122" s="1"/>
      <c r="LXI122" s="1"/>
      <c r="LXJ122" s="1"/>
      <c r="LXK122" s="1"/>
      <c r="LXL122" s="1"/>
      <c r="LXM122" s="1"/>
      <c r="LXN122" s="1"/>
      <c r="LXO122" s="1"/>
      <c r="LXP122" s="1"/>
      <c r="LXQ122" s="1"/>
      <c r="LXR122" s="1"/>
      <c r="LXS122" s="1"/>
      <c r="LXT122" s="1"/>
      <c r="LXU122" s="1"/>
      <c r="LXV122" s="1"/>
      <c r="LXW122" s="1"/>
      <c r="LXX122" s="1"/>
      <c r="LXY122" s="1"/>
      <c r="LXZ122" s="1"/>
      <c r="LYA122" s="1"/>
      <c r="LYB122" s="1"/>
      <c r="LYC122" s="1"/>
      <c r="LYD122" s="1"/>
      <c r="LYE122" s="1"/>
      <c r="LYF122" s="1"/>
      <c r="LYG122" s="1"/>
      <c r="LYH122" s="1"/>
      <c r="LYI122" s="1"/>
      <c r="LYJ122" s="1"/>
      <c r="LYK122" s="1"/>
      <c r="LYL122" s="1"/>
      <c r="LYM122" s="1"/>
      <c r="LYN122" s="1"/>
      <c r="LYO122" s="1"/>
      <c r="LYP122" s="1"/>
      <c r="LYQ122" s="1"/>
      <c r="LYR122" s="1"/>
      <c r="LYS122" s="1"/>
      <c r="LYT122" s="1"/>
      <c r="LYU122" s="1"/>
      <c r="LYV122" s="1"/>
      <c r="LYW122" s="1"/>
      <c r="LYX122" s="1"/>
      <c r="LYY122" s="1"/>
      <c r="LYZ122" s="1"/>
      <c r="LZA122" s="1"/>
      <c r="LZB122" s="1"/>
      <c r="LZC122" s="1"/>
      <c r="LZD122" s="1"/>
      <c r="LZE122" s="1"/>
      <c r="LZF122" s="1"/>
      <c r="LZG122" s="1"/>
      <c r="LZH122" s="1"/>
      <c r="LZI122" s="1"/>
      <c r="LZJ122" s="1"/>
      <c r="LZK122" s="1"/>
      <c r="LZL122" s="1"/>
      <c r="LZM122" s="1"/>
      <c r="LZN122" s="1"/>
      <c r="LZO122" s="1"/>
      <c r="LZP122" s="1"/>
      <c r="LZQ122" s="1"/>
      <c r="LZR122" s="1"/>
      <c r="LZS122" s="1"/>
      <c r="LZT122" s="1"/>
      <c r="LZU122" s="1"/>
      <c r="LZV122" s="1"/>
      <c r="LZW122" s="1"/>
      <c r="LZX122" s="1"/>
      <c r="LZY122" s="1"/>
      <c r="LZZ122" s="1"/>
      <c r="MAA122" s="1"/>
      <c r="MAB122" s="1"/>
      <c r="MAC122" s="1"/>
      <c r="MAD122" s="1"/>
      <c r="MAE122" s="1"/>
      <c r="MAF122" s="1"/>
      <c r="MAG122" s="1"/>
      <c r="MAH122" s="1"/>
      <c r="MAI122" s="1"/>
      <c r="MAJ122" s="1"/>
      <c r="MAK122" s="1"/>
      <c r="MAL122" s="1"/>
      <c r="MAM122" s="1"/>
      <c r="MAN122" s="1"/>
      <c r="MAO122" s="1"/>
      <c r="MAP122" s="1"/>
      <c r="MAQ122" s="1"/>
      <c r="MAR122" s="1"/>
      <c r="MAS122" s="1"/>
      <c r="MAT122" s="1"/>
      <c r="MAU122" s="1"/>
      <c r="MAV122" s="1"/>
      <c r="MAW122" s="1"/>
      <c r="MAX122" s="1"/>
      <c r="MAY122" s="1"/>
      <c r="MAZ122" s="1"/>
      <c r="MBA122" s="1"/>
      <c r="MBB122" s="1"/>
      <c r="MBC122" s="1"/>
      <c r="MBD122" s="1"/>
      <c r="MBE122" s="1"/>
      <c r="MBF122" s="1"/>
      <c r="MBG122" s="1"/>
      <c r="MBH122" s="1"/>
      <c r="MBI122" s="1"/>
      <c r="MBJ122" s="1"/>
      <c r="MBK122" s="1"/>
      <c r="MBL122" s="1"/>
      <c r="MBM122" s="1"/>
      <c r="MBN122" s="1"/>
      <c r="MBO122" s="1"/>
      <c r="MBP122" s="1"/>
      <c r="MBQ122" s="1"/>
      <c r="MBR122" s="1"/>
      <c r="MBS122" s="1"/>
      <c r="MBT122" s="1"/>
      <c r="MBU122" s="1"/>
      <c r="MBV122" s="1"/>
      <c r="MBW122" s="1"/>
      <c r="MBX122" s="1"/>
      <c r="MBY122" s="1"/>
      <c r="MBZ122" s="1"/>
      <c r="MCA122" s="1"/>
      <c r="MCB122" s="1"/>
      <c r="MCC122" s="1"/>
      <c r="MCD122" s="1"/>
      <c r="MCE122" s="1"/>
      <c r="MCF122" s="1"/>
      <c r="MCG122" s="1"/>
      <c r="MCH122" s="1"/>
      <c r="MCI122" s="1"/>
      <c r="MCJ122" s="1"/>
      <c r="MCK122" s="1"/>
      <c r="MCL122" s="1"/>
      <c r="MCM122" s="1"/>
      <c r="MCN122" s="1"/>
      <c r="MCO122" s="1"/>
      <c r="MCP122" s="1"/>
      <c r="MCQ122" s="1"/>
      <c r="MCR122" s="1"/>
      <c r="MCS122" s="1"/>
      <c r="MCT122" s="1"/>
      <c r="MCU122" s="1"/>
      <c r="MCV122" s="1"/>
      <c r="MCW122" s="1"/>
      <c r="MCX122" s="1"/>
      <c r="MCY122" s="1"/>
      <c r="MCZ122" s="1"/>
      <c r="MDA122" s="1"/>
      <c r="MDB122" s="1"/>
      <c r="MDC122" s="1"/>
      <c r="MDD122" s="1"/>
      <c r="MDE122" s="1"/>
      <c r="MDF122" s="1"/>
      <c r="MDG122" s="1"/>
      <c r="MDH122" s="1"/>
      <c r="MDI122" s="1"/>
      <c r="MDJ122" s="1"/>
      <c r="MDK122" s="1"/>
      <c r="MDL122" s="1"/>
      <c r="MDM122" s="1"/>
      <c r="MDN122" s="1"/>
      <c r="MDO122" s="1"/>
      <c r="MDP122" s="1"/>
      <c r="MDQ122" s="1"/>
      <c r="MDR122" s="1"/>
      <c r="MDS122" s="1"/>
      <c r="MDT122" s="1"/>
      <c r="MDU122" s="1"/>
      <c r="MDV122" s="1"/>
      <c r="MDW122" s="1"/>
      <c r="MDX122" s="1"/>
      <c r="MDY122" s="1"/>
      <c r="MDZ122" s="1"/>
      <c r="MEA122" s="1"/>
      <c r="MEB122" s="1"/>
      <c r="MEC122" s="1"/>
      <c r="MED122" s="1"/>
      <c r="MEE122" s="1"/>
      <c r="MEF122" s="1"/>
      <c r="MEG122" s="1"/>
      <c r="MEH122" s="1"/>
      <c r="MEI122" s="1"/>
      <c r="MEJ122" s="1"/>
      <c r="MEK122" s="1"/>
      <c r="MEL122" s="1"/>
      <c r="MEM122" s="1"/>
      <c r="MEN122" s="1"/>
      <c r="MEO122" s="1"/>
      <c r="MEP122" s="1"/>
      <c r="MEQ122" s="1"/>
      <c r="MER122" s="1"/>
      <c r="MES122" s="1"/>
      <c r="MET122" s="1"/>
      <c r="MEU122" s="1"/>
      <c r="MEV122" s="1"/>
      <c r="MEW122" s="1"/>
      <c r="MEX122" s="1"/>
      <c r="MEY122" s="1"/>
      <c r="MEZ122" s="1"/>
      <c r="MFA122" s="1"/>
      <c r="MFB122" s="1"/>
      <c r="MFC122" s="1"/>
      <c r="MFD122" s="1"/>
      <c r="MFE122" s="1"/>
      <c r="MFF122" s="1"/>
      <c r="MFG122" s="1"/>
      <c r="MFH122" s="1"/>
      <c r="MFI122" s="1"/>
      <c r="MFJ122" s="1"/>
      <c r="MFK122" s="1"/>
      <c r="MFL122" s="1"/>
      <c r="MFM122" s="1"/>
      <c r="MFN122" s="1"/>
      <c r="MFO122" s="1"/>
      <c r="MFP122" s="1"/>
      <c r="MFQ122" s="1"/>
      <c r="MFR122" s="1"/>
      <c r="MFS122" s="1"/>
      <c r="MFT122" s="1"/>
      <c r="MFU122" s="1"/>
      <c r="MFV122" s="1"/>
      <c r="MFW122" s="1"/>
      <c r="MFX122" s="1"/>
      <c r="MFY122" s="1"/>
      <c r="MFZ122" s="1"/>
      <c r="MGA122" s="1"/>
      <c r="MGB122" s="1"/>
      <c r="MGC122" s="1"/>
      <c r="MGD122" s="1"/>
      <c r="MGE122" s="1"/>
      <c r="MGF122" s="1"/>
      <c r="MGG122" s="1"/>
      <c r="MGH122" s="1"/>
      <c r="MGI122" s="1"/>
      <c r="MGJ122" s="1"/>
      <c r="MGK122" s="1"/>
      <c r="MGL122" s="1"/>
      <c r="MGM122" s="1"/>
      <c r="MGN122" s="1"/>
      <c r="MGO122" s="1"/>
      <c r="MGP122" s="1"/>
      <c r="MGQ122" s="1"/>
      <c r="MGR122" s="1"/>
      <c r="MGS122" s="1"/>
      <c r="MGT122" s="1"/>
      <c r="MGU122" s="1"/>
      <c r="MGV122" s="1"/>
      <c r="MGW122" s="1"/>
      <c r="MGX122" s="1"/>
      <c r="MGY122" s="1"/>
      <c r="MGZ122" s="1"/>
      <c r="MHA122" s="1"/>
      <c r="MHB122" s="1"/>
      <c r="MHC122" s="1"/>
      <c r="MHD122" s="1"/>
      <c r="MHE122" s="1"/>
      <c r="MHF122" s="1"/>
      <c r="MHG122" s="1"/>
      <c r="MHH122" s="1"/>
      <c r="MHI122" s="1"/>
      <c r="MHJ122" s="1"/>
      <c r="MHK122" s="1"/>
      <c r="MHL122" s="1"/>
      <c r="MHM122" s="1"/>
      <c r="MHN122" s="1"/>
      <c r="MHO122" s="1"/>
      <c r="MHP122" s="1"/>
      <c r="MHQ122" s="1"/>
      <c r="MHR122" s="1"/>
      <c r="MHS122" s="1"/>
      <c r="MHT122" s="1"/>
      <c r="MHU122" s="1"/>
      <c r="MHV122" s="1"/>
      <c r="MHW122" s="1"/>
      <c r="MHX122" s="1"/>
      <c r="MHY122" s="1"/>
      <c r="MHZ122" s="1"/>
      <c r="MIA122" s="1"/>
      <c r="MIB122" s="1"/>
      <c r="MIC122" s="1"/>
      <c r="MID122" s="1"/>
      <c r="MIE122" s="1"/>
      <c r="MIF122" s="1"/>
      <c r="MIG122" s="1"/>
      <c r="MIH122" s="1"/>
      <c r="MII122" s="1"/>
      <c r="MIJ122" s="1"/>
      <c r="MIK122" s="1"/>
      <c r="MIL122" s="1"/>
      <c r="MIM122" s="1"/>
      <c r="MIN122" s="1"/>
      <c r="MIO122" s="1"/>
      <c r="MIP122" s="1"/>
      <c r="MIQ122" s="1"/>
      <c r="MIR122" s="1"/>
      <c r="MIS122" s="1"/>
      <c r="MIT122" s="1"/>
      <c r="MIU122" s="1"/>
      <c r="MIV122" s="1"/>
      <c r="MIW122" s="1"/>
      <c r="MIX122" s="1"/>
      <c r="MIY122" s="1"/>
      <c r="MIZ122" s="1"/>
      <c r="MJA122" s="1"/>
      <c r="MJB122" s="1"/>
      <c r="MJC122" s="1"/>
      <c r="MJD122" s="1"/>
      <c r="MJE122" s="1"/>
      <c r="MJF122" s="1"/>
      <c r="MJG122" s="1"/>
      <c r="MJH122" s="1"/>
      <c r="MJI122" s="1"/>
      <c r="MJJ122" s="1"/>
      <c r="MJK122" s="1"/>
      <c r="MJL122" s="1"/>
      <c r="MJM122" s="1"/>
      <c r="MJN122" s="1"/>
      <c r="MJO122" s="1"/>
      <c r="MJP122" s="1"/>
      <c r="MJQ122" s="1"/>
      <c r="MJR122" s="1"/>
      <c r="MJS122" s="1"/>
      <c r="MJT122" s="1"/>
      <c r="MJU122" s="1"/>
      <c r="MJV122" s="1"/>
      <c r="MJW122" s="1"/>
      <c r="MJX122" s="1"/>
      <c r="MJY122" s="1"/>
      <c r="MJZ122" s="1"/>
      <c r="MKA122" s="1"/>
      <c r="MKB122" s="1"/>
      <c r="MKC122" s="1"/>
      <c r="MKD122" s="1"/>
      <c r="MKE122" s="1"/>
      <c r="MKF122" s="1"/>
      <c r="MKG122" s="1"/>
      <c r="MKH122" s="1"/>
      <c r="MKI122" s="1"/>
      <c r="MKJ122" s="1"/>
      <c r="MKK122" s="1"/>
      <c r="MKL122" s="1"/>
      <c r="MKM122" s="1"/>
      <c r="MKN122" s="1"/>
      <c r="MKO122" s="1"/>
      <c r="MKP122" s="1"/>
      <c r="MKQ122" s="1"/>
      <c r="MKR122" s="1"/>
      <c r="MKS122" s="1"/>
      <c r="MKT122" s="1"/>
      <c r="MKU122" s="1"/>
      <c r="MKV122" s="1"/>
      <c r="MKW122" s="1"/>
      <c r="MKX122" s="1"/>
      <c r="MKY122" s="1"/>
      <c r="MKZ122" s="1"/>
      <c r="MLA122" s="1"/>
      <c r="MLB122" s="1"/>
      <c r="MLC122" s="1"/>
      <c r="MLD122" s="1"/>
      <c r="MLE122" s="1"/>
      <c r="MLF122" s="1"/>
      <c r="MLG122" s="1"/>
      <c r="MLH122" s="1"/>
      <c r="MLI122" s="1"/>
      <c r="MLJ122" s="1"/>
      <c r="MLK122" s="1"/>
      <c r="MLL122" s="1"/>
      <c r="MLM122" s="1"/>
      <c r="MLN122" s="1"/>
      <c r="MLO122" s="1"/>
      <c r="MLP122" s="1"/>
      <c r="MLQ122" s="1"/>
      <c r="MLR122" s="1"/>
      <c r="MLS122" s="1"/>
      <c r="MLT122" s="1"/>
      <c r="MLU122" s="1"/>
      <c r="MLV122" s="1"/>
      <c r="MLW122" s="1"/>
      <c r="MLX122" s="1"/>
      <c r="MLY122" s="1"/>
      <c r="MLZ122" s="1"/>
      <c r="MMA122" s="1"/>
      <c r="MMB122" s="1"/>
      <c r="MMC122" s="1"/>
      <c r="MMD122" s="1"/>
      <c r="MME122" s="1"/>
      <c r="MMF122" s="1"/>
      <c r="MMG122" s="1"/>
      <c r="MMH122" s="1"/>
      <c r="MMI122" s="1"/>
      <c r="MMJ122" s="1"/>
      <c r="MMK122" s="1"/>
      <c r="MML122" s="1"/>
      <c r="MMM122" s="1"/>
      <c r="MMN122" s="1"/>
      <c r="MMO122" s="1"/>
      <c r="MMP122" s="1"/>
      <c r="MMQ122" s="1"/>
      <c r="MMR122" s="1"/>
      <c r="MMS122" s="1"/>
      <c r="MMT122" s="1"/>
      <c r="MMU122" s="1"/>
      <c r="MMV122" s="1"/>
      <c r="MMW122" s="1"/>
      <c r="MMX122" s="1"/>
      <c r="MMY122" s="1"/>
      <c r="MMZ122" s="1"/>
      <c r="MNA122" s="1"/>
      <c r="MNB122" s="1"/>
      <c r="MNC122" s="1"/>
      <c r="MND122" s="1"/>
      <c r="MNE122" s="1"/>
      <c r="MNF122" s="1"/>
      <c r="MNG122" s="1"/>
      <c r="MNH122" s="1"/>
      <c r="MNI122" s="1"/>
      <c r="MNJ122" s="1"/>
      <c r="MNK122" s="1"/>
      <c r="MNL122" s="1"/>
      <c r="MNM122" s="1"/>
      <c r="MNN122" s="1"/>
      <c r="MNO122" s="1"/>
      <c r="MNP122" s="1"/>
      <c r="MNQ122" s="1"/>
      <c r="MNR122" s="1"/>
      <c r="MNS122" s="1"/>
      <c r="MNT122" s="1"/>
      <c r="MNU122" s="1"/>
      <c r="MNV122" s="1"/>
      <c r="MNW122" s="1"/>
      <c r="MNX122" s="1"/>
      <c r="MNY122" s="1"/>
      <c r="MNZ122" s="1"/>
      <c r="MOA122" s="1"/>
      <c r="MOB122" s="1"/>
      <c r="MOC122" s="1"/>
      <c r="MOD122" s="1"/>
      <c r="MOE122" s="1"/>
      <c r="MOF122" s="1"/>
      <c r="MOG122" s="1"/>
      <c r="MOH122" s="1"/>
      <c r="MOI122" s="1"/>
      <c r="MOJ122" s="1"/>
      <c r="MOK122" s="1"/>
      <c r="MOL122" s="1"/>
      <c r="MOM122" s="1"/>
      <c r="MON122" s="1"/>
      <c r="MOO122" s="1"/>
      <c r="MOP122" s="1"/>
      <c r="MOQ122" s="1"/>
      <c r="MOR122" s="1"/>
      <c r="MOS122" s="1"/>
      <c r="MOT122" s="1"/>
      <c r="MOU122" s="1"/>
      <c r="MOV122" s="1"/>
      <c r="MOW122" s="1"/>
      <c r="MOX122" s="1"/>
      <c r="MOY122" s="1"/>
      <c r="MOZ122" s="1"/>
      <c r="MPA122" s="1"/>
      <c r="MPB122" s="1"/>
      <c r="MPC122" s="1"/>
      <c r="MPD122" s="1"/>
      <c r="MPE122" s="1"/>
      <c r="MPF122" s="1"/>
      <c r="MPG122" s="1"/>
      <c r="MPH122" s="1"/>
      <c r="MPI122" s="1"/>
      <c r="MPJ122" s="1"/>
      <c r="MPK122" s="1"/>
      <c r="MPL122" s="1"/>
      <c r="MPM122" s="1"/>
      <c r="MPN122" s="1"/>
      <c r="MPO122" s="1"/>
      <c r="MPP122" s="1"/>
      <c r="MPQ122" s="1"/>
      <c r="MPR122" s="1"/>
      <c r="MPS122" s="1"/>
      <c r="MPT122" s="1"/>
      <c r="MPU122" s="1"/>
      <c r="MPV122" s="1"/>
      <c r="MPW122" s="1"/>
      <c r="MPX122" s="1"/>
      <c r="MPY122" s="1"/>
      <c r="MPZ122" s="1"/>
      <c r="MQA122" s="1"/>
      <c r="MQB122" s="1"/>
      <c r="MQC122" s="1"/>
      <c r="MQD122" s="1"/>
      <c r="MQE122" s="1"/>
      <c r="MQF122" s="1"/>
      <c r="MQG122" s="1"/>
      <c r="MQH122" s="1"/>
      <c r="MQI122" s="1"/>
      <c r="MQJ122" s="1"/>
      <c r="MQK122" s="1"/>
      <c r="MQL122" s="1"/>
      <c r="MQM122" s="1"/>
      <c r="MQN122" s="1"/>
      <c r="MQO122" s="1"/>
      <c r="MQP122" s="1"/>
      <c r="MQQ122" s="1"/>
      <c r="MQR122" s="1"/>
      <c r="MQS122" s="1"/>
      <c r="MQT122" s="1"/>
      <c r="MQU122" s="1"/>
      <c r="MQV122" s="1"/>
      <c r="MQW122" s="1"/>
      <c r="MQX122" s="1"/>
      <c r="MQY122" s="1"/>
      <c r="MQZ122" s="1"/>
      <c r="MRA122" s="1"/>
      <c r="MRB122" s="1"/>
      <c r="MRC122" s="1"/>
      <c r="MRD122" s="1"/>
      <c r="MRE122" s="1"/>
      <c r="MRF122" s="1"/>
      <c r="MRG122" s="1"/>
      <c r="MRH122" s="1"/>
      <c r="MRI122" s="1"/>
      <c r="MRJ122" s="1"/>
      <c r="MRK122" s="1"/>
      <c r="MRL122" s="1"/>
      <c r="MRM122" s="1"/>
      <c r="MRN122" s="1"/>
      <c r="MRO122" s="1"/>
      <c r="MRP122" s="1"/>
      <c r="MRQ122" s="1"/>
      <c r="MRR122" s="1"/>
      <c r="MRS122" s="1"/>
      <c r="MRT122" s="1"/>
      <c r="MRU122" s="1"/>
      <c r="MRV122" s="1"/>
      <c r="MRW122" s="1"/>
      <c r="MRX122" s="1"/>
      <c r="MRY122" s="1"/>
      <c r="MRZ122" s="1"/>
      <c r="MSA122" s="1"/>
      <c r="MSB122" s="1"/>
      <c r="MSC122" s="1"/>
      <c r="MSD122" s="1"/>
      <c r="MSE122" s="1"/>
      <c r="MSF122" s="1"/>
      <c r="MSG122" s="1"/>
      <c r="MSH122" s="1"/>
      <c r="MSI122" s="1"/>
      <c r="MSJ122" s="1"/>
      <c r="MSK122" s="1"/>
      <c r="MSL122" s="1"/>
      <c r="MSM122" s="1"/>
      <c r="MSN122" s="1"/>
      <c r="MSO122" s="1"/>
      <c r="MSP122" s="1"/>
      <c r="MSQ122" s="1"/>
      <c r="MSR122" s="1"/>
      <c r="MSS122" s="1"/>
      <c r="MST122" s="1"/>
      <c r="MSU122" s="1"/>
      <c r="MSV122" s="1"/>
      <c r="MSW122" s="1"/>
      <c r="MSX122" s="1"/>
      <c r="MSY122" s="1"/>
      <c r="MSZ122" s="1"/>
      <c r="MTA122" s="1"/>
      <c r="MTB122" s="1"/>
      <c r="MTC122" s="1"/>
      <c r="MTD122" s="1"/>
      <c r="MTE122" s="1"/>
      <c r="MTF122" s="1"/>
      <c r="MTG122" s="1"/>
      <c r="MTH122" s="1"/>
      <c r="MTI122" s="1"/>
      <c r="MTJ122" s="1"/>
      <c r="MTK122" s="1"/>
      <c r="MTL122" s="1"/>
      <c r="MTM122" s="1"/>
      <c r="MTN122" s="1"/>
      <c r="MTO122" s="1"/>
      <c r="MTP122" s="1"/>
      <c r="MTQ122" s="1"/>
      <c r="MTR122" s="1"/>
      <c r="MTS122" s="1"/>
      <c r="MTT122" s="1"/>
      <c r="MTU122" s="1"/>
      <c r="MTV122" s="1"/>
      <c r="MTW122" s="1"/>
      <c r="MTX122" s="1"/>
      <c r="MTY122" s="1"/>
      <c r="MTZ122" s="1"/>
      <c r="MUA122" s="1"/>
      <c r="MUB122" s="1"/>
      <c r="MUC122" s="1"/>
      <c r="MUD122" s="1"/>
      <c r="MUE122" s="1"/>
      <c r="MUF122" s="1"/>
      <c r="MUG122" s="1"/>
      <c r="MUH122" s="1"/>
      <c r="MUI122" s="1"/>
      <c r="MUJ122" s="1"/>
      <c r="MUK122" s="1"/>
      <c r="MUL122" s="1"/>
      <c r="MUM122" s="1"/>
      <c r="MUN122" s="1"/>
      <c r="MUO122" s="1"/>
      <c r="MUP122" s="1"/>
      <c r="MUQ122" s="1"/>
      <c r="MUR122" s="1"/>
      <c r="MUS122" s="1"/>
      <c r="MUT122" s="1"/>
      <c r="MUU122" s="1"/>
      <c r="MUV122" s="1"/>
      <c r="MUW122" s="1"/>
      <c r="MUX122" s="1"/>
      <c r="MUY122" s="1"/>
      <c r="MUZ122" s="1"/>
      <c r="MVA122" s="1"/>
      <c r="MVB122" s="1"/>
      <c r="MVC122" s="1"/>
      <c r="MVD122" s="1"/>
      <c r="MVE122" s="1"/>
      <c r="MVF122" s="1"/>
      <c r="MVG122" s="1"/>
      <c r="MVH122" s="1"/>
      <c r="MVI122" s="1"/>
      <c r="MVJ122" s="1"/>
      <c r="MVK122" s="1"/>
      <c r="MVL122" s="1"/>
      <c r="MVM122" s="1"/>
      <c r="MVN122" s="1"/>
      <c r="MVO122" s="1"/>
      <c r="MVP122" s="1"/>
      <c r="MVQ122" s="1"/>
      <c r="MVR122" s="1"/>
      <c r="MVS122" s="1"/>
      <c r="MVT122" s="1"/>
      <c r="MVU122" s="1"/>
      <c r="MVV122" s="1"/>
      <c r="MVW122" s="1"/>
      <c r="MVX122" s="1"/>
      <c r="MVY122" s="1"/>
      <c r="MVZ122" s="1"/>
      <c r="MWA122" s="1"/>
      <c r="MWB122" s="1"/>
      <c r="MWC122" s="1"/>
      <c r="MWD122" s="1"/>
      <c r="MWE122" s="1"/>
      <c r="MWF122" s="1"/>
      <c r="MWG122" s="1"/>
      <c r="MWH122" s="1"/>
      <c r="MWI122" s="1"/>
      <c r="MWJ122" s="1"/>
      <c r="MWK122" s="1"/>
      <c r="MWL122" s="1"/>
      <c r="MWM122" s="1"/>
      <c r="MWN122" s="1"/>
      <c r="MWO122" s="1"/>
      <c r="MWP122" s="1"/>
      <c r="MWQ122" s="1"/>
      <c r="MWR122" s="1"/>
      <c r="MWS122" s="1"/>
      <c r="MWT122" s="1"/>
      <c r="MWU122" s="1"/>
      <c r="MWV122" s="1"/>
      <c r="MWW122" s="1"/>
      <c r="MWX122" s="1"/>
      <c r="MWY122" s="1"/>
      <c r="MWZ122" s="1"/>
      <c r="MXA122" s="1"/>
      <c r="MXB122" s="1"/>
      <c r="MXC122" s="1"/>
      <c r="MXD122" s="1"/>
      <c r="MXE122" s="1"/>
      <c r="MXF122" s="1"/>
      <c r="MXG122" s="1"/>
      <c r="MXH122" s="1"/>
      <c r="MXI122" s="1"/>
      <c r="MXJ122" s="1"/>
      <c r="MXK122" s="1"/>
      <c r="MXL122" s="1"/>
      <c r="MXM122" s="1"/>
      <c r="MXN122" s="1"/>
      <c r="MXO122" s="1"/>
      <c r="MXP122" s="1"/>
      <c r="MXQ122" s="1"/>
      <c r="MXR122" s="1"/>
      <c r="MXS122" s="1"/>
      <c r="MXT122" s="1"/>
      <c r="MXU122" s="1"/>
      <c r="MXV122" s="1"/>
      <c r="MXW122" s="1"/>
      <c r="MXX122" s="1"/>
      <c r="MXY122" s="1"/>
      <c r="MXZ122" s="1"/>
      <c r="MYA122" s="1"/>
      <c r="MYB122" s="1"/>
      <c r="MYC122" s="1"/>
      <c r="MYD122" s="1"/>
      <c r="MYE122" s="1"/>
      <c r="MYF122" s="1"/>
      <c r="MYG122" s="1"/>
      <c r="MYH122" s="1"/>
      <c r="MYI122" s="1"/>
      <c r="MYJ122" s="1"/>
      <c r="MYK122" s="1"/>
      <c r="MYL122" s="1"/>
      <c r="MYM122" s="1"/>
      <c r="MYN122" s="1"/>
      <c r="MYO122" s="1"/>
      <c r="MYP122" s="1"/>
      <c r="MYQ122" s="1"/>
      <c r="MYR122" s="1"/>
      <c r="MYS122" s="1"/>
      <c r="MYT122" s="1"/>
      <c r="MYU122" s="1"/>
      <c r="MYV122" s="1"/>
      <c r="MYW122" s="1"/>
      <c r="MYX122" s="1"/>
      <c r="MYY122" s="1"/>
      <c r="MYZ122" s="1"/>
      <c r="MZA122" s="1"/>
      <c r="MZB122" s="1"/>
      <c r="MZC122" s="1"/>
      <c r="MZD122" s="1"/>
      <c r="MZE122" s="1"/>
      <c r="MZF122" s="1"/>
      <c r="MZG122" s="1"/>
      <c r="MZH122" s="1"/>
      <c r="MZI122" s="1"/>
      <c r="MZJ122" s="1"/>
      <c r="MZK122" s="1"/>
      <c r="MZL122" s="1"/>
      <c r="MZM122" s="1"/>
      <c r="MZN122" s="1"/>
      <c r="MZO122" s="1"/>
      <c r="MZP122" s="1"/>
      <c r="MZQ122" s="1"/>
      <c r="MZR122" s="1"/>
      <c r="MZS122" s="1"/>
      <c r="MZT122" s="1"/>
      <c r="MZU122" s="1"/>
      <c r="MZV122" s="1"/>
      <c r="MZW122" s="1"/>
      <c r="MZX122" s="1"/>
      <c r="MZY122" s="1"/>
      <c r="MZZ122" s="1"/>
      <c r="NAA122" s="1"/>
      <c r="NAB122" s="1"/>
      <c r="NAC122" s="1"/>
      <c r="NAD122" s="1"/>
      <c r="NAE122" s="1"/>
      <c r="NAF122" s="1"/>
      <c r="NAG122" s="1"/>
      <c r="NAH122" s="1"/>
      <c r="NAI122" s="1"/>
      <c r="NAJ122" s="1"/>
      <c r="NAK122" s="1"/>
      <c r="NAL122" s="1"/>
      <c r="NAM122" s="1"/>
      <c r="NAN122" s="1"/>
      <c r="NAO122" s="1"/>
      <c r="NAP122" s="1"/>
      <c r="NAQ122" s="1"/>
      <c r="NAR122" s="1"/>
      <c r="NAS122" s="1"/>
      <c r="NAT122" s="1"/>
      <c r="NAU122" s="1"/>
      <c r="NAV122" s="1"/>
      <c r="NAW122" s="1"/>
      <c r="NAX122" s="1"/>
      <c r="NAY122" s="1"/>
      <c r="NAZ122" s="1"/>
      <c r="NBA122" s="1"/>
      <c r="NBB122" s="1"/>
      <c r="NBC122" s="1"/>
      <c r="NBD122" s="1"/>
      <c r="NBE122" s="1"/>
      <c r="NBF122" s="1"/>
      <c r="NBG122" s="1"/>
      <c r="NBH122" s="1"/>
      <c r="NBI122" s="1"/>
      <c r="NBJ122" s="1"/>
      <c r="NBK122" s="1"/>
      <c r="NBL122" s="1"/>
      <c r="NBM122" s="1"/>
      <c r="NBN122" s="1"/>
      <c r="NBO122" s="1"/>
      <c r="NBP122" s="1"/>
      <c r="NBQ122" s="1"/>
      <c r="NBR122" s="1"/>
      <c r="NBS122" s="1"/>
      <c r="NBT122" s="1"/>
      <c r="NBU122" s="1"/>
      <c r="NBV122" s="1"/>
      <c r="NBW122" s="1"/>
      <c r="NBX122" s="1"/>
      <c r="NBY122" s="1"/>
      <c r="NBZ122" s="1"/>
      <c r="NCA122" s="1"/>
      <c r="NCB122" s="1"/>
      <c r="NCC122" s="1"/>
      <c r="NCD122" s="1"/>
      <c r="NCE122" s="1"/>
      <c r="NCF122" s="1"/>
      <c r="NCG122" s="1"/>
      <c r="NCH122" s="1"/>
      <c r="NCI122" s="1"/>
      <c r="NCJ122" s="1"/>
      <c r="NCK122" s="1"/>
      <c r="NCL122" s="1"/>
      <c r="NCM122" s="1"/>
      <c r="NCN122" s="1"/>
      <c r="NCO122" s="1"/>
      <c r="NCP122" s="1"/>
      <c r="NCQ122" s="1"/>
      <c r="NCR122" s="1"/>
      <c r="NCS122" s="1"/>
      <c r="NCT122" s="1"/>
      <c r="NCU122" s="1"/>
      <c r="NCV122" s="1"/>
      <c r="NCW122" s="1"/>
      <c r="NCX122" s="1"/>
      <c r="NCY122" s="1"/>
      <c r="NCZ122" s="1"/>
      <c r="NDA122" s="1"/>
      <c r="NDB122" s="1"/>
      <c r="NDC122" s="1"/>
      <c r="NDD122" s="1"/>
      <c r="NDE122" s="1"/>
      <c r="NDF122" s="1"/>
      <c r="NDG122" s="1"/>
      <c r="NDH122" s="1"/>
      <c r="NDI122" s="1"/>
      <c r="NDJ122" s="1"/>
      <c r="NDK122" s="1"/>
      <c r="NDL122" s="1"/>
      <c r="NDM122" s="1"/>
      <c r="NDN122" s="1"/>
      <c r="NDO122" s="1"/>
      <c r="NDP122" s="1"/>
      <c r="NDQ122" s="1"/>
      <c r="NDR122" s="1"/>
      <c r="NDS122" s="1"/>
      <c r="NDT122" s="1"/>
      <c r="NDU122" s="1"/>
      <c r="NDV122" s="1"/>
      <c r="NDW122" s="1"/>
      <c r="NDX122" s="1"/>
      <c r="NDY122" s="1"/>
      <c r="NDZ122" s="1"/>
      <c r="NEA122" s="1"/>
      <c r="NEB122" s="1"/>
      <c r="NEC122" s="1"/>
      <c r="NED122" s="1"/>
      <c r="NEE122" s="1"/>
      <c r="NEF122" s="1"/>
      <c r="NEG122" s="1"/>
      <c r="NEH122" s="1"/>
      <c r="NEI122" s="1"/>
      <c r="NEJ122" s="1"/>
      <c r="NEK122" s="1"/>
      <c r="NEL122" s="1"/>
      <c r="NEM122" s="1"/>
      <c r="NEN122" s="1"/>
      <c r="NEO122" s="1"/>
      <c r="NEP122" s="1"/>
      <c r="NEQ122" s="1"/>
      <c r="NER122" s="1"/>
      <c r="NES122" s="1"/>
      <c r="NET122" s="1"/>
      <c r="NEU122" s="1"/>
      <c r="NEV122" s="1"/>
      <c r="NEW122" s="1"/>
      <c r="NEX122" s="1"/>
      <c r="NEY122" s="1"/>
      <c r="NEZ122" s="1"/>
      <c r="NFA122" s="1"/>
      <c r="NFB122" s="1"/>
      <c r="NFC122" s="1"/>
      <c r="NFD122" s="1"/>
      <c r="NFE122" s="1"/>
      <c r="NFF122" s="1"/>
      <c r="NFG122" s="1"/>
      <c r="NFH122" s="1"/>
      <c r="NFI122" s="1"/>
      <c r="NFJ122" s="1"/>
      <c r="NFK122" s="1"/>
      <c r="NFL122" s="1"/>
      <c r="NFM122" s="1"/>
      <c r="NFN122" s="1"/>
      <c r="NFO122" s="1"/>
      <c r="NFP122" s="1"/>
      <c r="NFQ122" s="1"/>
      <c r="NFR122" s="1"/>
      <c r="NFS122" s="1"/>
      <c r="NFT122" s="1"/>
      <c r="NFU122" s="1"/>
      <c r="NFV122" s="1"/>
      <c r="NFW122" s="1"/>
      <c r="NFX122" s="1"/>
      <c r="NFY122" s="1"/>
      <c r="NFZ122" s="1"/>
      <c r="NGA122" s="1"/>
      <c r="NGB122" s="1"/>
      <c r="NGC122" s="1"/>
      <c r="NGD122" s="1"/>
      <c r="NGE122" s="1"/>
      <c r="NGF122" s="1"/>
      <c r="NGG122" s="1"/>
      <c r="NGH122" s="1"/>
      <c r="NGI122" s="1"/>
      <c r="NGJ122" s="1"/>
      <c r="NGK122" s="1"/>
      <c r="NGL122" s="1"/>
      <c r="NGM122" s="1"/>
      <c r="NGN122" s="1"/>
      <c r="NGO122" s="1"/>
      <c r="NGP122" s="1"/>
      <c r="NGQ122" s="1"/>
      <c r="NGR122" s="1"/>
      <c r="NGS122" s="1"/>
      <c r="NGT122" s="1"/>
      <c r="NGU122" s="1"/>
      <c r="NGV122" s="1"/>
      <c r="NGW122" s="1"/>
      <c r="NGX122" s="1"/>
      <c r="NGY122" s="1"/>
      <c r="NGZ122" s="1"/>
      <c r="NHA122" s="1"/>
      <c r="NHB122" s="1"/>
      <c r="NHC122" s="1"/>
      <c r="NHD122" s="1"/>
      <c r="NHE122" s="1"/>
      <c r="NHF122" s="1"/>
      <c r="NHG122" s="1"/>
      <c r="NHH122" s="1"/>
      <c r="NHI122" s="1"/>
      <c r="NHJ122" s="1"/>
      <c r="NHK122" s="1"/>
      <c r="NHL122" s="1"/>
      <c r="NHM122" s="1"/>
      <c r="NHN122" s="1"/>
      <c r="NHO122" s="1"/>
      <c r="NHP122" s="1"/>
      <c r="NHQ122" s="1"/>
      <c r="NHR122" s="1"/>
      <c r="NHS122" s="1"/>
      <c r="NHT122" s="1"/>
      <c r="NHU122" s="1"/>
      <c r="NHV122" s="1"/>
      <c r="NHW122" s="1"/>
      <c r="NHX122" s="1"/>
      <c r="NHY122" s="1"/>
      <c r="NHZ122" s="1"/>
      <c r="NIA122" s="1"/>
      <c r="NIB122" s="1"/>
      <c r="NIC122" s="1"/>
      <c r="NID122" s="1"/>
      <c r="NIE122" s="1"/>
      <c r="NIF122" s="1"/>
      <c r="NIG122" s="1"/>
      <c r="NIH122" s="1"/>
      <c r="NII122" s="1"/>
      <c r="NIJ122" s="1"/>
      <c r="NIK122" s="1"/>
      <c r="NIL122" s="1"/>
      <c r="NIM122" s="1"/>
      <c r="NIN122" s="1"/>
      <c r="NIO122" s="1"/>
      <c r="NIP122" s="1"/>
      <c r="NIQ122" s="1"/>
      <c r="NIR122" s="1"/>
      <c r="NIS122" s="1"/>
      <c r="NIT122" s="1"/>
      <c r="NIU122" s="1"/>
      <c r="NIV122" s="1"/>
      <c r="NIW122" s="1"/>
      <c r="NIX122" s="1"/>
      <c r="NIY122" s="1"/>
      <c r="NIZ122" s="1"/>
      <c r="NJA122" s="1"/>
      <c r="NJB122" s="1"/>
      <c r="NJC122" s="1"/>
      <c r="NJD122" s="1"/>
      <c r="NJE122" s="1"/>
      <c r="NJF122" s="1"/>
      <c r="NJG122" s="1"/>
      <c r="NJH122" s="1"/>
      <c r="NJI122" s="1"/>
      <c r="NJJ122" s="1"/>
      <c r="NJK122" s="1"/>
      <c r="NJL122" s="1"/>
      <c r="NJM122" s="1"/>
      <c r="NJN122" s="1"/>
      <c r="NJO122" s="1"/>
      <c r="NJP122" s="1"/>
      <c r="NJQ122" s="1"/>
      <c r="NJR122" s="1"/>
      <c r="NJS122" s="1"/>
      <c r="NJT122" s="1"/>
      <c r="NJU122" s="1"/>
      <c r="NJV122" s="1"/>
      <c r="NJW122" s="1"/>
      <c r="NJX122" s="1"/>
      <c r="NJY122" s="1"/>
      <c r="NJZ122" s="1"/>
      <c r="NKA122" s="1"/>
      <c r="NKB122" s="1"/>
      <c r="NKC122" s="1"/>
      <c r="NKD122" s="1"/>
      <c r="NKE122" s="1"/>
      <c r="NKF122" s="1"/>
      <c r="NKG122" s="1"/>
      <c r="NKH122" s="1"/>
      <c r="NKI122" s="1"/>
      <c r="NKJ122" s="1"/>
      <c r="NKK122" s="1"/>
      <c r="NKL122" s="1"/>
      <c r="NKM122" s="1"/>
      <c r="NKN122" s="1"/>
      <c r="NKO122" s="1"/>
      <c r="NKP122" s="1"/>
      <c r="NKQ122" s="1"/>
      <c r="NKR122" s="1"/>
      <c r="NKS122" s="1"/>
      <c r="NKT122" s="1"/>
      <c r="NKU122" s="1"/>
      <c r="NKV122" s="1"/>
      <c r="NKW122" s="1"/>
      <c r="NKX122" s="1"/>
      <c r="NKY122" s="1"/>
      <c r="NKZ122" s="1"/>
      <c r="NLA122" s="1"/>
      <c r="NLB122" s="1"/>
      <c r="NLC122" s="1"/>
      <c r="NLD122" s="1"/>
      <c r="NLE122" s="1"/>
      <c r="NLF122" s="1"/>
      <c r="NLG122" s="1"/>
      <c r="NLH122" s="1"/>
      <c r="NLI122" s="1"/>
      <c r="NLJ122" s="1"/>
      <c r="NLK122" s="1"/>
      <c r="NLL122" s="1"/>
      <c r="NLM122" s="1"/>
      <c r="NLN122" s="1"/>
      <c r="NLO122" s="1"/>
      <c r="NLP122" s="1"/>
      <c r="NLQ122" s="1"/>
      <c r="NLR122" s="1"/>
      <c r="NLS122" s="1"/>
      <c r="NLT122" s="1"/>
      <c r="NLU122" s="1"/>
      <c r="NLV122" s="1"/>
      <c r="NLW122" s="1"/>
      <c r="NLX122" s="1"/>
      <c r="NLY122" s="1"/>
      <c r="NLZ122" s="1"/>
      <c r="NMA122" s="1"/>
      <c r="NMB122" s="1"/>
      <c r="NMC122" s="1"/>
      <c r="NMD122" s="1"/>
      <c r="NME122" s="1"/>
      <c r="NMF122" s="1"/>
      <c r="NMG122" s="1"/>
      <c r="NMH122" s="1"/>
      <c r="NMI122" s="1"/>
      <c r="NMJ122" s="1"/>
      <c r="NMK122" s="1"/>
      <c r="NML122" s="1"/>
      <c r="NMM122" s="1"/>
      <c r="NMN122" s="1"/>
      <c r="NMO122" s="1"/>
      <c r="NMP122" s="1"/>
      <c r="NMQ122" s="1"/>
      <c r="NMR122" s="1"/>
      <c r="NMS122" s="1"/>
      <c r="NMT122" s="1"/>
      <c r="NMU122" s="1"/>
      <c r="NMV122" s="1"/>
      <c r="NMW122" s="1"/>
      <c r="NMX122" s="1"/>
      <c r="NMY122" s="1"/>
      <c r="NMZ122" s="1"/>
      <c r="NNA122" s="1"/>
      <c r="NNB122" s="1"/>
      <c r="NNC122" s="1"/>
      <c r="NND122" s="1"/>
      <c r="NNE122" s="1"/>
      <c r="NNF122" s="1"/>
      <c r="NNG122" s="1"/>
      <c r="NNH122" s="1"/>
      <c r="NNI122" s="1"/>
      <c r="NNJ122" s="1"/>
      <c r="NNK122" s="1"/>
      <c r="NNL122" s="1"/>
      <c r="NNM122" s="1"/>
      <c r="NNN122" s="1"/>
      <c r="NNO122" s="1"/>
      <c r="NNP122" s="1"/>
      <c r="NNQ122" s="1"/>
      <c r="NNR122" s="1"/>
      <c r="NNS122" s="1"/>
      <c r="NNT122" s="1"/>
      <c r="NNU122" s="1"/>
      <c r="NNV122" s="1"/>
      <c r="NNW122" s="1"/>
      <c r="NNX122" s="1"/>
      <c r="NNY122" s="1"/>
      <c r="NNZ122" s="1"/>
      <c r="NOA122" s="1"/>
      <c r="NOB122" s="1"/>
      <c r="NOC122" s="1"/>
      <c r="NOD122" s="1"/>
      <c r="NOE122" s="1"/>
      <c r="NOF122" s="1"/>
      <c r="NOG122" s="1"/>
      <c r="NOH122" s="1"/>
      <c r="NOI122" s="1"/>
      <c r="NOJ122" s="1"/>
      <c r="NOK122" s="1"/>
      <c r="NOL122" s="1"/>
      <c r="NOM122" s="1"/>
      <c r="NON122" s="1"/>
      <c r="NOO122" s="1"/>
      <c r="NOP122" s="1"/>
      <c r="NOQ122" s="1"/>
      <c r="NOR122" s="1"/>
      <c r="NOS122" s="1"/>
      <c r="NOT122" s="1"/>
      <c r="NOU122" s="1"/>
      <c r="NOV122" s="1"/>
      <c r="NOW122" s="1"/>
      <c r="NOX122" s="1"/>
      <c r="NOY122" s="1"/>
      <c r="NOZ122" s="1"/>
      <c r="NPA122" s="1"/>
      <c r="NPB122" s="1"/>
      <c r="NPC122" s="1"/>
      <c r="NPD122" s="1"/>
      <c r="NPE122" s="1"/>
      <c r="NPF122" s="1"/>
      <c r="NPG122" s="1"/>
      <c r="NPH122" s="1"/>
      <c r="NPI122" s="1"/>
      <c r="NPJ122" s="1"/>
      <c r="NPK122" s="1"/>
      <c r="NPL122" s="1"/>
      <c r="NPM122" s="1"/>
      <c r="NPN122" s="1"/>
      <c r="NPO122" s="1"/>
      <c r="NPP122" s="1"/>
      <c r="NPQ122" s="1"/>
      <c r="NPR122" s="1"/>
      <c r="NPS122" s="1"/>
      <c r="NPT122" s="1"/>
      <c r="NPU122" s="1"/>
      <c r="NPV122" s="1"/>
      <c r="NPW122" s="1"/>
      <c r="NPX122" s="1"/>
      <c r="NPY122" s="1"/>
      <c r="NPZ122" s="1"/>
      <c r="NQA122" s="1"/>
      <c r="NQB122" s="1"/>
      <c r="NQC122" s="1"/>
      <c r="NQD122" s="1"/>
      <c r="NQE122" s="1"/>
      <c r="NQF122" s="1"/>
      <c r="NQG122" s="1"/>
      <c r="NQH122" s="1"/>
      <c r="NQI122" s="1"/>
      <c r="NQJ122" s="1"/>
      <c r="NQK122" s="1"/>
      <c r="NQL122" s="1"/>
      <c r="NQM122" s="1"/>
      <c r="NQN122" s="1"/>
      <c r="NQO122" s="1"/>
      <c r="NQP122" s="1"/>
      <c r="NQQ122" s="1"/>
      <c r="NQR122" s="1"/>
      <c r="NQS122" s="1"/>
      <c r="NQT122" s="1"/>
      <c r="NQU122" s="1"/>
      <c r="NQV122" s="1"/>
      <c r="NQW122" s="1"/>
      <c r="NQX122" s="1"/>
      <c r="NQY122" s="1"/>
      <c r="NQZ122" s="1"/>
      <c r="NRA122" s="1"/>
      <c r="NRB122" s="1"/>
      <c r="NRC122" s="1"/>
      <c r="NRD122" s="1"/>
      <c r="NRE122" s="1"/>
      <c r="NRF122" s="1"/>
      <c r="NRG122" s="1"/>
      <c r="NRH122" s="1"/>
      <c r="NRI122" s="1"/>
      <c r="NRJ122" s="1"/>
      <c r="NRK122" s="1"/>
      <c r="NRL122" s="1"/>
      <c r="NRM122" s="1"/>
      <c r="NRN122" s="1"/>
      <c r="NRO122" s="1"/>
      <c r="NRP122" s="1"/>
      <c r="NRQ122" s="1"/>
      <c r="NRR122" s="1"/>
      <c r="NRS122" s="1"/>
      <c r="NRT122" s="1"/>
      <c r="NRU122" s="1"/>
      <c r="NRV122" s="1"/>
      <c r="NRW122" s="1"/>
      <c r="NRX122" s="1"/>
      <c r="NRY122" s="1"/>
      <c r="NRZ122" s="1"/>
      <c r="NSA122" s="1"/>
      <c r="NSB122" s="1"/>
      <c r="NSC122" s="1"/>
      <c r="NSD122" s="1"/>
      <c r="NSE122" s="1"/>
      <c r="NSF122" s="1"/>
      <c r="NSG122" s="1"/>
      <c r="NSH122" s="1"/>
      <c r="NSI122" s="1"/>
      <c r="NSJ122" s="1"/>
      <c r="NSK122" s="1"/>
      <c r="NSL122" s="1"/>
      <c r="NSM122" s="1"/>
      <c r="NSN122" s="1"/>
      <c r="NSO122" s="1"/>
      <c r="NSP122" s="1"/>
      <c r="NSQ122" s="1"/>
      <c r="NSR122" s="1"/>
      <c r="NSS122" s="1"/>
      <c r="NST122" s="1"/>
      <c r="NSU122" s="1"/>
      <c r="NSV122" s="1"/>
      <c r="NSW122" s="1"/>
      <c r="NSX122" s="1"/>
      <c r="NSY122" s="1"/>
      <c r="NSZ122" s="1"/>
      <c r="NTA122" s="1"/>
      <c r="NTB122" s="1"/>
      <c r="NTC122" s="1"/>
      <c r="NTD122" s="1"/>
      <c r="NTE122" s="1"/>
      <c r="NTF122" s="1"/>
      <c r="NTG122" s="1"/>
      <c r="NTH122" s="1"/>
      <c r="NTI122" s="1"/>
      <c r="NTJ122" s="1"/>
      <c r="NTK122" s="1"/>
      <c r="NTL122" s="1"/>
      <c r="NTM122" s="1"/>
      <c r="NTN122" s="1"/>
      <c r="NTO122" s="1"/>
      <c r="NTP122" s="1"/>
      <c r="NTQ122" s="1"/>
      <c r="NTR122" s="1"/>
      <c r="NTS122" s="1"/>
      <c r="NTT122" s="1"/>
      <c r="NTU122" s="1"/>
      <c r="NTV122" s="1"/>
      <c r="NTW122" s="1"/>
      <c r="NTX122" s="1"/>
      <c r="NTY122" s="1"/>
      <c r="NTZ122" s="1"/>
      <c r="NUA122" s="1"/>
      <c r="NUB122" s="1"/>
      <c r="NUC122" s="1"/>
      <c r="NUD122" s="1"/>
      <c r="NUE122" s="1"/>
      <c r="NUF122" s="1"/>
      <c r="NUG122" s="1"/>
      <c r="NUH122" s="1"/>
      <c r="NUI122" s="1"/>
      <c r="NUJ122" s="1"/>
      <c r="NUK122" s="1"/>
      <c r="NUL122" s="1"/>
      <c r="NUM122" s="1"/>
      <c r="NUN122" s="1"/>
      <c r="NUO122" s="1"/>
      <c r="NUP122" s="1"/>
      <c r="NUQ122" s="1"/>
      <c r="NUR122" s="1"/>
      <c r="NUS122" s="1"/>
      <c r="NUT122" s="1"/>
      <c r="NUU122" s="1"/>
      <c r="NUV122" s="1"/>
      <c r="NUW122" s="1"/>
      <c r="NUX122" s="1"/>
      <c r="NUY122" s="1"/>
      <c r="NUZ122" s="1"/>
      <c r="NVA122" s="1"/>
      <c r="NVB122" s="1"/>
      <c r="NVC122" s="1"/>
      <c r="NVD122" s="1"/>
      <c r="NVE122" s="1"/>
      <c r="NVF122" s="1"/>
      <c r="NVG122" s="1"/>
      <c r="NVH122" s="1"/>
      <c r="NVI122" s="1"/>
      <c r="NVJ122" s="1"/>
      <c r="NVK122" s="1"/>
      <c r="NVL122" s="1"/>
      <c r="NVM122" s="1"/>
      <c r="NVN122" s="1"/>
      <c r="NVO122" s="1"/>
      <c r="NVP122" s="1"/>
      <c r="NVQ122" s="1"/>
      <c r="NVR122" s="1"/>
      <c r="NVS122" s="1"/>
      <c r="NVT122" s="1"/>
      <c r="NVU122" s="1"/>
      <c r="NVV122" s="1"/>
      <c r="NVW122" s="1"/>
      <c r="NVX122" s="1"/>
      <c r="NVY122" s="1"/>
      <c r="NVZ122" s="1"/>
      <c r="NWA122" s="1"/>
      <c r="NWB122" s="1"/>
      <c r="NWC122" s="1"/>
      <c r="NWD122" s="1"/>
      <c r="NWE122" s="1"/>
      <c r="NWF122" s="1"/>
      <c r="NWG122" s="1"/>
      <c r="NWH122" s="1"/>
      <c r="NWI122" s="1"/>
      <c r="NWJ122" s="1"/>
      <c r="NWK122" s="1"/>
      <c r="NWL122" s="1"/>
      <c r="NWM122" s="1"/>
      <c r="NWN122" s="1"/>
      <c r="NWO122" s="1"/>
      <c r="NWP122" s="1"/>
      <c r="NWQ122" s="1"/>
      <c r="NWR122" s="1"/>
      <c r="NWS122" s="1"/>
      <c r="NWT122" s="1"/>
      <c r="NWU122" s="1"/>
      <c r="NWV122" s="1"/>
      <c r="NWW122" s="1"/>
      <c r="NWX122" s="1"/>
      <c r="NWY122" s="1"/>
      <c r="NWZ122" s="1"/>
      <c r="NXA122" s="1"/>
      <c r="NXB122" s="1"/>
      <c r="NXC122" s="1"/>
      <c r="NXD122" s="1"/>
      <c r="NXE122" s="1"/>
      <c r="NXF122" s="1"/>
      <c r="NXG122" s="1"/>
      <c r="NXH122" s="1"/>
      <c r="NXI122" s="1"/>
      <c r="NXJ122" s="1"/>
      <c r="NXK122" s="1"/>
      <c r="NXL122" s="1"/>
      <c r="NXM122" s="1"/>
      <c r="NXN122" s="1"/>
      <c r="NXO122" s="1"/>
      <c r="NXP122" s="1"/>
      <c r="NXQ122" s="1"/>
      <c r="NXR122" s="1"/>
      <c r="NXS122" s="1"/>
      <c r="NXT122" s="1"/>
      <c r="NXU122" s="1"/>
      <c r="NXV122" s="1"/>
      <c r="NXW122" s="1"/>
      <c r="NXX122" s="1"/>
      <c r="NXY122" s="1"/>
      <c r="NXZ122" s="1"/>
      <c r="NYA122" s="1"/>
      <c r="NYB122" s="1"/>
      <c r="NYC122" s="1"/>
      <c r="NYD122" s="1"/>
      <c r="NYE122" s="1"/>
      <c r="NYF122" s="1"/>
      <c r="NYG122" s="1"/>
      <c r="NYH122" s="1"/>
      <c r="NYI122" s="1"/>
      <c r="NYJ122" s="1"/>
      <c r="NYK122" s="1"/>
      <c r="NYL122" s="1"/>
      <c r="NYM122" s="1"/>
      <c r="NYN122" s="1"/>
      <c r="NYO122" s="1"/>
      <c r="NYP122" s="1"/>
      <c r="NYQ122" s="1"/>
      <c r="NYR122" s="1"/>
      <c r="NYS122" s="1"/>
      <c r="NYT122" s="1"/>
      <c r="NYU122" s="1"/>
      <c r="NYV122" s="1"/>
      <c r="NYW122" s="1"/>
      <c r="NYX122" s="1"/>
      <c r="NYY122" s="1"/>
      <c r="NYZ122" s="1"/>
      <c r="NZA122" s="1"/>
      <c r="NZB122" s="1"/>
      <c r="NZC122" s="1"/>
      <c r="NZD122" s="1"/>
      <c r="NZE122" s="1"/>
      <c r="NZF122" s="1"/>
      <c r="NZG122" s="1"/>
      <c r="NZH122" s="1"/>
      <c r="NZI122" s="1"/>
      <c r="NZJ122" s="1"/>
      <c r="NZK122" s="1"/>
      <c r="NZL122" s="1"/>
      <c r="NZM122" s="1"/>
      <c r="NZN122" s="1"/>
      <c r="NZO122" s="1"/>
      <c r="NZP122" s="1"/>
      <c r="NZQ122" s="1"/>
      <c r="NZR122" s="1"/>
      <c r="NZS122" s="1"/>
      <c r="NZT122" s="1"/>
      <c r="NZU122" s="1"/>
      <c r="NZV122" s="1"/>
      <c r="NZW122" s="1"/>
      <c r="NZX122" s="1"/>
      <c r="NZY122" s="1"/>
      <c r="NZZ122" s="1"/>
      <c r="OAA122" s="1"/>
      <c r="OAB122" s="1"/>
      <c r="OAC122" s="1"/>
      <c r="OAD122" s="1"/>
      <c r="OAE122" s="1"/>
      <c r="OAF122" s="1"/>
      <c r="OAG122" s="1"/>
      <c r="OAH122" s="1"/>
      <c r="OAI122" s="1"/>
      <c r="OAJ122" s="1"/>
      <c r="OAK122" s="1"/>
      <c r="OAL122" s="1"/>
      <c r="OAM122" s="1"/>
      <c r="OAN122" s="1"/>
      <c r="OAO122" s="1"/>
      <c r="OAP122" s="1"/>
      <c r="OAQ122" s="1"/>
      <c r="OAR122" s="1"/>
      <c r="OAS122" s="1"/>
      <c r="OAT122" s="1"/>
      <c r="OAU122" s="1"/>
      <c r="OAV122" s="1"/>
      <c r="OAW122" s="1"/>
      <c r="OAX122" s="1"/>
      <c r="OAY122" s="1"/>
      <c r="OAZ122" s="1"/>
      <c r="OBA122" s="1"/>
      <c r="OBB122" s="1"/>
      <c r="OBC122" s="1"/>
      <c r="OBD122" s="1"/>
      <c r="OBE122" s="1"/>
      <c r="OBF122" s="1"/>
      <c r="OBG122" s="1"/>
      <c r="OBH122" s="1"/>
      <c r="OBI122" s="1"/>
      <c r="OBJ122" s="1"/>
      <c r="OBK122" s="1"/>
      <c r="OBL122" s="1"/>
      <c r="OBM122" s="1"/>
      <c r="OBN122" s="1"/>
      <c r="OBO122" s="1"/>
      <c r="OBP122" s="1"/>
      <c r="OBQ122" s="1"/>
      <c r="OBR122" s="1"/>
      <c r="OBS122" s="1"/>
      <c r="OBT122" s="1"/>
      <c r="OBU122" s="1"/>
      <c r="OBV122" s="1"/>
      <c r="OBW122" s="1"/>
      <c r="OBX122" s="1"/>
      <c r="OBY122" s="1"/>
      <c r="OBZ122" s="1"/>
      <c r="OCA122" s="1"/>
      <c r="OCB122" s="1"/>
      <c r="OCC122" s="1"/>
      <c r="OCD122" s="1"/>
      <c r="OCE122" s="1"/>
      <c r="OCF122" s="1"/>
      <c r="OCG122" s="1"/>
      <c r="OCH122" s="1"/>
      <c r="OCI122" s="1"/>
      <c r="OCJ122" s="1"/>
      <c r="OCK122" s="1"/>
      <c r="OCL122" s="1"/>
      <c r="OCM122" s="1"/>
      <c r="OCN122" s="1"/>
      <c r="OCO122" s="1"/>
      <c r="OCP122" s="1"/>
      <c r="OCQ122" s="1"/>
      <c r="OCR122" s="1"/>
      <c r="OCS122" s="1"/>
      <c r="OCT122" s="1"/>
      <c r="OCU122" s="1"/>
      <c r="OCV122" s="1"/>
      <c r="OCW122" s="1"/>
      <c r="OCX122" s="1"/>
      <c r="OCY122" s="1"/>
      <c r="OCZ122" s="1"/>
      <c r="ODA122" s="1"/>
      <c r="ODB122" s="1"/>
      <c r="ODC122" s="1"/>
      <c r="ODD122" s="1"/>
      <c r="ODE122" s="1"/>
      <c r="ODF122" s="1"/>
      <c r="ODG122" s="1"/>
      <c r="ODH122" s="1"/>
      <c r="ODI122" s="1"/>
      <c r="ODJ122" s="1"/>
      <c r="ODK122" s="1"/>
      <c r="ODL122" s="1"/>
      <c r="ODM122" s="1"/>
      <c r="ODN122" s="1"/>
      <c r="ODO122" s="1"/>
      <c r="ODP122" s="1"/>
      <c r="ODQ122" s="1"/>
      <c r="ODR122" s="1"/>
      <c r="ODS122" s="1"/>
      <c r="ODT122" s="1"/>
      <c r="ODU122" s="1"/>
      <c r="ODV122" s="1"/>
      <c r="ODW122" s="1"/>
      <c r="ODX122" s="1"/>
      <c r="ODY122" s="1"/>
      <c r="ODZ122" s="1"/>
      <c r="OEA122" s="1"/>
      <c r="OEB122" s="1"/>
      <c r="OEC122" s="1"/>
      <c r="OED122" s="1"/>
      <c r="OEE122" s="1"/>
      <c r="OEF122" s="1"/>
      <c r="OEG122" s="1"/>
      <c r="OEH122" s="1"/>
      <c r="OEI122" s="1"/>
      <c r="OEJ122" s="1"/>
      <c r="OEK122" s="1"/>
      <c r="OEL122" s="1"/>
      <c r="OEM122" s="1"/>
      <c r="OEN122" s="1"/>
      <c r="OEO122" s="1"/>
      <c r="OEP122" s="1"/>
      <c r="OEQ122" s="1"/>
      <c r="OER122" s="1"/>
      <c r="OES122" s="1"/>
      <c r="OET122" s="1"/>
      <c r="OEU122" s="1"/>
      <c r="OEV122" s="1"/>
      <c r="OEW122" s="1"/>
      <c r="OEX122" s="1"/>
      <c r="OEY122" s="1"/>
      <c r="OEZ122" s="1"/>
      <c r="OFA122" s="1"/>
      <c r="OFB122" s="1"/>
      <c r="OFC122" s="1"/>
      <c r="OFD122" s="1"/>
      <c r="OFE122" s="1"/>
      <c r="OFF122" s="1"/>
      <c r="OFG122" s="1"/>
      <c r="OFH122" s="1"/>
      <c r="OFI122" s="1"/>
      <c r="OFJ122" s="1"/>
      <c r="OFK122" s="1"/>
      <c r="OFL122" s="1"/>
      <c r="OFM122" s="1"/>
      <c r="OFN122" s="1"/>
      <c r="OFO122" s="1"/>
      <c r="OFP122" s="1"/>
      <c r="OFQ122" s="1"/>
      <c r="OFR122" s="1"/>
      <c r="OFS122" s="1"/>
      <c r="OFT122" s="1"/>
      <c r="OFU122" s="1"/>
      <c r="OFV122" s="1"/>
      <c r="OFW122" s="1"/>
      <c r="OFX122" s="1"/>
      <c r="OFY122" s="1"/>
      <c r="OFZ122" s="1"/>
      <c r="OGA122" s="1"/>
      <c r="OGB122" s="1"/>
      <c r="OGC122" s="1"/>
      <c r="OGD122" s="1"/>
      <c r="OGE122" s="1"/>
      <c r="OGF122" s="1"/>
      <c r="OGG122" s="1"/>
      <c r="OGH122" s="1"/>
      <c r="OGI122" s="1"/>
      <c r="OGJ122" s="1"/>
      <c r="OGK122" s="1"/>
      <c r="OGL122" s="1"/>
      <c r="OGM122" s="1"/>
      <c r="OGN122" s="1"/>
      <c r="OGO122" s="1"/>
      <c r="OGP122" s="1"/>
      <c r="OGQ122" s="1"/>
      <c r="OGR122" s="1"/>
      <c r="OGS122" s="1"/>
      <c r="OGT122" s="1"/>
      <c r="OGU122" s="1"/>
      <c r="OGV122" s="1"/>
      <c r="OGW122" s="1"/>
      <c r="OGX122" s="1"/>
      <c r="OGY122" s="1"/>
      <c r="OGZ122" s="1"/>
      <c r="OHA122" s="1"/>
      <c r="OHB122" s="1"/>
      <c r="OHC122" s="1"/>
      <c r="OHD122" s="1"/>
      <c r="OHE122" s="1"/>
      <c r="OHF122" s="1"/>
      <c r="OHG122" s="1"/>
      <c r="OHH122" s="1"/>
      <c r="OHI122" s="1"/>
      <c r="OHJ122" s="1"/>
      <c r="OHK122" s="1"/>
      <c r="OHL122" s="1"/>
      <c r="OHM122" s="1"/>
      <c r="OHN122" s="1"/>
      <c r="OHO122" s="1"/>
      <c r="OHP122" s="1"/>
      <c r="OHQ122" s="1"/>
      <c r="OHR122" s="1"/>
      <c r="OHS122" s="1"/>
      <c r="OHT122" s="1"/>
      <c r="OHU122" s="1"/>
      <c r="OHV122" s="1"/>
      <c r="OHW122" s="1"/>
      <c r="OHX122" s="1"/>
      <c r="OHY122" s="1"/>
      <c r="OHZ122" s="1"/>
      <c r="OIA122" s="1"/>
      <c r="OIB122" s="1"/>
      <c r="OIC122" s="1"/>
      <c r="OID122" s="1"/>
      <c r="OIE122" s="1"/>
      <c r="OIF122" s="1"/>
      <c r="OIG122" s="1"/>
      <c r="OIH122" s="1"/>
      <c r="OII122" s="1"/>
      <c r="OIJ122" s="1"/>
      <c r="OIK122" s="1"/>
      <c r="OIL122" s="1"/>
      <c r="OIM122" s="1"/>
      <c r="OIN122" s="1"/>
      <c r="OIO122" s="1"/>
      <c r="OIP122" s="1"/>
      <c r="OIQ122" s="1"/>
      <c r="OIR122" s="1"/>
      <c r="OIS122" s="1"/>
      <c r="OIT122" s="1"/>
      <c r="OIU122" s="1"/>
      <c r="OIV122" s="1"/>
      <c r="OIW122" s="1"/>
      <c r="OIX122" s="1"/>
      <c r="OIY122" s="1"/>
      <c r="OIZ122" s="1"/>
      <c r="OJA122" s="1"/>
      <c r="OJB122" s="1"/>
      <c r="OJC122" s="1"/>
      <c r="OJD122" s="1"/>
      <c r="OJE122" s="1"/>
      <c r="OJF122" s="1"/>
      <c r="OJG122" s="1"/>
      <c r="OJH122" s="1"/>
      <c r="OJI122" s="1"/>
      <c r="OJJ122" s="1"/>
      <c r="OJK122" s="1"/>
      <c r="OJL122" s="1"/>
      <c r="OJM122" s="1"/>
      <c r="OJN122" s="1"/>
      <c r="OJO122" s="1"/>
      <c r="OJP122" s="1"/>
      <c r="OJQ122" s="1"/>
      <c r="OJR122" s="1"/>
      <c r="OJS122" s="1"/>
      <c r="OJT122" s="1"/>
      <c r="OJU122" s="1"/>
      <c r="OJV122" s="1"/>
      <c r="OJW122" s="1"/>
      <c r="OJX122" s="1"/>
      <c r="OJY122" s="1"/>
      <c r="OJZ122" s="1"/>
      <c r="OKA122" s="1"/>
      <c r="OKB122" s="1"/>
      <c r="OKC122" s="1"/>
      <c r="OKD122" s="1"/>
      <c r="OKE122" s="1"/>
      <c r="OKF122" s="1"/>
      <c r="OKG122" s="1"/>
      <c r="OKH122" s="1"/>
      <c r="OKI122" s="1"/>
      <c r="OKJ122" s="1"/>
      <c r="OKK122" s="1"/>
      <c r="OKL122" s="1"/>
      <c r="OKM122" s="1"/>
      <c r="OKN122" s="1"/>
      <c r="OKO122" s="1"/>
      <c r="OKP122" s="1"/>
      <c r="OKQ122" s="1"/>
      <c r="OKR122" s="1"/>
      <c r="OKS122" s="1"/>
      <c r="OKT122" s="1"/>
      <c r="OKU122" s="1"/>
      <c r="OKV122" s="1"/>
      <c r="OKW122" s="1"/>
      <c r="OKX122" s="1"/>
      <c r="OKY122" s="1"/>
      <c r="OKZ122" s="1"/>
      <c r="OLA122" s="1"/>
      <c r="OLB122" s="1"/>
      <c r="OLC122" s="1"/>
      <c r="OLD122" s="1"/>
      <c r="OLE122" s="1"/>
      <c r="OLF122" s="1"/>
      <c r="OLG122" s="1"/>
      <c r="OLH122" s="1"/>
      <c r="OLI122" s="1"/>
      <c r="OLJ122" s="1"/>
      <c r="OLK122" s="1"/>
      <c r="OLL122" s="1"/>
      <c r="OLM122" s="1"/>
      <c r="OLN122" s="1"/>
      <c r="OLO122" s="1"/>
      <c r="OLP122" s="1"/>
      <c r="OLQ122" s="1"/>
      <c r="OLR122" s="1"/>
      <c r="OLS122" s="1"/>
      <c r="OLT122" s="1"/>
      <c r="OLU122" s="1"/>
      <c r="OLV122" s="1"/>
      <c r="OLW122" s="1"/>
      <c r="OLX122" s="1"/>
      <c r="OLY122" s="1"/>
      <c r="OLZ122" s="1"/>
      <c r="OMA122" s="1"/>
      <c r="OMB122" s="1"/>
      <c r="OMC122" s="1"/>
      <c r="OMD122" s="1"/>
      <c r="OME122" s="1"/>
      <c r="OMF122" s="1"/>
      <c r="OMG122" s="1"/>
      <c r="OMH122" s="1"/>
      <c r="OMI122" s="1"/>
      <c r="OMJ122" s="1"/>
      <c r="OMK122" s="1"/>
      <c r="OML122" s="1"/>
      <c r="OMM122" s="1"/>
      <c r="OMN122" s="1"/>
      <c r="OMO122" s="1"/>
      <c r="OMP122" s="1"/>
      <c r="OMQ122" s="1"/>
      <c r="OMR122" s="1"/>
      <c r="OMS122" s="1"/>
      <c r="OMT122" s="1"/>
      <c r="OMU122" s="1"/>
      <c r="OMV122" s="1"/>
      <c r="OMW122" s="1"/>
      <c r="OMX122" s="1"/>
      <c r="OMY122" s="1"/>
      <c r="OMZ122" s="1"/>
      <c r="ONA122" s="1"/>
      <c r="ONB122" s="1"/>
      <c r="ONC122" s="1"/>
      <c r="OND122" s="1"/>
      <c r="ONE122" s="1"/>
      <c r="ONF122" s="1"/>
      <c r="ONG122" s="1"/>
      <c r="ONH122" s="1"/>
      <c r="ONI122" s="1"/>
      <c r="ONJ122" s="1"/>
      <c r="ONK122" s="1"/>
      <c r="ONL122" s="1"/>
      <c r="ONM122" s="1"/>
      <c r="ONN122" s="1"/>
      <c r="ONO122" s="1"/>
      <c r="ONP122" s="1"/>
      <c r="ONQ122" s="1"/>
      <c r="ONR122" s="1"/>
      <c r="ONS122" s="1"/>
      <c r="ONT122" s="1"/>
      <c r="ONU122" s="1"/>
      <c r="ONV122" s="1"/>
      <c r="ONW122" s="1"/>
      <c r="ONX122" s="1"/>
      <c r="ONY122" s="1"/>
      <c r="ONZ122" s="1"/>
      <c r="OOA122" s="1"/>
      <c r="OOB122" s="1"/>
      <c r="OOC122" s="1"/>
      <c r="OOD122" s="1"/>
      <c r="OOE122" s="1"/>
      <c r="OOF122" s="1"/>
      <c r="OOG122" s="1"/>
      <c r="OOH122" s="1"/>
      <c r="OOI122" s="1"/>
      <c r="OOJ122" s="1"/>
      <c r="OOK122" s="1"/>
      <c r="OOL122" s="1"/>
      <c r="OOM122" s="1"/>
      <c r="OON122" s="1"/>
      <c r="OOO122" s="1"/>
      <c r="OOP122" s="1"/>
      <c r="OOQ122" s="1"/>
      <c r="OOR122" s="1"/>
      <c r="OOS122" s="1"/>
      <c r="OOT122" s="1"/>
      <c r="OOU122" s="1"/>
      <c r="OOV122" s="1"/>
      <c r="OOW122" s="1"/>
      <c r="OOX122" s="1"/>
      <c r="OOY122" s="1"/>
      <c r="OOZ122" s="1"/>
      <c r="OPA122" s="1"/>
      <c r="OPB122" s="1"/>
      <c r="OPC122" s="1"/>
      <c r="OPD122" s="1"/>
      <c r="OPE122" s="1"/>
      <c r="OPF122" s="1"/>
      <c r="OPG122" s="1"/>
      <c r="OPH122" s="1"/>
      <c r="OPI122" s="1"/>
      <c r="OPJ122" s="1"/>
      <c r="OPK122" s="1"/>
      <c r="OPL122" s="1"/>
      <c r="OPM122" s="1"/>
      <c r="OPN122" s="1"/>
      <c r="OPO122" s="1"/>
      <c r="OPP122" s="1"/>
      <c r="OPQ122" s="1"/>
      <c r="OPR122" s="1"/>
      <c r="OPS122" s="1"/>
      <c r="OPT122" s="1"/>
      <c r="OPU122" s="1"/>
      <c r="OPV122" s="1"/>
      <c r="OPW122" s="1"/>
      <c r="OPX122" s="1"/>
      <c r="OPY122" s="1"/>
      <c r="OPZ122" s="1"/>
      <c r="OQA122" s="1"/>
      <c r="OQB122" s="1"/>
      <c r="OQC122" s="1"/>
      <c r="OQD122" s="1"/>
      <c r="OQE122" s="1"/>
      <c r="OQF122" s="1"/>
      <c r="OQG122" s="1"/>
      <c r="OQH122" s="1"/>
      <c r="OQI122" s="1"/>
      <c r="OQJ122" s="1"/>
      <c r="OQK122" s="1"/>
      <c r="OQL122" s="1"/>
      <c r="OQM122" s="1"/>
      <c r="OQN122" s="1"/>
      <c r="OQO122" s="1"/>
      <c r="OQP122" s="1"/>
      <c r="OQQ122" s="1"/>
      <c r="OQR122" s="1"/>
      <c r="OQS122" s="1"/>
      <c r="OQT122" s="1"/>
      <c r="OQU122" s="1"/>
      <c r="OQV122" s="1"/>
      <c r="OQW122" s="1"/>
      <c r="OQX122" s="1"/>
      <c r="OQY122" s="1"/>
      <c r="OQZ122" s="1"/>
      <c r="ORA122" s="1"/>
      <c r="ORB122" s="1"/>
      <c r="ORC122" s="1"/>
      <c r="ORD122" s="1"/>
      <c r="ORE122" s="1"/>
      <c r="ORF122" s="1"/>
      <c r="ORG122" s="1"/>
      <c r="ORH122" s="1"/>
      <c r="ORI122" s="1"/>
      <c r="ORJ122" s="1"/>
      <c r="ORK122" s="1"/>
      <c r="ORL122" s="1"/>
      <c r="ORM122" s="1"/>
      <c r="ORN122" s="1"/>
      <c r="ORO122" s="1"/>
      <c r="ORP122" s="1"/>
      <c r="ORQ122" s="1"/>
      <c r="ORR122" s="1"/>
      <c r="ORS122" s="1"/>
      <c r="ORT122" s="1"/>
      <c r="ORU122" s="1"/>
      <c r="ORV122" s="1"/>
      <c r="ORW122" s="1"/>
      <c r="ORX122" s="1"/>
      <c r="ORY122" s="1"/>
      <c r="ORZ122" s="1"/>
      <c r="OSA122" s="1"/>
      <c r="OSB122" s="1"/>
      <c r="OSC122" s="1"/>
      <c r="OSD122" s="1"/>
      <c r="OSE122" s="1"/>
      <c r="OSF122" s="1"/>
      <c r="OSG122" s="1"/>
      <c r="OSH122" s="1"/>
      <c r="OSI122" s="1"/>
      <c r="OSJ122" s="1"/>
      <c r="OSK122" s="1"/>
      <c r="OSL122" s="1"/>
      <c r="OSM122" s="1"/>
      <c r="OSN122" s="1"/>
      <c r="OSO122" s="1"/>
      <c r="OSP122" s="1"/>
      <c r="OSQ122" s="1"/>
      <c r="OSR122" s="1"/>
      <c r="OSS122" s="1"/>
      <c r="OST122" s="1"/>
      <c r="OSU122" s="1"/>
      <c r="OSV122" s="1"/>
      <c r="OSW122" s="1"/>
      <c r="OSX122" s="1"/>
      <c r="OSY122" s="1"/>
      <c r="OSZ122" s="1"/>
      <c r="OTA122" s="1"/>
      <c r="OTB122" s="1"/>
      <c r="OTC122" s="1"/>
      <c r="OTD122" s="1"/>
      <c r="OTE122" s="1"/>
      <c r="OTF122" s="1"/>
      <c r="OTG122" s="1"/>
      <c r="OTH122" s="1"/>
      <c r="OTI122" s="1"/>
      <c r="OTJ122" s="1"/>
      <c r="OTK122" s="1"/>
      <c r="OTL122" s="1"/>
      <c r="OTM122" s="1"/>
      <c r="OTN122" s="1"/>
      <c r="OTO122" s="1"/>
      <c r="OTP122" s="1"/>
      <c r="OTQ122" s="1"/>
      <c r="OTR122" s="1"/>
      <c r="OTS122" s="1"/>
      <c r="OTT122" s="1"/>
      <c r="OTU122" s="1"/>
      <c r="OTV122" s="1"/>
      <c r="OTW122" s="1"/>
      <c r="OTX122" s="1"/>
      <c r="OTY122" s="1"/>
      <c r="OTZ122" s="1"/>
      <c r="OUA122" s="1"/>
      <c r="OUB122" s="1"/>
      <c r="OUC122" s="1"/>
      <c r="OUD122" s="1"/>
      <c r="OUE122" s="1"/>
      <c r="OUF122" s="1"/>
      <c r="OUG122" s="1"/>
      <c r="OUH122" s="1"/>
      <c r="OUI122" s="1"/>
      <c r="OUJ122" s="1"/>
      <c r="OUK122" s="1"/>
      <c r="OUL122" s="1"/>
      <c r="OUM122" s="1"/>
      <c r="OUN122" s="1"/>
      <c r="OUO122" s="1"/>
      <c r="OUP122" s="1"/>
      <c r="OUQ122" s="1"/>
      <c r="OUR122" s="1"/>
      <c r="OUS122" s="1"/>
      <c r="OUT122" s="1"/>
      <c r="OUU122" s="1"/>
      <c r="OUV122" s="1"/>
      <c r="OUW122" s="1"/>
      <c r="OUX122" s="1"/>
      <c r="OUY122" s="1"/>
      <c r="OUZ122" s="1"/>
      <c r="OVA122" s="1"/>
      <c r="OVB122" s="1"/>
      <c r="OVC122" s="1"/>
      <c r="OVD122" s="1"/>
      <c r="OVE122" s="1"/>
      <c r="OVF122" s="1"/>
      <c r="OVG122" s="1"/>
      <c r="OVH122" s="1"/>
      <c r="OVI122" s="1"/>
      <c r="OVJ122" s="1"/>
      <c r="OVK122" s="1"/>
      <c r="OVL122" s="1"/>
      <c r="OVM122" s="1"/>
      <c r="OVN122" s="1"/>
      <c r="OVO122" s="1"/>
      <c r="OVP122" s="1"/>
      <c r="OVQ122" s="1"/>
      <c r="OVR122" s="1"/>
      <c r="OVS122" s="1"/>
      <c r="OVT122" s="1"/>
      <c r="OVU122" s="1"/>
      <c r="OVV122" s="1"/>
      <c r="OVW122" s="1"/>
      <c r="OVX122" s="1"/>
      <c r="OVY122" s="1"/>
      <c r="OVZ122" s="1"/>
      <c r="OWA122" s="1"/>
      <c r="OWB122" s="1"/>
      <c r="OWC122" s="1"/>
      <c r="OWD122" s="1"/>
      <c r="OWE122" s="1"/>
      <c r="OWF122" s="1"/>
      <c r="OWG122" s="1"/>
      <c r="OWH122" s="1"/>
      <c r="OWI122" s="1"/>
      <c r="OWJ122" s="1"/>
      <c r="OWK122" s="1"/>
      <c r="OWL122" s="1"/>
      <c r="OWM122" s="1"/>
      <c r="OWN122" s="1"/>
      <c r="OWO122" s="1"/>
      <c r="OWP122" s="1"/>
      <c r="OWQ122" s="1"/>
      <c r="OWR122" s="1"/>
      <c r="OWS122" s="1"/>
      <c r="OWT122" s="1"/>
      <c r="OWU122" s="1"/>
      <c r="OWV122" s="1"/>
      <c r="OWW122" s="1"/>
      <c r="OWX122" s="1"/>
      <c r="OWY122" s="1"/>
      <c r="OWZ122" s="1"/>
      <c r="OXA122" s="1"/>
      <c r="OXB122" s="1"/>
      <c r="OXC122" s="1"/>
      <c r="OXD122" s="1"/>
      <c r="OXE122" s="1"/>
      <c r="OXF122" s="1"/>
      <c r="OXG122" s="1"/>
      <c r="OXH122" s="1"/>
      <c r="OXI122" s="1"/>
      <c r="OXJ122" s="1"/>
      <c r="OXK122" s="1"/>
      <c r="OXL122" s="1"/>
      <c r="OXM122" s="1"/>
      <c r="OXN122" s="1"/>
      <c r="OXO122" s="1"/>
      <c r="OXP122" s="1"/>
      <c r="OXQ122" s="1"/>
      <c r="OXR122" s="1"/>
      <c r="OXS122" s="1"/>
      <c r="OXT122" s="1"/>
      <c r="OXU122" s="1"/>
      <c r="OXV122" s="1"/>
      <c r="OXW122" s="1"/>
      <c r="OXX122" s="1"/>
      <c r="OXY122" s="1"/>
      <c r="OXZ122" s="1"/>
      <c r="OYA122" s="1"/>
      <c r="OYB122" s="1"/>
      <c r="OYC122" s="1"/>
      <c r="OYD122" s="1"/>
      <c r="OYE122" s="1"/>
      <c r="OYF122" s="1"/>
      <c r="OYG122" s="1"/>
      <c r="OYH122" s="1"/>
      <c r="OYI122" s="1"/>
      <c r="OYJ122" s="1"/>
      <c r="OYK122" s="1"/>
      <c r="OYL122" s="1"/>
      <c r="OYM122" s="1"/>
      <c r="OYN122" s="1"/>
      <c r="OYO122" s="1"/>
      <c r="OYP122" s="1"/>
      <c r="OYQ122" s="1"/>
      <c r="OYR122" s="1"/>
      <c r="OYS122" s="1"/>
      <c r="OYT122" s="1"/>
      <c r="OYU122" s="1"/>
      <c r="OYV122" s="1"/>
      <c r="OYW122" s="1"/>
      <c r="OYX122" s="1"/>
      <c r="OYY122" s="1"/>
      <c r="OYZ122" s="1"/>
      <c r="OZA122" s="1"/>
      <c r="OZB122" s="1"/>
      <c r="OZC122" s="1"/>
      <c r="OZD122" s="1"/>
      <c r="OZE122" s="1"/>
      <c r="OZF122" s="1"/>
      <c r="OZG122" s="1"/>
      <c r="OZH122" s="1"/>
      <c r="OZI122" s="1"/>
      <c r="OZJ122" s="1"/>
      <c r="OZK122" s="1"/>
      <c r="OZL122" s="1"/>
      <c r="OZM122" s="1"/>
      <c r="OZN122" s="1"/>
      <c r="OZO122" s="1"/>
      <c r="OZP122" s="1"/>
      <c r="OZQ122" s="1"/>
      <c r="OZR122" s="1"/>
      <c r="OZS122" s="1"/>
      <c r="OZT122" s="1"/>
      <c r="OZU122" s="1"/>
      <c r="OZV122" s="1"/>
      <c r="OZW122" s="1"/>
      <c r="OZX122" s="1"/>
      <c r="OZY122" s="1"/>
      <c r="OZZ122" s="1"/>
      <c r="PAA122" s="1"/>
      <c r="PAB122" s="1"/>
      <c r="PAC122" s="1"/>
      <c r="PAD122" s="1"/>
      <c r="PAE122" s="1"/>
      <c r="PAF122" s="1"/>
      <c r="PAG122" s="1"/>
      <c r="PAH122" s="1"/>
      <c r="PAI122" s="1"/>
      <c r="PAJ122" s="1"/>
      <c r="PAK122" s="1"/>
      <c r="PAL122" s="1"/>
      <c r="PAM122" s="1"/>
      <c r="PAN122" s="1"/>
      <c r="PAO122" s="1"/>
      <c r="PAP122" s="1"/>
      <c r="PAQ122" s="1"/>
      <c r="PAR122" s="1"/>
      <c r="PAS122" s="1"/>
      <c r="PAT122" s="1"/>
      <c r="PAU122" s="1"/>
      <c r="PAV122" s="1"/>
      <c r="PAW122" s="1"/>
      <c r="PAX122" s="1"/>
      <c r="PAY122" s="1"/>
      <c r="PAZ122" s="1"/>
      <c r="PBA122" s="1"/>
      <c r="PBB122" s="1"/>
      <c r="PBC122" s="1"/>
      <c r="PBD122" s="1"/>
      <c r="PBE122" s="1"/>
      <c r="PBF122" s="1"/>
      <c r="PBG122" s="1"/>
      <c r="PBH122" s="1"/>
      <c r="PBI122" s="1"/>
      <c r="PBJ122" s="1"/>
      <c r="PBK122" s="1"/>
      <c r="PBL122" s="1"/>
      <c r="PBM122" s="1"/>
      <c r="PBN122" s="1"/>
      <c r="PBO122" s="1"/>
      <c r="PBP122" s="1"/>
      <c r="PBQ122" s="1"/>
      <c r="PBR122" s="1"/>
      <c r="PBS122" s="1"/>
      <c r="PBT122" s="1"/>
      <c r="PBU122" s="1"/>
      <c r="PBV122" s="1"/>
      <c r="PBW122" s="1"/>
      <c r="PBX122" s="1"/>
      <c r="PBY122" s="1"/>
      <c r="PBZ122" s="1"/>
      <c r="PCA122" s="1"/>
      <c r="PCB122" s="1"/>
      <c r="PCC122" s="1"/>
      <c r="PCD122" s="1"/>
      <c r="PCE122" s="1"/>
      <c r="PCF122" s="1"/>
      <c r="PCG122" s="1"/>
      <c r="PCH122" s="1"/>
      <c r="PCI122" s="1"/>
      <c r="PCJ122" s="1"/>
      <c r="PCK122" s="1"/>
      <c r="PCL122" s="1"/>
      <c r="PCM122" s="1"/>
      <c r="PCN122" s="1"/>
      <c r="PCO122" s="1"/>
      <c r="PCP122" s="1"/>
      <c r="PCQ122" s="1"/>
      <c r="PCR122" s="1"/>
      <c r="PCS122" s="1"/>
      <c r="PCT122" s="1"/>
      <c r="PCU122" s="1"/>
      <c r="PCV122" s="1"/>
      <c r="PCW122" s="1"/>
      <c r="PCX122" s="1"/>
      <c r="PCY122" s="1"/>
      <c r="PCZ122" s="1"/>
      <c r="PDA122" s="1"/>
      <c r="PDB122" s="1"/>
      <c r="PDC122" s="1"/>
      <c r="PDD122" s="1"/>
      <c r="PDE122" s="1"/>
      <c r="PDF122" s="1"/>
      <c r="PDG122" s="1"/>
      <c r="PDH122" s="1"/>
      <c r="PDI122" s="1"/>
      <c r="PDJ122" s="1"/>
      <c r="PDK122" s="1"/>
      <c r="PDL122" s="1"/>
      <c r="PDM122" s="1"/>
      <c r="PDN122" s="1"/>
      <c r="PDO122" s="1"/>
      <c r="PDP122" s="1"/>
      <c r="PDQ122" s="1"/>
      <c r="PDR122" s="1"/>
      <c r="PDS122" s="1"/>
      <c r="PDT122" s="1"/>
      <c r="PDU122" s="1"/>
      <c r="PDV122" s="1"/>
      <c r="PDW122" s="1"/>
      <c r="PDX122" s="1"/>
      <c r="PDY122" s="1"/>
      <c r="PDZ122" s="1"/>
      <c r="PEA122" s="1"/>
      <c r="PEB122" s="1"/>
      <c r="PEC122" s="1"/>
      <c r="PED122" s="1"/>
      <c r="PEE122" s="1"/>
      <c r="PEF122" s="1"/>
      <c r="PEG122" s="1"/>
      <c r="PEH122" s="1"/>
      <c r="PEI122" s="1"/>
      <c r="PEJ122" s="1"/>
      <c r="PEK122" s="1"/>
      <c r="PEL122" s="1"/>
      <c r="PEM122" s="1"/>
      <c r="PEN122" s="1"/>
      <c r="PEO122" s="1"/>
      <c r="PEP122" s="1"/>
      <c r="PEQ122" s="1"/>
      <c r="PER122" s="1"/>
      <c r="PES122" s="1"/>
      <c r="PET122" s="1"/>
      <c r="PEU122" s="1"/>
      <c r="PEV122" s="1"/>
      <c r="PEW122" s="1"/>
      <c r="PEX122" s="1"/>
      <c r="PEY122" s="1"/>
      <c r="PEZ122" s="1"/>
      <c r="PFA122" s="1"/>
      <c r="PFB122" s="1"/>
      <c r="PFC122" s="1"/>
      <c r="PFD122" s="1"/>
      <c r="PFE122" s="1"/>
      <c r="PFF122" s="1"/>
      <c r="PFG122" s="1"/>
      <c r="PFH122" s="1"/>
      <c r="PFI122" s="1"/>
      <c r="PFJ122" s="1"/>
      <c r="PFK122" s="1"/>
      <c r="PFL122" s="1"/>
      <c r="PFM122" s="1"/>
      <c r="PFN122" s="1"/>
      <c r="PFO122" s="1"/>
      <c r="PFP122" s="1"/>
      <c r="PFQ122" s="1"/>
      <c r="PFR122" s="1"/>
      <c r="PFS122" s="1"/>
      <c r="PFT122" s="1"/>
      <c r="PFU122" s="1"/>
      <c r="PFV122" s="1"/>
      <c r="PFW122" s="1"/>
      <c r="PFX122" s="1"/>
      <c r="PFY122" s="1"/>
      <c r="PFZ122" s="1"/>
      <c r="PGA122" s="1"/>
      <c r="PGB122" s="1"/>
      <c r="PGC122" s="1"/>
      <c r="PGD122" s="1"/>
      <c r="PGE122" s="1"/>
      <c r="PGF122" s="1"/>
      <c r="PGG122" s="1"/>
      <c r="PGH122" s="1"/>
      <c r="PGI122" s="1"/>
      <c r="PGJ122" s="1"/>
      <c r="PGK122" s="1"/>
      <c r="PGL122" s="1"/>
      <c r="PGM122" s="1"/>
      <c r="PGN122" s="1"/>
      <c r="PGO122" s="1"/>
      <c r="PGP122" s="1"/>
      <c r="PGQ122" s="1"/>
      <c r="PGR122" s="1"/>
      <c r="PGS122" s="1"/>
      <c r="PGT122" s="1"/>
      <c r="PGU122" s="1"/>
      <c r="PGV122" s="1"/>
      <c r="PGW122" s="1"/>
      <c r="PGX122" s="1"/>
      <c r="PGY122" s="1"/>
      <c r="PGZ122" s="1"/>
      <c r="PHA122" s="1"/>
      <c r="PHB122" s="1"/>
      <c r="PHC122" s="1"/>
      <c r="PHD122" s="1"/>
      <c r="PHE122" s="1"/>
      <c r="PHF122" s="1"/>
      <c r="PHG122" s="1"/>
      <c r="PHH122" s="1"/>
      <c r="PHI122" s="1"/>
      <c r="PHJ122" s="1"/>
      <c r="PHK122" s="1"/>
      <c r="PHL122" s="1"/>
      <c r="PHM122" s="1"/>
      <c r="PHN122" s="1"/>
      <c r="PHO122" s="1"/>
      <c r="PHP122" s="1"/>
      <c r="PHQ122" s="1"/>
      <c r="PHR122" s="1"/>
      <c r="PHS122" s="1"/>
      <c r="PHT122" s="1"/>
      <c r="PHU122" s="1"/>
      <c r="PHV122" s="1"/>
      <c r="PHW122" s="1"/>
      <c r="PHX122" s="1"/>
      <c r="PHY122" s="1"/>
      <c r="PHZ122" s="1"/>
      <c r="PIA122" s="1"/>
      <c r="PIB122" s="1"/>
      <c r="PIC122" s="1"/>
      <c r="PID122" s="1"/>
      <c r="PIE122" s="1"/>
      <c r="PIF122" s="1"/>
      <c r="PIG122" s="1"/>
      <c r="PIH122" s="1"/>
      <c r="PII122" s="1"/>
      <c r="PIJ122" s="1"/>
      <c r="PIK122" s="1"/>
      <c r="PIL122" s="1"/>
      <c r="PIM122" s="1"/>
      <c r="PIN122" s="1"/>
      <c r="PIO122" s="1"/>
      <c r="PIP122" s="1"/>
      <c r="PIQ122" s="1"/>
      <c r="PIR122" s="1"/>
      <c r="PIS122" s="1"/>
      <c r="PIT122" s="1"/>
      <c r="PIU122" s="1"/>
      <c r="PIV122" s="1"/>
      <c r="PIW122" s="1"/>
      <c r="PIX122" s="1"/>
      <c r="PIY122" s="1"/>
      <c r="PIZ122" s="1"/>
      <c r="PJA122" s="1"/>
      <c r="PJB122" s="1"/>
      <c r="PJC122" s="1"/>
      <c r="PJD122" s="1"/>
      <c r="PJE122" s="1"/>
      <c r="PJF122" s="1"/>
      <c r="PJG122" s="1"/>
      <c r="PJH122" s="1"/>
      <c r="PJI122" s="1"/>
      <c r="PJJ122" s="1"/>
      <c r="PJK122" s="1"/>
      <c r="PJL122" s="1"/>
      <c r="PJM122" s="1"/>
      <c r="PJN122" s="1"/>
      <c r="PJO122" s="1"/>
      <c r="PJP122" s="1"/>
      <c r="PJQ122" s="1"/>
      <c r="PJR122" s="1"/>
      <c r="PJS122" s="1"/>
      <c r="PJT122" s="1"/>
      <c r="PJU122" s="1"/>
      <c r="PJV122" s="1"/>
      <c r="PJW122" s="1"/>
      <c r="PJX122" s="1"/>
      <c r="PJY122" s="1"/>
      <c r="PJZ122" s="1"/>
      <c r="PKA122" s="1"/>
      <c r="PKB122" s="1"/>
      <c r="PKC122" s="1"/>
      <c r="PKD122" s="1"/>
      <c r="PKE122" s="1"/>
      <c r="PKF122" s="1"/>
      <c r="PKG122" s="1"/>
      <c r="PKH122" s="1"/>
      <c r="PKI122" s="1"/>
      <c r="PKJ122" s="1"/>
      <c r="PKK122" s="1"/>
      <c r="PKL122" s="1"/>
      <c r="PKM122" s="1"/>
      <c r="PKN122" s="1"/>
      <c r="PKO122" s="1"/>
      <c r="PKP122" s="1"/>
      <c r="PKQ122" s="1"/>
      <c r="PKR122" s="1"/>
      <c r="PKS122" s="1"/>
      <c r="PKT122" s="1"/>
      <c r="PKU122" s="1"/>
      <c r="PKV122" s="1"/>
      <c r="PKW122" s="1"/>
      <c r="PKX122" s="1"/>
      <c r="PKY122" s="1"/>
      <c r="PKZ122" s="1"/>
      <c r="PLA122" s="1"/>
      <c r="PLB122" s="1"/>
      <c r="PLC122" s="1"/>
      <c r="PLD122" s="1"/>
      <c r="PLE122" s="1"/>
      <c r="PLF122" s="1"/>
      <c r="PLG122" s="1"/>
      <c r="PLH122" s="1"/>
      <c r="PLI122" s="1"/>
      <c r="PLJ122" s="1"/>
      <c r="PLK122" s="1"/>
      <c r="PLL122" s="1"/>
      <c r="PLM122" s="1"/>
      <c r="PLN122" s="1"/>
      <c r="PLO122" s="1"/>
      <c r="PLP122" s="1"/>
      <c r="PLQ122" s="1"/>
      <c r="PLR122" s="1"/>
      <c r="PLS122" s="1"/>
      <c r="PLT122" s="1"/>
      <c r="PLU122" s="1"/>
      <c r="PLV122" s="1"/>
      <c r="PLW122" s="1"/>
      <c r="PLX122" s="1"/>
      <c r="PLY122" s="1"/>
      <c r="PLZ122" s="1"/>
      <c r="PMA122" s="1"/>
      <c r="PMB122" s="1"/>
      <c r="PMC122" s="1"/>
      <c r="PMD122" s="1"/>
      <c r="PME122" s="1"/>
      <c r="PMF122" s="1"/>
      <c r="PMG122" s="1"/>
      <c r="PMH122" s="1"/>
      <c r="PMI122" s="1"/>
      <c r="PMJ122" s="1"/>
      <c r="PMK122" s="1"/>
      <c r="PML122" s="1"/>
      <c r="PMM122" s="1"/>
      <c r="PMN122" s="1"/>
      <c r="PMO122" s="1"/>
      <c r="PMP122" s="1"/>
      <c r="PMQ122" s="1"/>
      <c r="PMR122" s="1"/>
      <c r="PMS122" s="1"/>
      <c r="PMT122" s="1"/>
      <c r="PMU122" s="1"/>
      <c r="PMV122" s="1"/>
      <c r="PMW122" s="1"/>
      <c r="PMX122" s="1"/>
      <c r="PMY122" s="1"/>
      <c r="PMZ122" s="1"/>
      <c r="PNA122" s="1"/>
      <c r="PNB122" s="1"/>
      <c r="PNC122" s="1"/>
      <c r="PND122" s="1"/>
      <c r="PNE122" s="1"/>
      <c r="PNF122" s="1"/>
      <c r="PNG122" s="1"/>
      <c r="PNH122" s="1"/>
      <c r="PNI122" s="1"/>
      <c r="PNJ122" s="1"/>
      <c r="PNK122" s="1"/>
      <c r="PNL122" s="1"/>
      <c r="PNM122" s="1"/>
      <c r="PNN122" s="1"/>
      <c r="PNO122" s="1"/>
      <c r="PNP122" s="1"/>
      <c r="PNQ122" s="1"/>
      <c r="PNR122" s="1"/>
      <c r="PNS122" s="1"/>
      <c r="PNT122" s="1"/>
      <c r="PNU122" s="1"/>
      <c r="PNV122" s="1"/>
      <c r="PNW122" s="1"/>
      <c r="PNX122" s="1"/>
      <c r="PNY122" s="1"/>
      <c r="PNZ122" s="1"/>
      <c r="POA122" s="1"/>
      <c r="POB122" s="1"/>
      <c r="POC122" s="1"/>
      <c r="POD122" s="1"/>
      <c r="POE122" s="1"/>
      <c r="POF122" s="1"/>
      <c r="POG122" s="1"/>
      <c r="POH122" s="1"/>
      <c r="POI122" s="1"/>
      <c r="POJ122" s="1"/>
      <c r="POK122" s="1"/>
      <c r="POL122" s="1"/>
      <c r="POM122" s="1"/>
      <c r="PON122" s="1"/>
      <c r="POO122" s="1"/>
      <c r="POP122" s="1"/>
      <c r="POQ122" s="1"/>
      <c r="POR122" s="1"/>
      <c r="POS122" s="1"/>
      <c r="POT122" s="1"/>
      <c r="POU122" s="1"/>
      <c r="POV122" s="1"/>
      <c r="POW122" s="1"/>
      <c r="POX122" s="1"/>
      <c r="POY122" s="1"/>
      <c r="POZ122" s="1"/>
      <c r="PPA122" s="1"/>
      <c r="PPB122" s="1"/>
      <c r="PPC122" s="1"/>
      <c r="PPD122" s="1"/>
      <c r="PPE122" s="1"/>
      <c r="PPF122" s="1"/>
      <c r="PPG122" s="1"/>
      <c r="PPH122" s="1"/>
      <c r="PPI122" s="1"/>
      <c r="PPJ122" s="1"/>
      <c r="PPK122" s="1"/>
      <c r="PPL122" s="1"/>
      <c r="PPM122" s="1"/>
      <c r="PPN122" s="1"/>
      <c r="PPO122" s="1"/>
      <c r="PPP122" s="1"/>
      <c r="PPQ122" s="1"/>
      <c r="PPR122" s="1"/>
      <c r="PPS122" s="1"/>
      <c r="PPT122" s="1"/>
      <c r="PPU122" s="1"/>
      <c r="PPV122" s="1"/>
      <c r="PPW122" s="1"/>
      <c r="PPX122" s="1"/>
      <c r="PPY122" s="1"/>
      <c r="PPZ122" s="1"/>
      <c r="PQA122" s="1"/>
      <c r="PQB122" s="1"/>
      <c r="PQC122" s="1"/>
      <c r="PQD122" s="1"/>
      <c r="PQE122" s="1"/>
      <c r="PQF122" s="1"/>
      <c r="PQG122" s="1"/>
      <c r="PQH122" s="1"/>
      <c r="PQI122" s="1"/>
      <c r="PQJ122" s="1"/>
      <c r="PQK122" s="1"/>
      <c r="PQL122" s="1"/>
      <c r="PQM122" s="1"/>
      <c r="PQN122" s="1"/>
      <c r="PQO122" s="1"/>
      <c r="PQP122" s="1"/>
      <c r="PQQ122" s="1"/>
      <c r="PQR122" s="1"/>
      <c r="PQS122" s="1"/>
      <c r="PQT122" s="1"/>
      <c r="PQU122" s="1"/>
      <c r="PQV122" s="1"/>
      <c r="PQW122" s="1"/>
      <c r="PQX122" s="1"/>
      <c r="PQY122" s="1"/>
      <c r="PQZ122" s="1"/>
      <c r="PRA122" s="1"/>
      <c r="PRB122" s="1"/>
      <c r="PRC122" s="1"/>
      <c r="PRD122" s="1"/>
      <c r="PRE122" s="1"/>
      <c r="PRF122" s="1"/>
      <c r="PRG122" s="1"/>
      <c r="PRH122" s="1"/>
      <c r="PRI122" s="1"/>
      <c r="PRJ122" s="1"/>
      <c r="PRK122" s="1"/>
      <c r="PRL122" s="1"/>
      <c r="PRM122" s="1"/>
      <c r="PRN122" s="1"/>
      <c r="PRO122" s="1"/>
      <c r="PRP122" s="1"/>
      <c r="PRQ122" s="1"/>
      <c r="PRR122" s="1"/>
      <c r="PRS122" s="1"/>
      <c r="PRT122" s="1"/>
      <c r="PRU122" s="1"/>
      <c r="PRV122" s="1"/>
      <c r="PRW122" s="1"/>
      <c r="PRX122" s="1"/>
      <c r="PRY122" s="1"/>
      <c r="PRZ122" s="1"/>
      <c r="PSA122" s="1"/>
      <c r="PSB122" s="1"/>
      <c r="PSC122" s="1"/>
      <c r="PSD122" s="1"/>
      <c r="PSE122" s="1"/>
      <c r="PSF122" s="1"/>
      <c r="PSG122" s="1"/>
      <c r="PSH122" s="1"/>
      <c r="PSI122" s="1"/>
      <c r="PSJ122" s="1"/>
      <c r="PSK122" s="1"/>
      <c r="PSL122" s="1"/>
      <c r="PSM122" s="1"/>
      <c r="PSN122" s="1"/>
      <c r="PSO122" s="1"/>
      <c r="PSP122" s="1"/>
      <c r="PSQ122" s="1"/>
      <c r="PSR122" s="1"/>
      <c r="PSS122" s="1"/>
      <c r="PST122" s="1"/>
      <c r="PSU122" s="1"/>
      <c r="PSV122" s="1"/>
      <c r="PSW122" s="1"/>
      <c r="PSX122" s="1"/>
      <c r="PSY122" s="1"/>
      <c r="PSZ122" s="1"/>
      <c r="PTA122" s="1"/>
      <c r="PTB122" s="1"/>
      <c r="PTC122" s="1"/>
      <c r="PTD122" s="1"/>
      <c r="PTE122" s="1"/>
      <c r="PTF122" s="1"/>
      <c r="PTG122" s="1"/>
      <c r="PTH122" s="1"/>
      <c r="PTI122" s="1"/>
      <c r="PTJ122" s="1"/>
      <c r="PTK122" s="1"/>
      <c r="PTL122" s="1"/>
      <c r="PTM122" s="1"/>
      <c r="PTN122" s="1"/>
      <c r="PTO122" s="1"/>
      <c r="PTP122" s="1"/>
      <c r="PTQ122" s="1"/>
      <c r="PTR122" s="1"/>
      <c r="PTS122" s="1"/>
      <c r="PTT122" s="1"/>
      <c r="PTU122" s="1"/>
      <c r="PTV122" s="1"/>
      <c r="PTW122" s="1"/>
      <c r="PTX122" s="1"/>
      <c r="PTY122" s="1"/>
      <c r="PTZ122" s="1"/>
      <c r="PUA122" s="1"/>
      <c r="PUB122" s="1"/>
      <c r="PUC122" s="1"/>
      <c r="PUD122" s="1"/>
      <c r="PUE122" s="1"/>
      <c r="PUF122" s="1"/>
      <c r="PUG122" s="1"/>
      <c r="PUH122" s="1"/>
      <c r="PUI122" s="1"/>
      <c r="PUJ122" s="1"/>
      <c r="PUK122" s="1"/>
      <c r="PUL122" s="1"/>
      <c r="PUM122" s="1"/>
      <c r="PUN122" s="1"/>
      <c r="PUO122" s="1"/>
      <c r="PUP122" s="1"/>
      <c r="PUQ122" s="1"/>
      <c r="PUR122" s="1"/>
      <c r="PUS122" s="1"/>
      <c r="PUT122" s="1"/>
      <c r="PUU122" s="1"/>
      <c r="PUV122" s="1"/>
      <c r="PUW122" s="1"/>
      <c r="PUX122" s="1"/>
      <c r="PUY122" s="1"/>
      <c r="PUZ122" s="1"/>
      <c r="PVA122" s="1"/>
      <c r="PVB122" s="1"/>
      <c r="PVC122" s="1"/>
      <c r="PVD122" s="1"/>
      <c r="PVE122" s="1"/>
      <c r="PVF122" s="1"/>
      <c r="PVG122" s="1"/>
      <c r="PVH122" s="1"/>
      <c r="PVI122" s="1"/>
      <c r="PVJ122" s="1"/>
      <c r="PVK122" s="1"/>
      <c r="PVL122" s="1"/>
      <c r="PVM122" s="1"/>
      <c r="PVN122" s="1"/>
      <c r="PVO122" s="1"/>
      <c r="PVP122" s="1"/>
      <c r="PVQ122" s="1"/>
      <c r="PVR122" s="1"/>
      <c r="PVS122" s="1"/>
      <c r="PVT122" s="1"/>
      <c r="PVU122" s="1"/>
      <c r="PVV122" s="1"/>
      <c r="PVW122" s="1"/>
      <c r="PVX122" s="1"/>
      <c r="PVY122" s="1"/>
      <c r="PVZ122" s="1"/>
      <c r="PWA122" s="1"/>
      <c r="PWB122" s="1"/>
      <c r="PWC122" s="1"/>
      <c r="PWD122" s="1"/>
      <c r="PWE122" s="1"/>
      <c r="PWF122" s="1"/>
      <c r="PWG122" s="1"/>
      <c r="PWH122" s="1"/>
      <c r="PWI122" s="1"/>
      <c r="PWJ122" s="1"/>
      <c r="PWK122" s="1"/>
      <c r="PWL122" s="1"/>
      <c r="PWM122" s="1"/>
      <c r="PWN122" s="1"/>
      <c r="PWO122" s="1"/>
      <c r="PWP122" s="1"/>
      <c r="PWQ122" s="1"/>
      <c r="PWR122" s="1"/>
      <c r="PWS122" s="1"/>
      <c r="PWT122" s="1"/>
      <c r="PWU122" s="1"/>
      <c r="PWV122" s="1"/>
      <c r="PWW122" s="1"/>
      <c r="PWX122" s="1"/>
      <c r="PWY122" s="1"/>
      <c r="PWZ122" s="1"/>
      <c r="PXA122" s="1"/>
      <c r="PXB122" s="1"/>
      <c r="PXC122" s="1"/>
      <c r="PXD122" s="1"/>
      <c r="PXE122" s="1"/>
      <c r="PXF122" s="1"/>
      <c r="PXG122" s="1"/>
      <c r="PXH122" s="1"/>
      <c r="PXI122" s="1"/>
      <c r="PXJ122" s="1"/>
      <c r="PXK122" s="1"/>
      <c r="PXL122" s="1"/>
      <c r="PXM122" s="1"/>
      <c r="PXN122" s="1"/>
      <c r="PXO122" s="1"/>
      <c r="PXP122" s="1"/>
      <c r="PXQ122" s="1"/>
      <c r="PXR122" s="1"/>
      <c r="PXS122" s="1"/>
      <c r="PXT122" s="1"/>
      <c r="PXU122" s="1"/>
      <c r="PXV122" s="1"/>
      <c r="PXW122" s="1"/>
      <c r="PXX122" s="1"/>
      <c r="PXY122" s="1"/>
      <c r="PXZ122" s="1"/>
      <c r="PYA122" s="1"/>
      <c r="PYB122" s="1"/>
      <c r="PYC122" s="1"/>
      <c r="PYD122" s="1"/>
      <c r="PYE122" s="1"/>
      <c r="PYF122" s="1"/>
      <c r="PYG122" s="1"/>
      <c r="PYH122" s="1"/>
      <c r="PYI122" s="1"/>
      <c r="PYJ122" s="1"/>
      <c r="PYK122" s="1"/>
      <c r="PYL122" s="1"/>
      <c r="PYM122" s="1"/>
      <c r="PYN122" s="1"/>
      <c r="PYO122" s="1"/>
      <c r="PYP122" s="1"/>
      <c r="PYQ122" s="1"/>
      <c r="PYR122" s="1"/>
      <c r="PYS122" s="1"/>
      <c r="PYT122" s="1"/>
      <c r="PYU122" s="1"/>
      <c r="PYV122" s="1"/>
      <c r="PYW122" s="1"/>
      <c r="PYX122" s="1"/>
      <c r="PYY122" s="1"/>
      <c r="PYZ122" s="1"/>
      <c r="PZA122" s="1"/>
      <c r="PZB122" s="1"/>
      <c r="PZC122" s="1"/>
      <c r="PZD122" s="1"/>
      <c r="PZE122" s="1"/>
      <c r="PZF122" s="1"/>
      <c r="PZG122" s="1"/>
      <c r="PZH122" s="1"/>
      <c r="PZI122" s="1"/>
      <c r="PZJ122" s="1"/>
      <c r="PZK122" s="1"/>
      <c r="PZL122" s="1"/>
      <c r="PZM122" s="1"/>
      <c r="PZN122" s="1"/>
      <c r="PZO122" s="1"/>
      <c r="PZP122" s="1"/>
      <c r="PZQ122" s="1"/>
      <c r="PZR122" s="1"/>
      <c r="PZS122" s="1"/>
      <c r="PZT122" s="1"/>
      <c r="PZU122" s="1"/>
      <c r="PZV122" s="1"/>
      <c r="PZW122" s="1"/>
      <c r="PZX122" s="1"/>
      <c r="PZY122" s="1"/>
      <c r="PZZ122" s="1"/>
      <c r="QAA122" s="1"/>
      <c r="QAB122" s="1"/>
      <c r="QAC122" s="1"/>
      <c r="QAD122" s="1"/>
      <c r="QAE122" s="1"/>
      <c r="QAF122" s="1"/>
      <c r="QAG122" s="1"/>
      <c r="QAH122" s="1"/>
      <c r="QAI122" s="1"/>
      <c r="QAJ122" s="1"/>
      <c r="QAK122" s="1"/>
      <c r="QAL122" s="1"/>
      <c r="QAM122" s="1"/>
      <c r="QAN122" s="1"/>
      <c r="QAO122" s="1"/>
      <c r="QAP122" s="1"/>
      <c r="QAQ122" s="1"/>
      <c r="QAR122" s="1"/>
      <c r="QAS122" s="1"/>
      <c r="QAT122" s="1"/>
      <c r="QAU122" s="1"/>
      <c r="QAV122" s="1"/>
      <c r="QAW122" s="1"/>
      <c r="QAX122" s="1"/>
      <c r="QAY122" s="1"/>
      <c r="QAZ122" s="1"/>
      <c r="QBA122" s="1"/>
      <c r="QBB122" s="1"/>
      <c r="QBC122" s="1"/>
      <c r="QBD122" s="1"/>
      <c r="QBE122" s="1"/>
      <c r="QBF122" s="1"/>
      <c r="QBG122" s="1"/>
      <c r="QBH122" s="1"/>
      <c r="QBI122" s="1"/>
      <c r="QBJ122" s="1"/>
      <c r="QBK122" s="1"/>
      <c r="QBL122" s="1"/>
      <c r="QBM122" s="1"/>
      <c r="QBN122" s="1"/>
      <c r="QBO122" s="1"/>
      <c r="QBP122" s="1"/>
      <c r="QBQ122" s="1"/>
      <c r="QBR122" s="1"/>
      <c r="QBS122" s="1"/>
      <c r="QBT122" s="1"/>
      <c r="QBU122" s="1"/>
      <c r="QBV122" s="1"/>
      <c r="QBW122" s="1"/>
      <c r="QBX122" s="1"/>
      <c r="QBY122" s="1"/>
      <c r="QBZ122" s="1"/>
      <c r="QCA122" s="1"/>
      <c r="QCB122" s="1"/>
      <c r="QCC122" s="1"/>
      <c r="QCD122" s="1"/>
      <c r="QCE122" s="1"/>
      <c r="QCF122" s="1"/>
      <c r="QCG122" s="1"/>
      <c r="QCH122" s="1"/>
      <c r="QCI122" s="1"/>
      <c r="QCJ122" s="1"/>
      <c r="QCK122" s="1"/>
      <c r="QCL122" s="1"/>
      <c r="QCM122" s="1"/>
      <c r="QCN122" s="1"/>
      <c r="QCO122" s="1"/>
      <c r="QCP122" s="1"/>
      <c r="QCQ122" s="1"/>
      <c r="QCR122" s="1"/>
      <c r="QCS122" s="1"/>
      <c r="QCT122" s="1"/>
      <c r="QCU122" s="1"/>
      <c r="QCV122" s="1"/>
      <c r="QCW122" s="1"/>
      <c r="QCX122" s="1"/>
      <c r="QCY122" s="1"/>
      <c r="QCZ122" s="1"/>
      <c r="QDA122" s="1"/>
      <c r="QDB122" s="1"/>
      <c r="QDC122" s="1"/>
      <c r="QDD122" s="1"/>
      <c r="QDE122" s="1"/>
      <c r="QDF122" s="1"/>
      <c r="QDG122" s="1"/>
      <c r="QDH122" s="1"/>
      <c r="QDI122" s="1"/>
      <c r="QDJ122" s="1"/>
      <c r="QDK122" s="1"/>
      <c r="QDL122" s="1"/>
      <c r="QDM122" s="1"/>
      <c r="QDN122" s="1"/>
      <c r="QDO122" s="1"/>
      <c r="QDP122" s="1"/>
      <c r="QDQ122" s="1"/>
      <c r="QDR122" s="1"/>
      <c r="QDS122" s="1"/>
      <c r="QDT122" s="1"/>
      <c r="QDU122" s="1"/>
      <c r="QDV122" s="1"/>
      <c r="QDW122" s="1"/>
      <c r="QDX122" s="1"/>
      <c r="QDY122" s="1"/>
      <c r="QDZ122" s="1"/>
      <c r="QEA122" s="1"/>
      <c r="QEB122" s="1"/>
      <c r="QEC122" s="1"/>
      <c r="QED122" s="1"/>
      <c r="QEE122" s="1"/>
      <c r="QEF122" s="1"/>
      <c r="QEG122" s="1"/>
      <c r="QEH122" s="1"/>
      <c r="QEI122" s="1"/>
      <c r="QEJ122" s="1"/>
      <c r="QEK122" s="1"/>
      <c r="QEL122" s="1"/>
      <c r="QEM122" s="1"/>
      <c r="QEN122" s="1"/>
      <c r="QEO122" s="1"/>
      <c r="QEP122" s="1"/>
      <c r="QEQ122" s="1"/>
      <c r="QER122" s="1"/>
      <c r="QES122" s="1"/>
      <c r="QET122" s="1"/>
      <c r="QEU122" s="1"/>
      <c r="QEV122" s="1"/>
      <c r="QEW122" s="1"/>
      <c r="QEX122" s="1"/>
      <c r="QEY122" s="1"/>
      <c r="QEZ122" s="1"/>
      <c r="QFA122" s="1"/>
      <c r="QFB122" s="1"/>
      <c r="QFC122" s="1"/>
      <c r="QFD122" s="1"/>
      <c r="QFE122" s="1"/>
      <c r="QFF122" s="1"/>
      <c r="QFG122" s="1"/>
      <c r="QFH122" s="1"/>
      <c r="QFI122" s="1"/>
      <c r="QFJ122" s="1"/>
      <c r="QFK122" s="1"/>
      <c r="QFL122" s="1"/>
      <c r="QFM122" s="1"/>
      <c r="QFN122" s="1"/>
      <c r="QFO122" s="1"/>
      <c r="QFP122" s="1"/>
      <c r="QFQ122" s="1"/>
      <c r="QFR122" s="1"/>
      <c r="QFS122" s="1"/>
      <c r="QFT122" s="1"/>
      <c r="QFU122" s="1"/>
      <c r="QFV122" s="1"/>
      <c r="QFW122" s="1"/>
      <c r="QFX122" s="1"/>
      <c r="QFY122" s="1"/>
      <c r="QFZ122" s="1"/>
      <c r="QGA122" s="1"/>
      <c r="QGB122" s="1"/>
      <c r="QGC122" s="1"/>
      <c r="QGD122" s="1"/>
      <c r="QGE122" s="1"/>
      <c r="QGF122" s="1"/>
      <c r="QGG122" s="1"/>
      <c r="QGH122" s="1"/>
      <c r="QGI122" s="1"/>
      <c r="QGJ122" s="1"/>
      <c r="QGK122" s="1"/>
      <c r="QGL122" s="1"/>
      <c r="QGM122" s="1"/>
      <c r="QGN122" s="1"/>
      <c r="QGO122" s="1"/>
      <c r="QGP122" s="1"/>
      <c r="QGQ122" s="1"/>
      <c r="QGR122" s="1"/>
      <c r="QGS122" s="1"/>
      <c r="QGT122" s="1"/>
      <c r="QGU122" s="1"/>
      <c r="QGV122" s="1"/>
      <c r="QGW122" s="1"/>
      <c r="QGX122" s="1"/>
      <c r="QGY122" s="1"/>
      <c r="QGZ122" s="1"/>
      <c r="QHA122" s="1"/>
      <c r="QHB122" s="1"/>
      <c r="QHC122" s="1"/>
      <c r="QHD122" s="1"/>
      <c r="QHE122" s="1"/>
      <c r="QHF122" s="1"/>
      <c r="QHG122" s="1"/>
      <c r="QHH122" s="1"/>
      <c r="QHI122" s="1"/>
      <c r="QHJ122" s="1"/>
      <c r="QHK122" s="1"/>
      <c r="QHL122" s="1"/>
      <c r="QHM122" s="1"/>
      <c r="QHN122" s="1"/>
      <c r="QHO122" s="1"/>
      <c r="QHP122" s="1"/>
      <c r="QHQ122" s="1"/>
      <c r="QHR122" s="1"/>
      <c r="QHS122" s="1"/>
      <c r="QHT122" s="1"/>
      <c r="QHU122" s="1"/>
      <c r="QHV122" s="1"/>
      <c r="QHW122" s="1"/>
      <c r="QHX122" s="1"/>
      <c r="QHY122" s="1"/>
      <c r="QHZ122" s="1"/>
      <c r="QIA122" s="1"/>
      <c r="QIB122" s="1"/>
      <c r="QIC122" s="1"/>
      <c r="QID122" s="1"/>
      <c r="QIE122" s="1"/>
      <c r="QIF122" s="1"/>
      <c r="QIG122" s="1"/>
      <c r="QIH122" s="1"/>
      <c r="QII122" s="1"/>
      <c r="QIJ122" s="1"/>
      <c r="QIK122" s="1"/>
      <c r="QIL122" s="1"/>
      <c r="QIM122" s="1"/>
      <c r="QIN122" s="1"/>
      <c r="QIO122" s="1"/>
      <c r="QIP122" s="1"/>
      <c r="QIQ122" s="1"/>
      <c r="QIR122" s="1"/>
      <c r="QIS122" s="1"/>
      <c r="QIT122" s="1"/>
      <c r="QIU122" s="1"/>
      <c r="QIV122" s="1"/>
      <c r="QIW122" s="1"/>
      <c r="QIX122" s="1"/>
      <c r="QIY122" s="1"/>
      <c r="QIZ122" s="1"/>
      <c r="QJA122" s="1"/>
      <c r="QJB122" s="1"/>
      <c r="QJC122" s="1"/>
      <c r="QJD122" s="1"/>
      <c r="QJE122" s="1"/>
      <c r="QJF122" s="1"/>
      <c r="QJG122" s="1"/>
      <c r="QJH122" s="1"/>
      <c r="QJI122" s="1"/>
      <c r="QJJ122" s="1"/>
      <c r="QJK122" s="1"/>
      <c r="QJL122" s="1"/>
      <c r="QJM122" s="1"/>
      <c r="QJN122" s="1"/>
      <c r="QJO122" s="1"/>
      <c r="QJP122" s="1"/>
      <c r="QJQ122" s="1"/>
      <c r="QJR122" s="1"/>
      <c r="QJS122" s="1"/>
      <c r="QJT122" s="1"/>
      <c r="QJU122" s="1"/>
      <c r="QJV122" s="1"/>
      <c r="QJW122" s="1"/>
      <c r="QJX122" s="1"/>
      <c r="QJY122" s="1"/>
      <c r="QJZ122" s="1"/>
      <c r="QKA122" s="1"/>
      <c r="QKB122" s="1"/>
      <c r="QKC122" s="1"/>
      <c r="QKD122" s="1"/>
      <c r="QKE122" s="1"/>
      <c r="QKF122" s="1"/>
      <c r="QKG122" s="1"/>
      <c r="QKH122" s="1"/>
      <c r="QKI122" s="1"/>
      <c r="QKJ122" s="1"/>
      <c r="QKK122" s="1"/>
      <c r="QKL122" s="1"/>
      <c r="QKM122" s="1"/>
      <c r="QKN122" s="1"/>
      <c r="QKO122" s="1"/>
      <c r="QKP122" s="1"/>
      <c r="QKQ122" s="1"/>
      <c r="QKR122" s="1"/>
      <c r="QKS122" s="1"/>
      <c r="QKT122" s="1"/>
      <c r="QKU122" s="1"/>
      <c r="QKV122" s="1"/>
      <c r="QKW122" s="1"/>
      <c r="QKX122" s="1"/>
      <c r="QKY122" s="1"/>
      <c r="QKZ122" s="1"/>
      <c r="QLA122" s="1"/>
      <c r="QLB122" s="1"/>
      <c r="QLC122" s="1"/>
      <c r="QLD122" s="1"/>
      <c r="QLE122" s="1"/>
      <c r="QLF122" s="1"/>
      <c r="QLG122" s="1"/>
      <c r="QLH122" s="1"/>
      <c r="QLI122" s="1"/>
      <c r="QLJ122" s="1"/>
      <c r="QLK122" s="1"/>
      <c r="QLL122" s="1"/>
      <c r="QLM122" s="1"/>
      <c r="QLN122" s="1"/>
      <c r="QLO122" s="1"/>
      <c r="QLP122" s="1"/>
      <c r="QLQ122" s="1"/>
      <c r="QLR122" s="1"/>
      <c r="QLS122" s="1"/>
      <c r="QLT122" s="1"/>
      <c r="QLU122" s="1"/>
      <c r="QLV122" s="1"/>
      <c r="QLW122" s="1"/>
      <c r="QLX122" s="1"/>
      <c r="QLY122" s="1"/>
      <c r="QLZ122" s="1"/>
      <c r="QMA122" s="1"/>
      <c r="QMB122" s="1"/>
      <c r="QMC122" s="1"/>
      <c r="QMD122" s="1"/>
      <c r="QME122" s="1"/>
      <c r="QMF122" s="1"/>
      <c r="QMG122" s="1"/>
      <c r="QMH122" s="1"/>
      <c r="QMI122" s="1"/>
      <c r="QMJ122" s="1"/>
      <c r="QMK122" s="1"/>
      <c r="QML122" s="1"/>
      <c r="QMM122" s="1"/>
      <c r="QMN122" s="1"/>
      <c r="QMO122" s="1"/>
      <c r="QMP122" s="1"/>
      <c r="QMQ122" s="1"/>
      <c r="QMR122" s="1"/>
      <c r="QMS122" s="1"/>
      <c r="QMT122" s="1"/>
      <c r="QMU122" s="1"/>
      <c r="QMV122" s="1"/>
      <c r="QMW122" s="1"/>
      <c r="QMX122" s="1"/>
      <c r="QMY122" s="1"/>
      <c r="QMZ122" s="1"/>
      <c r="QNA122" s="1"/>
      <c r="QNB122" s="1"/>
      <c r="QNC122" s="1"/>
      <c r="QND122" s="1"/>
      <c r="QNE122" s="1"/>
      <c r="QNF122" s="1"/>
      <c r="QNG122" s="1"/>
      <c r="QNH122" s="1"/>
      <c r="QNI122" s="1"/>
      <c r="QNJ122" s="1"/>
      <c r="QNK122" s="1"/>
      <c r="QNL122" s="1"/>
      <c r="QNM122" s="1"/>
      <c r="QNN122" s="1"/>
      <c r="QNO122" s="1"/>
      <c r="QNP122" s="1"/>
      <c r="QNQ122" s="1"/>
      <c r="QNR122" s="1"/>
      <c r="QNS122" s="1"/>
      <c r="QNT122" s="1"/>
      <c r="QNU122" s="1"/>
      <c r="QNV122" s="1"/>
      <c r="QNW122" s="1"/>
      <c r="QNX122" s="1"/>
      <c r="QNY122" s="1"/>
      <c r="QNZ122" s="1"/>
      <c r="QOA122" s="1"/>
      <c r="QOB122" s="1"/>
      <c r="QOC122" s="1"/>
      <c r="QOD122" s="1"/>
      <c r="QOE122" s="1"/>
      <c r="QOF122" s="1"/>
      <c r="QOG122" s="1"/>
      <c r="QOH122" s="1"/>
      <c r="QOI122" s="1"/>
      <c r="QOJ122" s="1"/>
      <c r="QOK122" s="1"/>
      <c r="QOL122" s="1"/>
      <c r="QOM122" s="1"/>
      <c r="QON122" s="1"/>
      <c r="QOO122" s="1"/>
      <c r="QOP122" s="1"/>
      <c r="QOQ122" s="1"/>
      <c r="QOR122" s="1"/>
      <c r="QOS122" s="1"/>
      <c r="QOT122" s="1"/>
      <c r="QOU122" s="1"/>
      <c r="QOV122" s="1"/>
      <c r="QOW122" s="1"/>
      <c r="QOX122" s="1"/>
      <c r="QOY122" s="1"/>
      <c r="QOZ122" s="1"/>
      <c r="QPA122" s="1"/>
      <c r="QPB122" s="1"/>
      <c r="QPC122" s="1"/>
      <c r="QPD122" s="1"/>
      <c r="QPE122" s="1"/>
      <c r="QPF122" s="1"/>
      <c r="QPG122" s="1"/>
      <c r="QPH122" s="1"/>
      <c r="QPI122" s="1"/>
      <c r="QPJ122" s="1"/>
      <c r="QPK122" s="1"/>
      <c r="QPL122" s="1"/>
      <c r="QPM122" s="1"/>
      <c r="QPN122" s="1"/>
      <c r="QPO122" s="1"/>
      <c r="QPP122" s="1"/>
      <c r="QPQ122" s="1"/>
      <c r="QPR122" s="1"/>
      <c r="QPS122" s="1"/>
      <c r="QPT122" s="1"/>
      <c r="QPU122" s="1"/>
      <c r="QPV122" s="1"/>
      <c r="QPW122" s="1"/>
      <c r="QPX122" s="1"/>
      <c r="QPY122" s="1"/>
      <c r="QPZ122" s="1"/>
      <c r="QQA122" s="1"/>
      <c r="QQB122" s="1"/>
      <c r="QQC122" s="1"/>
      <c r="QQD122" s="1"/>
      <c r="QQE122" s="1"/>
      <c r="QQF122" s="1"/>
      <c r="QQG122" s="1"/>
      <c r="QQH122" s="1"/>
      <c r="QQI122" s="1"/>
      <c r="QQJ122" s="1"/>
      <c r="QQK122" s="1"/>
      <c r="QQL122" s="1"/>
      <c r="QQM122" s="1"/>
      <c r="QQN122" s="1"/>
      <c r="QQO122" s="1"/>
      <c r="QQP122" s="1"/>
      <c r="QQQ122" s="1"/>
      <c r="QQR122" s="1"/>
      <c r="QQS122" s="1"/>
      <c r="QQT122" s="1"/>
      <c r="QQU122" s="1"/>
      <c r="QQV122" s="1"/>
      <c r="QQW122" s="1"/>
      <c r="QQX122" s="1"/>
      <c r="QQY122" s="1"/>
      <c r="QQZ122" s="1"/>
      <c r="QRA122" s="1"/>
      <c r="QRB122" s="1"/>
      <c r="QRC122" s="1"/>
      <c r="QRD122" s="1"/>
      <c r="QRE122" s="1"/>
      <c r="QRF122" s="1"/>
      <c r="QRG122" s="1"/>
      <c r="QRH122" s="1"/>
      <c r="QRI122" s="1"/>
      <c r="QRJ122" s="1"/>
      <c r="QRK122" s="1"/>
      <c r="QRL122" s="1"/>
      <c r="QRM122" s="1"/>
      <c r="QRN122" s="1"/>
      <c r="QRO122" s="1"/>
      <c r="QRP122" s="1"/>
      <c r="QRQ122" s="1"/>
      <c r="QRR122" s="1"/>
      <c r="QRS122" s="1"/>
      <c r="QRT122" s="1"/>
      <c r="QRU122" s="1"/>
      <c r="QRV122" s="1"/>
      <c r="QRW122" s="1"/>
      <c r="QRX122" s="1"/>
      <c r="QRY122" s="1"/>
      <c r="QRZ122" s="1"/>
      <c r="QSA122" s="1"/>
      <c r="QSB122" s="1"/>
      <c r="QSC122" s="1"/>
      <c r="QSD122" s="1"/>
      <c r="QSE122" s="1"/>
      <c r="QSF122" s="1"/>
      <c r="QSG122" s="1"/>
      <c r="QSH122" s="1"/>
      <c r="QSI122" s="1"/>
      <c r="QSJ122" s="1"/>
      <c r="QSK122" s="1"/>
      <c r="QSL122" s="1"/>
      <c r="QSM122" s="1"/>
      <c r="QSN122" s="1"/>
      <c r="QSO122" s="1"/>
      <c r="QSP122" s="1"/>
      <c r="QSQ122" s="1"/>
      <c r="QSR122" s="1"/>
      <c r="QSS122" s="1"/>
      <c r="QST122" s="1"/>
      <c r="QSU122" s="1"/>
      <c r="QSV122" s="1"/>
      <c r="QSW122" s="1"/>
      <c r="QSX122" s="1"/>
      <c r="QSY122" s="1"/>
      <c r="QSZ122" s="1"/>
      <c r="QTA122" s="1"/>
      <c r="QTB122" s="1"/>
      <c r="QTC122" s="1"/>
      <c r="QTD122" s="1"/>
      <c r="QTE122" s="1"/>
      <c r="QTF122" s="1"/>
      <c r="QTG122" s="1"/>
      <c r="QTH122" s="1"/>
      <c r="QTI122" s="1"/>
      <c r="QTJ122" s="1"/>
      <c r="QTK122" s="1"/>
      <c r="QTL122" s="1"/>
      <c r="QTM122" s="1"/>
      <c r="QTN122" s="1"/>
      <c r="QTO122" s="1"/>
      <c r="QTP122" s="1"/>
      <c r="QTQ122" s="1"/>
      <c r="QTR122" s="1"/>
      <c r="QTS122" s="1"/>
      <c r="QTT122" s="1"/>
      <c r="QTU122" s="1"/>
      <c r="QTV122" s="1"/>
      <c r="QTW122" s="1"/>
      <c r="QTX122" s="1"/>
      <c r="QTY122" s="1"/>
      <c r="QTZ122" s="1"/>
      <c r="QUA122" s="1"/>
      <c r="QUB122" s="1"/>
      <c r="QUC122" s="1"/>
      <c r="QUD122" s="1"/>
      <c r="QUE122" s="1"/>
      <c r="QUF122" s="1"/>
      <c r="QUG122" s="1"/>
      <c r="QUH122" s="1"/>
      <c r="QUI122" s="1"/>
      <c r="QUJ122" s="1"/>
      <c r="QUK122" s="1"/>
      <c r="QUL122" s="1"/>
      <c r="QUM122" s="1"/>
      <c r="QUN122" s="1"/>
      <c r="QUO122" s="1"/>
      <c r="QUP122" s="1"/>
      <c r="QUQ122" s="1"/>
      <c r="QUR122" s="1"/>
      <c r="QUS122" s="1"/>
      <c r="QUT122" s="1"/>
      <c r="QUU122" s="1"/>
      <c r="QUV122" s="1"/>
      <c r="QUW122" s="1"/>
      <c r="QUX122" s="1"/>
      <c r="QUY122" s="1"/>
      <c r="QUZ122" s="1"/>
      <c r="QVA122" s="1"/>
      <c r="QVB122" s="1"/>
      <c r="QVC122" s="1"/>
      <c r="QVD122" s="1"/>
      <c r="QVE122" s="1"/>
      <c r="QVF122" s="1"/>
      <c r="QVG122" s="1"/>
      <c r="QVH122" s="1"/>
      <c r="QVI122" s="1"/>
      <c r="QVJ122" s="1"/>
      <c r="QVK122" s="1"/>
      <c r="QVL122" s="1"/>
      <c r="QVM122" s="1"/>
      <c r="QVN122" s="1"/>
      <c r="QVO122" s="1"/>
      <c r="QVP122" s="1"/>
      <c r="QVQ122" s="1"/>
      <c r="QVR122" s="1"/>
      <c r="QVS122" s="1"/>
      <c r="QVT122" s="1"/>
      <c r="QVU122" s="1"/>
      <c r="QVV122" s="1"/>
      <c r="QVW122" s="1"/>
      <c r="QVX122" s="1"/>
      <c r="QVY122" s="1"/>
      <c r="QVZ122" s="1"/>
      <c r="QWA122" s="1"/>
      <c r="QWB122" s="1"/>
      <c r="QWC122" s="1"/>
      <c r="QWD122" s="1"/>
      <c r="QWE122" s="1"/>
      <c r="QWF122" s="1"/>
      <c r="QWG122" s="1"/>
      <c r="QWH122" s="1"/>
      <c r="QWI122" s="1"/>
      <c r="QWJ122" s="1"/>
      <c r="QWK122" s="1"/>
      <c r="QWL122" s="1"/>
      <c r="QWM122" s="1"/>
      <c r="QWN122" s="1"/>
      <c r="QWO122" s="1"/>
      <c r="QWP122" s="1"/>
      <c r="QWQ122" s="1"/>
      <c r="QWR122" s="1"/>
      <c r="QWS122" s="1"/>
      <c r="QWT122" s="1"/>
      <c r="QWU122" s="1"/>
      <c r="QWV122" s="1"/>
      <c r="QWW122" s="1"/>
      <c r="QWX122" s="1"/>
      <c r="QWY122" s="1"/>
      <c r="QWZ122" s="1"/>
      <c r="QXA122" s="1"/>
      <c r="QXB122" s="1"/>
      <c r="QXC122" s="1"/>
      <c r="QXD122" s="1"/>
      <c r="QXE122" s="1"/>
      <c r="QXF122" s="1"/>
      <c r="QXG122" s="1"/>
      <c r="QXH122" s="1"/>
      <c r="QXI122" s="1"/>
      <c r="QXJ122" s="1"/>
      <c r="QXK122" s="1"/>
      <c r="QXL122" s="1"/>
      <c r="QXM122" s="1"/>
      <c r="QXN122" s="1"/>
      <c r="QXO122" s="1"/>
      <c r="QXP122" s="1"/>
      <c r="QXQ122" s="1"/>
      <c r="QXR122" s="1"/>
      <c r="QXS122" s="1"/>
      <c r="QXT122" s="1"/>
      <c r="QXU122" s="1"/>
      <c r="QXV122" s="1"/>
      <c r="QXW122" s="1"/>
      <c r="QXX122" s="1"/>
      <c r="QXY122" s="1"/>
      <c r="QXZ122" s="1"/>
      <c r="QYA122" s="1"/>
      <c r="QYB122" s="1"/>
      <c r="QYC122" s="1"/>
      <c r="QYD122" s="1"/>
      <c r="QYE122" s="1"/>
      <c r="QYF122" s="1"/>
      <c r="QYG122" s="1"/>
      <c r="QYH122" s="1"/>
      <c r="QYI122" s="1"/>
      <c r="QYJ122" s="1"/>
      <c r="QYK122" s="1"/>
      <c r="QYL122" s="1"/>
      <c r="QYM122" s="1"/>
      <c r="QYN122" s="1"/>
      <c r="QYO122" s="1"/>
      <c r="QYP122" s="1"/>
      <c r="QYQ122" s="1"/>
      <c r="QYR122" s="1"/>
      <c r="QYS122" s="1"/>
      <c r="QYT122" s="1"/>
      <c r="QYU122" s="1"/>
      <c r="QYV122" s="1"/>
      <c r="QYW122" s="1"/>
      <c r="QYX122" s="1"/>
      <c r="QYY122" s="1"/>
      <c r="QYZ122" s="1"/>
      <c r="QZA122" s="1"/>
      <c r="QZB122" s="1"/>
      <c r="QZC122" s="1"/>
      <c r="QZD122" s="1"/>
      <c r="QZE122" s="1"/>
      <c r="QZF122" s="1"/>
      <c r="QZG122" s="1"/>
      <c r="QZH122" s="1"/>
      <c r="QZI122" s="1"/>
      <c r="QZJ122" s="1"/>
      <c r="QZK122" s="1"/>
      <c r="QZL122" s="1"/>
      <c r="QZM122" s="1"/>
      <c r="QZN122" s="1"/>
      <c r="QZO122" s="1"/>
      <c r="QZP122" s="1"/>
      <c r="QZQ122" s="1"/>
      <c r="QZR122" s="1"/>
      <c r="QZS122" s="1"/>
      <c r="QZT122" s="1"/>
      <c r="QZU122" s="1"/>
      <c r="QZV122" s="1"/>
      <c r="QZW122" s="1"/>
      <c r="QZX122" s="1"/>
      <c r="QZY122" s="1"/>
      <c r="QZZ122" s="1"/>
      <c r="RAA122" s="1"/>
      <c r="RAB122" s="1"/>
      <c r="RAC122" s="1"/>
      <c r="RAD122" s="1"/>
      <c r="RAE122" s="1"/>
      <c r="RAF122" s="1"/>
      <c r="RAG122" s="1"/>
      <c r="RAH122" s="1"/>
      <c r="RAI122" s="1"/>
      <c r="RAJ122" s="1"/>
      <c r="RAK122" s="1"/>
      <c r="RAL122" s="1"/>
      <c r="RAM122" s="1"/>
      <c r="RAN122" s="1"/>
      <c r="RAO122" s="1"/>
      <c r="RAP122" s="1"/>
      <c r="RAQ122" s="1"/>
      <c r="RAR122" s="1"/>
      <c r="RAS122" s="1"/>
      <c r="RAT122" s="1"/>
      <c r="RAU122" s="1"/>
      <c r="RAV122" s="1"/>
      <c r="RAW122" s="1"/>
      <c r="RAX122" s="1"/>
      <c r="RAY122" s="1"/>
      <c r="RAZ122" s="1"/>
      <c r="RBA122" s="1"/>
      <c r="RBB122" s="1"/>
      <c r="RBC122" s="1"/>
      <c r="RBD122" s="1"/>
      <c r="RBE122" s="1"/>
      <c r="RBF122" s="1"/>
      <c r="RBG122" s="1"/>
      <c r="RBH122" s="1"/>
      <c r="RBI122" s="1"/>
      <c r="RBJ122" s="1"/>
      <c r="RBK122" s="1"/>
      <c r="RBL122" s="1"/>
      <c r="RBM122" s="1"/>
      <c r="RBN122" s="1"/>
      <c r="RBO122" s="1"/>
      <c r="RBP122" s="1"/>
      <c r="RBQ122" s="1"/>
      <c r="RBR122" s="1"/>
      <c r="RBS122" s="1"/>
      <c r="RBT122" s="1"/>
      <c r="RBU122" s="1"/>
      <c r="RBV122" s="1"/>
      <c r="RBW122" s="1"/>
      <c r="RBX122" s="1"/>
      <c r="RBY122" s="1"/>
      <c r="RBZ122" s="1"/>
      <c r="RCA122" s="1"/>
      <c r="RCB122" s="1"/>
      <c r="RCC122" s="1"/>
      <c r="RCD122" s="1"/>
      <c r="RCE122" s="1"/>
      <c r="RCF122" s="1"/>
      <c r="RCG122" s="1"/>
      <c r="RCH122" s="1"/>
      <c r="RCI122" s="1"/>
      <c r="RCJ122" s="1"/>
      <c r="RCK122" s="1"/>
      <c r="RCL122" s="1"/>
      <c r="RCM122" s="1"/>
      <c r="RCN122" s="1"/>
      <c r="RCO122" s="1"/>
      <c r="RCP122" s="1"/>
      <c r="RCQ122" s="1"/>
      <c r="RCR122" s="1"/>
      <c r="RCS122" s="1"/>
      <c r="RCT122" s="1"/>
      <c r="RCU122" s="1"/>
      <c r="RCV122" s="1"/>
      <c r="RCW122" s="1"/>
      <c r="RCX122" s="1"/>
      <c r="RCY122" s="1"/>
      <c r="RCZ122" s="1"/>
      <c r="RDA122" s="1"/>
      <c r="RDB122" s="1"/>
      <c r="RDC122" s="1"/>
      <c r="RDD122" s="1"/>
      <c r="RDE122" s="1"/>
      <c r="RDF122" s="1"/>
      <c r="RDG122" s="1"/>
      <c r="RDH122" s="1"/>
      <c r="RDI122" s="1"/>
      <c r="RDJ122" s="1"/>
      <c r="RDK122" s="1"/>
      <c r="RDL122" s="1"/>
      <c r="RDM122" s="1"/>
      <c r="RDN122" s="1"/>
      <c r="RDO122" s="1"/>
      <c r="RDP122" s="1"/>
      <c r="RDQ122" s="1"/>
      <c r="RDR122" s="1"/>
      <c r="RDS122" s="1"/>
      <c r="RDT122" s="1"/>
      <c r="RDU122" s="1"/>
      <c r="RDV122" s="1"/>
      <c r="RDW122" s="1"/>
      <c r="RDX122" s="1"/>
      <c r="RDY122" s="1"/>
      <c r="RDZ122" s="1"/>
      <c r="REA122" s="1"/>
      <c r="REB122" s="1"/>
      <c r="REC122" s="1"/>
      <c r="RED122" s="1"/>
      <c r="REE122" s="1"/>
      <c r="REF122" s="1"/>
      <c r="REG122" s="1"/>
      <c r="REH122" s="1"/>
      <c r="REI122" s="1"/>
      <c r="REJ122" s="1"/>
      <c r="REK122" s="1"/>
      <c r="REL122" s="1"/>
      <c r="REM122" s="1"/>
      <c r="REN122" s="1"/>
      <c r="REO122" s="1"/>
      <c r="REP122" s="1"/>
      <c r="REQ122" s="1"/>
      <c r="RER122" s="1"/>
      <c r="RES122" s="1"/>
      <c r="RET122" s="1"/>
      <c r="REU122" s="1"/>
      <c r="REV122" s="1"/>
      <c r="REW122" s="1"/>
      <c r="REX122" s="1"/>
      <c r="REY122" s="1"/>
      <c r="REZ122" s="1"/>
      <c r="RFA122" s="1"/>
      <c r="RFB122" s="1"/>
      <c r="RFC122" s="1"/>
      <c r="RFD122" s="1"/>
      <c r="RFE122" s="1"/>
      <c r="RFF122" s="1"/>
      <c r="RFG122" s="1"/>
      <c r="RFH122" s="1"/>
      <c r="RFI122" s="1"/>
      <c r="RFJ122" s="1"/>
      <c r="RFK122" s="1"/>
      <c r="RFL122" s="1"/>
      <c r="RFM122" s="1"/>
      <c r="RFN122" s="1"/>
      <c r="RFO122" s="1"/>
      <c r="RFP122" s="1"/>
      <c r="RFQ122" s="1"/>
      <c r="RFR122" s="1"/>
      <c r="RFS122" s="1"/>
      <c r="RFT122" s="1"/>
      <c r="RFU122" s="1"/>
      <c r="RFV122" s="1"/>
      <c r="RFW122" s="1"/>
      <c r="RFX122" s="1"/>
      <c r="RFY122" s="1"/>
      <c r="RFZ122" s="1"/>
      <c r="RGA122" s="1"/>
      <c r="RGB122" s="1"/>
      <c r="RGC122" s="1"/>
      <c r="RGD122" s="1"/>
      <c r="RGE122" s="1"/>
      <c r="RGF122" s="1"/>
      <c r="RGG122" s="1"/>
      <c r="RGH122" s="1"/>
      <c r="RGI122" s="1"/>
      <c r="RGJ122" s="1"/>
      <c r="RGK122" s="1"/>
      <c r="RGL122" s="1"/>
      <c r="RGM122" s="1"/>
      <c r="RGN122" s="1"/>
      <c r="RGO122" s="1"/>
      <c r="RGP122" s="1"/>
      <c r="RGQ122" s="1"/>
      <c r="RGR122" s="1"/>
      <c r="RGS122" s="1"/>
      <c r="RGT122" s="1"/>
      <c r="RGU122" s="1"/>
      <c r="RGV122" s="1"/>
      <c r="RGW122" s="1"/>
      <c r="RGX122" s="1"/>
      <c r="RGY122" s="1"/>
      <c r="RGZ122" s="1"/>
      <c r="RHA122" s="1"/>
      <c r="RHB122" s="1"/>
      <c r="RHC122" s="1"/>
      <c r="RHD122" s="1"/>
      <c r="RHE122" s="1"/>
      <c r="RHF122" s="1"/>
      <c r="RHG122" s="1"/>
      <c r="RHH122" s="1"/>
      <c r="RHI122" s="1"/>
      <c r="RHJ122" s="1"/>
      <c r="RHK122" s="1"/>
      <c r="RHL122" s="1"/>
      <c r="RHM122" s="1"/>
      <c r="RHN122" s="1"/>
      <c r="RHO122" s="1"/>
      <c r="RHP122" s="1"/>
      <c r="RHQ122" s="1"/>
      <c r="RHR122" s="1"/>
      <c r="RHS122" s="1"/>
      <c r="RHT122" s="1"/>
      <c r="RHU122" s="1"/>
      <c r="RHV122" s="1"/>
      <c r="RHW122" s="1"/>
      <c r="RHX122" s="1"/>
      <c r="RHY122" s="1"/>
      <c r="RHZ122" s="1"/>
      <c r="RIA122" s="1"/>
      <c r="RIB122" s="1"/>
      <c r="RIC122" s="1"/>
      <c r="RID122" s="1"/>
      <c r="RIE122" s="1"/>
      <c r="RIF122" s="1"/>
      <c r="RIG122" s="1"/>
      <c r="RIH122" s="1"/>
      <c r="RII122" s="1"/>
      <c r="RIJ122" s="1"/>
      <c r="RIK122" s="1"/>
      <c r="RIL122" s="1"/>
      <c r="RIM122" s="1"/>
      <c r="RIN122" s="1"/>
      <c r="RIO122" s="1"/>
      <c r="RIP122" s="1"/>
      <c r="RIQ122" s="1"/>
      <c r="RIR122" s="1"/>
      <c r="RIS122" s="1"/>
      <c r="RIT122" s="1"/>
      <c r="RIU122" s="1"/>
      <c r="RIV122" s="1"/>
      <c r="RIW122" s="1"/>
      <c r="RIX122" s="1"/>
      <c r="RIY122" s="1"/>
      <c r="RIZ122" s="1"/>
      <c r="RJA122" s="1"/>
      <c r="RJB122" s="1"/>
      <c r="RJC122" s="1"/>
      <c r="RJD122" s="1"/>
      <c r="RJE122" s="1"/>
      <c r="RJF122" s="1"/>
      <c r="RJG122" s="1"/>
      <c r="RJH122" s="1"/>
      <c r="RJI122" s="1"/>
      <c r="RJJ122" s="1"/>
      <c r="RJK122" s="1"/>
      <c r="RJL122" s="1"/>
      <c r="RJM122" s="1"/>
      <c r="RJN122" s="1"/>
      <c r="RJO122" s="1"/>
      <c r="RJP122" s="1"/>
      <c r="RJQ122" s="1"/>
      <c r="RJR122" s="1"/>
      <c r="RJS122" s="1"/>
      <c r="RJT122" s="1"/>
      <c r="RJU122" s="1"/>
      <c r="RJV122" s="1"/>
      <c r="RJW122" s="1"/>
      <c r="RJX122" s="1"/>
      <c r="RJY122" s="1"/>
      <c r="RJZ122" s="1"/>
      <c r="RKA122" s="1"/>
      <c r="RKB122" s="1"/>
      <c r="RKC122" s="1"/>
      <c r="RKD122" s="1"/>
      <c r="RKE122" s="1"/>
      <c r="RKF122" s="1"/>
      <c r="RKG122" s="1"/>
      <c r="RKH122" s="1"/>
      <c r="RKI122" s="1"/>
      <c r="RKJ122" s="1"/>
      <c r="RKK122" s="1"/>
      <c r="RKL122" s="1"/>
      <c r="RKM122" s="1"/>
      <c r="RKN122" s="1"/>
      <c r="RKO122" s="1"/>
      <c r="RKP122" s="1"/>
      <c r="RKQ122" s="1"/>
      <c r="RKR122" s="1"/>
      <c r="RKS122" s="1"/>
      <c r="RKT122" s="1"/>
      <c r="RKU122" s="1"/>
      <c r="RKV122" s="1"/>
      <c r="RKW122" s="1"/>
      <c r="RKX122" s="1"/>
      <c r="RKY122" s="1"/>
      <c r="RKZ122" s="1"/>
      <c r="RLA122" s="1"/>
      <c r="RLB122" s="1"/>
      <c r="RLC122" s="1"/>
      <c r="RLD122" s="1"/>
      <c r="RLE122" s="1"/>
      <c r="RLF122" s="1"/>
      <c r="RLG122" s="1"/>
      <c r="RLH122" s="1"/>
      <c r="RLI122" s="1"/>
      <c r="RLJ122" s="1"/>
      <c r="RLK122" s="1"/>
      <c r="RLL122" s="1"/>
      <c r="RLM122" s="1"/>
      <c r="RLN122" s="1"/>
      <c r="RLO122" s="1"/>
      <c r="RLP122" s="1"/>
      <c r="RLQ122" s="1"/>
      <c r="RLR122" s="1"/>
      <c r="RLS122" s="1"/>
      <c r="RLT122" s="1"/>
      <c r="RLU122" s="1"/>
      <c r="RLV122" s="1"/>
      <c r="RLW122" s="1"/>
      <c r="RLX122" s="1"/>
      <c r="RLY122" s="1"/>
      <c r="RLZ122" s="1"/>
      <c r="RMA122" s="1"/>
      <c r="RMB122" s="1"/>
      <c r="RMC122" s="1"/>
      <c r="RMD122" s="1"/>
      <c r="RME122" s="1"/>
      <c r="RMF122" s="1"/>
      <c r="RMG122" s="1"/>
      <c r="RMH122" s="1"/>
      <c r="RMI122" s="1"/>
      <c r="RMJ122" s="1"/>
      <c r="RMK122" s="1"/>
      <c r="RML122" s="1"/>
      <c r="RMM122" s="1"/>
      <c r="RMN122" s="1"/>
      <c r="RMO122" s="1"/>
      <c r="RMP122" s="1"/>
      <c r="RMQ122" s="1"/>
      <c r="RMR122" s="1"/>
      <c r="RMS122" s="1"/>
      <c r="RMT122" s="1"/>
      <c r="RMU122" s="1"/>
      <c r="RMV122" s="1"/>
      <c r="RMW122" s="1"/>
      <c r="RMX122" s="1"/>
      <c r="RMY122" s="1"/>
      <c r="RMZ122" s="1"/>
      <c r="RNA122" s="1"/>
      <c r="RNB122" s="1"/>
      <c r="RNC122" s="1"/>
      <c r="RND122" s="1"/>
      <c r="RNE122" s="1"/>
      <c r="RNF122" s="1"/>
      <c r="RNG122" s="1"/>
      <c r="RNH122" s="1"/>
      <c r="RNI122" s="1"/>
      <c r="RNJ122" s="1"/>
      <c r="RNK122" s="1"/>
      <c r="RNL122" s="1"/>
      <c r="RNM122" s="1"/>
      <c r="RNN122" s="1"/>
      <c r="RNO122" s="1"/>
      <c r="RNP122" s="1"/>
      <c r="RNQ122" s="1"/>
      <c r="RNR122" s="1"/>
      <c r="RNS122" s="1"/>
      <c r="RNT122" s="1"/>
      <c r="RNU122" s="1"/>
      <c r="RNV122" s="1"/>
      <c r="RNW122" s="1"/>
      <c r="RNX122" s="1"/>
      <c r="RNY122" s="1"/>
      <c r="RNZ122" s="1"/>
      <c r="ROA122" s="1"/>
      <c r="ROB122" s="1"/>
      <c r="ROC122" s="1"/>
      <c r="ROD122" s="1"/>
      <c r="ROE122" s="1"/>
      <c r="ROF122" s="1"/>
      <c r="ROG122" s="1"/>
      <c r="ROH122" s="1"/>
      <c r="ROI122" s="1"/>
      <c r="ROJ122" s="1"/>
      <c r="ROK122" s="1"/>
      <c r="ROL122" s="1"/>
      <c r="ROM122" s="1"/>
      <c r="RON122" s="1"/>
      <c r="ROO122" s="1"/>
      <c r="ROP122" s="1"/>
      <c r="ROQ122" s="1"/>
      <c r="ROR122" s="1"/>
      <c r="ROS122" s="1"/>
      <c r="ROT122" s="1"/>
      <c r="ROU122" s="1"/>
      <c r="ROV122" s="1"/>
      <c r="ROW122" s="1"/>
      <c r="ROX122" s="1"/>
      <c r="ROY122" s="1"/>
      <c r="ROZ122" s="1"/>
      <c r="RPA122" s="1"/>
      <c r="RPB122" s="1"/>
      <c r="RPC122" s="1"/>
      <c r="RPD122" s="1"/>
      <c r="RPE122" s="1"/>
      <c r="RPF122" s="1"/>
      <c r="RPG122" s="1"/>
      <c r="RPH122" s="1"/>
      <c r="RPI122" s="1"/>
      <c r="RPJ122" s="1"/>
      <c r="RPK122" s="1"/>
      <c r="RPL122" s="1"/>
      <c r="RPM122" s="1"/>
      <c r="RPN122" s="1"/>
      <c r="RPO122" s="1"/>
      <c r="RPP122" s="1"/>
      <c r="RPQ122" s="1"/>
      <c r="RPR122" s="1"/>
      <c r="RPS122" s="1"/>
      <c r="RPT122" s="1"/>
      <c r="RPU122" s="1"/>
      <c r="RPV122" s="1"/>
      <c r="RPW122" s="1"/>
      <c r="RPX122" s="1"/>
      <c r="RPY122" s="1"/>
      <c r="RPZ122" s="1"/>
      <c r="RQA122" s="1"/>
      <c r="RQB122" s="1"/>
      <c r="RQC122" s="1"/>
      <c r="RQD122" s="1"/>
      <c r="RQE122" s="1"/>
      <c r="RQF122" s="1"/>
      <c r="RQG122" s="1"/>
      <c r="RQH122" s="1"/>
      <c r="RQI122" s="1"/>
      <c r="RQJ122" s="1"/>
      <c r="RQK122" s="1"/>
      <c r="RQL122" s="1"/>
      <c r="RQM122" s="1"/>
      <c r="RQN122" s="1"/>
      <c r="RQO122" s="1"/>
      <c r="RQP122" s="1"/>
      <c r="RQQ122" s="1"/>
      <c r="RQR122" s="1"/>
      <c r="RQS122" s="1"/>
      <c r="RQT122" s="1"/>
      <c r="RQU122" s="1"/>
      <c r="RQV122" s="1"/>
      <c r="RQW122" s="1"/>
      <c r="RQX122" s="1"/>
      <c r="RQY122" s="1"/>
      <c r="RQZ122" s="1"/>
      <c r="RRA122" s="1"/>
      <c r="RRB122" s="1"/>
      <c r="RRC122" s="1"/>
      <c r="RRD122" s="1"/>
      <c r="RRE122" s="1"/>
      <c r="RRF122" s="1"/>
      <c r="RRG122" s="1"/>
      <c r="RRH122" s="1"/>
      <c r="RRI122" s="1"/>
      <c r="RRJ122" s="1"/>
      <c r="RRK122" s="1"/>
      <c r="RRL122" s="1"/>
      <c r="RRM122" s="1"/>
      <c r="RRN122" s="1"/>
      <c r="RRO122" s="1"/>
      <c r="RRP122" s="1"/>
      <c r="RRQ122" s="1"/>
      <c r="RRR122" s="1"/>
      <c r="RRS122" s="1"/>
      <c r="RRT122" s="1"/>
      <c r="RRU122" s="1"/>
      <c r="RRV122" s="1"/>
      <c r="RRW122" s="1"/>
      <c r="RRX122" s="1"/>
      <c r="RRY122" s="1"/>
      <c r="RRZ122" s="1"/>
      <c r="RSA122" s="1"/>
      <c r="RSB122" s="1"/>
      <c r="RSC122" s="1"/>
      <c r="RSD122" s="1"/>
      <c r="RSE122" s="1"/>
      <c r="RSF122" s="1"/>
      <c r="RSG122" s="1"/>
      <c r="RSH122" s="1"/>
      <c r="RSI122" s="1"/>
      <c r="RSJ122" s="1"/>
      <c r="RSK122" s="1"/>
      <c r="RSL122" s="1"/>
      <c r="RSM122" s="1"/>
      <c r="RSN122" s="1"/>
      <c r="RSO122" s="1"/>
      <c r="RSP122" s="1"/>
      <c r="RSQ122" s="1"/>
      <c r="RSR122" s="1"/>
      <c r="RSS122" s="1"/>
      <c r="RST122" s="1"/>
      <c r="RSU122" s="1"/>
      <c r="RSV122" s="1"/>
      <c r="RSW122" s="1"/>
      <c r="RSX122" s="1"/>
      <c r="RSY122" s="1"/>
      <c r="RSZ122" s="1"/>
      <c r="RTA122" s="1"/>
      <c r="RTB122" s="1"/>
      <c r="RTC122" s="1"/>
      <c r="RTD122" s="1"/>
      <c r="RTE122" s="1"/>
      <c r="RTF122" s="1"/>
      <c r="RTG122" s="1"/>
      <c r="RTH122" s="1"/>
      <c r="RTI122" s="1"/>
      <c r="RTJ122" s="1"/>
      <c r="RTK122" s="1"/>
      <c r="RTL122" s="1"/>
      <c r="RTM122" s="1"/>
      <c r="RTN122" s="1"/>
      <c r="RTO122" s="1"/>
      <c r="RTP122" s="1"/>
      <c r="RTQ122" s="1"/>
      <c r="RTR122" s="1"/>
      <c r="RTS122" s="1"/>
      <c r="RTT122" s="1"/>
      <c r="RTU122" s="1"/>
      <c r="RTV122" s="1"/>
      <c r="RTW122" s="1"/>
      <c r="RTX122" s="1"/>
      <c r="RTY122" s="1"/>
      <c r="RTZ122" s="1"/>
      <c r="RUA122" s="1"/>
      <c r="RUB122" s="1"/>
      <c r="RUC122" s="1"/>
      <c r="RUD122" s="1"/>
      <c r="RUE122" s="1"/>
      <c r="RUF122" s="1"/>
      <c r="RUG122" s="1"/>
      <c r="RUH122" s="1"/>
      <c r="RUI122" s="1"/>
      <c r="RUJ122" s="1"/>
      <c r="RUK122" s="1"/>
      <c r="RUL122" s="1"/>
      <c r="RUM122" s="1"/>
      <c r="RUN122" s="1"/>
      <c r="RUO122" s="1"/>
      <c r="RUP122" s="1"/>
      <c r="RUQ122" s="1"/>
      <c r="RUR122" s="1"/>
      <c r="RUS122" s="1"/>
      <c r="RUT122" s="1"/>
      <c r="RUU122" s="1"/>
      <c r="RUV122" s="1"/>
      <c r="RUW122" s="1"/>
      <c r="RUX122" s="1"/>
      <c r="RUY122" s="1"/>
      <c r="RUZ122" s="1"/>
      <c r="RVA122" s="1"/>
      <c r="RVB122" s="1"/>
      <c r="RVC122" s="1"/>
      <c r="RVD122" s="1"/>
      <c r="RVE122" s="1"/>
      <c r="RVF122" s="1"/>
      <c r="RVG122" s="1"/>
      <c r="RVH122" s="1"/>
      <c r="RVI122" s="1"/>
      <c r="RVJ122" s="1"/>
      <c r="RVK122" s="1"/>
      <c r="RVL122" s="1"/>
      <c r="RVM122" s="1"/>
      <c r="RVN122" s="1"/>
      <c r="RVO122" s="1"/>
      <c r="RVP122" s="1"/>
      <c r="RVQ122" s="1"/>
      <c r="RVR122" s="1"/>
      <c r="RVS122" s="1"/>
      <c r="RVT122" s="1"/>
      <c r="RVU122" s="1"/>
      <c r="RVV122" s="1"/>
      <c r="RVW122" s="1"/>
      <c r="RVX122" s="1"/>
      <c r="RVY122" s="1"/>
      <c r="RVZ122" s="1"/>
      <c r="RWA122" s="1"/>
      <c r="RWB122" s="1"/>
      <c r="RWC122" s="1"/>
      <c r="RWD122" s="1"/>
      <c r="RWE122" s="1"/>
      <c r="RWF122" s="1"/>
      <c r="RWG122" s="1"/>
      <c r="RWH122" s="1"/>
      <c r="RWI122" s="1"/>
      <c r="RWJ122" s="1"/>
      <c r="RWK122" s="1"/>
      <c r="RWL122" s="1"/>
      <c r="RWM122" s="1"/>
      <c r="RWN122" s="1"/>
      <c r="RWO122" s="1"/>
      <c r="RWP122" s="1"/>
      <c r="RWQ122" s="1"/>
      <c r="RWR122" s="1"/>
      <c r="RWS122" s="1"/>
      <c r="RWT122" s="1"/>
      <c r="RWU122" s="1"/>
      <c r="RWV122" s="1"/>
      <c r="RWW122" s="1"/>
      <c r="RWX122" s="1"/>
      <c r="RWY122" s="1"/>
      <c r="RWZ122" s="1"/>
      <c r="RXA122" s="1"/>
      <c r="RXB122" s="1"/>
      <c r="RXC122" s="1"/>
      <c r="RXD122" s="1"/>
      <c r="RXE122" s="1"/>
      <c r="RXF122" s="1"/>
      <c r="RXG122" s="1"/>
      <c r="RXH122" s="1"/>
      <c r="RXI122" s="1"/>
      <c r="RXJ122" s="1"/>
      <c r="RXK122" s="1"/>
      <c r="RXL122" s="1"/>
      <c r="RXM122" s="1"/>
      <c r="RXN122" s="1"/>
      <c r="RXO122" s="1"/>
      <c r="RXP122" s="1"/>
      <c r="RXQ122" s="1"/>
      <c r="RXR122" s="1"/>
      <c r="RXS122" s="1"/>
      <c r="RXT122" s="1"/>
      <c r="RXU122" s="1"/>
      <c r="RXV122" s="1"/>
      <c r="RXW122" s="1"/>
      <c r="RXX122" s="1"/>
      <c r="RXY122" s="1"/>
      <c r="RXZ122" s="1"/>
      <c r="RYA122" s="1"/>
      <c r="RYB122" s="1"/>
      <c r="RYC122" s="1"/>
      <c r="RYD122" s="1"/>
      <c r="RYE122" s="1"/>
      <c r="RYF122" s="1"/>
      <c r="RYG122" s="1"/>
      <c r="RYH122" s="1"/>
      <c r="RYI122" s="1"/>
      <c r="RYJ122" s="1"/>
      <c r="RYK122" s="1"/>
      <c r="RYL122" s="1"/>
      <c r="RYM122" s="1"/>
      <c r="RYN122" s="1"/>
      <c r="RYO122" s="1"/>
      <c r="RYP122" s="1"/>
      <c r="RYQ122" s="1"/>
      <c r="RYR122" s="1"/>
      <c r="RYS122" s="1"/>
      <c r="RYT122" s="1"/>
      <c r="RYU122" s="1"/>
      <c r="RYV122" s="1"/>
      <c r="RYW122" s="1"/>
      <c r="RYX122" s="1"/>
      <c r="RYY122" s="1"/>
      <c r="RYZ122" s="1"/>
      <c r="RZA122" s="1"/>
      <c r="RZB122" s="1"/>
      <c r="RZC122" s="1"/>
      <c r="RZD122" s="1"/>
      <c r="RZE122" s="1"/>
      <c r="RZF122" s="1"/>
      <c r="RZG122" s="1"/>
      <c r="RZH122" s="1"/>
      <c r="RZI122" s="1"/>
      <c r="RZJ122" s="1"/>
      <c r="RZK122" s="1"/>
      <c r="RZL122" s="1"/>
      <c r="RZM122" s="1"/>
      <c r="RZN122" s="1"/>
      <c r="RZO122" s="1"/>
      <c r="RZP122" s="1"/>
      <c r="RZQ122" s="1"/>
      <c r="RZR122" s="1"/>
      <c r="RZS122" s="1"/>
      <c r="RZT122" s="1"/>
      <c r="RZU122" s="1"/>
      <c r="RZV122" s="1"/>
      <c r="RZW122" s="1"/>
      <c r="RZX122" s="1"/>
      <c r="RZY122" s="1"/>
      <c r="RZZ122" s="1"/>
      <c r="SAA122" s="1"/>
      <c r="SAB122" s="1"/>
      <c r="SAC122" s="1"/>
      <c r="SAD122" s="1"/>
      <c r="SAE122" s="1"/>
      <c r="SAF122" s="1"/>
      <c r="SAG122" s="1"/>
      <c r="SAH122" s="1"/>
      <c r="SAI122" s="1"/>
      <c r="SAJ122" s="1"/>
      <c r="SAK122" s="1"/>
      <c r="SAL122" s="1"/>
      <c r="SAM122" s="1"/>
      <c r="SAN122" s="1"/>
      <c r="SAO122" s="1"/>
      <c r="SAP122" s="1"/>
      <c r="SAQ122" s="1"/>
      <c r="SAR122" s="1"/>
      <c r="SAS122" s="1"/>
      <c r="SAT122" s="1"/>
      <c r="SAU122" s="1"/>
      <c r="SAV122" s="1"/>
      <c r="SAW122" s="1"/>
      <c r="SAX122" s="1"/>
      <c r="SAY122" s="1"/>
      <c r="SAZ122" s="1"/>
      <c r="SBA122" s="1"/>
      <c r="SBB122" s="1"/>
      <c r="SBC122" s="1"/>
      <c r="SBD122" s="1"/>
      <c r="SBE122" s="1"/>
      <c r="SBF122" s="1"/>
      <c r="SBG122" s="1"/>
      <c r="SBH122" s="1"/>
      <c r="SBI122" s="1"/>
      <c r="SBJ122" s="1"/>
      <c r="SBK122" s="1"/>
      <c r="SBL122" s="1"/>
      <c r="SBM122" s="1"/>
      <c r="SBN122" s="1"/>
      <c r="SBO122" s="1"/>
      <c r="SBP122" s="1"/>
      <c r="SBQ122" s="1"/>
      <c r="SBR122" s="1"/>
      <c r="SBS122" s="1"/>
      <c r="SBT122" s="1"/>
      <c r="SBU122" s="1"/>
      <c r="SBV122" s="1"/>
      <c r="SBW122" s="1"/>
      <c r="SBX122" s="1"/>
      <c r="SBY122" s="1"/>
      <c r="SBZ122" s="1"/>
      <c r="SCA122" s="1"/>
      <c r="SCB122" s="1"/>
      <c r="SCC122" s="1"/>
      <c r="SCD122" s="1"/>
      <c r="SCE122" s="1"/>
      <c r="SCF122" s="1"/>
      <c r="SCG122" s="1"/>
      <c r="SCH122" s="1"/>
      <c r="SCI122" s="1"/>
      <c r="SCJ122" s="1"/>
      <c r="SCK122" s="1"/>
      <c r="SCL122" s="1"/>
      <c r="SCM122" s="1"/>
      <c r="SCN122" s="1"/>
      <c r="SCO122" s="1"/>
      <c r="SCP122" s="1"/>
      <c r="SCQ122" s="1"/>
      <c r="SCR122" s="1"/>
      <c r="SCS122" s="1"/>
      <c r="SCT122" s="1"/>
      <c r="SCU122" s="1"/>
      <c r="SCV122" s="1"/>
      <c r="SCW122" s="1"/>
      <c r="SCX122" s="1"/>
      <c r="SCY122" s="1"/>
      <c r="SCZ122" s="1"/>
      <c r="SDA122" s="1"/>
      <c r="SDB122" s="1"/>
      <c r="SDC122" s="1"/>
      <c r="SDD122" s="1"/>
      <c r="SDE122" s="1"/>
      <c r="SDF122" s="1"/>
      <c r="SDG122" s="1"/>
      <c r="SDH122" s="1"/>
      <c r="SDI122" s="1"/>
      <c r="SDJ122" s="1"/>
      <c r="SDK122" s="1"/>
      <c r="SDL122" s="1"/>
      <c r="SDM122" s="1"/>
      <c r="SDN122" s="1"/>
      <c r="SDO122" s="1"/>
      <c r="SDP122" s="1"/>
      <c r="SDQ122" s="1"/>
      <c r="SDR122" s="1"/>
      <c r="SDS122" s="1"/>
      <c r="SDT122" s="1"/>
      <c r="SDU122" s="1"/>
      <c r="SDV122" s="1"/>
      <c r="SDW122" s="1"/>
      <c r="SDX122" s="1"/>
      <c r="SDY122" s="1"/>
      <c r="SDZ122" s="1"/>
      <c r="SEA122" s="1"/>
      <c r="SEB122" s="1"/>
      <c r="SEC122" s="1"/>
      <c r="SED122" s="1"/>
      <c r="SEE122" s="1"/>
      <c r="SEF122" s="1"/>
      <c r="SEG122" s="1"/>
      <c r="SEH122" s="1"/>
      <c r="SEI122" s="1"/>
      <c r="SEJ122" s="1"/>
      <c r="SEK122" s="1"/>
      <c r="SEL122" s="1"/>
      <c r="SEM122" s="1"/>
      <c r="SEN122" s="1"/>
      <c r="SEO122" s="1"/>
      <c r="SEP122" s="1"/>
      <c r="SEQ122" s="1"/>
      <c r="SER122" s="1"/>
      <c r="SES122" s="1"/>
      <c r="SET122" s="1"/>
      <c r="SEU122" s="1"/>
      <c r="SEV122" s="1"/>
      <c r="SEW122" s="1"/>
      <c r="SEX122" s="1"/>
      <c r="SEY122" s="1"/>
      <c r="SEZ122" s="1"/>
      <c r="SFA122" s="1"/>
      <c r="SFB122" s="1"/>
      <c r="SFC122" s="1"/>
      <c r="SFD122" s="1"/>
      <c r="SFE122" s="1"/>
      <c r="SFF122" s="1"/>
      <c r="SFG122" s="1"/>
      <c r="SFH122" s="1"/>
      <c r="SFI122" s="1"/>
      <c r="SFJ122" s="1"/>
      <c r="SFK122" s="1"/>
      <c r="SFL122" s="1"/>
      <c r="SFM122" s="1"/>
      <c r="SFN122" s="1"/>
      <c r="SFO122" s="1"/>
      <c r="SFP122" s="1"/>
      <c r="SFQ122" s="1"/>
      <c r="SFR122" s="1"/>
      <c r="SFS122" s="1"/>
      <c r="SFT122" s="1"/>
      <c r="SFU122" s="1"/>
      <c r="SFV122" s="1"/>
      <c r="SFW122" s="1"/>
      <c r="SFX122" s="1"/>
      <c r="SFY122" s="1"/>
      <c r="SFZ122" s="1"/>
      <c r="SGA122" s="1"/>
      <c r="SGB122" s="1"/>
      <c r="SGC122" s="1"/>
      <c r="SGD122" s="1"/>
      <c r="SGE122" s="1"/>
      <c r="SGF122" s="1"/>
      <c r="SGG122" s="1"/>
      <c r="SGH122" s="1"/>
      <c r="SGI122" s="1"/>
      <c r="SGJ122" s="1"/>
      <c r="SGK122" s="1"/>
      <c r="SGL122" s="1"/>
      <c r="SGM122" s="1"/>
      <c r="SGN122" s="1"/>
      <c r="SGO122" s="1"/>
      <c r="SGP122" s="1"/>
      <c r="SGQ122" s="1"/>
      <c r="SGR122" s="1"/>
      <c r="SGS122" s="1"/>
      <c r="SGT122" s="1"/>
      <c r="SGU122" s="1"/>
      <c r="SGV122" s="1"/>
      <c r="SGW122" s="1"/>
      <c r="SGX122" s="1"/>
      <c r="SGY122" s="1"/>
      <c r="SGZ122" s="1"/>
      <c r="SHA122" s="1"/>
      <c r="SHB122" s="1"/>
      <c r="SHC122" s="1"/>
      <c r="SHD122" s="1"/>
      <c r="SHE122" s="1"/>
      <c r="SHF122" s="1"/>
      <c r="SHG122" s="1"/>
      <c r="SHH122" s="1"/>
      <c r="SHI122" s="1"/>
      <c r="SHJ122" s="1"/>
      <c r="SHK122" s="1"/>
      <c r="SHL122" s="1"/>
      <c r="SHM122" s="1"/>
      <c r="SHN122" s="1"/>
      <c r="SHO122" s="1"/>
      <c r="SHP122" s="1"/>
      <c r="SHQ122" s="1"/>
      <c r="SHR122" s="1"/>
      <c r="SHS122" s="1"/>
      <c r="SHT122" s="1"/>
      <c r="SHU122" s="1"/>
      <c r="SHV122" s="1"/>
      <c r="SHW122" s="1"/>
      <c r="SHX122" s="1"/>
      <c r="SHY122" s="1"/>
      <c r="SHZ122" s="1"/>
      <c r="SIA122" s="1"/>
      <c r="SIB122" s="1"/>
      <c r="SIC122" s="1"/>
      <c r="SID122" s="1"/>
      <c r="SIE122" s="1"/>
      <c r="SIF122" s="1"/>
      <c r="SIG122" s="1"/>
      <c r="SIH122" s="1"/>
      <c r="SII122" s="1"/>
      <c r="SIJ122" s="1"/>
      <c r="SIK122" s="1"/>
      <c r="SIL122" s="1"/>
      <c r="SIM122" s="1"/>
      <c r="SIN122" s="1"/>
      <c r="SIO122" s="1"/>
      <c r="SIP122" s="1"/>
      <c r="SIQ122" s="1"/>
      <c r="SIR122" s="1"/>
      <c r="SIS122" s="1"/>
      <c r="SIT122" s="1"/>
      <c r="SIU122" s="1"/>
      <c r="SIV122" s="1"/>
      <c r="SIW122" s="1"/>
      <c r="SIX122" s="1"/>
      <c r="SIY122" s="1"/>
      <c r="SIZ122" s="1"/>
      <c r="SJA122" s="1"/>
      <c r="SJB122" s="1"/>
      <c r="SJC122" s="1"/>
      <c r="SJD122" s="1"/>
      <c r="SJE122" s="1"/>
      <c r="SJF122" s="1"/>
      <c r="SJG122" s="1"/>
      <c r="SJH122" s="1"/>
      <c r="SJI122" s="1"/>
      <c r="SJJ122" s="1"/>
      <c r="SJK122" s="1"/>
      <c r="SJL122" s="1"/>
      <c r="SJM122" s="1"/>
      <c r="SJN122" s="1"/>
      <c r="SJO122" s="1"/>
      <c r="SJP122" s="1"/>
      <c r="SJQ122" s="1"/>
      <c r="SJR122" s="1"/>
      <c r="SJS122" s="1"/>
      <c r="SJT122" s="1"/>
      <c r="SJU122" s="1"/>
      <c r="SJV122" s="1"/>
      <c r="SJW122" s="1"/>
      <c r="SJX122" s="1"/>
      <c r="SJY122" s="1"/>
      <c r="SJZ122" s="1"/>
      <c r="SKA122" s="1"/>
      <c r="SKB122" s="1"/>
      <c r="SKC122" s="1"/>
      <c r="SKD122" s="1"/>
      <c r="SKE122" s="1"/>
      <c r="SKF122" s="1"/>
      <c r="SKG122" s="1"/>
      <c r="SKH122" s="1"/>
      <c r="SKI122" s="1"/>
      <c r="SKJ122" s="1"/>
      <c r="SKK122" s="1"/>
      <c r="SKL122" s="1"/>
      <c r="SKM122" s="1"/>
      <c r="SKN122" s="1"/>
      <c r="SKO122" s="1"/>
      <c r="SKP122" s="1"/>
      <c r="SKQ122" s="1"/>
      <c r="SKR122" s="1"/>
      <c r="SKS122" s="1"/>
      <c r="SKT122" s="1"/>
      <c r="SKU122" s="1"/>
      <c r="SKV122" s="1"/>
      <c r="SKW122" s="1"/>
      <c r="SKX122" s="1"/>
      <c r="SKY122" s="1"/>
      <c r="SKZ122" s="1"/>
      <c r="SLA122" s="1"/>
      <c r="SLB122" s="1"/>
      <c r="SLC122" s="1"/>
      <c r="SLD122" s="1"/>
      <c r="SLE122" s="1"/>
      <c r="SLF122" s="1"/>
      <c r="SLG122" s="1"/>
      <c r="SLH122" s="1"/>
      <c r="SLI122" s="1"/>
      <c r="SLJ122" s="1"/>
      <c r="SLK122" s="1"/>
      <c r="SLL122" s="1"/>
      <c r="SLM122" s="1"/>
      <c r="SLN122" s="1"/>
      <c r="SLO122" s="1"/>
      <c r="SLP122" s="1"/>
      <c r="SLQ122" s="1"/>
      <c r="SLR122" s="1"/>
      <c r="SLS122" s="1"/>
      <c r="SLT122" s="1"/>
      <c r="SLU122" s="1"/>
      <c r="SLV122" s="1"/>
      <c r="SLW122" s="1"/>
      <c r="SLX122" s="1"/>
      <c r="SLY122" s="1"/>
      <c r="SLZ122" s="1"/>
      <c r="SMA122" s="1"/>
      <c r="SMB122" s="1"/>
      <c r="SMC122" s="1"/>
      <c r="SMD122" s="1"/>
      <c r="SME122" s="1"/>
      <c r="SMF122" s="1"/>
      <c r="SMG122" s="1"/>
      <c r="SMH122" s="1"/>
      <c r="SMI122" s="1"/>
      <c r="SMJ122" s="1"/>
      <c r="SMK122" s="1"/>
      <c r="SML122" s="1"/>
      <c r="SMM122" s="1"/>
      <c r="SMN122" s="1"/>
      <c r="SMO122" s="1"/>
      <c r="SMP122" s="1"/>
      <c r="SMQ122" s="1"/>
      <c r="SMR122" s="1"/>
      <c r="SMS122" s="1"/>
      <c r="SMT122" s="1"/>
      <c r="SMU122" s="1"/>
      <c r="SMV122" s="1"/>
      <c r="SMW122" s="1"/>
      <c r="SMX122" s="1"/>
      <c r="SMY122" s="1"/>
      <c r="SMZ122" s="1"/>
      <c r="SNA122" s="1"/>
      <c r="SNB122" s="1"/>
      <c r="SNC122" s="1"/>
      <c r="SND122" s="1"/>
      <c r="SNE122" s="1"/>
      <c r="SNF122" s="1"/>
      <c r="SNG122" s="1"/>
      <c r="SNH122" s="1"/>
      <c r="SNI122" s="1"/>
      <c r="SNJ122" s="1"/>
      <c r="SNK122" s="1"/>
      <c r="SNL122" s="1"/>
      <c r="SNM122" s="1"/>
      <c r="SNN122" s="1"/>
      <c r="SNO122" s="1"/>
      <c r="SNP122" s="1"/>
      <c r="SNQ122" s="1"/>
      <c r="SNR122" s="1"/>
      <c r="SNS122" s="1"/>
      <c r="SNT122" s="1"/>
      <c r="SNU122" s="1"/>
      <c r="SNV122" s="1"/>
      <c r="SNW122" s="1"/>
      <c r="SNX122" s="1"/>
      <c r="SNY122" s="1"/>
      <c r="SNZ122" s="1"/>
      <c r="SOA122" s="1"/>
      <c r="SOB122" s="1"/>
      <c r="SOC122" s="1"/>
      <c r="SOD122" s="1"/>
      <c r="SOE122" s="1"/>
      <c r="SOF122" s="1"/>
      <c r="SOG122" s="1"/>
      <c r="SOH122" s="1"/>
      <c r="SOI122" s="1"/>
      <c r="SOJ122" s="1"/>
      <c r="SOK122" s="1"/>
      <c r="SOL122" s="1"/>
      <c r="SOM122" s="1"/>
      <c r="SON122" s="1"/>
      <c r="SOO122" s="1"/>
      <c r="SOP122" s="1"/>
      <c r="SOQ122" s="1"/>
      <c r="SOR122" s="1"/>
      <c r="SOS122" s="1"/>
      <c r="SOT122" s="1"/>
      <c r="SOU122" s="1"/>
      <c r="SOV122" s="1"/>
      <c r="SOW122" s="1"/>
      <c r="SOX122" s="1"/>
      <c r="SOY122" s="1"/>
      <c r="SOZ122" s="1"/>
      <c r="SPA122" s="1"/>
      <c r="SPB122" s="1"/>
      <c r="SPC122" s="1"/>
      <c r="SPD122" s="1"/>
      <c r="SPE122" s="1"/>
      <c r="SPF122" s="1"/>
      <c r="SPG122" s="1"/>
      <c r="SPH122" s="1"/>
      <c r="SPI122" s="1"/>
      <c r="SPJ122" s="1"/>
      <c r="SPK122" s="1"/>
      <c r="SPL122" s="1"/>
      <c r="SPM122" s="1"/>
      <c r="SPN122" s="1"/>
      <c r="SPO122" s="1"/>
      <c r="SPP122" s="1"/>
      <c r="SPQ122" s="1"/>
      <c r="SPR122" s="1"/>
      <c r="SPS122" s="1"/>
      <c r="SPT122" s="1"/>
      <c r="SPU122" s="1"/>
      <c r="SPV122" s="1"/>
      <c r="SPW122" s="1"/>
      <c r="SPX122" s="1"/>
      <c r="SPY122" s="1"/>
      <c r="SPZ122" s="1"/>
      <c r="SQA122" s="1"/>
      <c r="SQB122" s="1"/>
      <c r="SQC122" s="1"/>
      <c r="SQD122" s="1"/>
      <c r="SQE122" s="1"/>
      <c r="SQF122" s="1"/>
      <c r="SQG122" s="1"/>
      <c r="SQH122" s="1"/>
      <c r="SQI122" s="1"/>
      <c r="SQJ122" s="1"/>
      <c r="SQK122" s="1"/>
      <c r="SQL122" s="1"/>
      <c r="SQM122" s="1"/>
      <c r="SQN122" s="1"/>
      <c r="SQO122" s="1"/>
      <c r="SQP122" s="1"/>
      <c r="SQQ122" s="1"/>
      <c r="SQR122" s="1"/>
      <c r="SQS122" s="1"/>
      <c r="SQT122" s="1"/>
      <c r="SQU122" s="1"/>
      <c r="SQV122" s="1"/>
      <c r="SQW122" s="1"/>
      <c r="SQX122" s="1"/>
      <c r="SQY122" s="1"/>
      <c r="SQZ122" s="1"/>
      <c r="SRA122" s="1"/>
      <c r="SRB122" s="1"/>
      <c r="SRC122" s="1"/>
      <c r="SRD122" s="1"/>
      <c r="SRE122" s="1"/>
      <c r="SRF122" s="1"/>
      <c r="SRG122" s="1"/>
      <c r="SRH122" s="1"/>
      <c r="SRI122" s="1"/>
      <c r="SRJ122" s="1"/>
      <c r="SRK122" s="1"/>
      <c r="SRL122" s="1"/>
      <c r="SRM122" s="1"/>
      <c r="SRN122" s="1"/>
      <c r="SRO122" s="1"/>
      <c r="SRP122" s="1"/>
      <c r="SRQ122" s="1"/>
      <c r="SRR122" s="1"/>
      <c r="SRS122" s="1"/>
      <c r="SRT122" s="1"/>
      <c r="SRU122" s="1"/>
      <c r="SRV122" s="1"/>
      <c r="SRW122" s="1"/>
      <c r="SRX122" s="1"/>
      <c r="SRY122" s="1"/>
      <c r="SRZ122" s="1"/>
      <c r="SSA122" s="1"/>
      <c r="SSB122" s="1"/>
      <c r="SSC122" s="1"/>
      <c r="SSD122" s="1"/>
      <c r="SSE122" s="1"/>
      <c r="SSF122" s="1"/>
      <c r="SSG122" s="1"/>
      <c r="SSH122" s="1"/>
      <c r="SSI122" s="1"/>
      <c r="SSJ122" s="1"/>
      <c r="SSK122" s="1"/>
      <c r="SSL122" s="1"/>
      <c r="SSM122" s="1"/>
      <c r="SSN122" s="1"/>
      <c r="SSO122" s="1"/>
      <c r="SSP122" s="1"/>
      <c r="SSQ122" s="1"/>
      <c r="SSR122" s="1"/>
      <c r="SSS122" s="1"/>
      <c r="SST122" s="1"/>
      <c r="SSU122" s="1"/>
      <c r="SSV122" s="1"/>
      <c r="SSW122" s="1"/>
      <c r="SSX122" s="1"/>
      <c r="SSY122" s="1"/>
      <c r="SSZ122" s="1"/>
      <c r="STA122" s="1"/>
      <c r="STB122" s="1"/>
      <c r="STC122" s="1"/>
      <c r="STD122" s="1"/>
      <c r="STE122" s="1"/>
      <c r="STF122" s="1"/>
      <c r="STG122" s="1"/>
      <c r="STH122" s="1"/>
      <c r="STI122" s="1"/>
      <c r="STJ122" s="1"/>
      <c r="STK122" s="1"/>
      <c r="STL122" s="1"/>
      <c r="STM122" s="1"/>
      <c r="STN122" s="1"/>
      <c r="STO122" s="1"/>
      <c r="STP122" s="1"/>
      <c r="STQ122" s="1"/>
      <c r="STR122" s="1"/>
      <c r="STS122" s="1"/>
      <c r="STT122" s="1"/>
      <c r="STU122" s="1"/>
      <c r="STV122" s="1"/>
      <c r="STW122" s="1"/>
      <c r="STX122" s="1"/>
      <c r="STY122" s="1"/>
      <c r="STZ122" s="1"/>
      <c r="SUA122" s="1"/>
      <c r="SUB122" s="1"/>
      <c r="SUC122" s="1"/>
      <c r="SUD122" s="1"/>
      <c r="SUE122" s="1"/>
      <c r="SUF122" s="1"/>
      <c r="SUG122" s="1"/>
      <c r="SUH122" s="1"/>
      <c r="SUI122" s="1"/>
      <c r="SUJ122" s="1"/>
      <c r="SUK122" s="1"/>
      <c r="SUL122" s="1"/>
      <c r="SUM122" s="1"/>
      <c r="SUN122" s="1"/>
      <c r="SUO122" s="1"/>
      <c r="SUP122" s="1"/>
      <c r="SUQ122" s="1"/>
      <c r="SUR122" s="1"/>
      <c r="SUS122" s="1"/>
      <c r="SUT122" s="1"/>
      <c r="SUU122" s="1"/>
      <c r="SUV122" s="1"/>
      <c r="SUW122" s="1"/>
      <c r="SUX122" s="1"/>
      <c r="SUY122" s="1"/>
      <c r="SUZ122" s="1"/>
      <c r="SVA122" s="1"/>
      <c r="SVB122" s="1"/>
      <c r="SVC122" s="1"/>
      <c r="SVD122" s="1"/>
      <c r="SVE122" s="1"/>
      <c r="SVF122" s="1"/>
      <c r="SVG122" s="1"/>
      <c r="SVH122" s="1"/>
      <c r="SVI122" s="1"/>
      <c r="SVJ122" s="1"/>
      <c r="SVK122" s="1"/>
      <c r="SVL122" s="1"/>
      <c r="SVM122" s="1"/>
      <c r="SVN122" s="1"/>
      <c r="SVO122" s="1"/>
      <c r="SVP122" s="1"/>
      <c r="SVQ122" s="1"/>
      <c r="SVR122" s="1"/>
      <c r="SVS122" s="1"/>
      <c r="SVT122" s="1"/>
      <c r="SVU122" s="1"/>
      <c r="SVV122" s="1"/>
      <c r="SVW122" s="1"/>
      <c r="SVX122" s="1"/>
      <c r="SVY122" s="1"/>
      <c r="SVZ122" s="1"/>
      <c r="SWA122" s="1"/>
      <c r="SWB122" s="1"/>
      <c r="SWC122" s="1"/>
      <c r="SWD122" s="1"/>
      <c r="SWE122" s="1"/>
      <c r="SWF122" s="1"/>
      <c r="SWG122" s="1"/>
      <c r="SWH122" s="1"/>
      <c r="SWI122" s="1"/>
      <c r="SWJ122" s="1"/>
      <c r="SWK122" s="1"/>
      <c r="SWL122" s="1"/>
      <c r="SWM122" s="1"/>
      <c r="SWN122" s="1"/>
      <c r="SWO122" s="1"/>
      <c r="SWP122" s="1"/>
      <c r="SWQ122" s="1"/>
      <c r="SWR122" s="1"/>
      <c r="SWS122" s="1"/>
      <c r="SWT122" s="1"/>
      <c r="SWU122" s="1"/>
      <c r="SWV122" s="1"/>
      <c r="SWW122" s="1"/>
      <c r="SWX122" s="1"/>
      <c r="SWY122" s="1"/>
      <c r="SWZ122" s="1"/>
      <c r="SXA122" s="1"/>
      <c r="SXB122" s="1"/>
      <c r="SXC122" s="1"/>
      <c r="SXD122" s="1"/>
      <c r="SXE122" s="1"/>
      <c r="SXF122" s="1"/>
      <c r="SXG122" s="1"/>
      <c r="SXH122" s="1"/>
      <c r="SXI122" s="1"/>
      <c r="SXJ122" s="1"/>
      <c r="SXK122" s="1"/>
      <c r="SXL122" s="1"/>
      <c r="SXM122" s="1"/>
      <c r="SXN122" s="1"/>
      <c r="SXO122" s="1"/>
      <c r="SXP122" s="1"/>
      <c r="SXQ122" s="1"/>
      <c r="SXR122" s="1"/>
      <c r="SXS122" s="1"/>
      <c r="SXT122" s="1"/>
      <c r="SXU122" s="1"/>
      <c r="SXV122" s="1"/>
      <c r="SXW122" s="1"/>
      <c r="SXX122" s="1"/>
      <c r="SXY122" s="1"/>
      <c r="SXZ122" s="1"/>
      <c r="SYA122" s="1"/>
      <c r="SYB122" s="1"/>
      <c r="SYC122" s="1"/>
      <c r="SYD122" s="1"/>
      <c r="SYE122" s="1"/>
      <c r="SYF122" s="1"/>
      <c r="SYG122" s="1"/>
      <c r="SYH122" s="1"/>
      <c r="SYI122" s="1"/>
      <c r="SYJ122" s="1"/>
      <c r="SYK122" s="1"/>
      <c r="SYL122" s="1"/>
      <c r="SYM122" s="1"/>
      <c r="SYN122" s="1"/>
      <c r="SYO122" s="1"/>
      <c r="SYP122" s="1"/>
      <c r="SYQ122" s="1"/>
      <c r="SYR122" s="1"/>
      <c r="SYS122" s="1"/>
      <c r="SYT122" s="1"/>
      <c r="SYU122" s="1"/>
      <c r="SYV122" s="1"/>
      <c r="SYW122" s="1"/>
      <c r="SYX122" s="1"/>
      <c r="SYY122" s="1"/>
      <c r="SYZ122" s="1"/>
      <c r="SZA122" s="1"/>
      <c r="SZB122" s="1"/>
      <c r="SZC122" s="1"/>
      <c r="SZD122" s="1"/>
      <c r="SZE122" s="1"/>
      <c r="SZF122" s="1"/>
      <c r="SZG122" s="1"/>
      <c r="SZH122" s="1"/>
      <c r="SZI122" s="1"/>
      <c r="SZJ122" s="1"/>
      <c r="SZK122" s="1"/>
      <c r="SZL122" s="1"/>
      <c r="SZM122" s="1"/>
      <c r="SZN122" s="1"/>
      <c r="SZO122" s="1"/>
      <c r="SZP122" s="1"/>
      <c r="SZQ122" s="1"/>
      <c r="SZR122" s="1"/>
      <c r="SZS122" s="1"/>
      <c r="SZT122" s="1"/>
      <c r="SZU122" s="1"/>
      <c r="SZV122" s="1"/>
      <c r="SZW122" s="1"/>
      <c r="SZX122" s="1"/>
      <c r="SZY122" s="1"/>
      <c r="SZZ122" s="1"/>
      <c r="TAA122" s="1"/>
      <c r="TAB122" s="1"/>
      <c r="TAC122" s="1"/>
      <c r="TAD122" s="1"/>
      <c r="TAE122" s="1"/>
      <c r="TAF122" s="1"/>
      <c r="TAG122" s="1"/>
      <c r="TAH122" s="1"/>
      <c r="TAI122" s="1"/>
      <c r="TAJ122" s="1"/>
      <c r="TAK122" s="1"/>
      <c r="TAL122" s="1"/>
      <c r="TAM122" s="1"/>
      <c r="TAN122" s="1"/>
      <c r="TAO122" s="1"/>
      <c r="TAP122" s="1"/>
      <c r="TAQ122" s="1"/>
      <c r="TAR122" s="1"/>
      <c r="TAS122" s="1"/>
      <c r="TAT122" s="1"/>
      <c r="TAU122" s="1"/>
      <c r="TAV122" s="1"/>
      <c r="TAW122" s="1"/>
      <c r="TAX122" s="1"/>
      <c r="TAY122" s="1"/>
      <c r="TAZ122" s="1"/>
      <c r="TBA122" s="1"/>
      <c r="TBB122" s="1"/>
      <c r="TBC122" s="1"/>
      <c r="TBD122" s="1"/>
      <c r="TBE122" s="1"/>
      <c r="TBF122" s="1"/>
      <c r="TBG122" s="1"/>
      <c r="TBH122" s="1"/>
      <c r="TBI122" s="1"/>
      <c r="TBJ122" s="1"/>
      <c r="TBK122" s="1"/>
      <c r="TBL122" s="1"/>
      <c r="TBM122" s="1"/>
      <c r="TBN122" s="1"/>
      <c r="TBO122" s="1"/>
      <c r="TBP122" s="1"/>
      <c r="TBQ122" s="1"/>
      <c r="TBR122" s="1"/>
      <c r="TBS122" s="1"/>
      <c r="TBT122" s="1"/>
      <c r="TBU122" s="1"/>
      <c r="TBV122" s="1"/>
      <c r="TBW122" s="1"/>
      <c r="TBX122" s="1"/>
      <c r="TBY122" s="1"/>
      <c r="TBZ122" s="1"/>
      <c r="TCA122" s="1"/>
      <c r="TCB122" s="1"/>
      <c r="TCC122" s="1"/>
      <c r="TCD122" s="1"/>
      <c r="TCE122" s="1"/>
      <c r="TCF122" s="1"/>
      <c r="TCG122" s="1"/>
      <c r="TCH122" s="1"/>
      <c r="TCI122" s="1"/>
      <c r="TCJ122" s="1"/>
      <c r="TCK122" s="1"/>
      <c r="TCL122" s="1"/>
      <c r="TCM122" s="1"/>
      <c r="TCN122" s="1"/>
      <c r="TCO122" s="1"/>
      <c r="TCP122" s="1"/>
      <c r="TCQ122" s="1"/>
      <c r="TCR122" s="1"/>
      <c r="TCS122" s="1"/>
      <c r="TCT122" s="1"/>
      <c r="TCU122" s="1"/>
      <c r="TCV122" s="1"/>
      <c r="TCW122" s="1"/>
      <c r="TCX122" s="1"/>
      <c r="TCY122" s="1"/>
      <c r="TCZ122" s="1"/>
      <c r="TDA122" s="1"/>
      <c r="TDB122" s="1"/>
      <c r="TDC122" s="1"/>
      <c r="TDD122" s="1"/>
      <c r="TDE122" s="1"/>
      <c r="TDF122" s="1"/>
      <c r="TDG122" s="1"/>
      <c r="TDH122" s="1"/>
      <c r="TDI122" s="1"/>
      <c r="TDJ122" s="1"/>
      <c r="TDK122" s="1"/>
      <c r="TDL122" s="1"/>
      <c r="TDM122" s="1"/>
      <c r="TDN122" s="1"/>
      <c r="TDO122" s="1"/>
      <c r="TDP122" s="1"/>
      <c r="TDQ122" s="1"/>
      <c r="TDR122" s="1"/>
      <c r="TDS122" s="1"/>
      <c r="TDT122" s="1"/>
      <c r="TDU122" s="1"/>
      <c r="TDV122" s="1"/>
      <c r="TDW122" s="1"/>
      <c r="TDX122" s="1"/>
      <c r="TDY122" s="1"/>
      <c r="TDZ122" s="1"/>
      <c r="TEA122" s="1"/>
      <c r="TEB122" s="1"/>
      <c r="TEC122" s="1"/>
      <c r="TED122" s="1"/>
      <c r="TEE122" s="1"/>
      <c r="TEF122" s="1"/>
      <c r="TEG122" s="1"/>
      <c r="TEH122" s="1"/>
      <c r="TEI122" s="1"/>
      <c r="TEJ122" s="1"/>
      <c r="TEK122" s="1"/>
      <c r="TEL122" s="1"/>
      <c r="TEM122" s="1"/>
      <c r="TEN122" s="1"/>
      <c r="TEO122" s="1"/>
      <c r="TEP122" s="1"/>
      <c r="TEQ122" s="1"/>
      <c r="TER122" s="1"/>
      <c r="TES122" s="1"/>
      <c r="TET122" s="1"/>
      <c r="TEU122" s="1"/>
      <c r="TEV122" s="1"/>
      <c r="TEW122" s="1"/>
      <c r="TEX122" s="1"/>
      <c r="TEY122" s="1"/>
      <c r="TEZ122" s="1"/>
      <c r="TFA122" s="1"/>
      <c r="TFB122" s="1"/>
      <c r="TFC122" s="1"/>
      <c r="TFD122" s="1"/>
      <c r="TFE122" s="1"/>
      <c r="TFF122" s="1"/>
      <c r="TFG122" s="1"/>
      <c r="TFH122" s="1"/>
      <c r="TFI122" s="1"/>
      <c r="TFJ122" s="1"/>
      <c r="TFK122" s="1"/>
      <c r="TFL122" s="1"/>
      <c r="TFM122" s="1"/>
      <c r="TFN122" s="1"/>
      <c r="TFO122" s="1"/>
      <c r="TFP122" s="1"/>
      <c r="TFQ122" s="1"/>
      <c r="TFR122" s="1"/>
      <c r="TFS122" s="1"/>
      <c r="TFT122" s="1"/>
      <c r="TFU122" s="1"/>
      <c r="TFV122" s="1"/>
      <c r="TFW122" s="1"/>
      <c r="TFX122" s="1"/>
      <c r="TFY122" s="1"/>
      <c r="TFZ122" s="1"/>
      <c r="TGA122" s="1"/>
      <c r="TGB122" s="1"/>
      <c r="TGC122" s="1"/>
      <c r="TGD122" s="1"/>
      <c r="TGE122" s="1"/>
      <c r="TGF122" s="1"/>
      <c r="TGG122" s="1"/>
      <c r="TGH122" s="1"/>
      <c r="TGI122" s="1"/>
      <c r="TGJ122" s="1"/>
      <c r="TGK122" s="1"/>
      <c r="TGL122" s="1"/>
      <c r="TGM122" s="1"/>
      <c r="TGN122" s="1"/>
      <c r="TGO122" s="1"/>
      <c r="TGP122" s="1"/>
      <c r="TGQ122" s="1"/>
      <c r="TGR122" s="1"/>
      <c r="TGS122" s="1"/>
      <c r="TGT122" s="1"/>
      <c r="TGU122" s="1"/>
      <c r="TGV122" s="1"/>
      <c r="TGW122" s="1"/>
      <c r="TGX122" s="1"/>
      <c r="TGY122" s="1"/>
      <c r="TGZ122" s="1"/>
      <c r="THA122" s="1"/>
      <c r="THB122" s="1"/>
      <c r="THC122" s="1"/>
      <c r="THD122" s="1"/>
      <c r="THE122" s="1"/>
      <c r="THF122" s="1"/>
      <c r="THG122" s="1"/>
      <c r="THH122" s="1"/>
      <c r="THI122" s="1"/>
      <c r="THJ122" s="1"/>
      <c r="THK122" s="1"/>
      <c r="THL122" s="1"/>
      <c r="THM122" s="1"/>
      <c r="THN122" s="1"/>
      <c r="THO122" s="1"/>
      <c r="THP122" s="1"/>
      <c r="THQ122" s="1"/>
      <c r="THR122" s="1"/>
      <c r="THS122" s="1"/>
      <c r="THT122" s="1"/>
      <c r="THU122" s="1"/>
      <c r="THV122" s="1"/>
      <c r="THW122" s="1"/>
      <c r="THX122" s="1"/>
      <c r="THY122" s="1"/>
      <c r="THZ122" s="1"/>
      <c r="TIA122" s="1"/>
      <c r="TIB122" s="1"/>
      <c r="TIC122" s="1"/>
      <c r="TID122" s="1"/>
      <c r="TIE122" s="1"/>
      <c r="TIF122" s="1"/>
      <c r="TIG122" s="1"/>
      <c r="TIH122" s="1"/>
      <c r="TII122" s="1"/>
      <c r="TIJ122" s="1"/>
      <c r="TIK122" s="1"/>
      <c r="TIL122" s="1"/>
      <c r="TIM122" s="1"/>
      <c r="TIN122" s="1"/>
      <c r="TIO122" s="1"/>
      <c r="TIP122" s="1"/>
      <c r="TIQ122" s="1"/>
      <c r="TIR122" s="1"/>
      <c r="TIS122" s="1"/>
      <c r="TIT122" s="1"/>
      <c r="TIU122" s="1"/>
      <c r="TIV122" s="1"/>
      <c r="TIW122" s="1"/>
      <c r="TIX122" s="1"/>
      <c r="TIY122" s="1"/>
      <c r="TIZ122" s="1"/>
      <c r="TJA122" s="1"/>
      <c r="TJB122" s="1"/>
      <c r="TJC122" s="1"/>
      <c r="TJD122" s="1"/>
      <c r="TJE122" s="1"/>
      <c r="TJF122" s="1"/>
      <c r="TJG122" s="1"/>
      <c r="TJH122" s="1"/>
      <c r="TJI122" s="1"/>
      <c r="TJJ122" s="1"/>
      <c r="TJK122" s="1"/>
      <c r="TJL122" s="1"/>
      <c r="TJM122" s="1"/>
      <c r="TJN122" s="1"/>
      <c r="TJO122" s="1"/>
      <c r="TJP122" s="1"/>
      <c r="TJQ122" s="1"/>
      <c r="TJR122" s="1"/>
      <c r="TJS122" s="1"/>
      <c r="TJT122" s="1"/>
      <c r="TJU122" s="1"/>
      <c r="TJV122" s="1"/>
      <c r="TJW122" s="1"/>
      <c r="TJX122" s="1"/>
      <c r="TJY122" s="1"/>
      <c r="TJZ122" s="1"/>
      <c r="TKA122" s="1"/>
      <c r="TKB122" s="1"/>
      <c r="TKC122" s="1"/>
      <c r="TKD122" s="1"/>
      <c r="TKE122" s="1"/>
      <c r="TKF122" s="1"/>
      <c r="TKG122" s="1"/>
      <c r="TKH122" s="1"/>
      <c r="TKI122" s="1"/>
      <c r="TKJ122" s="1"/>
      <c r="TKK122" s="1"/>
      <c r="TKL122" s="1"/>
      <c r="TKM122" s="1"/>
      <c r="TKN122" s="1"/>
      <c r="TKO122" s="1"/>
      <c r="TKP122" s="1"/>
      <c r="TKQ122" s="1"/>
      <c r="TKR122" s="1"/>
      <c r="TKS122" s="1"/>
      <c r="TKT122" s="1"/>
      <c r="TKU122" s="1"/>
      <c r="TKV122" s="1"/>
      <c r="TKW122" s="1"/>
      <c r="TKX122" s="1"/>
      <c r="TKY122" s="1"/>
      <c r="TKZ122" s="1"/>
      <c r="TLA122" s="1"/>
      <c r="TLB122" s="1"/>
      <c r="TLC122" s="1"/>
      <c r="TLD122" s="1"/>
      <c r="TLE122" s="1"/>
      <c r="TLF122" s="1"/>
      <c r="TLG122" s="1"/>
      <c r="TLH122" s="1"/>
      <c r="TLI122" s="1"/>
      <c r="TLJ122" s="1"/>
      <c r="TLK122" s="1"/>
      <c r="TLL122" s="1"/>
      <c r="TLM122" s="1"/>
      <c r="TLN122" s="1"/>
      <c r="TLO122" s="1"/>
      <c r="TLP122" s="1"/>
      <c r="TLQ122" s="1"/>
      <c r="TLR122" s="1"/>
      <c r="TLS122" s="1"/>
      <c r="TLT122" s="1"/>
      <c r="TLU122" s="1"/>
      <c r="TLV122" s="1"/>
      <c r="TLW122" s="1"/>
      <c r="TLX122" s="1"/>
      <c r="TLY122" s="1"/>
      <c r="TLZ122" s="1"/>
      <c r="TMA122" s="1"/>
      <c r="TMB122" s="1"/>
      <c r="TMC122" s="1"/>
      <c r="TMD122" s="1"/>
      <c r="TME122" s="1"/>
      <c r="TMF122" s="1"/>
      <c r="TMG122" s="1"/>
      <c r="TMH122" s="1"/>
      <c r="TMI122" s="1"/>
      <c r="TMJ122" s="1"/>
      <c r="TMK122" s="1"/>
      <c r="TML122" s="1"/>
      <c r="TMM122" s="1"/>
      <c r="TMN122" s="1"/>
      <c r="TMO122" s="1"/>
      <c r="TMP122" s="1"/>
      <c r="TMQ122" s="1"/>
      <c r="TMR122" s="1"/>
      <c r="TMS122" s="1"/>
      <c r="TMT122" s="1"/>
      <c r="TMU122" s="1"/>
      <c r="TMV122" s="1"/>
      <c r="TMW122" s="1"/>
      <c r="TMX122" s="1"/>
      <c r="TMY122" s="1"/>
      <c r="TMZ122" s="1"/>
      <c r="TNA122" s="1"/>
      <c r="TNB122" s="1"/>
      <c r="TNC122" s="1"/>
      <c r="TND122" s="1"/>
      <c r="TNE122" s="1"/>
      <c r="TNF122" s="1"/>
      <c r="TNG122" s="1"/>
      <c r="TNH122" s="1"/>
      <c r="TNI122" s="1"/>
      <c r="TNJ122" s="1"/>
      <c r="TNK122" s="1"/>
      <c r="TNL122" s="1"/>
      <c r="TNM122" s="1"/>
      <c r="TNN122" s="1"/>
      <c r="TNO122" s="1"/>
      <c r="TNP122" s="1"/>
      <c r="TNQ122" s="1"/>
      <c r="TNR122" s="1"/>
      <c r="TNS122" s="1"/>
      <c r="TNT122" s="1"/>
      <c r="TNU122" s="1"/>
      <c r="TNV122" s="1"/>
      <c r="TNW122" s="1"/>
      <c r="TNX122" s="1"/>
      <c r="TNY122" s="1"/>
      <c r="TNZ122" s="1"/>
      <c r="TOA122" s="1"/>
      <c r="TOB122" s="1"/>
      <c r="TOC122" s="1"/>
      <c r="TOD122" s="1"/>
      <c r="TOE122" s="1"/>
      <c r="TOF122" s="1"/>
      <c r="TOG122" s="1"/>
      <c r="TOH122" s="1"/>
      <c r="TOI122" s="1"/>
      <c r="TOJ122" s="1"/>
      <c r="TOK122" s="1"/>
      <c r="TOL122" s="1"/>
      <c r="TOM122" s="1"/>
      <c r="TON122" s="1"/>
      <c r="TOO122" s="1"/>
      <c r="TOP122" s="1"/>
      <c r="TOQ122" s="1"/>
      <c r="TOR122" s="1"/>
      <c r="TOS122" s="1"/>
      <c r="TOT122" s="1"/>
      <c r="TOU122" s="1"/>
      <c r="TOV122" s="1"/>
      <c r="TOW122" s="1"/>
      <c r="TOX122" s="1"/>
      <c r="TOY122" s="1"/>
      <c r="TOZ122" s="1"/>
      <c r="TPA122" s="1"/>
      <c r="TPB122" s="1"/>
      <c r="TPC122" s="1"/>
      <c r="TPD122" s="1"/>
      <c r="TPE122" s="1"/>
      <c r="TPF122" s="1"/>
      <c r="TPG122" s="1"/>
      <c r="TPH122" s="1"/>
      <c r="TPI122" s="1"/>
      <c r="TPJ122" s="1"/>
      <c r="TPK122" s="1"/>
      <c r="TPL122" s="1"/>
      <c r="TPM122" s="1"/>
      <c r="TPN122" s="1"/>
      <c r="TPO122" s="1"/>
      <c r="TPP122" s="1"/>
      <c r="TPQ122" s="1"/>
      <c r="TPR122" s="1"/>
      <c r="TPS122" s="1"/>
      <c r="TPT122" s="1"/>
      <c r="TPU122" s="1"/>
      <c r="TPV122" s="1"/>
      <c r="TPW122" s="1"/>
      <c r="TPX122" s="1"/>
      <c r="TPY122" s="1"/>
      <c r="TPZ122" s="1"/>
      <c r="TQA122" s="1"/>
      <c r="TQB122" s="1"/>
      <c r="TQC122" s="1"/>
      <c r="TQD122" s="1"/>
      <c r="TQE122" s="1"/>
      <c r="TQF122" s="1"/>
      <c r="TQG122" s="1"/>
      <c r="TQH122" s="1"/>
      <c r="TQI122" s="1"/>
      <c r="TQJ122" s="1"/>
      <c r="TQK122" s="1"/>
      <c r="TQL122" s="1"/>
      <c r="TQM122" s="1"/>
      <c r="TQN122" s="1"/>
      <c r="TQO122" s="1"/>
      <c r="TQP122" s="1"/>
      <c r="TQQ122" s="1"/>
      <c r="TQR122" s="1"/>
      <c r="TQS122" s="1"/>
      <c r="TQT122" s="1"/>
      <c r="TQU122" s="1"/>
      <c r="TQV122" s="1"/>
      <c r="TQW122" s="1"/>
      <c r="TQX122" s="1"/>
      <c r="TQY122" s="1"/>
      <c r="TQZ122" s="1"/>
      <c r="TRA122" s="1"/>
      <c r="TRB122" s="1"/>
      <c r="TRC122" s="1"/>
      <c r="TRD122" s="1"/>
      <c r="TRE122" s="1"/>
      <c r="TRF122" s="1"/>
      <c r="TRG122" s="1"/>
      <c r="TRH122" s="1"/>
      <c r="TRI122" s="1"/>
      <c r="TRJ122" s="1"/>
      <c r="TRK122" s="1"/>
      <c r="TRL122" s="1"/>
      <c r="TRM122" s="1"/>
      <c r="TRN122" s="1"/>
      <c r="TRO122" s="1"/>
      <c r="TRP122" s="1"/>
      <c r="TRQ122" s="1"/>
      <c r="TRR122" s="1"/>
      <c r="TRS122" s="1"/>
      <c r="TRT122" s="1"/>
      <c r="TRU122" s="1"/>
      <c r="TRV122" s="1"/>
      <c r="TRW122" s="1"/>
      <c r="TRX122" s="1"/>
      <c r="TRY122" s="1"/>
      <c r="TRZ122" s="1"/>
      <c r="TSA122" s="1"/>
      <c r="TSB122" s="1"/>
      <c r="TSC122" s="1"/>
      <c r="TSD122" s="1"/>
      <c r="TSE122" s="1"/>
      <c r="TSF122" s="1"/>
      <c r="TSG122" s="1"/>
      <c r="TSH122" s="1"/>
      <c r="TSI122" s="1"/>
      <c r="TSJ122" s="1"/>
      <c r="TSK122" s="1"/>
      <c r="TSL122" s="1"/>
      <c r="TSM122" s="1"/>
      <c r="TSN122" s="1"/>
      <c r="TSO122" s="1"/>
      <c r="TSP122" s="1"/>
      <c r="TSQ122" s="1"/>
      <c r="TSR122" s="1"/>
      <c r="TSS122" s="1"/>
      <c r="TST122" s="1"/>
      <c r="TSU122" s="1"/>
      <c r="TSV122" s="1"/>
      <c r="TSW122" s="1"/>
      <c r="TSX122" s="1"/>
      <c r="TSY122" s="1"/>
      <c r="TSZ122" s="1"/>
      <c r="TTA122" s="1"/>
      <c r="TTB122" s="1"/>
      <c r="TTC122" s="1"/>
      <c r="TTD122" s="1"/>
      <c r="TTE122" s="1"/>
      <c r="TTF122" s="1"/>
      <c r="TTG122" s="1"/>
      <c r="TTH122" s="1"/>
      <c r="TTI122" s="1"/>
      <c r="TTJ122" s="1"/>
      <c r="TTK122" s="1"/>
      <c r="TTL122" s="1"/>
      <c r="TTM122" s="1"/>
      <c r="TTN122" s="1"/>
      <c r="TTO122" s="1"/>
      <c r="TTP122" s="1"/>
      <c r="TTQ122" s="1"/>
      <c r="TTR122" s="1"/>
      <c r="TTS122" s="1"/>
      <c r="TTT122" s="1"/>
      <c r="TTU122" s="1"/>
      <c r="TTV122" s="1"/>
      <c r="TTW122" s="1"/>
      <c r="TTX122" s="1"/>
      <c r="TTY122" s="1"/>
      <c r="TTZ122" s="1"/>
      <c r="TUA122" s="1"/>
      <c r="TUB122" s="1"/>
      <c r="TUC122" s="1"/>
      <c r="TUD122" s="1"/>
      <c r="TUE122" s="1"/>
      <c r="TUF122" s="1"/>
      <c r="TUG122" s="1"/>
      <c r="TUH122" s="1"/>
      <c r="TUI122" s="1"/>
      <c r="TUJ122" s="1"/>
      <c r="TUK122" s="1"/>
      <c r="TUL122" s="1"/>
      <c r="TUM122" s="1"/>
      <c r="TUN122" s="1"/>
      <c r="TUO122" s="1"/>
      <c r="TUP122" s="1"/>
      <c r="TUQ122" s="1"/>
      <c r="TUR122" s="1"/>
      <c r="TUS122" s="1"/>
      <c r="TUT122" s="1"/>
      <c r="TUU122" s="1"/>
      <c r="TUV122" s="1"/>
      <c r="TUW122" s="1"/>
      <c r="TUX122" s="1"/>
      <c r="TUY122" s="1"/>
      <c r="TUZ122" s="1"/>
      <c r="TVA122" s="1"/>
      <c r="TVB122" s="1"/>
      <c r="TVC122" s="1"/>
      <c r="TVD122" s="1"/>
      <c r="TVE122" s="1"/>
      <c r="TVF122" s="1"/>
      <c r="TVG122" s="1"/>
      <c r="TVH122" s="1"/>
      <c r="TVI122" s="1"/>
      <c r="TVJ122" s="1"/>
      <c r="TVK122" s="1"/>
      <c r="TVL122" s="1"/>
      <c r="TVM122" s="1"/>
      <c r="TVN122" s="1"/>
      <c r="TVO122" s="1"/>
      <c r="TVP122" s="1"/>
      <c r="TVQ122" s="1"/>
      <c r="TVR122" s="1"/>
      <c r="TVS122" s="1"/>
      <c r="TVT122" s="1"/>
      <c r="TVU122" s="1"/>
      <c r="TVV122" s="1"/>
      <c r="TVW122" s="1"/>
      <c r="TVX122" s="1"/>
      <c r="TVY122" s="1"/>
      <c r="TVZ122" s="1"/>
      <c r="TWA122" s="1"/>
      <c r="TWB122" s="1"/>
      <c r="TWC122" s="1"/>
      <c r="TWD122" s="1"/>
      <c r="TWE122" s="1"/>
      <c r="TWF122" s="1"/>
      <c r="TWG122" s="1"/>
      <c r="TWH122" s="1"/>
      <c r="TWI122" s="1"/>
      <c r="TWJ122" s="1"/>
      <c r="TWK122" s="1"/>
      <c r="TWL122" s="1"/>
      <c r="TWM122" s="1"/>
      <c r="TWN122" s="1"/>
      <c r="TWO122" s="1"/>
      <c r="TWP122" s="1"/>
      <c r="TWQ122" s="1"/>
      <c r="TWR122" s="1"/>
      <c r="TWS122" s="1"/>
      <c r="TWT122" s="1"/>
      <c r="TWU122" s="1"/>
      <c r="TWV122" s="1"/>
      <c r="TWW122" s="1"/>
      <c r="TWX122" s="1"/>
      <c r="TWY122" s="1"/>
      <c r="TWZ122" s="1"/>
      <c r="TXA122" s="1"/>
      <c r="TXB122" s="1"/>
      <c r="TXC122" s="1"/>
      <c r="TXD122" s="1"/>
      <c r="TXE122" s="1"/>
      <c r="TXF122" s="1"/>
      <c r="TXG122" s="1"/>
      <c r="TXH122" s="1"/>
      <c r="TXI122" s="1"/>
      <c r="TXJ122" s="1"/>
      <c r="TXK122" s="1"/>
      <c r="TXL122" s="1"/>
      <c r="TXM122" s="1"/>
      <c r="TXN122" s="1"/>
      <c r="TXO122" s="1"/>
      <c r="TXP122" s="1"/>
      <c r="TXQ122" s="1"/>
      <c r="TXR122" s="1"/>
      <c r="TXS122" s="1"/>
      <c r="TXT122" s="1"/>
      <c r="TXU122" s="1"/>
      <c r="TXV122" s="1"/>
      <c r="TXW122" s="1"/>
      <c r="TXX122" s="1"/>
      <c r="TXY122" s="1"/>
      <c r="TXZ122" s="1"/>
      <c r="TYA122" s="1"/>
      <c r="TYB122" s="1"/>
      <c r="TYC122" s="1"/>
      <c r="TYD122" s="1"/>
      <c r="TYE122" s="1"/>
      <c r="TYF122" s="1"/>
      <c r="TYG122" s="1"/>
      <c r="TYH122" s="1"/>
      <c r="TYI122" s="1"/>
      <c r="TYJ122" s="1"/>
      <c r="TYK122" s="1"/>
      <c r="TYL122" s="1"/>
      <c r="TYM122" s="1"/>
      <c r="TYN122" s="1"/>
      <c r="TYO122" s="1"/>
      <c r="TYP122" s="1"/>
      <c r="TYQ122" s="1"/>
      <c r="TYR122" s="1"/>
      <c r="TYS122" s="1"/>
      <c r="TYT122" s="1"/>
      <c r="TYU122" s="1"/>
      <c r="TYV122" s="1"/>
      <c r="TYW122" s="1"/>
      <c r="TYX122" s="1"/>
      <c r="TYY122" s="1"/>
      <c r="TYZ122" s="1"/>
      <c r="TZA122" s="1"/>
      <c r="TZB122" s="1"/>
      <c r="TZC122" s="1"/>
      <c r="TZD122" s="1"/>
      <c r="TZE122" s="1"/>
      <c r="TZF122" s="1"/>
      <c r="TZG122" s="1"/>
      <c r="TZH122" s="1"/>
      <c r="TZI122" s="1"/>
      <c r="TZJ122" s="1"/>
      <c r="TZK122" s="1"/>
      <c r="TZL122" s="1"/>
      <c r="TZM122" s="1"/>
      <c r="TZN122" s="1"/>
      <c r="TZO122" s="1"/>
      <c r="TZP122" s="1"/>
      <c r="TZQ122" s="1"/>
      <c r="TZR122" s="1"/>
      <c r="TZS122" s="1"/>
      <c r="TZT122" s="1"/>
      <c r="TZU122" s="1"/>
      <c r="TZV122" s="1"/>
      <c r="TZW122" s="1"/>
      <c r="TZX122" s="1"/>
      <c r="TZY122" s="1"/>
      <c r="TZZ122" s="1"/>
      <c r="UAA122" s="1"/>
      <c r="UAB122" s="1"/>
      <c r="UAC122" s="1"/>
      <c r="UAD122" s="1"/>
      <c r="UAE122" s="1"/>
      <c r="UAF122" s="1"/>
      <c r="UAG122" s="1"/>
      <c r="UAH122" s="1"/>
      <c r="UAI122" s="1"/>
      <c r="UAJ122" s="1"/>
      <c r="UAK122" s="1"/>
      <c r="UAL122" s="1"/>
      <c r="UAM122" s="1"/>
      <c r="UAN122" s="1"/>
      <c r="UAO122" s="1"/>
      <c r="UAP122" s="1"/>
      <c r="UAQ122" s="1"/>
      <c r="UAR122" s="1"/>
      <c r="UAS122" s="1"/>
      <c r="UAT122" s="1"/>
      <c r="UAU122" s="1"/>
      <c r="UAV122" s="1"/>
      <c r="UAW122" s="1"/>
      <c r="UAX122" s="1"/>
      <c r="UAY122" s="1"/>
      <c r="UAZ122" s="1"/>
      <c r="UBA122" s="1"/>
      <c r="UBB122" s="1"/>
      <c r="UBC122" s="1"/>
      <c r="UBD122" s="1"/>
      <c r="UBE122" s="1"/>
      <c r="UBF122" s="1"/>
      <c r="UBG122" s="1"/>
      <c r="UBH122" s="1"/>
      <c r="UBI122" s="1"/>
      <c r="UBJ122" s="1"/>
      <c r="UBK122" s="1"/>
      <c r="UBL122" s="1"/>
      <c r="UBM122" s="1"/>
      <c r="UBN122" s="1"/>
      <c r="UBO122" s="1"/>
      <c r="UBP122" s="1"/>
      <c r="UBQ122" s="1"/>
      <c r="UBR122" s="1"/>
      <c r="UBS122" s="1"/>
      <c r="UBT122" s="1"/>
      <c r="UBU122" s="1"/>
      <c r="UBV122" s="1"/>
      <c r="UBW122" s="1"/>
      <c r="UBX122" s="1"/>
      <c r="UBY122" s="1"/>
      <c r="UBZ122" s="1"/>
      <c r="UCA122" s="1"/>
      <c r="UCB122" s="1"/>
      <c r="UCC122" s="1"/>
      <c r="UCD122" s="1"/>
      <c r="UCE122" s="1"/>
      <c r="UCF122" s="1"/>
      <c r="UCG122" s="1"/>
      <c r="UCH122" s="1"/>
      <c r="UCI122" s="1"/>
      <c r="UCJ122" s="1"/>
      <c r="UCK122" s="1"/>
      <c r="UCL122" s="1"/>
      <c r="UCM122" s="1"/>
      <c r="UCN122" s="1"/>
      <c r="UCO122" s="1"/>
      <c r="UCP122" s="1"/>
      <c r="UCQ122" s="1"/>
      <c r="UCR122" s="1"/>
      <c r="UCS122" s="1"/>
      <c r="UCT122" s="1"/>
      <c r="UCU122" s="1"/>
      <c r="UCV122" s="1"/>
      <c r="UCW122" s="1"/>
      <c r="UCX122" s="1"/>
      <c r="UCY122" s="1"/>
      <c r="UCZ122" s="1"/>
      <c r="UDA122" s="1"/>
      <c r="UDB122" s="1"/>
      <c r="UDC122" s="1"/>
      <c r="UDD122" s="1"/>
      <c r="UDE122" s="1"/>
      <c r="UDF122" s="1"/>
      <c r="UDG122" s="1"/>
      <c r="UDH122" s="1"/>
      <c r="UDI122" s="1"/>
      <c r="UDJ122" s="1"/>
      <c r="UDK122" s="1"/>
      <c r="UDL122" s="1"/>
      <c r="UDM122" s="1"/>
      <c r="UDN122" s="1"/>
      <c r="UDO122" s="1"/>
      <c r="UDP122" s="1"/>
      <c r="UDQ122" s="1"/>
      <c r="UDR122" s="1"/>
      <c r="UDS122" s="1"/>
      <c r="UDT122" s="1"/>
      <c r="UDU122" s="1"/>
      <c r="UDV122" s="1"/>
      <c r="UDW122" s="1"/>
      <c r="UDX122" s="1"/>
      <c r="UDY122" s="1"/>
      <c r="UDZ122" s="1"/>
      <c r="UEA122" s="1"/>
      <c r="UEB122" s="1"/>
      <c r="UEC122" s="1"/>
      <c r="UED122" s="1"/>
      <c r="UEE122" s="1"/>
      <c r="UEF122" s="1"/>
      <c r="UEG122" s="1"/>
      <c r="UEH122" s="1"/>
      <c r="UEI122" s="1"/>
      <c r="UEJ122" s="1"/>
      <c r="UEK122" s="1"/>
      <c r="UEL122" s="1"/>
      <c r="UEM122" s="1"/>
      <c r="UEN122" s="1"/>
      <c r="UEO122" s="1"/>
      <c r="UEP122" s="1"/>
      <c r="UEQ122" s="1"/>
      <c r="UER122" s="1"/>
      <c r="UES122" s="1"/>
      <c r="UET122" s="1"/>
      <c r="UEU122" s="1"/>
      <c r="UEV122" s="1"/>
      <c r="UEW122" s="1"/>
      <c r="UEX122" s="1"/>
      <c r="UEY122" s="1"/>
      <c r="UEZ122" s="1"/>
      <c r="UFA122" s="1"/>
      <c r="UFB122" s="1"/>
      <c r="UFC122" s="1"/>
      <c r="UFD122" s="1"/>
      <c r="UFE122" s="1"/>
      <c r="UFF122" s="1"/>
      <c r="UFG122" s="1"/>
      <c r="UFH122" s="1"/>
      <c r="UFI122" s="1"/>
      <c r="UFJ122" s="1"/>
      <c r="UFK122" s="1"/>
      <c r="UFL122" s="1"/>
      <c r="UFM122" s="1"/>
      <c r="UFN122" s="1"/>
      <c r="UFO122" s="1"/>
      <c r="UFP122" s="1"/>
      <c r="UFQ122" s="1"/>
      <c r="UFR122" s="1"/>
      <c r="UFS122" s="1"/>
      <c r="UFT122" s="1"/>
      <c r="UFU122" s="1"/>
      <c r="UFV122" s="1"/>
      <c r="UFW122" s="1"/>
      <c r="UFX122" s="1"/>
      <c r="UFY122" s="1"/>
      <c r="UFZ122" s="1"/>
      <c r="UGA122" s="1"/>
      <c r="UGB122" s="1"/>
      <c r="UGC122" s="1"/>
      <c r="UGD122" s="1"/>
      <c r="UGE122" s="1"/>
      <c r="UGF122" s="1"/>
      <c r="UGG122" s="1"/>
      <c r="UGH122" s="1"/>
      <c r="UGI122" s="1"/>
      <c r="UGJ122" s="1"/>
      <c r="UGK122" s="1"/>
      <c r="UGL122" s="1"/>
      <c r="UGM122" s="1"/>
      <c r="UGN122" s="1"/>
      <c r="UGO122" s="1"/>
      <c r="UGP122" s="1"/>
      <c r="UGQ122" s="1"/>
      <c r="UGR122" s="1"/>
      <c r="UGS122" s="1"/>
      <c r="UGT122" s="1"/>
      <c r="UGU122" s="1"/>
      <c r="UGV122" s="1"/>
      <c r="UGW122" s="1"/>
      <c r="UGX122" s="1"/>
      <c r="UGY122" s="1"/>
      <c r="UGZ122" s="1"/>
      <c r="UHA122" s="1"/>
      <c r="UHB122" s="1"/>
      <c r="UHC122" s="1"/>
      <c r="UHD122" s="1"/>
      <c r="UHE122" s="1"/>
      <c r="UHF122" s="1"/>
      <c r="UHG122" s="1"/>
      <c r="UHH122" s="1"/>
      <c r="UHI122" s="1"/>
      <c r="UHJ122" s="1"/>
      <c r="UHK122" s="1"/>
      <c r="UHL122" s="1"/>
      <c r="UHM122" s="1"/>
      <c r="UHN122" s="1"/>
      <c r="UHO122" s="1"/>
      <c r="UHP122" s="1"/>
      <c r="UHQ122" s="1"/>
      <c r="UHR122" s="1"/>
      <c r="UHS122" s="1"/>
      <c r="UHT122" s="1"/>
      <c r="UHU122" s="1"/>
      <c r="UHV122" s="1"/>
      <c r="UHW122" s="1"/>
      <c r="UHX122" s="1"/>
      <c r="UHY122" s="1"/>
      <c r="UHZ122" s="1"/>
      <c r="UIA122" s="1"/>
      <c r="UIB122" s="1"/>
      <c r="UIC122" s="1"/>
      <c r="UID122" s="1"/>
      <c r="UIE122" s="1"/>
      <c r="UIF122" s="1"/>
      <c r="UIG122" s="1"/>
      <c r="UIH122" s="1"/>
      <c r="UII122" s="1"/>
      <c r="UIJ122" s="1"/>
      <c r="UIK122" s="1"/>
      <c r="UIL122" s="1"/>
      <c r="UIM122" s="1"/>
      <c r="UIN122" s="1"/>
      <c r="UIO122" s="1"/>
      <c r="UIP122" s="1"/>
      <c r="UIQ122" s="1"/>
      <c r="UIR122" s="1"/>
      <c r="UIS122" s="1"/>
      <c r="UIT122" s="1"/>
      <c r="UIU122" s="1"/>
      <c r="UIV122" s="1"/>
      <c r="UIW122" s="1"/>
      <c r="UIX122" s="1"/>
      <c r="UIY122" s="1"/>
      <c r="UIZ122" s="1"/>
      <c r="UJA122" s="1"/>
      <c r="UJB122" s="1"/>
      <c r="UJC122" s="1"/>
      <c r="UJD122" s="1"/>
      <c r="UJE122" s="1"/>
      <c r="UJF122" s="1"/>
      <c r="UJG122" s="1"/>
      <c r="UJH122" s="1"/>
      <c r="UJI122" s="1"/>
      <c r="UJJ122" s="1"/>
      <c r="UJK122" s="1"/>
      <c r="UJL122" s="1"/>
      <c r="UJM122" s="1"/>
      <c r="UJN122" s="1"/>
      <c r="UJO122" s="1"/>
      <c r="UJP122" s="1"/>
      <c r="UJQ122" s="1"/>
      <c r="UJR122" s="1"/>
      <c r="UJS122" s="1"/>
      <c r="UJT122" s="1"/>
      <c r="UJU122" s="1"/>
      <c r="UJV122" s="1"/>
      <c r="UJW122" s="1"/>
      <c r="UJX122" s="1"/>
      <c r="UJY122" s="1"/>
      <c r="UJZ122" s="1"/>
      <c r="UKA122" s="1"/>
      <c r="UKB122" s="1"/>
      <c r="UKC122" s="1"/>
      <c r="UKD122" s="1"/>
      <c r="UKE122" s="1"/>
      <c r="UKF122" s="1"/>
      <c r="UKG122" s="1"/>
      <c r="UKH122" s="1"/>
      <c r="UKI122" s="1"/>
      <c r="UKJ122" s="1"/>
      <c r="UKK122" s="1"/>
      <c r="UKL122" s="1"/>
      <c r="UKM122" s="1"/>
      <c r="UKN122" s="1"/>
      <c r="UKO122" s="1"/>
      <c r="UKP122" s="1"/>
      <c r="UKQ122" s="1"/>
      <c r="UKR122" s="1"/>
      <c r="UKS122" s="1"/>
      <c r="UKT122" s="1"/>
      <c r="UKU122" s="1"/>
      <c r="UKV122" s="1"/>
      <c r="UKW122" s="1"/>
      <c r="UKX122" s="1"/>
      <c r="UKY122" s="1"/>
      <c r="UKZ122" s="1"/>
      <c r="ULA122" s="1"/>
      <c r="ULB122" s="1"/>
      <c r="ULC122" s="1"/>
      <c r="ULD122" s="1"/>
      <c r="ULE122" s="1"/>
      <c r="ULF122" s="1"/>
      <c r="ULG122" s="1"/>
      <c r="ULH122" s="1"/>
      <c r="ULI122" s="1"/>
      <c r="ULJ122" s="1"/>
      <c r="ULK122" s="1"/>
      <c r="ULL122" s="1"/>
      <c r="ULM122" s="1"/>
      <c r="ULN122" s="1"/>
      <c r="ULO122" s="1"/>
      <c r="ULP122" s="1"/>
      <c r="ULQ122" s="1"/>
      <c r="ULR122" s="1"/>
      <c r="ULS122" s="1"/>
      <c r="ULT122" s="1"/>
      <c r="ULU122" s="1"/>
      <c r="ULV122" s="1"/>
      <c r="ULW122" s="1"/>
      <c r="ULX122" s="1"/>
      <c r="ULY122" s="1"/>
      <c r="ULZ122" s="1"/>
      <c r="UMA122" s="1"/>
      <c r="UMB122" s="1"/>
      <c r="UMC122" s="1"/>
      <c r="UMD122" s="1"/>
      <c r="UME122" s="1"/>
      <c r="UMF122" s="1"/>
      <c r="UMG122" s="1"/>
      <c r="UMH122" s="1"/>
      <c r="UMI122" s="1"/>
      <c r="UMJ122" s="1"/>
      <c r="UMK122" s="1"/>
      <c r="UML122" s="1"/>
      <c r="UMM122" s="1"/>
      <c r="UMN122" s="1"/>
      <c r="UMO122" s="1"/>
      <c r="UMP122" s="1"/>
      <c r="UMQ122" s="1"/>
      <c r="UMR122" s="1"/>
      <c r="UMS122" s="1"/>
      <c r="UMT122" s="1"/>
      <c r="UMU122" s="1"/>
      <c r="UMV122" s="1"/>
      <c r="UMW122" s="1"/>
      <c r="UMX122" s="1"/>
      <c r="UMY122" s="1"/>
      <c r="UMZ122" s="1"/>
      <c r="UNA122" s="1"/>
      <c r="UNB122" s="1"/>
      <c r="UNC122" s="1"/>
      <c r="UND122" s="1"/>
      <c r="UNE122" s="1"/>
      <c r="UNF122" s="1"/>
      <c r="UNG122" s="1"/>
      <c r="UNH122" s="1"/>
      <c r="UNI122" s="1"/>
      <c r="UNJ122" s="1"/>
      <c r="UNK122" s="1"/>
      <c r="UNL122" s="1"/>
      <c r="UNM122" s="1"/>
      <c r="UNN122" s="1"/>
      <c r="UNO122" s="1"/>
      <c r="UNP122" s="1"/>
      <c r="UNQ122" s="1"/>
      <c r="UNR122" s="1"/>
      <c r="UNS122" s="1"/>
      <c r="UNT122" s="1"/>
      <c r="UNU122" s="1"/>
      <c r="UNV122" s="1"/>
      <c r="UNW122" s="1"/>
      <c r="UNX122" s="1"/>
      <c r="UNY122" s="1"/>
      <c r="UNZ122" s="1"/>
      <c r="UOA122" s="1"/>
      <c r="UOB122" s="1"/>
      <c r="UOC122" s="1"/>
      <c r="UOD122" s="1"/>
      <c r="UOE122" s="1"/>
      <c r="UOF122" s="1"/>
      <c r="UOG122" s="1"/>
      <c r="UOH122" s="1"/>
      <c r="UOI122" s="1"/>
      <c r="UOJ122" s="1"/>
      <c r="UOK122" s="1"/>
      <c r="UOL122" s="1"/>
      <c r="UOM122" s="1"/>
      <c r="UON122" s="1"/>
      <c r="UOO122" s="1"/>
      <c r="UOP122" s="1"/>
      <c r="UOQ122" s="1"/>
      <c r="UOR122" s="1"/>
      <c r="UOS122" s="1"/>
      <c r="UOT122" s="1"/>
      <c r="UOU122" s="1"/>
      <c r="UOV122" s="1"/>
      <c r="UOW122" s="1"/>
      <c r="UOX122" s="1"/>
      <c r="UOY122" s="1"/>
      <c r="UOZ122" s="1"/>
      <c r="UPA122" s="1"/>
      <c r="UPB122" s="1"/>
      <c r="UPC122" s="1"/>
      <c r="UPD122" s="1"/>
      <c r="UPE122" s="1"/>
      <c r="UPF122" s="1"/>
      <c r="UPG122" s="1"/>
      <c r="UPH122" s="1"/>
      <c r="UPI122" s="1"/>
      <c r="UPJ122" s="1"/>
      <c r="UPK122" s="1"/>
      <c r="UPL122" s="1"/>
      <c r="UPM122" s="1"/>
      <c r="UPN122" s="1"/>
      <c r="UPO122" s="1"/>
      <c r="UPP122" s="1"/>
      <c r="UPQ122" s="1"/>
      <c r="UPR122" s="1"/>
      <c r="UPS122" s="1"/>
      <c r="UPT122" s="1"/>
      <c r="UPU122" s="1"/>
      <c r="UPV122" s="1"/>
      <c r="UPW122" s="1"/>
      <c r="UPX122" s="1"/>
      <c r="UPY122" s="1"/>
      <c r="UPZ122" s="1"/>
      <c r="UQA122" s="1"/>
      <c r="UQB122" s="1"/>
      <c r="UQC122" s="1"/>
      <c r="UQD122" s="1"/>
      <c r="UQE122" s="1"/>
      <c r="UQF122" s="1"/>
      <c r="UQG122" s="1"/>
      <c r="UQH122" s="1"/>
      <c r="UQI122" s="1"/>
      <c r="UQJ122" s="1"/>
      <c r="UQK122" s="1"/>
      <c r="UQL122" s="1"/>
      <c r="UQM122" s="1"/>
      <c r="UQN122" s="1"/>
      <c r="UQO122" s="1"/>
      <c r="UQP122" s="1"/>
      <c r="UQQ122" s="1"/>
      <c r="UQR122" s="1"/>
      <c r="UQS122" s="1"/>
      <c r="UQT122" s="1"/>
      <c r="UQU122" s="1"/>
      <c r="UQV122" s="1"/>
      <c r="UQW122" s="1"/>
      <c r="UQX122" s="1"/>
      <c r="UQY122" s="1"/>
      <c r="UQZ122" s="1"/>
      <c r="URA122" s="1"/>
      <c r="URB122" s="1"/>
      <c r="URC122" s="1"/>
      <c r="URD122" s="1"/>
      <c r="URE122" s="1"/>
      <c r="URF122" s="1"/>
      <c r="URG122" s="1"/>
      <c r="URH122" s="1"/>
      <c r="URI122" s="1"/>
      <c r="URJ122" s="1"/>
      <c r="URK122" s="1"/>
      <c r="URL122" s="1"/>
      <c r="URM122" s="1"/>
      <c r="URN122" s="1"/>
      <c r="URO122" s="1"/>
      <c r="URP122" s="1"/>
      <c r="URQ122" s="1"/>
      <c r="URR122" s="1"/>
      <c r="URS122" s="1"/>
      <c r="URT122" s="1"/>
      <c r="URU122" s="1"/>
      <c r="URV122" s="1"/>
      <c r="URW122" s="1"/>
      <c r="URX122" s="1"/>
      <c r="URY122" s="1"/>
      <c r="URZ122" s="1"/>
      <c r="USA122" s="1"/>
      <c r="USB122" s="1"/>
      <c r="USC122" s="1"/>
      <c r="USD122" s="1"/>
      <c r="USE122" s="1"/>
      <c r="USF122" s="1"/>
      <c r="USG122" s="1"/>
      <c r="USH122" s="1"/>
      <c r="USI122" s="1"/>
      <c r="USJ122" s="1"/>
      <c r="USK122" s="1"/>
      <c r="USL122" s="1"/>
      <c r="USM122" s="1"/>
      <c r="USN122" s="1"/>
      <c r="USO122" s="1"/>
      <c r="USP122" s="1"/>
      <c r="USQ122" s="1"/>
      <c r="USR122" s="1"/>
      <c r="USS122" s="1"/>
      <c r="UST122" s="1"/>
      <c r="USU122" s="1"/>
      <c r="USV122" s="1"/>
      <c r="USW122" s="1"/>
      <c r="USX122" s="1"/>
      <c r="USY122" s="1"/>
      <c r="USZ122" s="1"/>
      <c r="UTA122" s="1"/>
      <c r="UTB122" s="1"/>
      <c r="UTC122" s="1"/>
      <c r="UTD122" s="1"/>
      <c r="UTE122" s="1"/>
      <c r="UTF122" s="1"/>
      <c r="UTG122" s="1"/>
      <c r="UTH122" s="1"/>
      <c r="UTI122" s="1"/>
      <c r="UTJ122" s="1"/>
      <c r="UTK122" s="1"/>
      <c r="UTL122" s="1"/>
      <c r="UTM122" s="1"/>
      <c r="UTN122" s="1"/>
      <c r="UTO122" s="1"/>
      <c r="UTP122" s="1"/>
      <c r="UTQ122" s="1"/>
      <c r="UTR122" s="1"/>
      <c r="UTS122" s="1"/>
      <c r="UTT122" s="1"/>
      <c r="UTU122" s="1"/>
      <c r="UTV122" s="1"/>
      <c r="UTW122" s="1"/>
      <c r="UTX122" s="1"/>
      <c r="UTY122" s="1"/>
      <c r="UTZ122" s="1"/>
      <c r="UUA122" s="1"/>
      <c r="UUB122" s="1"/>
      <c r="UUC122" s="1"/>
      <c r="UUD122" s="1"/>
      <c r="UUE122" s="1"/>
      <c r="UUF122" s="1"/>
      <c r="UUG122" s="1"/>
      <c r="UUH122" s="1"/>
      <c r="UUI122" s="1"/>
      <c r="UUJ122" s="1"/>
      <c r="UUK122" s="1"/>
      <c r="UUL122" s="1"/>
      <c r="UUM122" s="1"/>
      <c r="UUN122" s="1"/>
      <c r="UUO122" s="1"/>
      <c r="UUP122" s="1"/>
      <c r="UUQ122" s="1"/>
      <c r="UUR122" s="1"/>
      <c r="UUS122" s="1"/>
      <c r="UUT122" s="1"/>
      <c r="UUU122" s="1"/>
      <c r="UUV122" s="1"/>
      <c r="UUW122" s="1"/>
      <c r="UUX122" s="1"/>
      <c r="UUY122" s="1"/>
      <c r="UUZ122" s="1"/>
      <c r="UVA122" s="1"/>
      <c r="UVB122" s="1"/>
      <c r="UVC122" s="1"/>
      <c r="UVD122" s="1"/>
      <c r="UVE122" s="1"/>
      <c r="UVF122" s="1"/>
      <c r="UVG122" s="1"/>
      <c r="UVH122" s="1"/>
      <c r="UVI122" s="1"/>
      <c r="UVJ122" s="1"/>
      <c r="UVK122" s="1"/>
      <c r="UVL122" s="1"/>
      <c r="UVM122" s="1"/>
      <c r="UVN122" s="1"/>
      <c r="UVO122" s="1"/>
      <c r="UVP122" s="1"/>
      <c r="UVQ122" s="1"/>
      <c r="UVR122" s="1"/>
      <c r="UVS122" s="1"/>
      <c r="UVT122" s="1"/>
      <c r="UVU122" s="1"/>
      <c r="UVV122" s="1"/>
      <c r="UVW122" s="1"/>
      <c r="UVX122" s="1"/>
      <c r="UVY122" s="1"/>
      <c r="UVZ122" s="1"/>
      <c r="UWA122" s="1"/>
      <c r="UWB122" s="1"/>
      <c r="UWC122" s="1"/>
      <c r="UWD122" s="1"/>
      <c r="UWE122" s="1"/>
      <c r="UWF122" s="1"/>
      <c r="UWG122" s="1"/>
      <c r="UWH122" s="1"/>
      <c r="UWI122" s="1"/>
      <c r="UWJ122" s="1"/>
      <c r="UWK122" s="1"/>
      <c r="UWL122" s="1"/>
      <c r="UWM122" s="1"/>
      <c r="UWN122" s="1"/>
      <c r="UWO122" s="1"/>
      <c r="UWP122" s="1"/>
      <c r="UWQ122" s="1"/>
      <c r="UWR122" s="1"/>
      <c r="UWS122" s="1"/>
      <c r="UWT122" s="1"/>
      <c r="UWU122" s="1"/>
      <c r="UWV122" s="1"/>
      <c r="UWW122" s="1"/>
      <c r="UWX122" s="1"/>
      <c r="UWY122" s="1"/>
      <c r="UWZ122" s="1"/>
      <c r="UXA122" s="1"/>
      <c r="UXB122" s="1"/>
      <c r="UXC122" s="1"/>
      <c r="UXD122" s="1"/>
      <c r="UXE122" s="1"/>
      <c r="UXF122" s="1"/>
      <c r="UXG122" s="1"/>
      <c r="UXH122" s="1"/>
      <c r="UXI122" s="1"/>
      <c r="UXJ122" s="1"/>
      <c r="UXK122" s="1"/>
      <c r="UXL122" s="1"/>
      <c r="UXM122" s="1"/>
      <c r="UXN122" s="1"/>
      <c r="UXO122" s="1"/>
      <c r="UXP122" s="1"/>
      <c r="UXQ122" s="1"/>
      <c r="UXR122" s="1"/>
      <c r="UXS122" s="1"/>
      <c r="UXT122" s="1"/>
      <c r="UXU122" s="1"/>
      <c r="UXV122" s="1"/>
      <c r="UXW122" s="1"/>
      <c r="UXX122" s="1"/>
      <c r="UXY122" s="1"/>
      <c r="UXZ122" s="1"/>
      <c r="UYA122" s="1"/>
      <c r="UYB122" s="1"/>
      <c r="UYC122" s="1"/>
      <c r="UYD122" s="1"/>
      <c r="UYE122" s="1"/>
      <c r="UYF122" s="1"/>
      <c r="UYG122" s="1"/>
      <c r="UYH122" s="1"/>
      <c r="UYI122" s="1"/>
      <c r="UYJ122" s="1"/>
      <c r="UYK122" s="1"/>
      <c r="UYL122" s="1"/>
      <c r="UYM122" s="1"/>
      <c r="UYN122" s="1"/>
      <c r="UYO122" s="1"/>
      <c r="UYP122" s="1"/>
      <c r="UYQ122" s="1"/>
      <c r="UYR122" s="1"/>
      <c r="UYS122" s="1"/>
      <c r="UYT122" s="1"/>
      <c r="UYU122" s="1"/>
      <c r="UYV122" s="1"/>
      <c r="UYW122" s="1"/>
      <c r="UYX122" s="1"/>
      <c r="UYY122" s="1"/>
      <c r="UYZ122" s="1"/>
      <c r="UZA122" s="1"/>
      <c r="UZB122" s="1"/>
      <c r="UZC122" s="1"/>
      <c r="UZD122" s="1"/>
      <c r="UZE122" s="1"/>
      <c r="UZF122" s="1"/>
      <c r="UZG122" s="1"/>
      <c r="UZH122" s="1"/>
      <c r="UZI122" s="1"/>
      <c r="UZJ122" s="1"/>
      <c r="UZK122" s="1"/>
      <c r="UZL122" s="1"/>
      <c r="UZM122" s="1"/>
      <c r="UZN122" s="1"/>
      <c r="UZO122" s="1"/>
      <c r="UZP122" s="1"/>
      <c r="UZQ122" s="1"/>
      <c r="UZR122" s="1"/>
      <c r="UZS122" s="1"/>
      <c r="UZT122" s="1"/>
      <c r="UZU122" s="1"/>
      <c r="UZV122" s="1"/>
      <c r="UZW122" s="1"/>
      <c r="UZX122" s="1"/>
      <c r="UZY122" s="1"/>
      <c r="UZZ122" s="1"/>
      <c r="VAA122" s="1"/>
      <c r="VAB122" s="1"/>
      <c r="VAC122" s="1"/>
      <c r="VAD122" s="1"/>
      <c r="VAE122" s="1"/>
      <c r="VAF122" s="1"/>
      <c r="VAG122" s="1"/>
      <c r="VAH122" s="1"/>
      <c r="VAI122" s="1"/>
      <c r="VAJ122" s="1"/>
      <c r="VAK122" s="1"/>
      <c r="VAL122" s="1"/>
      <c r="VAM122" s="1"/>
      <c r="VAN122" s="1"/>
      <c r="VAO122" s="1"/>
      <c r="VAP122" s="1"/>
      <c r="VAQ122" s="1"/>
      <c r="VAR122" s="1"/>
      <c r="VAS122" s="1"/>
      <c r="VAT122" s="1"/>
      <c r="VAU122" s="1"/>
      <c r="VAV122" s="1"/>
      <c r="VAW122" s="1"/>
      <c r="VAX122" s="1"/>
      <c r="VAY122" s="1"/>
      <c r="VAZ122" s="1"/>
      <c r="VBA122" s="1"/>
      <c r="VBB122" s="1"/>
      <c r="VBC122" s="1"/>
      <c r="VBD122" s="1"/>
      <c r="VBE122" s="1"/>
      <c r="VBF122" s="1"/>
      <c r="VBG122" s="1"/>
      <c r="VBH122" s="1"/>
      <c r="VBI122" s="1"/>
      <c r="VBJ122" s="1"/>
      <c r="VBK122" s="1"/>
      <c r="VBL122" s="1"/>
      <c r="VBM122" s="1"/>
      <c r="VBN122" s="1"/>
      <c r="VBO122" s="1"/>
      <c r="VBP122" s="1"/>
      <c r="VBQ122" s="1"/>
      <c r="VBR122" s="1"/>
      <c r="VBS122" s="1"/>
      <c r="VBT122" s="1"/>
      <c r="VBU122" s="1"/>
      <c r="VBV122" s="1"/>
      <c r="VBW122" s="1"/>
      <c r="VBX122" s="1"/>
      <c r="VBY122" s="1"/>
      <c r="VBZ122" s="1"/>
      <c r="VCA122" s="1"/>
      <c r="VCB122" s="1"/>
      <c r="VCC122" s="1"/>
      <c r="VCD122" s="1"/>
      <c r="VCE122" s="1"/>
      <c r="VCF122" s="1"/>
      <c r="VCG122" s="1"/>
      <c r="VCH122" s="1"/>
      <c r="VCI122" s="1"/>
      <c r="VCJ122" s="1"/>
      <c r="VCK122" s="1"/>
      <c r="VCL122" s="1"/>
      <c r="VCM122" s="1"/>
      <c r="VCN122" s="1"/>
      <c r="VCO122" s="1"/>
      <c r="VCP122" s="1"/>
      <c r="VCQ122" s="1"/>
      <c r="VCR122" s="1"/>
      <c r="VCS122" s="1"/>
      <c r="VCT122" s="1"/>
      <c r="VCU122" s="1"/>
      <c r="VCV122" s="1"/>
      <c r="VCW122" s="1"/>
      <c r="VCX122" s="1"/>
      <c r="VCY122" s="1"/>
      <c r="VCZ122" s="1"/>
      <c r="VDA122" s="1"/>
      <c r="VDB122" s="1"/>
      <c r="VDC122" s="1"/>
      <c r="VDD122" s="1"/>
      <c r="VDE122" s="1"/>
      <c r="VDF122" s="1"/>
      <c r="VDG122" s="1"/>
      <c r="VDH122" s="1"/>
      <c r="VDI122" s="1"/>
      <c r="VDJ122" s="1"/>
      <c r="VDK122" s="1"/>
      <c r="VDL122" s="1"/>
      <c r="VDM122" s="1"/>
      <c r="VDN122" s="1"/>
      <c r="VDO122" s="1"/>
      <c r="VDP122" s="1"/>
      <c r="VDQ122" s="1"/>
      <c r="VDR122" s="1"/>
      <c r="VDS122" s="1"/>
      <c r="VDT122" s="1"/>
      <c r="VDU122" s="1"/>
      <c r="VDV122" s="1"/>
      <c r="VDW122" s="1"/>
      <c r="VDX122" s="1"/>
      <c r="VDY122" s="1"/>
      <c r="VDZ122" s="1"/>
      <c r="VEA122" s="1"/>
      <c r="VEB122" s="1"/>
      <c r="VEC122" s="1"/>
      <c r="VED122" s="1"/>
      <c r="VEE122" s="1"/>
      <c r="VEF122" s="1"/>
      <c r="VEG122" s="1"/>
      <c r="VEH122" s="1"/>
      <c r="VEI122" s="1"/>
      <c r="VEJ122" s="1"/>
      <c r="VEK122" s="1"/>
      <c r="VEL122" s="1"/>
      <c r="VEM122" s="1"/>
      <c r="VEN122" s="1"/>
      <c r="VEO122" s="1"/>
      <c r="VEP122" s="1"/>
      <c r="VEQ122" s="1"/>
      <c r="VER122" s="1"/>
      <c r="VES122" s="1"/>
      <c r="VET122" s="1"/>
      <c r="VEU122" s="1"/>
      <c r="VEV122" s="1"/>
      <c r="VEW122" s="1"/>
      <c r="VEX122" s="1"/>
      <c r="VEY122" s="1"/>
      <c r="VEZ122" s="1"/>
      <c r="VFA122" s="1"/>
      <c r="VFB122" s="1"/>
      <c r="VFC122" s="1"/>
      <c r="VFD122" s="1"/>
      <c r="VFE122" s="1"/>
      <c r="VFF122" s="1"/>
      <c r="VFG122" s="1"/>
      <c r="VFH122" s="1"/>
      <c r="VFI122" s="1"/>
      <c r="VFJ122" s="1"/>
      <c r="VFK122" s="1"/>
      <c r="VFL122" s="1"/>
      <c r="VFM122" s="1"/>
      <c r="VFN122" s="1"/>
      <c r="VFO122" s="1"/>
      <c r="VFP122" s="1"/>
      <c r="VFQ122" s="1"/>
      <c r="VFR122" s="1"/>
      <c r="VFS122" s="1"/>
      <c r="VFT122" s="1"/>
      <c r="VFU122" s="1"/>
      <c r="VFV122" s="1"/>
      <c r="VFW122" s="1"/>
      <c r="VFX122" s="1"/>
      <c r="VFY122" s="1"/>
      <c r="VFZ122" s="1"/>
      <c r="VGA122" s="1"/>
      <c r="VGB122" s="1"/>
      <c r="VGC122" s="1"/>
      <c r="VGD122" s="1"/>
      <c r="VGE122" s="1"/>
      <c r="VGF122" s="1"/>
      <c r="VGG122" s="1"/>
      <c r="VGH122" s="1"/>
      <c r="VGI122" s="1"/>
      <c r="VGJ122" s="1"/>
      <c r="VGK122" s="1"/>
      <c r="VGL122" s="1"/>
      <c r="VGM122" s="1"/>
      <c r="VGN122" s="1"/>
      <c r="VGO122" s="1"/>
      <c r="VGP122" s="1"/>
      <c r="VGQ122" s="1"/>
      <c r="VGR122" s="1"/>
      <c r="VGS122" s="1"/>
      <c r="VGT122" s="1"/>
      <c r="VGU122" s="1"/>
      <c r="VGV122" s="1"/>
      <c r="VGW122" s="1"/>
      <c r="VGX122" s="1"/>
      <c r="VGY122" s="1"/>
      <c r="VGZ122" s="1"/>
      <c r="VHA122" s="1"/>
      <c r="VHB122" s="1"/>
      <c r="VHC122" s="1"/>
      <c r="VHD122" s="1"/>
      <c r="VHE122" s="1"/>
      <c r="VHF122" s="1"/>
      <c r="VHG122" s="1"/>
      <c r="VHH122" s="1"/>
      <c r="VHI122" s="1"/>
      <c r="VHJ122" s="1"/>
      <c r="VHK122" s="1"/>
      <c r="VHL122" s="1"/>
      <c r="VHM122" s="1"/>
      <c r="VHN122" s="1"/>
      <c r="VHO122" s="1"/>
      <c r="VHP122" s="1"/>
      <c r="VHQ122" s="1"/>
      <c r="VHR122" s="1"/>
      <c r="VHS122" s="1"/>
      <c r="VHT122" s="1"/>
      <c r="VHU122" s="1"/>
      <c r="VHV122" s="1"/>
      <c r="VHW122" s="1"/>
      <c r="VHX122" s="1"/>
      <c r="VHY122" s="1"/>
      <c r="VHZ122" s="1"/>
      <c r="VIA122" s="1"/>
      <c r="VIB122" s="1"/>
      <c r="VIC122" s="1"/>
      <c r="VID122" s="1"/>
      <c r="VIE122" s="1"/>
      <c r="VIF122" s="1"/>
      <c r="VIG122" s="1"/>
      <c r="VIH122" s="1"/>
      <c r="VII122" s="1"/>
      <c r="VIJ122" s="1"/>
      <c r="VIK122" s="1"/>
      <c r="VIL122" s="1"/>
      <c r="VIM122" s="1"/>
      <c r="VIN122" s="1"/>
      <c r="VIO122" s="1"/>
      <c r="VIP122" s="1"/>
      <c r="VIQ122" s="1"/>
      <c r="VIR122" s="1"/>
      <c r="VIS122" s="1"/>
      <c r="VIT122" s="1"/>
      <c r="VIU122" s="1"/>
      <c r="VIV122" s="1"/>
      <c r="VIW122" s="1"/>
      <c r="VIX122" s="1"/>
      <c r="VIY122" s="1"/>
      <c r="VIZ122" s="1"/>
      <c r="VJA122" s="1"/>
      <c r="VJB122" s="1"/>
      <c r="VJC122" s="1"/>
      <c r="VJD122" s="1"/>
      <c r="VJE122" s="1"/>
      <c r="VJF122" s="1"/>
      <c r="VJG122" s="1"/>
      <c r="VJH122" s="1"/>
      <c r="VJI122" s="1"/>
      <c r="VJJ122" s="1"/>
      <c r="VJK122" s="1"/>
      <c r="VJL122" s="1"/>
      <c r="VJM122" s="1"/>
      <c r="VJN122" s="1"/>
      <c r="VJO122" s="1"/>
      <c r="VJP122" s="1"/>
      <c r="VJQ122" s="1"/>
      <c r="VJR122" s="1"/>
      <c r="VJS122" s="1"/>
      <c r="VJT122" s="1"/>
      <c r="VJU122" s="1"/>
      <c r="VJV122" s="1"/>
      <c r="VJW122" s="1"/>
      <c r="VJX122" s="1"/>
      <c r="VJY122" s="1"/>
      <c r="VJZ122" s="1"/>
      <c r="VKA122" s="1"/>
      <c r="VKB122" s="1"/>
      <c r="VKC122" s="1"/>
      <c r="VKD122" s="1"/>
      <c r="VKE122" s="1"/>
      <c r="VKF122" s="1"/>
      <c r="VKG122" s="1"/>
      <c r="VKH122" s="1"/>
      <c r="VKI122" s="1"/>
      <c r="VKJ122" s="1"/>
      <c r="VKK122" s="1"/>
      <c r="VKL122" s="1"/>
      <c r="VKM122" s="1"/>
      <c r="VKN122" s="1"/>
      <c r="VKO122" s="1"/>
      <c r="VKP122" s="1"/>
      <c r="VKQ122" s="1"/>
      <c r="VKR122" s="1"/>
      <c r="VKS122" s="1"/>
      <c r="VKT122" s="1"/>
      <c r="VKU122" s="1"/>
      <c r="VKV122" s="1"/>
      <c r="VKW122" s="1"/>
      <c r="VKX122" s="1"/>
      <c r="VKY122" s="1"/>
      <c r="VKZ122" s="1"/>
      <c r="VLA122" s="1"/>
      <c r="VLB122" s="1"/>
      <c r="VLC122" s="1"/>
      <c r="VLD122" s="1"/>
      <c r="VLE122" s="1"/>
      <c r="VLF122" s="1"/>
      <c r="VLG122" s="1"/>
      <c r="VLH122" s="1"/>
      <c r="VLI122" s="1"/>
      <c r="VLJ122" s="1"/>
      <c r="VLK122" s="1"/>
      <c r="VLL122" s="1"/>
      <c r="VLM122" s="1"/>
      <c r="VLN122" s="1"/>
      <c r="VLO122" s="1"/>
      <c r="VLP122" s="1"/>
      <c r="VLQ122" s="1"/>
      <c r="VLR122" s="1"/>
      <c r="VLS122" s="1"/>
      <c r="VLT122" s="1"/>
      <c r="VLU122" s="1"/>
      <c r="VLV122" s="1"/>
      <c r="VLW122" s="1"/>
      <c r="VLX122" s="1"/>
      <c r="VLY122" s="1"/>
      <c r="VLZ122" s="1"/>
      <c r="VMA122" s="1"/>
      <c r="VMB122" s="1"/>
      <c r="VMC122" s="1"/>
      <c r="VMD122" s="1"/>
      <c r="VME122" s="1"/>
      <c r="VMF122" s="1"/>
      <c r="VMG122" s="1"/>
      <c r="VMH122" s="1"/>
      <c r="VMI122" s="1"/>
      <c r="VMJ122" s="1"/>
      <c r="VMK122" s="1"/>
      <c r="VML122" s="1"/>
      <c r="VMM122" s="1"/>
      <c r="VMN122" s="1"/>
      <c r="VMO122" s="1"/>
      <c r="VMP122" s="1"/>
      <c r="VMQ122" s="1"/>
      <c r="VMR122" s="1"/>
      <c r="VMS122" s="1"/>
      <c r="VMT122" s="1"/>
      <c r="VMU122" s="1"/>
      <c r="VMV122" s="1"/>
      <c r="VMW122" s="1"/>
      <c r="VMX122" s="1"/>
      <c r="VMY122" s="1"/>
      <c r="VMZ122" s="1"/>
      <c r="VNA122" s="1"/>
      <c r="VNB122" s="1"/>
      <c r="VNC122" s="1"/>
      <c r="VND122" s="1"/>
      <c r="VNE122" s="1"/>
      <c r="VNF122" s="1"/>
      <c r="VNG122" s="1"/>
      <c r="VNH122" s="1"/>
      <c r="VNI122" s="1"/>
      <c r="VNJ122" s="1"/>
      <c r="VNK122" s="1"/>
      <c r="VNL122" s="1"/>
      <c r="VNM122" s="1"/>
      <c r="VNN122" s="1"/>
      <c r="VNO122" s="1"/>
      <c r="VNP122" s="1"/>
      <c r="VNQ122" s="1"/>
      <c r="VNR122" s="1"/>
      <c r="VNS122" s="1"/>
      <c r="VNT122" s="1"/>
      <c r="VNU122" s="1"/>
      <c r="VNV122" s="1"/>
      <c r="VNW122" s="1"/>
      <c r="VNX122" s="1"/>
      <c r="VNY122" s="1"/>
      <c r="VNZ122" s="1"/>
      <c r="VOA122" s="1"/>
      <c r="VOB122" s="1"/>
      <c r="VOC122" s="1"/>
      <c r="VOD122" s="1"/>
      <c r="VOE122" s="1"/>
      <c r="VOF122" s="1"/>
      <c r="VOG122" s="1"/>
      <c r="VOH122" s="1"/>
      <c r="VOI122" s="1"/>
      <c r="VOJ122" s="1"/>
      <c r="VOK122" s="1"/>
      <c r="VOL122" s="1"/>
      <c r="VOM122" s="1"/>
      <c r="VON122" s="1"/>
      <c r="VOO122" s="1"/>
      <c r="VOP122" s="1"/>
      <c r="VOQ122" s="1"/>
      <c r="VOR122" s="1"/>
      <c r="VOS122" s="1"/>
      <c r="VOT122" s="1"/>
      <c r="VOU122" s="1"/>
      <c r="VOV122" s="1"/>
      <c r="VOW122" s="1"/>
      <c r="VOX122" s="1"/>
      <c r="VOY122" s="1"/>
      <c r="VOZ122" s="1"/>
      <c r="VPA122" s="1"/>
      <c r="VPB122" s="1"/>
      <c r="VPC122" s="1"/>
      <c r="VPD122" s="1"/>
      <c r="VPE122" s="1"/>
      <c r="VPF122" s="1"/>
      <c r="VPG122" s="1"/>
      <c r="VPH122" s="1"/>
      <c r="VPI122" s="1"/>
      <c r="VPJ122" s="1"/>
      <c r="VPK122" s="1"/>
      <c r="VPL122" s="1"/>
      <c r="VPM122" s="1"/>
      <c r="VPN122" s="1"/>
      <c r="VPO122" s="1"/>
      <c r="VPP122" s="1"/>
      <c r="VPQ122" s="1"/>
      <c r="VPR122" s="1"/>
      <c r="VPS122" s="1"/>
      <c r="VPT122" s="1"/>
      <c r="VPU122" s="1"/>
      <c r="VPV122" s="1"/>
      <c r="VPW122" s="1"/>
      <c r="VPX122" s="1"/>
      <c r="VPY122" s="1"/>
      <c r="VPZ122" s="1"/>
      <c r="VQA122" s="1"/>
      <c r="VQB122" s="1"/>
      <c r="VQC122" s="1"/>
      <c r="VQD122" s="1"/>
      <c r="VQE122" s="1"/>
      <c r="VQF122" s="1"/>
      <c r="VQG122" s="1"/>
      <c r="VQH122" s="1"/>
      <c r="VQI122" s="1"/>
      <c r="VQJ122" s="1"/>
      <c r="VQK122" s="1"/>
      <c r="VQL122" s="1"/>
      <c r="VQM122" s="1"/>
      <c r="VQN122" s="1"/>
      <c r="VQO122" s="1"/>
      <c r="VQP122" s="1"/>
      <c r="VQQ122" s="1"/>
      <c r="VQR122" s="1"/>
      <c r="VQS122" s="1"/>
      <c r="VQT122" s="1"/>
      <c r="VQU122" s="1"/>
      <c r="VQV122" s="1"/>
      <c r="VQW122" s="1"/>
      <c r="VQX122" s="1"/>
      <c r="VQY122" s="1"/>
      <c r="VQZ122" s="1"/>
      <c r="VRA122" s="1"/>
      <c r="VRB122" s="1"/>
      <c r="VRC122" s="1"/>
      <c r="VRD122" s="1"/>
      <c r="VRE122" s="1"/>
      <c r="VRF122" s="1"/>
      <c r="VRG122" s="1"/>
      <c r="VRH122" s="1"/>
      <c r="VRI122" s="1"/>
      <c r="VRJ122" s="1"/>
      <c r="VRK122" s="1"/>
      <c r="VRL122" s="1"/>
      <c r="VRM122" s="1"/>
      <c r="VRN122" s="1"/>
      <c r="VRO122" s="1"/>
      <c r="VRP122" s="1"/>
      <c r="VRQ122" s="1"/>
      <c r="VRR122" s="1"/>
      <c r="VRS122" s="1"/>
      <c r="VRT122" s="1"/>
      <c r="VRU122" s="1"/>
      <c r="VRV122" s="1"/>
      <c r="VRW122" s="1"/>
      <c r="VRX122" s="1"/>
      <c r="VRY122" s="1"/>
      <c r="VRZ122" s="1"/>
      <c r="VSA122" s="1"/>
      <c r="VSB122" s="1"/>
      <c r="VSC122" s="1"/>
      <c r="VSD122" s="1"/>
      <c r="VSE122" s="1"/>
      <c r="VSF122" s="1"/>
      <c r="VSG122" s="1"/>
      <c r="VSH122" s="1"/>
      <c r="VSI122" s="1"/>
      <c r="VSJ122" s="1"/>
      <c r="VSK122" s="1"/>
      <c r="VSL122" s="1"/>
      <c r="VSM122" s="1"/>
      <c r="VSN122" s="1"/>
      <c r="VSO122" s="1"/>
      <c r="VSP122" s="1"/>
      <c r="VSQ122" s="1"/>
      <c r="VSR122" s="1"/>
      <c r="VSS122" s="1"/>
      <c r="VST122" s="1"/>
      <c r="VSU122" s="1"/>
      <c r="VSV122" s="1"/>
      <c r="VSW122" s="1"/>
      <c r="VSX122" s="1"/>
      <c r="VSY122" s="1"/>
      <c r="VSZ122" s="1"/>
      <c r="VTA122" s="1"/>
      <c r="VTB122" s="1"/>
      <c r="VTC122" s="1"/>
      <c r="VTD122" s="1"/>
      <c r="VTE122" s="1"/>
      <c r="VTF122" s="1"/>
      <c r="VTG122" s="1"/>
      <c r="VTH122" s="1"/>
      <c r="VTI122" s="1"/>
      <c r="VTJ122" s="1"/>
      <c r="VTK122" s="1"/>
      <c r="VTL122" s="1"/>
      <c r="VTM122" s="1"/>
      <c r="VTN122" s="1"/>
      <c r="VTO122" s="1"/>
      <c r="VTP122" s="1"/>
      <c r="VTQ122" s="1"/>
      <c r="VTR122" s="1"/>
      <c r="VTS122" s="1"/>
      <c r="VTT122" s="1"/>
      <c r="VTU122" s="1"/>
      <c r="VTV122" s="1"/>
      <c r="VTW122" s="1"/>
      <c r="VTX122" s="1"/>
      <c r="VTY122" s="1"/>
      <c r="VTZ122" s="1"/>
      <c r="VUA122" s="1"/>
      <c r="VUB122" s="1"/>
      <c r="VUC122" s="1"/>
      <c r="VUD122" s="1"/>
      <c r="VUE122" s="1"/>
      <c r="VUF122" s="1"/>
      <c r="VUG122" s="1"/>
      <c r="VUH122" s="1"/>
      <c r="VUI122" s="1"/>
      <c r="VUJ122" s="1"/>
      <c r="VUK122" s="1"/>
      <c r="VUL122" s="1"/>
      <c r="VUM122" s="1"/>
      <c r="VUN122" s="1"/>
      <c r="VUO122" s="1"/>
      <c r="VUP122" s="1"/>
      <c r="VUQ122" s="1"/>
      <c r="VUR122" s="1"/>
      <c r="VUS122" s="1"/>
      <c r="VUT122" s="1"/>
      <c r="VUU122" s="1"/>
      <c r="VUV122" s="1"/>
      <c r="VUW122" s="1"/>
      <c r="VUX122" s="1"/>
      <c r="VUY122" s="1"/>
      <c r="VUZ122" s="1"/>
      <c r="VVA122" s="1"/>
      <c r="VVB122" s="1"/>
      <c r="VVC122" s="1"/>
      <c r="VVD122" s="1"/>
      <c r="VVE122" s="1"/>
      <c r="VVF122" s="1"/>
      <c r="VVG122" s="1"/>
      <c r="VVH122" s="1"/>
      <c r="VVI122" s="1"/>
      <c r="VVJ122" s="1"/>
      <c r="VVK122" s="1"/>
      <c r="VVL122" s="1"/>
      <c r="VVM122" s="1"/>
      <c r="VVN122" s="1"/>
      <c r="VVO122" s="1"/>
      <c r="VVP122" s="1"/>
      <c r="VVQ122" s="1"/>
      <c r="VVR122" s="1"/>
      <c r="VVS122" s="1"/>
      <c r="VVT122" s="1"/>
      <c r="VVU122" s="1"/>
      <c r="VVV122" s="1"/>
      <c r="VVW122" s="1"/>
      <c r="VVX122" s="1"/>
      <c r="VVY122" s="1"/>
      <c r="VVZ122" s="1"/>
      <c r="VWA122" s="1"/>
      <c r="VWB122" s="1"/>
      <c r="VWC122" s="1"/>
      <c r="VWD122" s="1"/>
      <c r="VWE122" s="1"/>
      <c r="VWF122" s="1"/>
      <c r="VWG122" s="1"/>
      <c r="VWH122" s="1"/>
      <c r="VWI122" s="1"/>
      <c r="VWJ122" s="1"/>
      <c r="VWK122" s="1"/>
      <c r="VWL122" s="1"/>
      <c r="VWM122" s="1"/>
      <c r="VWN122" s="1"/>
      <c r="VWO122" s="1"/>
      <c r="VWP122" s="1"/>
      <c r="VWQ122" s="1"/>
      <c r="VWR122" s="1"/>
      <c r="VWS122" s="1"/>
      <c r="VWT122" s="1"/>
      <c r="VWU122" s="1"/>
      <c r="VWV122" s="1"/>
      <c r="VWW122" s="1"/>
      <c r="VWX122" s="1"/>
      <c r="VWY122" s="1"/>
      <c r="VWZ122" s="1"/>
      <c r="VXA122" s="1"/>
      <c r="VXB122" s="1"/>
      <c r="VXC122" s="1"/>
      <c r="VXD122" s="1"/>
      <c r="VXE122" s="1"/>
      <c r="VXF122" s="1"/>
      <c r="VXG122" s="1"/>
      <c r="VXH122" s="1"/>
      <c r="VXI122" s="1"/>
      <c r="VXJ122" s="1"/>
      <c r="VXK122" s="1"/>
      <c r="VXL122" s="1"/>
      <c r="VXM122" s="1"/>
      <c r="VXN122" s="1"/>
      <c r="VXO122" s="1"/>
      <c r="VXP122" s="1"/>
      <c r="VXQ122" s="1"/>
      <c r="VXR122" s="1"/>
      <c r="VXS122" s="1"/>
      <c r="VXT122" s="1"/>
      <c r="VXU122" s="1"/>
      <c r="VXV122" s="1"/>
      <c r="VXW122" s="1"/>
      <c r="VXX122" s="1"/>
      <c r="VXY122" s="1"/>
      <c r="VXZ122" s="1"/>
      <c r="VYA122" s="1"/>
      <c r="VYB122" s="1"/>
      <c r="VYC122" s="1"/>
      <c r="VYD122" s="1"/>
      <c r="VYE122" s="1"/>
      <c r="VYF122" s="1"/>
      <c r="VYG122" s="1"/>
      <c r="VYH122" s="1"/>
      <c r="VYI122" s="1"/>
      <c r="VYJ122" s="1"/>
      <c r="VYK122" s="1"/>
      <c r="VYL122" s="1"/>
      <c r="VYM122" s="1"/>
      <c r="VYN122" s="1"/>
      <c r="VYO122" s="1"/>
      <c r="VYP122" s="1"/>
      <c r="VYQ122" s="1"/>
      <c r="VYR122" s="1"/>
      <c r="VYS122" s="1"/>
      <c r="VYT122" s="1"/>
      <c r="VYU122" s="1"/>
      <c r="VYV122" s="1"/>
      <c r="VYW122" s="1"/>
      <c r="VYX122" s="1"/>
      <c r="VYY122" s="1"/>
      <c r="VYZ122" s="1"/>
      <c r="VZA122" s="1"/>
      <c r="VZB122" s="1"/>
      <c r="VZC122" s="1"/>
      <c r="VZD122" s="1"/>
      <c r="VZE122" s="1"/>
      <c r="VZF122" s="1"/>
      <c r="VZG122" s="1"/>
      <c r="VZH122" s="1"/>
      <c r="VZI122" s="1"/>
      <c r="VZJ122" s="1"/>
      <c r="VZK122" s="1"/>
      <c r="VZL122" s="1"/>
      <c r="VZM122" s="1"/>
      <c r="VZN122" s="1"/>
      <c r="VZO122" s="1"/>
      <c r="VZP122" s="1"/>
      <c r="VZQ122" s="1"/>
      <c r="VZR122" s="1"/>
      <c r="VZS122" s="1"/>
      <c r="VZT122" s="1"/>
      <c r="VZU122" s="1"/>
      <c r="VZV122" s="1"/>
      <c r="VZW122" s="1"/>
      <c r="VZX122" s="1"/>
      <c r="VZY122" s="1"/>
      <c r="VZZ122" s="1"/>
      <c r="WAA122" s="1"/>
      <c r="WAB122" s="1"/>
      <c r="WAC122" s="1"/>
      <c r="WAD122" s="1"/>
      <c r="WAE122" s="1"/>
      <c r="WAF122" s="1"/>
      <c r="WAG122" s="1"/>
      <c r="WAH122" s="1"/>
      <c r="WAI122" s="1"/>
      <c r="WAJ122" s="1"/>
      <c r="WAK122" s="1"/>
      <c r="WAL122" s="1"/>
      <c r="WAM122" s="1"/>
      <c r="WAN122" s="1"/>
      <c r="WAO122" s="1"/>
      <c r="WAP122" s="1"/>
      <c r="WAQ122" s="1"/>
      <c r="WAR122" s="1"/>
      <c r="WAS122" s="1"/>
      <c r="WAT122" s="1"/>
      <c r="WAU122" s="1"/>
      <c r="WAV122" s="1"/>
      <c r="WAW122" s="1"/>
      <c r="WAX122" s="1"/>
      <c r="WAY122" s="1"/>
      <c r="WAZ122" s="1"/>
      <c r="WBA122" s="1"/>
      <c r="WBB122" s="1"/>
      <c r="WBC122" s="1"/>
      <c r="WBD122" s="1"/>
      <c r="WBE122" s="1"/>
      <c r="WBF122" s="1"/>
      <c r="WBG122" s="1"/>
      <c r="WBH122" s="1"/>
      <c r="WBI122" s="1"/>
      <c r="WBJ122" s="1"/>
      <c r="WBK122" s="1"/>
      <c r="WBL122" s="1"/>
      <c r="WBM122" s="1"/>
      <c r="WBN122" s="1"/>
      <c r="WBO122" s="1"/>
      <c r="WBP122" s="1"/>
      <c r="WBQ122" s="1"/>
      <c r="WBR122" s="1"/>
      <c r="WBS122" s="1"/>
      <c r="WBT122" s="1"/>
      <c r="WBU122" s="1"/>
      <c r="WBV122" s="1"/>
      <c r="WBW122" s="1"/>
      <c r="WBX122" s="1"/>
      <c r="WBY122" s="1"/>
      <c r="WBZ122" s="1"/>
      <c r="WCA122" s="1"/>
      <c r="WCB122" s="1"/>
      <c r="WCC122" s="1"/>
      <c r="WCD122" s="1"/>
      <c r="WCE122" s="1"/>
      <c r="WCF122" s="1"/>
      <c r="WCG122" s="1"/>
      <c r="WCH122" s="1"/>
      <c r="WCI122" s="1"/>
      <c r="WCJ122" s="1"/>
      <c r="WCK122" s="1"/>
      <c r="WCL122" s="1"/>
      <c r="WCM122" s="1"/>
      <c r="WCN122" s="1"/>
      <c r="WCO122" s="1"/>
      <c r="WCP122" s="1"/>
      <c r="WCQ122" s="1"/>
      <c r="WCR122" s="1"/>
      <c r="WCS122" s="1"/>
      <c r="WCT122" s="1"/>
      <c r="WCU122" s="1"/>
      <c r="WCV122" s="1"/>
      <c r="WCW122" s="1"/>
      <c r="WCX122" s="1"/>
      <c r="WCY122" s="1"/>
      <c r="WCZ122" s="1"/>
      <c r="WDA122" s="1"/>
      <c r="WDB122" s="1"/>
      <c r="WDC122" s="1"/>
      <c r="WDD122" s="1"/>
      <c r="WDE122" s="1"/>
      <c r="WDF122" s="1"/>
      <c r="WDG122" s="1"/>
      <c r="WDH122" s="1"/>
      <c r="WDI122" s="1"/>
      <c r="WDJ122" s="1"/>
      <c r="WDK122" s="1"/>
      <c r="WDL122" s="1"/>
      <c r="WDM122" s="1"/>
      <c r="WDN122" s="1"/>
      <c r="WDO122" s="1"/>
      <c r="WDP122" s="1"/>
      <c r="WDQ122" s="1"/>
      <c r="WDR122" s="1"/>
      <c r="WDS122" s="1"/>
      <c r="WDT122" s="1"/>
      <c r="WDU122" s="1"/>
      <c r="WDV122" s="1"/>
      <c r="WDW122" s="1"/>
      <c r="WDX122" s="1"/>
      <c r="WDY122" s="1"/>
      <c r="WDZ122" s="1"/>
      <c r="WEA122" s="1"/>
      <c r="WEB122" s="1"/>
      <c r="WEC122" s="1"/>
      <c r="WED122" s="1"/>
      <c r="WEE122" s="1"/>
      <c r="WEF122" s="1"/>
      <c r="WEG122" s="1"/>
      <c r="WEH122" s="1"/>
      <c r="WEI122" s="1"/>
      <c r="WEJ122" s="1"/>
      <c r="WEK122" s="1"/>
      <c r="WEL122" s="1"/>
      <c r="WEM122" s="1"/>
      <c r="WEN122" s="1"/>
      <c r="WEO122" s="1"/>
      <c r="WEP122" s="1"/>
      <c r="WEQ122" s="1"/>
      <c r="WER122" s="1"/>
      <c r="WES122" s="1"/>
      <c r="WET122" s="1"/>
      <c r="WEU122" s="1"/>
      <c r="WEV122" s="1"/>
      <c r="WEW122" s="1"/>
      <c r="WEX122" s="1"/>
      <c r="WEY122" s="1"/>
      <c r="WEZ122" s="1"/>
      <c r="WFA122" s="1"/>
      <c r="WFB122" s="1"/>
      <c r="WFC122" s="1"/>
      <c r="WFD122" s="1"/>
      <c r="WFE122" s="1"/>
      <c r="WFF122" s="1"/>
      <c r="WFG122" s="1"/>
      <c r="WFH122" s="1"/>
      <c r="WFI122" s="1"/>
      <c r="WFJ122" s="1"/>
      <c r="WFK122" s="1"/>
      <c r="WFL122" s="1"/>
      <c r="WFM122" s="1"/>
      <c r="WFN122" s="1"/>
      <c r="WFO122" s="1"/>
      <c r="WFP122" s="1"/>
      <c r="WFQ122" s="1"/>
      <c r="WFR122" s="1"/>
      <c r="WFS122" s="1"/>
      <c r="WFT122" s="1"/>
      <c r="WFU122" s="1"/>
      <c r="WFV122" s="1"/>
      <c r="WFW122" s="1"/>
      <c r="WFX122" s="1"/>
      <c r="WFY122" s="1"/>
      <c r="WFZ122" s="1"/>
      <c r="WGA122" s="1"/>
      <c r="WGB122" s="1"/>
      <c r="WGC122" s="1"/>
      <c r="WGD122" s="1"/>
      <c r="WGE122" s="1"/>
      <c r="WGF122" s="1"/>
      <c r="WGG122" s="1"/>
      <c r="WGH122" s="1"/>
      <c r="WGI122" s="1"/>
      <c r="WGJ122" s="1"/>
      <c r="WGK122" s="1"/>
      <c r="WGL122" s="1"/>
      <c r="WGM122" s="1"/>
      <c r="WGN122" s="1"/>
      <c r="WGO122" s="1"/>
      <c r="WGP122" s="1"/>
      <c r="WGQ122" s="1"/>
      <c r="WGR122" s="1"/>
      <c r="WGS122" s="1"/>
      <c r="WGT122" s="1"/>
      <c r="WGU122" s="1"/>
      <c r="WGV122" s="1"/>
      <c r="WGW122" s="1"/>
      <c r="WGX122" s="1"/>
      <c r="WGY122" s="1"/>
      <c r="WGZ122" s="1"/>
      <c r="WHA122" s="1"/>
      <c r="WHB122" s="1"/>
      <c r="WHC122" s="1"/>
      <c r="WHD122" s="1"/>
      <c r="WHE122" s="1"/>
      <c r="WHF122" s="1"/>
      <c r="WHG122" s="1"/>
      <c r="WHH122" s="1"/>
      <c r="WHI122" s="1"/>
      <c r="WHJ122" s="1"/>
      <c r="WHK122" s="1"/>
      <c r="WHL122" s="1"/>
      <c r="WHM122" s="1"/>
      <c r="WHN122" s="1"/>
      <c r="WHO122" s="1"/>
      <c r="WHP122" s="1"/>
      <c r="WHQ122" s="1"/>
      <c r="WHR122" s="1"/>
      <c r="WHS122" s="1"/>
      <c r="WHT122" s="1"/>
      <c r="WHU122" s="1"/>
      <c r="WHV122" s="1"/>
      <c r="WHW122" s="1"/>
      <c r="WHX122" s="1"/>
      <c r="WHY122" s="1"/>
      <c r="WHZ122" s="1"/>
      <c r="WIA122" s="1"/>
      <c r="WIB122" s="1"/>
      <c r="WIC122" s="1"/>
      <c r="WID122" s="1"/>
      <c r="WIE122" s="1"/>
      <c r="WIF122" s="1"/>
      <c r="WIG122" s="1"/>
      <c r="WIH122" s="1"/>
      <c r="WII122" s="1"/>
      <c r="WIJ122" s="1"/>
      <c r="WIK122" s="1"/>
      <c r="WIL122" s="1"/>
      <c r="WIM122" s="1"/>
      <c r="WIN122" s="1"/>
      <c r="WIO122" s="1"/>
      <c r="WIP122" s="1"/>
      <c r="WIQ122" s="1"/>
      <c r="WIR122" s="1"/>
      <c r="WIS122" s="1"/>
      <c r="WIT122" s="1"/>
      <c r="WIU122" s="1"/>
      <c r="WIV122" s="1"/>
      <c r="WIW122" s="1"/>
      <c r="WIX122" s="1"/>
      <c r="WIY122" s="1"/>
      <c r="WIZ122" s="1"/>
      <c r="WJA122" s="1"/>
      <c r="WJB122" s="1"/>
      <c r="WJC122" s="1"/>
      <c r="WJD122" s="1"/>
      <c r="WJE122" s="1"/>
      <c r="WJF122" s="1"/>
      <c r="WJG122" s="1"/>
      <c r="WJH122" s="1"/>
      <c r="WJI122" s="1"/>
      <c r="WJJ122" s="1"/>
      <c r="WJK122" s="1"/>
      <c r="WJL122" s="1"/>
      <c r="WJM122" s="1"/>
      <c r="WJN122" s="1"/>
      <c r="WJO122" s="1"/>
      <c r="WJP122" s="1"/>
      <c r="WJQ122" s="1"/>
      <c r="WJR122" s="1"/>
      <c r="WJS122" s="1"/>
      <c r="WJT122" s="1"/>
      <c r="WJU122" s="1"/>
      <c r="WJV122" s="1"/>
      <c r="WJW122" s="1"/>
      <c r="WJX122" s="1"/>
      <c r="WJY122" s="1"/>
      <c r="WJZ122" s="1"/>
      <c r="WKA122" s="1"/>
      <c r="WKB122" s="1"/>
      <c r="WKC122" s="1"/>
      <c r="WKD122" s="1"/>
      <c r="WKE122" s="1"/>
      <c r="WKF122" s="1"/>
      <c r="WKG122" s="1"/>
      <c r="WKH122" s="1"/>
      <c r="WKI122" s="1"/>
      <c r="WKJ122" s="1"/>
      <c r="WKK122" s="1"/>
      <c r="WKL122" s="1"/>
      <c r="WKM122" s="1"/>
      <c r="WKN122" s="1"/>
      <c r="WKO122" s="1"/>
      <c r="WKP122" s="1"/>
      <c r="WKQ122" s="1"/>
      <c r="WKR122" s="1"/>
      <c r="WKS122" s="1"/>
      <c r="WKT122" s="1"/>
      <c r="WKU122" s="1"/>
      <c r="WKV122" s="1"/>
      <c r="WKW122" s="1"/>
      <c r="WKX122" s="1"/>
      <c r="WKY122" s="1"/>
      <c r="WKZ122" s="1"/>
      <c r="WLA122" s="1"/>
      <c r="WLB122" s="1"/>
      <c r="WLC122" s="1"/>
      <c r="WLD122" s="1"/>
      <c r="WLE122" s="1"/>
      <c r="WLF122" s="1"/>
      <c r="WLG122" s="1"/>
      <c r="WLH122" s="1"/>
      <c r="WLI122" s="1"/>
      <c r="WLJ122" s="1"/>
      <c r="WLK122" s="1"/>
      <c r="WLL122" s="1"/>
      <c r="WLM122" s="1"/>
      <c r="WLN122" s="1"/>
      <c r="WLO122" s="1"/>
      <c r="WLP122" s="1"/>
      <c r="WLQ122" s="1"/>
      <c r="WLR122" s="1"/>
      <c r="WLS122" s="1"/>
      <c r="WLT122" s="1"/>
      <c r="WLU122" s="1"/>
      <c r="WLV122" s="1"/>
      <c r="WLW122" s="1"/>
      <c r="WLX122" s="1"/>
      <c r="WLY122" s="1"/>
      <c r="WLZ122" s="1"/>
      <c r="WMA122" s="1"/>
      <c r="WMB122" s="1"/>
      <c r="WMC122" s="1"/>
      <c r="WMD122" s="1"/>
      <c r="WME122" s="1"/>
      <c r="WMF122" s="1"/>
      <c r="WMG122" s="1"/>
      <c r="WMH122" s="1"/>
      <c r="WMI122" s="1"/>
      <c r="WMJ122" s="1"/>
      <c r="WMK122" s="1"/>
      <c r="WML122" s="1"/>
      <c r="WMM122" s="1"/>
      <c r="WMN122" s="1"/>
      <c r="WMO122" s="1"/>
      <c r="WMP122" s="1"/>
      <c r="WMQ122" s="1"/>
      <c r="WMR122" s="1"/>
      <c r="WMS122" s="1"/>
      <c r="WMT122" s="1"/>
      <c r="WMU122" s="1"/>
      <c r="WMV122" s="1"/>
      <c r="WMW122" s="1"/>
      <c r="WMX122" s="1"/>
      <c r="WMY122" s="1"/>
      <c r="WMZ122" s="1"/>
      <c r="WNA122" s="1"/>
      <c r="WNB122" s="1"/>
      <c r="WNC122" s="1"/>
      <c r="WND122" s="1"/>
      <c r="WNE122" s="1"/>
      <c r="WNF122" s="1"/>
      <c r="WNG122" s="1"/>
      <c r="WNH122" s="1"/>
      <c r="WNI122" s="1"/>
      <c r="WNJ122" s="1"/>
      <c r="WNK122" s="1"/>
      <c r="WNL122" s="1"/>
      <c r="WNM122" s="1"/>
      <c r="WNN122" s="1"/>
      <c r="WNO122" s="1"/>
      <c r="WNP122" s="1"/>
      <c r="WNQ122" s="1"/>
      <c r="WNR122" s="1"/>
      <c r="WNS122" s="1"/>
      <c r="WNT122" s="1"/>
      <c r="WNU122" s="1"/>
      <c r="WNV122" s="1"/>
      <c r="WNW122" s="1"/>
      <c r="WNX122" s="1"/>
      <c r="WNY122" s="1"/>
      <c r="WNZ122" s="1"/>
      <c r="WOA122" s="1"/>
      <c r="WOB122" s="1"/>
      <c r="WOC122" s="1"/>
      <c r="WOD122" s="1"/>
      <c r="WOE122" s="1"/>
      <c r="WOF122" s="1"/>
      <c r="WOG122" s="1"/>
      <c r="WOH122" s="1"/>
      <c r="WOI122" s="1"/>
      <c r="WOJ122" s="1"/>
      <c r="WOK122" s="1"/>
      <c r="WOL122" s="1"/>
      <c r="WOM122" s="1"/>
      <c r="WON122" s="1"/>
      <c r="WOO122" s="1"/>
      <c r="WOP122" s="1"/>
      <c r="WOQ122" s="1"/>
      <c r="WOR122" s="1"/>
      <c r="WOS122" s="1"/>
      <c r="WOT122" s="1"/>
      <c r="WOU122" s="1"/>
      <c r="WOV122" s="1"/>
      <c r="WOW122" s="1"/>
      <c r="WOX122" s="1"/>
      <c r="WOY122" s="1"/>
      <c r="WOZ122" s="1"/>
      <c r="WPA122" s="1"/>
      <c r="WPB122" s="1"/>
      <c r="WPC122" s="1"/>
      <c r="WPD122" s="1"/>
      <c r="WPE122" s="1"/>
      <c r="WPF122" s="1"/>
      <c r="WPG122" s="1"/>
      <c r="WPH122" s="1"/>
      <c r="WPI122" s="1"/>
      <c r="WPJ122" s="1"/>
      <c r="WPK122" s="1"/>
      <c r="WPL122" s="1"/>
      <c r="WPM122" s="1"/>
      <c r="WPN122" s="1"/>
      <c r="WPO122" s="1"/>
      <c r="WPP122" s="1"/>
      <c r="WPQ122" s="1"/>
      <c r="WPR122" s="1"/>
      <c r="WPS122" s="1"/>
      <c r="WPT122" s="1"/>
      <c r="WPU122" s="1"/>
      <c r="WPV122" s="1"/>
      <c r="WPW122" s="1"/>
      <c r="WPX122" s="1"/>
      <c r="WPY122" s="1"/>
      <c r="WPZ122" s="1"/>
      <c r="WQA122" s="1"/>
      <c r="WQB122" s="1"/>
      <c r="WQC122" s="1"/>
      <c r="WQD122" s="1"/>
      <c r="WQE122" s="1"/>
      <c r="WQF122" s="1"/>
      <c r="WQG122" s="1"/>
      <c r="WQH122" s="1"/>
      <c r="WQI122" s="1"/>
      <c r="WQJ122" s="1"/>
      <c r="WQK122" s="1"/>
      <c r="WQL122" s="1"/>
      <c r="WQM122" s="1"/>
      <c r="WQN122" s="1"/>
      <c r="WQO122" s="1"/>
      <c r="WQP122" s="1"/>
      <c r="WQQ122" s="1"/>
      <c r="WQR122" s="1"/>
      <c r="WQS122" s="1"/>
      <c r="WQT122" s="1"/>
      <c r="WQU122" s="1"/>
      <c r="WQV122" s="1"/>
      <c r="WQW122" s="1"/>
      <c r="WQX122" s="1"/>
      <c r="WQY122" s="1"/>
      <c r="WQZ122" s="1"/>
      <c r="WRA122" s="1"/>
      <c r="WRB122" s="1"/>
      <c r="WRC122" s="1"/>
      <c r="WRD122" s="1"/>
      <c r="WRE122" s="1"/>
      <c r="WRF122" s="1"/>
      <c r="WRG122" s="1"/>
      <c r="WRH122" s="1"/>
      <c r="WRI122" s="1"/>
      <c r="WRJ122" s="1"/>
      <c r="WRK122" s="1"/>
      <c r="WRL122" s="1"/>
      <c r="WRM122" s="1"/>
      <c r="WRN122" s="1"/>
      <c r="WRO122" s="1"/>
      <c r="WRP122" s="1"/>
      <c r="WRQ122" s="1"/>
      <c r="WRR122" s="1"/>
      <c r="WRS122" s="1"/>
      <c r="WRT122" s="1"/>
      <c r="WRU122" s="1"/>
      <c r="WRV122" s="1"/>
      <c r="WRW122" s="1"/>
      <c r="WRX122" s="1"/>
      <c r="WRY122" s="1"/>
      <c r="WRZ122" s="1"/>
      <c r="WSA122" s="1"/>
      <c r="WSB122" s="1"/>
      <c r="WSC122" s="1"/>
      <c r="WSD122" s="1"/>
      <c r="WSE122" s="1"/>
      <c r="WSF122" s="1"/>
      <c r="WSG122" s="1"/>
      <c r="WSH122" s="1"/>
      <c r="WSI122" s="1"/>
      <c r="WSJ122" s="1"/>
      <c r="WSK122" s="1"/>
      <c r="WSL122" s="1"/>
      <c r="WSM122" s="1"/>
      <c r="WSN122" s="1"/>
      <c r="WSO122" s="1"/>
      <c r="WSP122" s="1"/>
      <c r="WSQ122" s="1"/>
      <c r="WSR122" s="1"/>
      <c r="WSS122" s="1"/>
      <c r="WST122" s="1"/>
      <c r="WSU122" s="1"/>
      <c r="WSV122" s="1"/>
      <c r="WSW122" s="1"/>
      <c r="WSX122" s="1"/>
      <c r="WSY122" s="1"/>
      <c r="WSZ122" s="1"/>
      <c r="WTA122" s="1"/>
      <c r="WTB122" s="1"/>
      <c r="WTC122" s="1"/>
      <c r="WTD122" s="1"/>
      <c r="WTE122" s="1"/>
      <c r="WTF122" s="1"/>
      <c r="WTG122" s="1"/>
      <c r="WTH122" s="1"/>
      <c r="WTI122" s="1"/>
      <c r="WTJ122" s="1"/>
      <c r="WTK122" s="1"/>
      <c r="WTL122" s="1"/>
      <c r="WTM122" s="1"/>
      <c r="WTN122" s="1"/>
      <c r="WTO122" s="1"/>
      <c r="WTP122" s="1"/>
      <c r="WTQ122" s="1"/>
      <c r="WTR122" s="1"/>
      <c r="WTS122" s="1"/>
      <c r="WTT122" s="1"/>
      <c r="WTU122" s="1"/>
      <c r="WTV122" s="1"/>
      <c r="WTW122" s="1"/>
      <c r="WTX122" s="1"/>
      <c r="WTY122" s="1"/>
      <c r="WTZ122" s="1"/>
      <c r="WUA122" s="1"/>
      <c r="WUB122" s="1"/>
      <c r="WUC122" s="1"/>
      <c r="WUD122" s="1"/>
      <c r="WUE122" s="1"/>
      <c r="WUF122" s="1"/>
      <c r="WUG122" s="1"/>
      <c r="WUH122" s="1"/>
      <c r="WUI122" s="1"/>
      <c r="WUJ122" s="1"/>
      <c r="WUK122" s="1"/>
      <c r="WUL122" s="1"/>
      <c r="WUM122" s="1"/>
      <c r="WUN122" s="1"/>
      <c r="WUO122" s="1"/>
      <c r="WUP122" s="1"/>
      <c r="WUQ122" s="1"/>
      <c r="WUR122" s="1"/>
      <c r="WUS122" s="1"/>
      <c r="WUT122" s="1"/>
      <c r="WUU122" s="1"/>
      <c r="WUV122" s="1"/>
      <c r="WUW122" s="1"/>
      <c r="WUX122" s="1"/>
      <c r="WUY122" s="1"/>
      <c r="WUZ122" s="1"/>
      <c r="WVA122" s="1"/>
      <c r="WVB122" s="1"/>
      <c r="WVC122" s="1"/>
      <c r="WVD122" s="1"/>
      <c r="WVE122" s="1"/>
      <c r="WVF122" s="1"/>
      <c r="WVG122" s="1"/>
      <c r="WVH122" s="1"/>
      <c r="WVI122" s="1"/>
      <c r="WVJ122" s="1"/>
      <c r="WVK122" s="1"/>
      <c r="WVL122" s="1"/>
      <c r="WVM122" s="1"/>
      <c r="WVN122" s="1"/>
      <c r="WVO122" s="1"/>
      <c r="WVP122" s="1"/>
      <c r="WVQ122" s="1"/>
      <c r="WVR122" s="1"/>
      <c r="WVS122" s="1"/>
      <c r="WVT122" s="1"/>
      <c r="WVU122" s="1"/>
      <c r="WVV122" s="1"/>
      <c r="WVW122" s="1"/>
      <c r="WVX122" s="1"/>
      <c r="WVY122" s="1"/>
      <c r="WVZ122" s="1"/>
      <c r="WWA122" s="1"/>
      <c r="WWB122" s="1"/>
      <c r="WWC122" s="1"/>
      <c r="WWD122" s="1"/>
      <c r="WWE122" s="1"/>
      <c r="WWF122" s="1"/>
      <c r="WWG122" s="1"/>
      <c r="WWH122" s="1"/>
      <c r="WWI122" s="1"/>
      <c r="WWJ122" s="1"/>
      <c r="WWK122" s="1"/>
      <c r="WWL122" s="1"/>
      <c r="WWM122" s="1"/>
      <c r="WWN122" s="1"/>
      <c r="WWO122" s="1"/>
      <c r="WWP122" s="1"/>
      <c r="WWQ122" s="1"/>
      <c r="WWR122" s="1"/>
      <c r="WWS122" s="1"/>
      <c r="WWT122" s="1"/>
      <c r="WWU122" s="1"/>
      <c r="WWV122" s="1"/>
      <c r="WWW122" s="1"/>
      <c r="WWX122" s="1"/>
      <c r="WWY122" s="1"/>
      <c r="WWZ122" s="1"/>
      <c r="WXA122" s="1"/>
      <c r="WXB122" s="1"/>
      <c r="WXC122" s="1"/>
      <c r="WXD122" s="1"/>
      <c r="WXE122" s="1"/>
      <c r="WXF122" s="1"/>
      <c r="WXG122" s="1"/>
      <c r="WXH122" s="1"/>
      <c r="WXI122" s="1"/>
      <c r="WXJ122" s="1"/>
      <c r="WXK122" s="1"/>
      <c r="WXL122" s="1"/>
      <c r="WXM122" s="1"/>
      <c r="WXN122" s="1"/>
      <c r="WXO122" s="1"/>
      <c r="WXP122" s="1"/>
      <c r="WXQ122" s="1"/>
      <c r="WXR122" s="1"/>
      <c r="WXS122" s="1"/>
      <c r="WXT122" s="1"/>
      <c r="WXU122" s="1"/>
      <c r="WXV122" s="1"/>
      <c r="WXW122" s="1"/>
      <c r="WXX122" s="1"/>
      <c r="WXY122" s="1"/>
      <c r="WXZ122" s="1"/>
      <c r="WYA122" s="1"/>
      <c r="WYB122" s="1"/>
      <c r="WYC122" s="1"/>
      <c r="WYD122" s="1"/>
      <c r="WYE122" s="1"/>
      <c r="WYF122" s="1"/>
      <c r="WYG122" s="1"/>
      <c r="WYH122" s="1"/>
      <c r="WYI122" s="1"/>
      <c r="WYJ122" s="1"/>
      <c r="WYK122" s="1"/>
      <c r="WYL122" s="1"/>
      <c r="WYM122" s="1"/>
      <c r="WYN122" s="1"/>
      <c r="WYO122" s="1"/>
      <c r="WYP122" s="1"/>
      <c r="WYQ122" s="1"/>
      <c r="WYR122" s="1"/>
      <c r="WYS122" s="1"/>
      <c r="WYT122" s="1"/>
      <c r="WYU122" s="1"/>
      <c r="WYV122" s="1"/>
      <c r="WYW122" s="1"/>
      <c r="WYX122" s="1"/>
      <c r="WYY122" s="1"/>
      <c r="WYZ122" s="1"/>
      <c r="WZA122" s="1"/>
      <c r="WZB122" s="1"/>
      <c r="WZC122" s="1"/>
      <c r="WZD122" s="1"/>
      <c r="WZE122" s="1"/>
      <c r="WZF122" s="1"/>
      <c r="WZG122" s="1"/>
      <c r="WZH122" s="1"/>
      <c r="WZI122" s="1"/>
      <c r="WZJ122" s="1"/>
      <c r="WZK122" s="1"/>
      <c r="WZL122" s="1"/>
      <c r="WZM122" s="1"/>
      <c r="WZN122" s="1"/>
      <c r="WZO122" s="1"/>
      <c r="WZP122" s="1"/>
      <c r="WZQ122" s="1"/>
      <c r="WZR122" s="1"/>
      <c r="WZS122" s="1"/>
      <c r="WZT122" s="1"/>
      <c r="WZU122" s="1"/>
      <c r="WZV122" s="1"/>
      <c r="WZW122" s="1"/>
      <c r="WZX122" s="1"/>
      <c r="WZY122" s="1"/>
      <c r="WZZ122" s="1"/>
      <c r="XAA122" s="1"/>
      <c r="XAB122" s="1"/>
      <c r="XAC122" s="1"/>
      <c r="XAD122" s="1"/>
      <c r="XAE122" s="1"/>
      <c r="XAF122" s="1"/>
      <c r="XAG122" s="1"/>
      <c r="XAH122" s="1"/>
      <c r="XAI122" s="1"/>
      <c r="XAJ122" s="1"/>
      <c r="XAK122" s="1"/>
      <c r="XAL122" s="1"/>
      <c r="XAM122" s="1"/>
      <c r="XAN122" s="1"/>
      <c r="XAO122" s="1"/>
      <c r="XAP122" s="1"/>
      <c r="XAQ122" s="1"/>
      <c r="XAR122" s="1"/>
      <c r="XAS122" s="1"/>
      <c r="XAT122" s="1"/>
      <c r="XAU122" s="1"/>
      <c r="XAV122" s="1"/>
      <c r="XAW122" s="1"/>
      <c r="XAX122" s="1"/>
      <c r="XAY122" s="1"/>
      <c r="XAZ122" s="1"/>
      <c r="XBA122" s="1"/>
      <c r="XBB122" s="1"/>
      <c r="XBC122" s="1"/>
      <c r="XBD122" s="1"/>
      <c r="XBE122" s="1"/>
      <c r="XBF122" s="1"/>
      <c r="XBG122" s="1"/>
      <c r="XBH122" s="1"/>
      <c r="XBI122" s="1"/>
      <c r="XBJ122" s="1"/>
      <c r="XBK122" s="1"/>
      <c r="XBL122" s="1"/>
      <c r="XBM122" s="1"/>
      <c r="XBN122" s="1"/>
      <c r="XBO122" s="1"/>
      <c r="XBP122" s="1"/>
      <c r="XBQ122" s="1"/>
      <c r="XBR122" s="1"/>
      <c r="XBS122" s="1"/>
      <c r="XBT122" s="1"/>
      <c r="XBU122" s="1"/>
      <c r="XBV122" s="1"/>
      <c r="XBW122" s="1"/>
      <c r="XBX122" s="1"/>
      <c r="XBY122" s="1"/>
      <c r="XBZ122" s="1"/>
      <c r="XCA122" s="1"/>
      <c r="XCB122" s="1"/>
      <c r="XCC122" s="1"/>
      <c r="XCD122" s="1"/>
      <c r="XCE122" s="1"/>
      <c r="XCF122" s="1"/>
      <c r="XCG122" s="1"/>
      <c r="XCH122" s="1"/>
      <c r="XCI122" s="1"/>
      <c r="XCJ122" s="1"/>
      <c r="XCK122" s="1"/>
      <c r="XCL122" s="1"/>
      <c r="XCM122" s="1"/>
      <c r="XCN122" s="1"/>
      <c r="XCO122" s="1"/>
      <c r="XCP122" s="1"/>
      <c r="XCQ122" s="1"/>
      <c r="XCR122" s="1"/>
      <c r="XCS122" s="1"/>
      <c r="XCT122" s="1"/>
      <c r="XCU122" s="1"/>
      <c r="XCV122" s="1"/>
      <c r="XCW122" s="1"/>
      <c r="XCX122" s="1"/>
      <c r="XCY122" s="1"/>
      <c r="XCZ122" s="1"/>
      <c r="XDA122" s="1"/>
      <c r="XDB122" s="1"/>
      <c r="XDC122" s="1"/>
      <c r="XDD122" s="1"/>
      <c r="XDE122" s="1"/>
      <c r="XDF122" s="1"/>
      <c r="XDG122" s="1"/>
      <c r="XDH122" s="1"/>
      <c r="XDI122" s="1"/>
      <c r="XDJ122" s="1"/>
      <c r="XDK122" s="1"/>
      <c r="XDL122" s="1"/>
      <c r="XDM122" s="1"/>
      <c r="XDN122" s="1"/>
      <c r="XDO122" s="1"/>
      <c r="XDP122" s="1"/>
      <c r="XDQ122" s="1"/>
      <c r="XDR122" s="1"/>
      <c r="XDS122" s="1"/>
      <c r="XDT122" s="1"/>
      <c r="XDU122" s="1"/>
      <c r="XDV122" s="1"/>
      <c r="XDW122" s="1"/>
      <c r="XDX122" s="1"/>
      <c r="XDY122" s="1"/>
      <c r="XDZ122" s="1"/>
      <c r="XEA122" s="1"/>
      <c r="XEB122" s="1"/>
      <c r="XEC122" s="1"/>
      <c r="XED122" s="1"/>
      <c r="XEE122" s="1"/>
      <c r="XEF122" s="1"/>
      <c r="XEG122" s="1"/>
      <c r="XEH122" s="1"/>
      <c r="XEI122" s="1"/>
      <c r="XEJ122" s="1"/>
      <c r="XEK122" s="1"/>
      <c r="XEL122" s="1"/>
      <c r="XEM122" s="1"/>
      <c r="XEN122" s="1"/>
      <c r="XEO122" s="1"/>
      <c r="XEP122" s="1"/>
      <c r="XEQ122" s="1"/>
      <c r="XER122" s="1"/>
      <c r="XES122" s="1"/>
      <c r="XET122" s="1"/>
      <c r="XEU122" s="1"/>
      <c r="XEV122" s="1"/>
      <c r="XEW122" s="1"/>
      <c r="XEX122" s="1"/>
      <c r="XEY122" s="1"/>
      <c r="XEZ122" s="1"/>
      <c r="XFA122" s="1"/>
      <c r="XFB122" s="1"/>
      <c r="XFC122" s="1"/>
      <c r="XFD122" s="1"/>
    </row>
    <row r="123" spans="2:16384" s="21" customFormat="1" ht="9.9499999999999993" customHeight="1" x14ac:dyDescent="0.25">
      <c r="B123" s="199"/>
      <c r="C123" s="199"/>
      <c r="D123" s="199"/>
      <c r="E123" s="199"/>
      <c r="F123" s="199"/>
      <c r="G123" s="199"/>
      <c r="H123" s="199"/>
      <c r="I123" s="200"/>
      <c r="J123" s="200"/>
      <c r="K123" s="199"/>
      <c r="L123" s="199"/>
      <c r="M123" s="199"/>
      <c r="N123" s="199"/>
      <c r="O123" s="199"/>
      <c r="P123" s="199"/>
      <c r="Q123" s="199"/>
      <c r="R123" s="199"/>
      <c r="S123" s="199"/>
      <c r="T123" s="199"/>
      <c r="U123" s="199"/>
      <c r="V123" s="199"/>
      <c r="W123" s="204"/>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1"/>
      <c r="YB123" s="1"/>
      <c r="YC123" s="1"/>
      <c r="YD123" s="1"/>
      <c r="YE123" s="1"/>
      <c r="YF123" s="1"/>
      <c r="YG123" s="1"/>
      <c r="YH123" s="1"/>
      <c r="YI123" s="1"/>
      <c r="YJ123" s="1"/>
      <c r="YK123" s="1"/>
      <c r="YL123" s="1"/>
      <c r="YM123" s="1"/>
      <c r="YN123" s="1"/>
      <c r="YO123" s="1"/>
      <c r="YP123" s="1"/>
      <c r="YQ123" s="1"/>
      <c r="YR123" s="1"/>
      <c r="YS123" s="1"/>
      <c r="YT123" s="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1"/>
      <c r="ACI123" s="1"/>
      <c r="ACJ123" s="1"/>
      <c r="ACK123" s="1"/>
      <c r="ACL123" s="1"/>
      <c r="ACM123" s="1"/>
      <c r="ACN123" s="1"/>
      <c r="ACO123" s="1"/>
      <c r="ACP123" s="1"/>
      <c r="ACQ123" s="1"/>
      <c r="ACR123" s="1"/>
      <c r="ACS123" s="1"/>
      <c r="ACT123" s="1"/>
      <c r="ACU123" s="1"/>
      <c r="ACV123" s="1"/>
      <c r="ACW123" s="1"/>
      <c r="ACX123" s="1"/>
      <c r="ACY123" s="1"/>
      <c r="ACZ123" s="1"/>
      <c r="ADA123" s="1"/>
      <c r="ADB123" s="1"/>
      <c r="ADC123" s="1"/>
      <c r="ADD123" s="1"/>
      <c r="ADE123" s="1"/>
      <c r="ADF123" s="1"/>
      <c r="ADG123" s="1"/>
      <c r="ADH123" s="1"/>
      <c r="ADI123" s="1"/>
      <c r="ADJ123" s="1"/>
      <c r="ADK123" s="1"/>
      <c r="ADL123" s="1"/>
      <c r="ADM123" s="1"/>
      <c r="ADN123" s="1"/>
      <c r="ADO123" s="1"/>
      <c r="ADP123" s="1"/>
      <c r="ADQ123" s="1"/>
      <c r="ADR123" s="1"/>
      <c r="ADS123" s="1"/>
      <c r="ADT123" s="1"/>
      <c r="ADU123" s="1"/>
      <c r="ADV123" s="1"/>
      <c r="ADW123" s="1"/>
      <c r="ADX123" s="1"/>
      <c r="ADY123" s="1"/>
      <c r="ADZ123" s="1"/>
      <c r="AEA123" s="1"/>
      <c r="AEB123" s="1"/>
      <c r="AEC123" s="1"/>
      <c r="AED123" s="1"/>
      <c r="AEE123" s="1"/>
      <c r="AEF123" s="1"/>
      <c r="AEG123" s="1"/>
      <c r="AEH123" s="1"/>
      <c r="AEI123" s="1"/>
      <c r="AEJ123" s="1"/>
      <c r="AEK123" s="1"/>
      <c r="AEL123" s="1"/>
      <c r="AEM123" s="1"/>
      <c r="AEN123" s="1"/>
      <c r="AEO123" s="1"/>
      <c r="AEP123" s="1"/>
      <c r="AEQ123" s="1"/>
      <c r="AER123" s="1"/>
      <c r="AES123" s="1"/>
      <c r="AET123" s="1"/>
      <c r="AEU123" s="1"/>
      <c r="AEV123" s="1"/>
      <c r="AEW123" s="1"/>
      <c r="AEX123" s="1"/>
      <c r="AEY123" s="1"/>
      <c r="AEZ123" s="1"/>
      <c r="AFA123" s="1"/>
      <c r="AFB123" s="1"/>
      <c r="AFC123" s="1"/>
      <c r="AFD123" s="1"/>
      <c r="AFE123" s="1"/>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1"/>
      <c r="AGN123" s="1"/>
      <c r="AGO123" s="1"/>
      <c r="AGP123" s="1"/>
      <c r="AGQ123" s="1"/>
      <c r="AGR123" s="1"/>
      <c r="AGS123" s="1"/>
      <c r="AGT123" s="1"/>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c r="BOB123" s="1"/>
      <c r="BOC123" s="1"/>
      <c r="BOD123" s="1"/>
      <c r="BOE123" s="1"/>
      <c r="BOF123" s="1"/>
      <c r="BOG123" s="1"/>
      <c r="BOH123" s="1"/>
      <c r="BOI123" s="1"/>
      <c r="BOJ123" s="1"/>
      <c r="BOK123" s="1"/>
      <c r="BOL123" s="1"/>
      <c r="BOM123" s="1"/>
      <c r="BON123" s="1"/>
      <c r="BOO123" s="1"/>
      <c r="BOP123" s="1"/>
      <c r="BOQ123" s="1"/>
      <c r="BOR123" s="1"/>
      <c r="BOS123" s="1"/>
      <c r="BOT123" s="1"/>
      <c r="BOU123" s="1"/>
      <c r="BOV123" s="1"/>
      <c r="BOW123" s="1"/>
      <c r="BOX123" s="1"/>
      <c r="BOY123" s="1"/>
      <c r="BOZ123" s="1"/>
      <c r="BPA123" s="1"/>
      <c r="BPB123" s="1"/>
      <c r="BPC123" s="1"/>
      <c r="BPD123" s="1"/>
      <c r="BPE123" s="1"/>
      <c r="BPF123" s="1"/>
      <c r="BPG123" s="1"/>
      <c r="BPH123" s="1"/>
      <c r="BPI123" s="1"/>
      <c r="BPJ123" s="1"/>
      <c r="BPK123" s="1"/>
      <c r="BPL123" s="1"/>
      <c r="BPM123" s="1"/>
      <c r="BPN123" s="1"/>
      <c r="BPO123" s="1"/>
      <c r="BPP123" s="1"/>
      <c r="BPQ123" s="1"/>
      <c r="BPR123" s="1"/>
      <c r="BPS123" s="1"/>
      <c r="BPT123" s="1"/>
      <c r="BPU123" s="1"/>
      <c r="BPV123" s="1"/>
      <c r="BPW123" s="1"/>
      <c r="BPX123" s="1"/>
      <c r="BPY123" s="1"/>
      <c r="BPZ123" s="1"/>
      <c r="BQA123" s="1"/>
      <c r="BQB123" s="1"/>
      <c r="BQC123" s="1"/>
      <c r="BQD123" s="1"/>
      <c r="BQE123" s="1"/>
      <c r="BQF123" s="1"/>
      <c r="BQG123" s="1"/>
      <c r="BQH123" s="1"/>
      <c r="BQI123" s="1"/>
      <c r="BQJ123" s="1"/>
      <c r="BQK123" s="1"/>
      <c r="BQL123" s="1"/>
      <c r="BQM123" s="1"/>
      <c r="BQN123" s="1"/>
      <c r="BQO123" s="1"/>
      <c r="BQP123" s="1"/>
      <c r="BQQ123" s="1"/>
      <c r="BQR123" s="1"/>
      <c r="BQS123" s="1"/>
      <c r="BQT123" s="1"/>
      <c r="BQU123" s="1"/>
      <c r="BQV123" s="1"/>
      <c r="BQW123" s="1"/>
      <c r="BQX123" s="1"/>
      <c r="BQY123" s="1"/>
      <c r="BQZ123" s="1"/>
      <c r="BRA123" s="1"/>
      <c r="BRB123" s="1"/>
      <c r="BRC123" s="1"/>
      <c r="BRD123" s="1"/>
      <c r="BRE123" s="1"/>
      <c r="BRF123" s="1"/>
      <c r="BRG123" s="1"/>
      <c r="BRH123" s="1"/>
      <c r="BRI123" s="1"/>
      <c r="BRJ123" s="1"/>
      <c r="BRK123" s="1"/>
      <c r="BRL123" s="1"/>
      <c r="BRM123" s="1"/>
      <c r="BRN123" s="1"/>
      <c r="BRO123" s="1"/>
      <c r="BRP123" s="1"/>
      <c r="BRQ123" s="1"/>
      <c r="BRR123" s="1"/>
      <c r="BRS123" s="1"/>
      <c r="BRT123" s="1"/>
      <c r="BRU123" s="1"/>
      <c r="BRV123" s="1"/>
      <c r="BRW123" s="1"/>
      <c r="BRX123" s="1"/>
      <c r="BRY123" s="1"/>
      <c r="BRZ123" s="1"/>
      <c r="BSA123" s="1"/>
      <c r="BSB123" s="1"/>
      <c r="BSC123" s="1"/>
      <c r="BSD123" s="1"/>
      <c r="BSE123" s="1"/>
      <c r="BSF123" s="1"/>
      <c r="BSG123" s="1"/>
      <c r="BSH123" s="1"/>
      <c r="BSI123" s="1"/>
      <c r="BSJ123" s="1"/>
      <c r="BSK123" s="1"/>
      <c r="BSL123" s="1"/>
      <c r="BSM123" s="1"/>
      <c r="BSN123" s="1"/>
      <c r="BSO123" s="1"/>
      <c r="BSP123" s="1"/>
      <c r="BSQ123" s="1"/>
      <c r="BSR123" s="1"/>
      <c r="BSS123" s="1"/>
      <c r="BST123" s="1"/>
      <c r="BSU123" s="1"/>
      <c r="BSV123" s="1"/>
      <c r="BSW123" s="1"/>
      <c r="BSX123" s="1"/>
      <c r="BSY123" s="1"/>
      <c r="BSZ123" s="1"/>
      <c r="BTA123" s="1"/>
      <c r="BTB123" s="1"/>
      <c r="BTC123" s="1"/>
      <c r="BTD123" s="1"/>
      <c r="BTE123" s="1"/>
      <c r="BTF123" s="1"/>
      <c r="BTG123" s="1"/>
      <c r="BTH123" s="1"/>
      <c r="BTI123" s="1"/>
      <c r="BTJ123" s="1"/>
      <c r="BTK123" s="1"/>
      <c r="BTL123" s="1"/>
      <c r="BTM123" s="1"/>
      <c r="BTN123" s="1"/>
      <c r="BTO123" s="1"/>
      <c r="BTP123" s="1"/>
      <c r="BTQ123" s="1"/>
      <c r="BTR123" s="1"/>
      <c r="BTS123" s="1"/>
      <c r="BTT123" s="1"/>
      <c r="BTU123" s="1"/>
      <c r="BTV123" s="1"/>
      <c r="BTW123" s="1"/>
      <c r="BTX123" s="1"/>
      <c r="BTY123" s="1"/>
      <c r="BTZ123" s="1"/>
      <c r="BUA123" s="1"/>
      <c r="BUB123" s="1"/>
      <c r="BUC123" s="1"/>
      <c r="BUD123" s="1"/>
      <c r="BUE123" s="1"/>
      <c r="BUF123" s="1"/>
      <c r="BUG123" s="1"/>
      <c r="BUH123" s="1"/>
      <c r="BUI123" s="1"/>
      <c r="BUJ123" s="1"/>
      <c r="BUK123" s="1"/>
      <c r="BUL123" s="1"/>
      <c r="BUM123" s="1"/>
      <c r="BUN123" s="1"/>
      <c r="BUO123" s="1"/>
      <c r="BUP123" s="1"/>
      <c r="BUQ123" s="1"/>
      <c r="BUR123" s="1"/>
      <c r="BUS123" s="1"/>
      <c r="BUT123" s="1"/>
      <c r="BUU123" s="1"/>
      <c r="BUV123" s="1"/>
      <c r="BUW123" s="1"/>
      <c r="BUX123" s="1"/>
      <c r="BUY123" s="1"/>
      <c r="BUZ123" s="1"/>
      <c r="BVA123" s="1"/>
      <c r="BVB123" s="1"/>
      <c r="BVC123" s="1"/>
      <c r="BVD123" s="1"/>
      <c r="BVE123" s="1"/>
      <c r="BVF123" s="1"/>
      <c r="BVG123" s="1"/>
      <c r="BVH123" s="1"/>
      <c r="BVI123" s="1"/>
      <c r="BVJ123" s="1"/>
      <c r="BVK123" s="1"/>
      <c r="BVL123" s="1"/>
      <c r="BVM123" s="1"/>
      <c r="BVN123" s="1"/>
      <c r="BVO123" s="1"/>
      <c r="BVP123" s="1"/>
      <c r="BVQ123" s="1"/>
      <c r="BVR123" s="1"/>
      <c r="BVS123" s="1"/>
      <c r="BVT123" s="1"/>
      <c r="BVU123" s="1"/>
      <c r="BVV123" s="1"/>
      <c r="BVW123" s="1"/>
      <c r="BVX123" s="1"/>
      <c r="BVY123" s="1"/>
      <c r="BVZ123" s="1"/>
      <c r="BWA123" s="1"/>
      <c r="BWB123" s="1"/>
      <c r="BWC123" s="1"/>
      <c r="BWD123" s="1"/>
      <c r="BWE123" s="1"/>
      <c r="BWF123" s="1"/>
      <c r="BWG123" s="1"/>
      <c r="BWH123" s="1"/>
      <c r="BWI123" s="1"/>
      <c r="BWJ123" s="1"/>
      <c r="BWK123" s="1"/>
      <c r="BWL123" s="1"/>
      <c r="BWM123" s="1"/>
      <c r="BWN123" s="1"/>
      <c r="BWO123" s="1"/>
      <c r="BWP123" s="1"/>
      <c r="BWQ123" s="1"/>
      <c r="BWR123" s="1"/>
      <c r="BWS123" s="1"/>
      <c r="BWT123" s="1"/>
      <c r="BWU123" s="1"/>
      <c r="BWV123" s="1"/>
      <c r="BWW123" s="1"/>
      <c r="BWX123" s="1"/>
      <c r="BWY123" s="1"/>
      <c r="BWZ123" s="1"/>
      <c r="BXA123" s="1"/>
      <c r="BXB123" s="1"/>
      <c r="BXC123" s="1"/>
      <c r="BXD123" s="1"/>
      <c r="BXE123" s="1"/>
      <c r="BXF123" s="1"/>
      <c r="BXG123" s="1"/>
      <c r="BXH123" s="1"/>
      <c r="BXI123" s="1"/>
      <c r="BXJ123" s="1"/>
      <c r="BXK123" s="1"/>
      <c r="BXL123" s="1"/>
      <c r="BXM123" s="1"/>
      <c r="BXN123" s="1"/>
      <c r="BXO123" s="1"/>
      <c r="BXP123" s="1"/>
      <c r="BXQ123" s="1"/>
      <c r="BXR123" s="1"/>
      <c r="BXS123" s="1"/>
      <c r="BXT123" s="1"/>
      <c r="BXU123" s="1"/>
      <c r="BXV123" s="1"/>
      <c r="BXW123" s="1"/>
      <c r="BXX123" s="1"/>
      <c r="BXY123" s="1"/>
      <c r="BXZ123" s="1"/>
      <c r="BYA123" s="1"/>
      <c r="BYB123" s="1"/>
      <c r="BYC123" s="1"/>
      <c r="BYD123" s="1"/>
      <c r="BYE123" s="1"/>
      <c r="BYF123" s="1"/>
      <c r="BYG123" s="1"/>
      <c r="BYH123" s="1"/>
      <c r="BYI123" s="1"/>
      <c r="BYJ123" s="1"/>
      <c r="BYK123" s="1"/>
      <c r="BYL123" s="1"/>
      <c r="BYM123" s="1"/>
      <c r="BYN123" s="1"/>
      <c r="BYO123" s="1"/>
      <c r="BYP123" s="1"/>
      <c r="BYQ123" s="1"/>
      <c r="BYR123" s="1"/>
      <c r="BYS123" s="1"/>
      <c r="BYT123" s="1"/>
      <c r="BYU123" s="1"/>
      <c r="BYV123" s="1"/>
      <c r="BYW123" s="1"/>
      <c r="BYX123" s="1"/>
      <c r="BYY123" s="1"/>
      <c r="BYZ123" s="1"/>
      <c r="BZA123" s="1"/>
      <c r="BZB123" s="1"/>
      <c r="BZC123" s="1"/>
      <c r="BZD123" s="1"/>
      <c r="BZE123" s="1"/>
      <c r="BZF123" s="1"/>
      <c r="BZG123" s="1"/>
      <c r="BZH123" s="1"/>
      <c r="BZI123" s="1"/>
      <c r="BZJ123" s="1"/>
      <c r="BZK123" s="1"/>
      <c r="BZL123" s="1"/>
      <c r="BZM123" s="1"/>
      <c r="BZN123" s="1"/>
      <c r="BZO123" s="1"/>
      <c r="BZP123" s="1"/>
      <c r="BZQ123" s="1"/>
      <c r="BZR123" s="1"/>
      <c r="BZS123" s="1"/>
      <c r="BZT123" s="1"/>
      <c r="BZU123" s="1"/>
      <c r="BZV123" s="1"/>
      <c r="BZW123" s="1"/>
      <c r="BZX123" s="1"/>
      <c r="BZY123" s="1"/>
      <c r="BZZ123" s="1"/>
      <c r="CAA123" s="1"/>
      <c r="CAB123" s="1"/>
      <c r="CAC123" s="1"/>
      <c r="CAD123" s="1"/>
      <c r="CAE123" s="1"/>
      <c r="CAF123" s="1"/>
      <c r="CAG123" s="1"/>
      <c r="CAH123" s="1"/>
      <c r="CAI123" s="1"/>
      <c r="CAJ123" s="1"/>
      <c r="CAK123" s="1"/>
      <c r="CAL123" s="1"/>
      <c r="CAM123" s="1"/>
      <c r="CAN123" s="1"/>
      <c r="CAO123" s="1"/>
      <c r="CAP123" s="1"/>
      <c r="CAQ123" s="1"/>
      <c r="CAR123" s="1"/>
      <c r="CAS123" s="1"/>
      <c r="CAT123" s="1"/>
      <c r="CAU123" s="1"/>
      <c r="CAV123" s="1"/>
      <c r="CAW123" s="1"/>
      <c r="CAX123" s="1"/>
      <c r="CAY123" s="1"/>
      <c r="CAZ123" s="1"/>
      <c r="CBA123" s="1"/>
      <c r="CBB123" s="1"/>
      <c r="CBC123" s="1"/>
      <c r="CBD123" s="1"/>
      <c r="CBE123" s="1"/>
      <c r="CBF123" s="1"/>
      <c r="CBG123" s="1"/>
      <c r="CBH123" s="1"/>
      <c r="CBI123" s="1"/>
      <c r="CBJ123" s="1"/>
      <c r="CBK123" s="1"/>
      <c r="CBL123" s="1"/>
      <c r="CBM123" s="1"/>
      <c r="CBN123" s="1"/>
      <c r="CBO123" s="1"/>
      <c r="CBP123" s="1"/>
      <c r="CBQ123" s="1"/>
      <c r="CBR123" s="1"/>
      <c r="CBS123" s="1"/>
      <c r="CBT123" s="1"/>
      <c r="CBU123" s="1"/>
      <c r="CBV123" s="1"/>
      <c r="CBW123" s="1"/>
      <c r="CBX123" s="1"/>
      <c r="CBY123" s="1"/>
      <c r="CBZ123" s="1"/>
      <c r="CCA123" s="1"/>
      <c r="CCB123" s="1"/>
      <c r="CCC123" s="1"/>
      <c r="CCD123" s="1"/>
      <c r="CCE123" s="1"/>
      <c r="CCF123" s="1"/>
      <c r="CCG123" s="1"/>
      <c r="CCH123" s="1"/>
      <c r="CCI123" s="1"/>
      <c r="CCJ123" s="1"/>
      <c r="CCK123" s="1"/>
      <c r="CCL123" s="1"/>
      <c r="CCM123" s="1"/>
      <c r="CCN123" s="1"/>
      <c r="CCO123" s="1"/>
      <c r="CCP123" s="1"/>
      <c r="CCQ123" s="1"/>
      <c r="CCR123" s="1"/>
      <c r="CCS123" s="1"/>
      <c r="CCT123" s="1"/>
      <c r="CCU123" s="1"/>
      <c r="CCV123" s="1"/>
      <c r="CCW123" s="1"/>
      <c r="CCX123" s="1"/>
      <c r="CCY123" s="1"/>
      <c r="CCZ123" s="1"/>
      <c r="CDA123" s="1"/>
      <c r="CDB123" s="1"/>
      <c r="CDC123" s="1"/>
      <c r="CDD123" s="1"/>
      <c r="CDE123" s="1"/>
      <c r="CDF123" s="1"/>
      <c r="CDG123" s="1"/>
      <c r="CDH123" s="1"/>
      <c r="CDI123" s="1"/>
      <c r="CDJ123" s="1"/>
      <c r="CDK123" s="1"/>
      <c r="CDL123" s="1"/>
      <c r="CDM123" s="1"/>
      <c r="CDN123" s="1"/>
      <c r="CDO123" s="1"/>
      <c r="CDP123" s="1"/>
      <c r="CDQ123" s="1"/>
      <c r="CDR123" s="1"/>
      <c r="CDS123" s="1"/>
      <c r="CDT123" s="1"/>
      <c r="CDU123" s="1"/>
      <c r="CDV123" s="1"/>
      <c r="CDW123" s="1"/>
      <c r="CDX123" s="1"/>
      <c r="CDY123" s="1"/>
      <c r="CDZ123" s="1"/>
      <c r="CEA123" s="1"/>
      <c r="CEB123" s="1"/>
      <c r="CEC123" s="1"/>
      <c r="CED123" s="1"/>
      <c r="CEE123" s="1"/>
      <c r="CEF123" s="1"/>
      <c r="CEG123" s="1"/>
      <c r="CEH123" s="1"/>
      <c r="CEI123" s="1"/>
      <c r="CEJ123" s="1"/>
      <c r="CEK123" s="1"/>
      <c r="CEL123" s="1"/>
      <c r="CEM123" s="1"/>
      <c r="CEN123" s="1"/>
      <c r="CEO123" s="1"/>
      <c r="CEP123" s="1"/>
      <c r="CEQ123" s="1"/>
      <c r="CER123" s="1"/>
      <c r="CES123" s="1"/>
      <c r="CET123" s="1"/>
      <c r="CEU123" s="1"/>
      <c r="CEV123" s="1"/>
      <c r="CEW123" s="1"/>
      <c r="CEX123" s="1"/>
      <c r="CEY123" s="1"/>
      <c r="CEZ123" s="1"/>
      <c r="CFA123" s="1"/>
      <c r="CFB123" s="1"/>
      <c r="CFC123" s="1"/>
      <c r="CFD123" s="1"/>
      <c r="CFE123" s="1"/>
      <c r="CFF123" s="1"/>
      <c r="CFG123" s="1"/>
      <c r="CFH123" s="1"/>
      <c r="CFI123" s="1"/>
      <c r="CFJ123" s="1"/>
      <c r="CFK123" s="1"/>
      <c r="CFL123" s="1"/>
      <c r="CFM123" s="1"/>
      <c r="CFN123" s="1"/>
      <c r="CFO123" s="1"/>
      <c r="CFP123" s="1"/>
      <c r="CFQ123" s="1"/>
      <c r="CFR123" s="1"/>
      <c r="CFS123" s="1"/>
      <c r="CFT123" s="1"/>
      <c r="CFU123" s="1"/>
      <c r="CFV123" s="1"/>
      <c r="CFW123" s="1"/>
      <c r="CFX123" s="1"/>
      <c r="CFY123" s="1"/>
      <c r="CFZ123" s="1"/>
      <c r="CGA123" s="1"/>
      <c r="CGB123" s="1"/>
      <c r="CGC123" s="1"/>
      <c r="CGD123" s="1"/>
      <c r="CGE123" s="1"/>
      <c r="CGF123" s="1"/>
      <c r="CGG123" s="1"/>
      <c r="CGH123" s="1"/>
      <c r="CGI123" s="1"/>
      <c r="CGJ123" s="1"/>
      <c r="CGK123" s="1"/>
      <c r="CGL123" s="1"/>
      <c r="CGM123" s="1"/>
      <c r="CGN123" s="1"/>
      <c r="CGO123" s="1"/>
      <c r="CGP123" s="1"/>
      <c r="CGQ123" s="1"/>
      <c r="CGR123" s="1"/>
      <c r="CGS123" s="1"/>
      <c r="CGT123" s="1"/>
      <c r="CGU123" s="1"/>
      <c r="CGV123" s="1"/>
      <c r="CGW123" s="1"/>
      <c r="CGX123" s="1"/>
      <c r="CGY123" s="1"/>
      <c r="CGZ123" s="1"/>
      <c r="CHA123" s="1"/>
      <c r="CHB123" s="1"/>
      <c r="CHC123" s="1"/>
      <c r="CHD123" s="1"/>
      <c r="CHE123" s="1"/>
      <c r="CHF123" s="1"/>
      <c r="CHG123" s="1"/>
      <c r="CHH123" s="1"/>
      <c r="CHI123" s="1"/>
      <c r="CHJ123" s="1"/>
      <c r="CHK123" s="1"/>
      <c r="CHL123" s="1"/>
      <c r="CHM123" s="1"/>
      <c r="CHN123" s="1"/>
      <c r="CHO123" s="1"/>
      <c r="CHP123" s="1"/>
      <c r="CHQ123" s="1"/>
      <c r="CHR123" s="1"/>
      <c r="CHS123" s="1"/>
      <c r="CHT123" s="1"/>
      <c r="CHU123" s="1"/>
      <c r="CHV123" s="1"/>
      <c r="CHW123" s="1"/>
      <c r="CHX123" s="1"/>
      <c r="CHY123" s="1"/>
      <c r="CHZ123" s="1"/>
      <c r="CIA123" s="1"/>
      <c r="CIB123" s="1"/>
      <c r="CIC123" s="1"/>
      <c r="CID123" s="1"/>
      <c r="CIE123" s="1"/>
      <c r="CIF123" s="1"/>
      <c r="CIG123" s="1"/>
      <c r="CIH123" s="1"/>
      <c r="CII123" s="1"/>
      <c r="CIJ123" s="1"/>
      <c r="CIK123" s="1"/>
      <c r="CIL123" s="1"/>
      <c r="CIM123" s="1"/>
      <c r="CIN123" s="1"/>
      <c r="CIO123" s="1"/>
      <c r="CIP123" s="1"/>
      <c r="CIQ123" s="1"/>
      <c r="CIR123" s="1"/>
      <c r="CIS123" s="1"/>
      <c r="CIT123" s="1"/>
      <c r="CIU123" s="1"/>
      <c r="CIV123" s="1"/>
      <c r="CIW123" s="1"/>
      <c r="CIX123" s="1"/>
      <c r="CIY123" s="1"/>
      <c r="CIZ123" s="1"/>
      <c r="CJA123" s="1"/>
      <c r="CJB123" s="1"/>
      <c r="CJC123" s="1"/>
      <c r="CJD123" s="1"/>
      <c r="CJE123" s="1"/>
      <c r="CJF123" s="1"/>
      <c r="CJG123" s="1"/>
      <c r="CJH123" s="1"/>
      <c r="CJI123" s="1"/>
      <c r="CJJ123" s="1"/>
      <c r="CJK123" s="1"/>
      <c r="CJL123" s="1"/>
      <c r="CJM123" s="1"/>
      <c r="CJN123" s="1"/>
      <c r="CJO123" s="1"/>
      <c r="CJP123" s="1"/>
      <c r="CJQ123" s="1"/>
      <c r="CJR123" s="1"/>
      <c r="CJS123" s="1"/>
      <c r="CJT123" s="1"/>
      <c r="CJU123" s="1"/>
      <c r="CJV123" s="1"/>
      <c r="CJW123" s="1"/>
      <c r="CJX123" s="1"/>
      <c r="CJY123" s="1"/>
      <c r="CJZ123" s="1"/>
      <c r="CKA123" s="1"/>
      <c r="CKB123" s="1"/>
      <c r="CKC123" s="1"/>
      <c r="CKD123" s="1"/>
      <c r="CKE123" s="1"/>
      <c r="CKF123" s="1"/>
      <c r="CKG123" s="1"/>
      <c r="CKH123" s="1"/>
      <c r="CKI123" s="1"/>
      <c r="CKJ123" s="1"/>
      <c r="CKK123" s="1"/>
      <c r="CKL123" s="1"/>
      <c r="CKM123" s="1"/>
      <c r="CKN123" s="1"/>
      <c r="CKO123" s="1"/>
      <c r="CKP123" s="1"/>
      <c r="CKQ123" s="1"/>
      <c r="CKR123" s="1"/>
      <c r="CKS123" s="1"/>
      <c r="CKT123" s="1"/>
      <c r="CKU123" s="1"/>
      <c r="CKV123" s="1"/>
      <c r="CKW123" s="1"/>
      <c r="CKX123" s="1"/>
      <c r="CKY123" s="1"/>
      <c r="CKZ123" s="1"/>
      <c r="CLA123" s="1"/>
      <c r="CLB123" s="1"/>
      <c r="CLC123" s="1"/>
      <c r="CLD123" s="1"/>
      <c r="CLE123" s="1"/>
      <c r="CLF123" s="1"/>
      <c r="CLG123" s="1"/>
      <c r="CLH123" s="1"/>
      <c r="CLI123" s="1"/>
      <c r="CLJ123" s="1"/>
      <c r="CLK123" s="1"/>
      <c r="CLL123" s="1"/>
      <c r="CLM123" s="1"/>
      <c r="CLN123" s="1"/>
      <c r="CLO123" s="1"/>
      <c r="CLP123" s="1"/>
      <c r="CLQ123" s="1"/>
      <c r="CLR123" s="1"/>
      <c r="CLS123" s="1"/>
      <c r="CLT123" s="1"/>
      <c r="CLU123" s="1"/>
      <c r="CLV123" s="1"/>
      <c r="CLW123" s="1"/>
      <c r="CLX123" s="1"/>
      <c r="CLY123" s="1"/>
      <c r="CLZ123" s="1"/>
      <c r="CMA123" s="1"/>
      <c r="CMB123" s="1"/>
      <c r="CMC123" s="1"/>
      <c r="CMD123" s="1"/>
      <c r="CME123" s="1"/>
      <c r="CMF123" s="1"/>
      <c r="CMG123" s="1"/>
      <c r="CMH123" s="1"/>
      <c r="CMI123" s="1"/>
      <c r="CMJ123" s="1"/>
      <c r="CMK123" s="1"/>
      <c r="CML123" s="1"/>
      <c r="CMM123" s="1"/>
      <c r="CMN123" s="1"/>
      <c r="CMO123" s="1"/>
      <c r="CMP123" s="1"/>
      <c r="CMQ123" s="1"/>
      <c r="CMR123" s="1"/>
      <c r="CMS123" s="1"/>
      <c r="CMT123" s="1"/>
      <c r="CMU123" s="1"/>
      <c r="CMV123" s="1"/>
      <c r="CMW123" s="1"/>
      <c r="CMX123" s="1"/>
      <c r="CMY123" s="1"/>
      <c r="CMZ123" s="1"/>
      <c r="CNA123" s="1"/>
      <c r="CNB123" s="1"/>
      <c r="CNC123" s="1"/>
      <c r="CND123" s="1"/>
      <c r="CNE123" s="1"/>
      <c r="CNF123" s="1"/>
      <c r="CNG123" s="1"/>
      <c r="CNH123" s="1"/>
      <c r="CNI123" s="1"/>
      <c r="CNJ123" s="1"/>
      <c r="CNK123" s="1"/>
      <c r="CNL123" s="1"/>
      <c r="CNM123" s="1"/>
      <c r="CNN123" s="1"/>
      <c r="CNO123" s="1"/>
      <c r="CNP123" s="1"/>
      <c r="CNQ123" s="1"/>
      <c r="CNR123" s="1"/>
      <c r="CNS123" s="1"/>
      <c r="CNT123" s="1"/>
      <c r="CNU123" s="1"/>
      <c r="CNV123" s="1"/>
      <c r="CNW123" s="1"/>
      <c r="CNX123" s="1"/>
      <c r="CNY123" s="1"/>
      <c r="CNZ123" s="1"/>
      <c r="COA123" s="1"/>
      <c r="COB123" s="1"/>
      <c r="COC123" s="1"/>
      <c r="COD123" s="1"/>
      <c r="COE123" s="1"/>
      <c r="COF123" s="1"/>
      <c r="COG123" s="1"/>
      <c r="COH123" s="1"/>
      <c r="COI123" s="1"/>
      <c r="COJ123" s="1"/>
      <c r="COK123" s="1"/>
      <c r="COL123" s="1"/>
      <c r="COM123" s="1"/>
      <c r="CON123" s="1"/>
      <c r="COO123" s="1"/>
      <c r="COP123" s="1"/>
      <c r="COQ123" s="1"/>
      <c r="COR123" s="1"/>
      <c r="COS123" s="1"/>
      <c r="COT123" s="1"/>
      <c r="COU123" s="1"/>
      <c r="COV123" s="1"/>
      <c r="COW123" s="1"/>
      <c r="COX123" s="1"/>
      <c r="COY123" s="1"/>
      <c r="COZ123" s="1"/>
      <c r="CPA123" s="1"/>
      <c r="CPB123" s="1"/>
      <c r="CPC123" s="1"/>
      <c r="CPD123" s="1"/>
      <c r="CPE123" s="1"/>
      <c r="CPF123" s="1"/>
      <c r="CPG123" s="1"/>
      <c r="CPH123" s="1"/>
      <c r="CPI123" s="1"/>
      <c r="CPJ123" s="1"/>
      <c r="CPK123" s="1"/>
      <c r="CPL123" s="1"/>
      <c r="CPM123" s="1"/>
      <c r="CPN123" s="1"/>
      <c r="CPO123" s="1"/>
      <c r="CPP123" s="1"/>
      <c r="CPQ123" s="1"/>
      <c r="CPR123" s="1"/>
      <c r="CPS123" s="1"/>
      <c r="CPT123" s="1"/>
      <c r="CPU123" s="1"/>
      <c r="CPV123" s="1"/>
      <c r="CPW123" s="1"/>
      <c r="CPX123" s="1"/>
      <c r="CPY123" s="1"/>
      <c r="CPZ123" s="1"/>
      <c r="CQA123" s="1"/>
      <c r="CQB123" s="1"/>
      <c r="CQC123" s="1"/>
      <c r="CQD123" s="1"/>
      <c r="CQE123" s="1"/>
      <c r="CQF123" s="1"/>
      <c r="CQG123" s="1"/>
      <c r="CQH123" s="1"/>
      <c r="CQI123" s="1"/>
      <c r="CQJ123" s="1"/>
      <c r="CQK123" s="1"/>
      <c r="CQL123" s="1"/>
      <c r="CQM123" s="1"/>
      <c r="CQN123" s="1"/>
      <c r="CQO123" s="1"/>
      <c r="CQP123" s="1"/>
      <c r="CQQ123" s="1"/>
      <c r="CQR123" s="1"/>
      <c r="CQS123" s="1"/>
      <c r="CQT123" s="1"/>
      <c r="CQU123" s="1"/>
      <c r="CQV123" s="1"/>
      <c r="CQW123" s="1"/>
      <c r="CQX123" s="1"/>
      <c r="CQY123" s="1"/>
      <c r="CQZ123" s="1"/>
      <c r="CRA123" s="1"/>
      <c r="CRB123" s="1"/>
      <c r="CRC123" s="1"/>
      <c r="CRD123" s="1"/>
      <c r="CRE123" s="1"/>
      <c r="CRF123" s="1"/>
      <c r="CRG123" s="1"/>
      <c r="CRH123" s="1"/>
      <c r="CRI123" s="1"/>
      <c r="CRJ123" s="1"/>
      <c r="CRK123" s="1"/>
      <c r="CRL123" s="1"/>
      <c r="CRM123" s="1"/>
      <c r="CRN123" s="1"/>
      <c r="CRO123" s="1"/>
      <c r="CRP123" s="1"/>
      <c r="CRQ123" s="1"/>
      <c r="CRR123" s="1"/>
      <c r="CRS123" s="1"/>
      <c r="CRT123" s="1"/>
      <c r="CRU123" s="1"/>
      <c r="CRV123" s="1"/>
      <c r="CRW123" s="1"/>
      <c r="CRX123" s="1"/>
      <c r="CRY123" s="1"/>
      <c r="CRZ123" s="1"/>
      <c r="CSA123" s="1"/>
      <c r="CSB123" s="1"/>
      <c r="CSC123" s="1"/>
      <c r="CSD123" s="1"/>
      <c r="CSE123" s="1"/>
      <c r="CSF123" s="1"/>
      <c r="CSG123" s="1"/>
      <c r="CSH123" s="1"/>
      <c r="CSI123" s="1"/>
      <c r="CSJ123" s="1"/>
      <c r="CSK123" s="1"/>
      <c r="CSL123" s="1"/>
      <c r="CSM123" s="1"/>
      <c r="CSN123" s="1"/>
      <c r="CSO123" s="1"/>
      <c r="CSP123" s="1"/>
      <c r="CSQ123" s="1"/>
      <c r="CSR123" s="1"/>
      <c r="CSS123" s="1"/>
      <c r="CST123" s="1"/>
      <c r="CSU123" s="1"/>
      <c r="CSV123" s="1"/>
      <c r="CSW123" s="1"/>
      <c r="CSX123" s="1"/>
      <c r="CSY123" s="1"/>
      <c r="CSZ123" s="1"/>
      <c r="CTA123" s="1"/>
      <c r="CTB123" s="1"/>
      <c r="CTC123" s="1"/>
      <c r="CTD123" s="1"/>
      <c r="CTE123" s="1"/>
      <c r="CTF123" s="1"/>
      <c r="CTG123" s="1"/>
      <c r="CTH123" s="1"/>
      <c r="CTI123" s="1"/>
      <c r="CTJ123" s="1"/>
      <c r="CTK123" s="1"/>
      <c r="CTL123" s="1"/>
      <c r="CTM123" s="1"/>
      <c r="CTN123" s="1"/>
      <c r="CTO123" s="1"/>
      <c r="CTP123" s="1"/>
      <c r="CTQ123" s="1"/>
      <c r="CTR123" s="1"/>
      <c r="CTS123" s="1"/>
      <c r="CTT123" s="1"/>
      <c r="CTU123" s="1"/>
      <c r="CTV123" s="1"/>
      <c r="CTW123" s="1"/>
      <c r="CTX123" s="1"/>
      <c r="CTY123" s="1"/>
      <c r="CTZ123" s="1"/>
      <c r="CUA123" s="1"/>
      <c r="CUB123" s="1"/>
      <c r="CUC123" s="1"/>
      <c r="CUD123" s="1"/>
      <c r="CUE123" s="1"/>
      <c r="CUF123" s="1"/>
      <c r="CUG123" s="1"/>
      <c r="CUH123" s="1"/>
      <c r="CUI123" s="1"/>
      <c r="CUJ123" s="1"/>
      <c r="CUK123" s="1"/>
      <c r="CUL123" s="1"/>
      <c r="CUM123" s="1"/>
      <c r="CUN123" s="1"/>
      <c r="CUO123" s="1"/>
      <c r="CUP123" s="1"/>
      <c r="CUQ123" s="1"/>
      <c r="CUR123" s="1"/>
      <c r="CUS123" s="1"/>
      <c r="CUT123" s="1"/>
      <c r="CUU123" s="1"/>
      <c r="CUV123" s="1"/>
      <c r="CUW123" s="1"/>
      <c r="CUX123" s="1"/>
      <c r="CUY123" s="1"/>
      <c r="CUZ123" s="1"/>
      <c r="CVA123" s="1"/>
      <c r="CVB123" s="1"/>
      <c r="CVC123" s="1"/>
      <c r="CVD123" s="1"/>
      <c r="CVE123" s="1"/>
      <c r="CVF123" s="1"/>
      <c r="CVG123" s="1"/>
      <c r="CVH123" s="1"/>
      <c r="CVI123" s="1"/>
      <c r="CVJ123" s="1"/>
      <c r="CVK123" s="1"/>
      <c r="CVL123" s="1"/>
      <c r="CVM123" s="1"/>
      <c r="CVN123" s="1"/>
      <c r="CVO123" s="1"/>
      <c r="CVP123" s="1"/>
      <c r="CVQ123" s="1"/>
      <c r="CVR123" s="1"/>
      <c r="CVS123" s="1"/>
      <c r="CVT123" s="1"/>
      <c r="CVU123" s="1"/>
      <c r="CVV123" s="1"/>
      <c r="CVW123" s="1"/>
      <c r="CVX123" s="1"/>
      <c r="CVY123" s="1"/>
      <c r="CVZ123" s="1"/>
      <c r="CWA123" s="1"/>
      <c r="CWB123" s="1"/>
      <c r="CWC123" s="1"/>
      <c r="CWD123" s="1"/>
      <c r="CWE123" s="1"/>
      <c r="CWF123" s="1"/>
      <c r="CWG123" s="1"/>
      <c r="CWH123" s="1"/>
      <c r="CWI123" s="1"/>
      <c r="CWJ123" s="1"/>
      <c r="CWK123" s="1"/>
      <c r="CWL123" s="1"/>
      <c r="CWM123" s="1"/>
      <c r="CWN123" s="1"/>
      <c r="CWO123" s="1"/>
      <c r="CWP123" s="1"/>
      <c r="CWQ123" s="1"/>
      <c r="CWR123" s="1"/>
      <c r="CWS123" s="1"/>
      <c r="CWT123" s="1"/>
      <c r="CWU123" s="1"/>
      <c r="CWV123" s="1"/>
      <c r="CWW123" s="1"/>
      <c r="CWX123" s="1"/>
      <c r="CWY123" s="1"/>
      <c r="CWZ123" s="1"/>
      <c r="CXA123" s="1"/>
      <c r="CXB123" s="1"/>
      <c r="CXC123" s="1"/>
      <c r="CXD123" s="1"/>
      <c r="CXE123" s="1"/>
      <c r="CXF123" s="1"/>
      <c r="CXG123" s="1"/>
      <c r="CXH123" s="1"/>
      <c r="CXI123" s="1"/>
      <c r="CXJ123" s="1"/>
      <c r="CXK123" s="1"/>
      <c r="CXL123" s="1"/>
      <c r="CXM123" s="1"/>
      <c r="CXN123" s="1"/>
      <c r="CXO123" s="1"/>
      <c r="CXP123" s="1"/>
      <c r="CXQ123" s="1"/>
      <c r="CXR123" s="1"/>
      <c r="CXS123" s="1"/>
      <c r="CXT123" s="1"/>
      <c r="CXU123" s="1"/>
      <c r="CXV123" s="1"/>
      <c r="CXW123" s="1"/>
      <c r="CXX123" s="1"/>
      <c r="CXY123" s="1"/>
      <c r="CXZ123" s="1"/>
      <c r="CYA123" s="1"/>
      <c r="CYB123" s="1"/>
      <c r="CYC123" s="1"/>
      <c r="CYD123" s="1"/>
      <c r="CYE123" s="1"/>
      <c r="CYF123" s="1"/>
      <c r="CYG123" s="1"/>
      <c r="CYH123" s="1"/>
      <c r="CYI123" s="1"/>
      <c r="CYJ123" s="1"/>
      <c r="CYK123" s="1"/>
      <c r="CYL123" s="1"/>
      <c r="CYM123" s="1"/>
      <c r="CYN123" s="1"/>
      <c r="CYO123" s="1"/>
      <c r="CYP123" s="1"/>
      <c r="CYQ123" s="1"/>
      <c r="CYR123" s="1"/>
      <c r="CYS123" s="1"/>
      <c r="CYT123" s="1"/>
      <c r="CYU123" s="1"/>
      <c r="CYV123" s="1"/>
      <c r="CYW123" s="1"/>
      <c r="CYX123" s="1"/>
      <c r="CYY123" s="1"/>
      <c r="CYZ123" s="1"/>
      <c r="CZA123" s="1"/>
      <c r="CZB123" s="1"/>
      <c r="CZC123" s="1"/>
      <c r="CZD123" s="1"/>
      <c r="CZE123" s="1"/>
      <c r="CZF123" s="1"/>
      <c r="CZG123" s="1"/>
      <c r="CZH123" s="1"/>
      <c r="CZI123" s="1"/>
      <c r="CZJ123" s="1"/>
      <c r="CZK123" s="1"/>
      <c r="CZL123" s="1"/>
      <c r="CZM123" s="1"/>
      <c r="CZN123" s="1"/>
      <c r="CZO123" s="1"/>
      <c r="CZP123" s="1"/>
      <c r="CZQ123" s="1"/>
      <c r="CZR123" s="1"/>
      <c r="CZS123" s="1"/>
      <c r="CZT123" s="1"/>
      <c r="CZU123" s="1"/>
      <c r="CZV123" s="1"/>
      <c r="CZW123" s="1"/>
      <c r="CZX123" s="1"/>
      <c r="CZY123" s="1"/>
      <c r="CZZ123" s="1"/>
      <c r="DAA123" s="1"/>
      <c r="DAB123" s="1"/>
      <c r="DAC123" s="1"/>
      <c r="DAD123" s="1"/>
      <c r="DAE123" s="1"/>
      <c r="DAF123" s="1"/>
      <c r="DAG123" s="1"/>
      <c r="DAH123" s="1"/>
      <c r="DAI123" s="1"/>
      <c r="DAJ123" s="1"/>
      <c r="DAK123" s="1"/>
      <c r="DAL123" s="1"/>
      <c r="DAM123" s="1"/>
      <c r="DAN123" s="1"/>
      <c r="DAO123" s="1"/>
      <c r="DAP123" s="1"/>
      <c r="DAQ123" s="1"/>
      <c r="DAR123" s="1"/>
      <c r="DAS123" s="1"/>
      <c r="DAT123" s="1"/>
      <c r="DAU123" s="1"/>
      <c r="DAV123" s="1"/>
      <c r="DAW123" s="1"/>
      <c r="DAX123" s="1"/>
      <c r="DAY123" s="1"/>
      <c r="DAZ123" s="1"/>
      <c r="DBA123" s="1"/>
      <c r="DBB123" s="1"/>
      <c r="DBC123" s="1"/>
      <c r="DBD123" s="1"/>
      <c r="DBE123" s="1"/>
      <c r="DBF123" s="1"/>
      <c r="DBG123" s="1"/>
      <c r="DBH123" s="1"/>
      <c r="DBI123" s="1"/>
      <c r="DBJ123" s="1"/>
      <c r="DBK123" s="1"/>
      <c r="DBL123" s="1"/>
      <c r="DBM123" s="1"/>
      <c r="DBN123" s="1"/>
      <c r="DBO123" s="1"/>
      <c r="DBP123" s="1"/>
      <c r="DBQ123" s="1"/>
      <c r="DBR123" s="1"/>
      <c r="DBS123" s="1"/>
      <c r="DBT123" s="1"/>
      <c r="DBU123" s="1"/>
      <c r="DBV123" s="1"/>
      <c r="DBW123" s="1"/>
      <c r="DBX123" s="1"/>
      <c r="DBY123" s="1"/>
      <c r="DBZ123" s="1"/>
      <c r="DCA123" s="1"/>
      <c r="DCB123" s="1"/>
      <c r="DCC123" s="1"/>
      <c r="DCD123" s="1"/>
      <c r="DCE123" s="1"/>
      <c r="DCF123" s="1"/>
      <c r="DCG123" s="1"/>
      <c r="DCH123" s="1"/>
      <c r="DCI123" s="1"/>
      <c r="DCJ123" s="1"/>
      <c r="DCK123" s="1"/>
      <c r="DCL123" s="1"/>
      <c r="DCM123" s="1"/>
      <c r="DCN123" s="1"/>
      <c r="DCO123" s="1"/>
      <c r="DCP123" s="1"/>
      <c r="DCQ123" s="1"/>
      <c r="DCR123" s="1"/>
      <c r="DCS123" s="1"/>
      <c r="DCT123" s="1"/>
      <c r="DCU123" s="1"/>
      <c r="DCV123" s="1"/>
      <c r="DCW123" s="1"/>
      <c r="DCX123" s="1"/>
      <c r="DCY123" s="1"/>
      <c r="DCZ123" s="1"/>
      <c r="DDA123" s="1"/>
      <c r="DDB123" s="1"/>
      <c r="DDC123" s="1"/>
      <c r="DDD123" s="1"/>
      <c r="DDE123" s="1"/>
      <c r="DDF123" s="1"/>
      <c r="DDG123" s="1"/>
      <c r="DDH123" s="1"/>
      <c r="DDI123" s="1"/>
      <c r="DDJ123" s="1"/>
      <c r="DDK123" s="1"/>
      <c r="DDL123" s="1"/>
      <c r="DDM123" s="1"/>
      <c r="DDN123" s="1"/>
      <c r="DDO123" s="1"/>
      <c r="DDP123" s="1"/>
      <c r="DDQ123" s="1"/>
      <c r="DDR123" s="1"/>
      <c r="DDS123" s="1"/>
      <c r="DDT123" s="1"/>
      <c r="DDU123" s="1"/>
      <c r="DDV123" s="1"/>
      <c r="DDW123" s="1"/>
      <c r="DDX123" s="1"/>
      <c r="DDY123" s="1"/>
      <c r="DDZ123" s="1"/>
      <c r="DEA123" s="1"/>
      <c r="DEB123" s="1"/>
      <c r="DEC123" s="1"/>
      <c r="DED123" s="1"/>
      <c r="DEE123" s="1"/>
      <c r="DEF123" s="1"/>
      <c r="DEG123" s="1"/>
      <c r="DEH123" s="1"/>
      <c r="DEI123" s="1"/>
      <c r="DEJ123" s="1"/>
      <c r="DEK123" s="1"/>
      <c r="DEL123" s="1"/>
      <c r="DEM123" s="1"/>
      <c r="DEN123" s="1"/>
      <c r="DEO123" s="1"/>
      <c r="DEP123" s="1"/>
      <c r="DEQ123" s="1"/>
      <c r="DER123" s="1"/>
      <c r="DES123" s="1"/>
      <c r="DET123" s="1"/>
      <c r="DEU123" s="1"/>
      <c r="DEV123" s="1"/>
      <c r="DEW123" s="1"/>
      <c r="DEX123" s="1"/>
      <c r="DEY123" s="1"/>
      <c r="DEZ123" s="1"/>
      <c r="DFA123" s="1"/>
      <c r="DFB123" s="1"/>
      <c r="DFC123" s="1"/>
      <c r="DFD123" s="1"/>
      <c r="DFE123" s="1"/>
      <c r="DFF123" s="1"/>
      <c r="DFG123" s="1"/>
      <c r="DFH123" s="1"/>
      <c r="DFI123" s="1"/>
      <c r="DFJ123" s="1"/>
      <c r="DFK123" s="1"/>
      <c r="DFL123" s="1"/>
      <c r="DFM123" s="1"/>
      <c r="DFN123" s="1"/>
      <c r="DFO123" s="1"/>
      <c r="DFP123" s="1"/>
      <c r="DFQ123" s="1"/>
      <c r="DFR123" s="1"/>
      <c r="DFS123" s="1"/>
      <c r="DFT123" s="1"/>
      <c r="DFU123" s="1"/>
      <c r="DFV123" s="1"/>
      <c r="DFW123" s="1"/>
      <c r="DFX123" s="1"/>
      <c r="DFY123" s="1"/>
      <c r="DFZ123" s="1"/>
      <c r="DGA123" s="1"/>
      <c r="DGB123" s="1"/>
      <c r="DGC123" s="1"/>
      <c r="DGD123" s="1"/>
      <c r="DGE123" s="1"/>
      <c r="DGF123" s="1"/>
      <c r="DGG123" s="1"/>
      <c r="DGH123" s="1"/>
      <c r="DGI123" s="1"/>
      <c r="DGJ123" s="1"/>
      <c r="DGK123" s="1"/>
      <c r="DGL123" s="1"/>
      <c r="DGM123" s="1"/>
      <c r="DGN123" s="1"/>
      <c r="DGO123" s="1"/>
      <c r="DGP123" s="1"/>
      <c r="DGQ123" s="1"/>
      <c r="DGR123" s="1"/>
      <c r="DGS123" s="1"/>
      <c r="DGT123" s="1"/>
      <c r="DGU123" s="1"/>
      <c r="DGV123" s="1"/>
      <c r="DGW123" s="1"/>
      <c r="DGX123" s="1"/>
      <c r="DGY123" s="1"/>
      <c r="DGZ123" s="1"/>
      <c r="DHA123" s="1"/>
      <c r="DHB123" s="1"/>
      <c r="DHC123" s="1"/>
      <c r="DHD123" s="1"/>
      <c r="DHE123" s="1"/>
      <c r="DHF123" s="1"/>
      <c r="DHG123" s="1"/>
      <c r="DHH123" s="1"/>
      <c r="DHI123" s="1"/>
      <c r="DHJ123" s="1"/>
      <c r="DHK123" s="1"/>
      <c r="DHL123" s="1"/>
      <c r="DHM123" s="1"/>
      <c r="DHN123" s="1"/>
      <c r="DHO123" s="1"/>
      <c r="DHP123" s="1"/>
      <c r="DHQ123" s="1"/>
      <c r="DHR123" s="1"/>
      <c r="DHS123" s="1"/>
      <c r="DHT123" s="1"/>
      <c r="DHU123" s="1"/>
      <c r="DHV123" s="1"/>
      <c r="DHW123" s="1"/>
      <c r="DHX123" s="1"/>
      <c r="DHY123" s="1"/>
      <c r="DHZ123" s="1"/>
      <c r="DIA123" s="1"/>
      <c r="DIB123" s="1"/>
      <c r="DIC123" s="1"/>
      <c r="DID123" s="1"/>
      <c r="DIE123" s="1"/>
      <c r="DIF123" s="1"/>
      <c r="DIG123" s="1"/>
      <c r="DIH123" s="1"/>
      <c r="DII123" s="1"/>
      <c r="DIJ123" s="1"/>
      <c r="DIK123" s="1"/>
      <c r="DIL123" s="1"/>
      <c r="DIM123" s="1"/>
      <c r="DIN123" s="1"/>
      <c r="DIO123" s="1"/>
      <c r="DIP123" s="1"/>
      <c r="DIQ123" s="1"/>
      <c r="DIR123" s="1"/>
      <c r="DIS123" s="1"/>
      <c r="DIT123" s="1"/>
      <c r="DIU123" s="1"/>
      <c r="DIV123" s="1"/>
      <c r="DIW123" s="1"/>
      <c r="DIX123" s="1"/>
      <c r="DIY123" s="1"/>
      <c r="DIZ123" s="1"/>
      <c r="DJA123" s="1"/>
      <c r="DJB123" s="1"/>
      <c r="DJC123" s="1"/>
      <c r="DJD123" s="1"/>
      <c r="DJE123" s="1"/>
      <c r="DJF123" s="1"/>
      <c r="DJG123" s="1"/>
      <c r="DJH123" s="1"/>
      <c r="DJI123" s="1"/>
      <c r="DJJ123" s="1"/>
      <c r="DJK123" s="1"/>
      <c r="DJL123" s="1"/>
      <c r="DJM123" s="1"/>
      <c r="DJN123" s="1"/>
      <c r="DJO123" s="1"/>
      <c r="DJP123" s="1"/>
      <c r="DJQ123" s="1"/>
      <c r="DJR123" s="1"/>
      <c r="DJS123" s="1"/>
      <c r="DJT123" s="1"/>
      <c r="DJU123" s="1"/>
      <c r="DJV123" s="1"/>
      <c r="DJW123" s="1"/>
      <c r="DJX123" s="1"/>
      <c r="DJY123" s="1"/>
      <c r="DJZ123" s="1"/>
      <c r="DKA123" s="1"/>
      <c r="DKB123" s="1"/>
      <c r="DKC123" s="1"/>
      <c r="DKD123" s="1"/>
      <c r="DKE123" s="1"/>
      <c r="DKF123" s="1"/>
      <c r="DKG123" s="1"/>
      <c r="DKH123" s="1"/>
      <c r="DKI123" s="1"/>
      <c r="DKJ123" s="1"/>
      <c r="DKK123" s="1"/>
      <c r="DKL123" s="1"/>
      <c r="DKM123" s="1"/>
      <c r="DKN123" s="1"/>
      <c r="DKO123" s="1"/>
      <c r="DKP123" s="1"/>
      <c r="DKQ123" s="1"/>
      <c r="DKR123" s="1"/>
      <c r="DKS123" s="1"/>
      <c r="DKT123" s="1"/>
      <c r="DKU123" s="1"/>
      <c r="DKV123" s="1"/>
      <c r="DKW123" s="1"/>
      <c r="DKX123" s="1"/>
      <c r="DKY123" s="1"/>
      <c r="DKZ123" s="1"/>
      <c r="DLA123" s="1"/>
      <c r="DLB123" s="1"/>
      <c r="DLC123" s="1"/>
      <c r="DLD123" s="1"/>
      <c r="DLE123" s="1"/>
      <c r="DLF123" s="1"/>
      <c r="DLG123" s="1"/>
      <c r="DLH123" s="1"/>
      <c r="DLI123" s="1"/>
      <c r="DLJ123" s="1"/>
      <c r="DLK123" s="1"/>
      <c r="DLL123" s="1"/>
      <c r="DLM123" s="1"/>
      <c r="DLN123" s="1"/>
      <c r="DLO123" s="1"/>
      <c r="DLP123" s="1"/>
      <c r="DLQ123" s="1"/>
      <c r="DLR123" s="1"/>
      <c r="DLS123" s="1"/>
      <c r="DLT123" s="1"/>
      <c r="DLU123" s="1"/>
      <c r="DLV123" s="1"/>
      <c r="DLW123" s="1"/>
      <c r="DLX123" s="1"/>
      <c r="DLY123" s="1"/>
      <c r="DLZ123" s="1"/>
      <c r="DMA123" s="1"/>
      <c r="DMB123" s="1"/>
      <c r="DMC123" s="1"/>
      <c r="DMD123" s="1"/>
      <c r="DME123" s="1"/>
      <c r="DMF123" s="1"/>
      <c r="DMG123" s="1"/>
      <c r="DMH123" s="1"/>
      <c r="DMI123" s="1"/>
      <c r="DMJ123" s="1"/>
      <c r="DMK123" s="1"/>
      <c r="DML123" s="1"/>
      <c r="DMM123" s="1"/>
      <c r="DMN123" s="1"/>
      <c r="DMO123" s="1"/>
      <c r="DMP123" s="1"/>
      <c r="DMQ123" s="1"/>
      <c r="DMR123" s="1"/>
      <c r="DMS123" s="1"/>
      <c r="DMT123" s="1"/>
      <c r="DMU123" s="1"/>
      <c r="DMV123" s="1"/>
      <c r="DMW123" s="1"/>
      <c r="DMX123" s="1"/>
      <c r="DMY123" s="1"/>
      <c r="DMZ123" s="1"/>
      <c r="DNA123" s="1"/>
      <c r="DNB123" s="1"/>
      <c r="DNC123" s="1"/>
      <c r="DND123" s="1"/>
      <c r="DNE123" s="1"/>
      <c r="DNF123" s="1"/>
      <c r="DNG123" s="1"/>
      <c r="DNH123" s="1"/>
      <c r="DNI123" s="1"/>
      <c r="DNJ123" s="1"/>
      <c r="DNK123" s="1"/>
      <c r="DNL123" s="1"/>
      <c r="DNM123" s="1"/>
      <c r="DNN123" s="1"/>
      <c r="DNO123" s="1"/>
      <c r="DNP123" s="1"/>
      <c r="DNQ123" s="1"/>
      <c r="DNR123" s="1"/>
      <c r="DNS123" s="1"/>
      <c r="DNT123" s="1"/>
      <c r="DNU123" s="1"/>
      <c r="DNV123" s="1"/>
      <c r="DNW123" s="1"/>
      <c r="DNX123" s="1"/>
      <c r="DNY123" s="1"/>
      <c r="DNZ123" s="1"/>
      <c r="DOA123" s="1"/>
      <c r="DOB123" s="1"/>
      <c r="DOC123" s="1"/>
      <c r="DOD123" s="1"/>
      <c r="DOE123" s="1"/>
      <c r="DOF123" s="1"/>
      <c r="DOG123" s="1"/>
      <c r="DOH123" s="1"/>
      <c r="DOI123" s="1"/>
      <c r="DOJ123" s="1"/>
      <c r="DOK123" s="1"/>
      <c r="DOL123" s="1"/>
      <c r="DOM123" s="1"/>
      <c r="DON123" s="1"/>
      <c r="DOO123" s="1"/>
      <c r="DOP123" s="1"/>
      <c r="DOQ123" s="1"/>
      <c r="DOR123" s="1"/>
      <c r="DOS123" s="1"/>
      <c r="DOT123" s="1"/>
      <c r="DOU123" s="1"/>
      <c r="DOV123" s="1"/>
      <c r="DOW123" s="1"/>
      <c r="DOX123" s="1"/>
      <c r="DOY123" s="1"/>
      <c r="DOZ123" s="1"/>
      <c r="DPA123" s="1"/>
      <c r="DPB123" s="1"/>
      <c r="DPC123" s="1"/>
      <c r="DPD123" s="1"/>
      <c r="DPE123" s="1"/>
      <c r="DPF123" s="1"/>
      <c r="DPG123" s="1"/>
      <c r="DPH123" s="1"/>
      <c r="DPI123" s="1"/>
      <c r="DPJ123" s="1"/>
      <c r="DPK123" s="1"/>
      <c r="DPL123" s="1"/>
      <c r="DPM123" s="1"/>
      <c r="DPN123" s="1"/>
      <c r="DPO123" s="1"/>
      <c r="DPP123" s="1"/>
      <c r="DPQ123" s="1"/>
      <c r="DPR123" s="1"/>
      <c r="DPS123" s="1"/>
      <c r="DPT123" s="1"/>
      <c r="DPU123" s="1"/>
      <c r="DPV123" s="1"/>
      <c r="DPW123" s="1"/>
      <c r="DPX123" s="1"/>
      <c r="DPY123" s="1"/>
      <c r="DPZ123" s="1"/>
      <c r="DQA123" s="1"/>
      <c r="DQB123" s="1"/>
      <c r="DQC123" s="1"/>
      <c r="DQD123" s="1"/>
      <c r="DQE123" s="1"/>
      <c r="DQF123" s="1"/>
      <c r="DQG123" s="1"/>
      <c r="DQH123" s="1"/>
      <c r="DQI123" s="1"/>
      <c r="DQJ123" s="1"/>
      <c r="DQK123" s="1"/>
      <c r="DQL123" s="1"/>
      <c r="DQM123" s="1"/>
      <c r="DQN123" s="1"/>
      <c r="DQO123" s="1"/>
      <c r="DQP123" s="1"/>
      <c r="DQQ123" s="1"/>
      <c r="DQR123" s="1"/>
      <c r="DQS123" s="1"/>
      <c r="DQT123" s="1"/>
      <c r="DQU123" s="1"/>
      <c r="DQV123" s="1"/>
      <c r="DQW123" s="1"/>
      <c r="DQX123" s="1"/>
      <c r="DQY123" s="1"/>
      <c r="DQZ123" s="1"/>
      <c r="DRA123" s="1"/>
      <c r="DRB123" s="1"/>
      <c r="DRC123" s="1"/>
      <c r="DRD123" s="1"/>
      <c r="DRE123" s="1"/>
      <c r="DRF123" s="1"/>
      <c r="DRG123" s="1"/>
      <c r="DRH123" s="1"/>
      <c r="DRI123" s="1"/>
      <c r="DRJ123" s="1"/>
      <c r="DRK123" s="1"/>
      <c r="DRL123" s="1"/>
      <c r="DRM123" s="1"/>
      <c r="DRN123" s="1"/>
      <c r="DRO123" s="1"/>
      <c r="DRP123" s="1"/>
      <c r="DRQ123" s="1"/>
      <c r="DRR123" s="1"/>
      <c r="DRS123" s="1"/>
      <c r="DRT123" s="1"/>
      <c r="DRU123" s="1"/>
      <c r="DRV123" s="1"/>
      <c r="DRW123" s="1"/>
      <c r="DRX123" s="1"/>
      <c r="DRY123" s="1"/>
      <c r="DRZ123" s="1"/>
      <c r="DSA123" s="1"/>
      <c r="DSB123" s="1"/>
      <c r="DSC123" s="1"/>
      <c r="DSD123" s="1"/>
      <c r="DSE123" s="1"/>
      <c r="DSF123" s="1"/>
      <c r="DSG123" s="1"/>
      <c r="DSH123" s="1"/>
      <c r="DSI123" s="1"/>
      <c r="DSJ123" s="1"/>
      <c r="DSK123" s="1"/>
      <c r="DSL123" s="1"/>
      <c r="DSM123" s="1"/>
      <c r="DSN123" s="1"/>
      <c r="DSO123" s="1"/>
      <c r="DSP123" s="1"/>
      <c r="DSQ123" s="1"/>
      <c r="DSR123" s="1"/>
      <c r="DSS123" s="1"/>
      <c r="DST123" s="1"/>
      <c r="DSU123" s="1"/>
      <c r="DSV123" s="1"/>
      <c r="DSW123" s="1"/>
      <c r="DSX123" s="1"/>
      <c r="DSY123" s="1"/>
      <c r="DSZ123" s="1"/>
      <c r="DTA123" s="1"/>
      <c r="DTB123" s="1"/>
      <c r="DTC123" s="1"/>
      <c r="DTD123" s="1"/>
      <c r="DTE123" s="1"/>
      <c r="DTF123" s="1"/>
      <c r="DTG123" s="1"/>
      <c r="DTH123" s="1"/>
      <c r="DTI123" s="1"/>
      <c r="DTJ123" s="1"/>
      <c r="DTK123" s="1"/>
      <c r="DTL123" s="1"/>
      <c r="DTM123" s="1"/>
      <c r="DTN123" s="1"/>
      <c r="DTO123" s="1"/>
      <c r="DTP123" s="1"/>
      <c r="DTQ123" s="1"/>
      <c r="DTR123" s="1"/>
      <c r="DTS123" s="1"/>
      <c r="DTT123" s="1"/>
      <c r="DTU123" s="1"/>
      <c r="DTV123" s="1"/>
      <c r="DTW123" s="1"/>
      <c r="DTX123" s="1"/>
      <c r="DTY123" s="1"/>
      <c r="DTZ123" s="1"/>
      <c r="DUA123" s="1"/>
      <c r="DUB123" s="1"/>
      <c r="DUC123" s="1"/>
      <c r="DUD123" s="1"/>
      <c r="DUE123" s="1"/>
      <c r="DUF123" s="1"/>
      <c r="DUG123" s="1"/>
      <c r="DUH123" s="1"/>
      <c r="DUI123" s="1"/>
      <c r="DUJ123" s="1"/>
      <c r="DUK123" s="1"/>
      <c r="DUL123" s="1"/>
      <c r="DUM123" s="1"/>
      <c r="DUN123" s="1"/>
      <c r="DUO123" s="1"/>
      <c r="DUP123" s="1"/>
      <c r="DUQ123" s="1"/>
      <c r="DUR123" s="1"/>
      <c r="DUS123" s="1"/>
      <c r="DUT123" s="1"/>
      <c r="DUU123" s="1"/>
      <c r="DUV123" s="1"/>
      <c r="DUW123" s="1"/>
      <c r="DUX123" s="1"/>
      <c r="DUY123" s="1"/>
      <c r="DUZ123" s="1"/>
      <c r="DVA123" s="1"/>
      <c r="DVB123" s="1"/>
      <c r="DVC123" s="1"/>
      <c r="DVD123" s="1"/>
      <c r="DVE123" s="1"/>
      <c r="DVF123" s="1"/>
      <c r="DVG123" s="1"/>
      <c r="DVH123" s="1"/>
      <c r="DVI123" s="1"/>
      <c r="DVJ123" s="1"/>
      <c r="DVK123" s="1"/>
      <c r="DVL123" s="1"/>
      <c r="DVM123" s="1"/>
      <c r="DVN123" s="1"/>
      <c r="DVO123" s="1"/>
      <c r="DVP123" s="1"/>
      <c r="DVQ123" s="1"/>
      <c r="DVR123" s="1"/>
      <c r="DVS123" s="1"/>
      <c r="DVT123" s="1"/>
      <c r="DVU123" s="1"/>
      <c r="DVV123" s="1"/>
      <c r="DVW123" s="1"/>
      <c r="DVX123" s="1"/>
      <c r="DVY123" s="1"/>
      <c r="DVZ123" s="1"/>
      <c r="DWA123" s="1"/>
      <c r="DWB123" s="1"/>
      <c r="DWC123" s="1"/>
      <c r="DWD123" s="1"/>
      <c r="DWE123" s="1"/>
      <c r="DWF123" s="1"/>
      <c r="DWG123" s="1"/>
      <c r="DWH123" s="1"/>
      <c r="DWI123" s="1"/>
      <c r="DWJ123" s="1"/>
      <c r="DWK123" s="1"/>
      <c r="DWL123" s="1"/>
      <c r="DWM123" s="1"/>
      <c r="DWN123" s="1"/>
      <c r="DWO123" s="1"/>
      <c r="DWP123" s="1"/>
      <c r="DWQ123" s="1"/>
      <c r="DWR123" s="1"/>
      <c r="DWS123" s="1"/>
      <c r="DWT123" s="1"/>
      <c r="DWU123" s="1"/>
      <c r="DWV123" s="1"/>
      <c r="DWW123" s="1"/>
      <c r="DWX123" s="1"/>
      <c r="DWY123" s="1"/>
      <c r="DWZ123" s="1"/>
      <c r="DXA123" s="1"/>
      <c r="DXB123" s="1"/>
      <c r="DXC123" s="1"/>
      <c r="DXD123" s="1"/>
      <c r="DXE123" s="1"/>
      <c r="DXF123" s="1"/>
      <c r="DXG123" s="1"/>
      <c r="DXH123" s="1"/>
      <c r="DXI123" s="1"/>
      <c r="DXJ123" s="1"/>
      <c r="DXK123" s="1"/>
      <c r="DXL123" s="1"/>
      <c r="DXM123" s="1"/>
      <c r="DXN123" s="1"/>
      <c r="DXO123" s="1"/>
      <c r="DXP123" s="1"/>
      <c r="DXQ123" s="1"/>
      <c r="DXR123" s="1"/>
      <c r="DXS123" s="1"/>
      <c r="DXT123" s="1"/>
      <c r="DXU123" s="1"/>
      <c r="DXV123" s="1"/>
      <c r="DXW123" s="1"/>
      <c r="DXX123" s="1"/>
      <c r="DXY123" s="1"/>
      <c r="DXZ123" s="1"/>
      <c r="DYA123" s="1"/>
      <c r="DYB123" s="1"/>
      <c r="DYC123" s="1"/>
      <c r="DYD123" s="1"/>
      <c r="DYE123" s="1"/>
      <c r="DYF123" s="1"/>
      <c r="DYG123" s="1"/>
      <c r="DYH123" s="1"/>
      <c r="DYI123" s="1"/>
      <c r="DYJ123" s="1"/>
      <c r="DYK123" s="1"/>
      <c r="DYL123" s="1"/>
      <c r="DYM123" s="1"/>
      <c r="DYN123" s="1"/>
      <c r="DYO123" s="1"/>
      <c r="DYP123" s="1"/>
      <c r="DYQ123" s="1"/>
      <c r="DYR123" s="1"/>
      <c r="DYS123" s="1"/>
      <c r="DYT123" s="1"/>
      <c r="DYU123" s="1"/>
      <c r="DYV123" s="1"/>
      <c r="DYW123" s="1"/>
      <c r="DYX123" s="1"/>
      <c r="DYY123" s="1"/>
      <c r="DYZ123" s="1"/>
      <c r="DZA123" s="1"/>
      <c r="DZB123" s="1"/>
      <c r="DZC123" s="1"/>
      <c r="DZD123" s="1"/>
      <c r="DZE123" s="1"/>
      <c r="DZF123" s="1"/>
      <c r="DZG123" s="1"/>
      <c r="DZH123" s="1"/>
      <c r="DZI123" s="1"/>
      <c r="DZJ123" s="1"/>
      <c r="DZK123" s="1"/>
      <c r="DZL123" s="1"/>
      <c r="DZM123" s="1"/>
      <c r="DZN123" s="1"/>
      <c r="DZO123" s="1"/>
      <c r="DZP123" s="1"/>
      <c r="DZQ123" s="1"/>
      <c r="DZR123" s="1"/>
      <c r="DZS123" s="1"/>
      <c r="DZT123" s="1"/>
      <c r="DZU123" s="1"/>
      <c r="DZV123" s="1"/>
      <c r="DZW123" s="1"/>
      <c r="DZX123" s="1"/>
      <c r="DZY123" s="1"/>
      <c r="DZZ123" s="1"/>
      <c r="EAA123" s="1"/>
      <c r="EAB123" s="1"/>
      <c r="EAC123" s="1"/>
      <c r="EAD123" s="1"/>
      <c r="EAE123" s="1"/>
      <c r="EAF123" s="1"/>
      <c r="EAG123" s="1"/>
      <c r="EAH123" s="1"/>
      <c r="EAI123" s="1"/>
      <c r="EAJ123" s="1"/>
      <c r="EAK123" s="1"/>
      <c r="EAL123" s="1"/>
      <c r="EAM123" s="1"/>
      <c r="EAN123" s="1"/>
      <c r="EAO123" s="1"/>
      <c r="EAP123" s="1"/>
      <c r="EAQ123" s="1"/>
      <c r="EAR123" s="1"/>
      <c r="EAS123" s="1"/>
      <c r="EAT123" s="1"/>
      <c r="EAU123" s="1"/>
      <c r="EAV123" s="1"/>
      <c r="EAW123" s="1"/>
      <c r="EAX123" s="1"/>
      <c r="EAY123" s="1"/>
      <c r="EAZ123" s="1"/>
      <c r="EBA123" s="1"/>
      <c r="EBB123" s="1"/>
      <c r="EBC123" s="1"/>
      <c r="EBD123" s="1"/>
      <c r="EBE123" s="1"/>
      <c r="EBF123" s="1"/>
      <c r="EBG123" s="1"/>
      <c r="EBH123" s="1"/>
      <c r="EBI123" s="1"/>
      <c r="EBJ123" s="1"/>
      <c r="EBK123" s="1"/>
      <c r="EBL123" s="1"/>
      <c r="EBM123" s="1"/>
      <c r="EBN123" s="1"/>
      <c r="EBO123" s="1"/>
      <c r="EBP123" s="1"/>
      <c r="EBQ123" s="1"/>
      <c r="EBR123" s="1"/>
      <c r="EBS123" s="1"/>
      <c r="EBT123" s="1"/>
      <c r="EBU123" s="1"/>
      <c r="EBV123" s="1"/>
      <c r="EBW123" s="1"/>
      <c r="EBX123" s="1"/>
      <c r="EBY123" s="1"/>
      <c r="EBZ123" s="1"/>
      <c r="ECA123" s="1"/>
      <c r="ECB123" s="1"/>
      <c r="ECC123" s="1"/>
      <c r="ECD123" s="1"/>
      <c r="ECE123" s="1"/>
      <c r="ECF123" s="1"/>
      <c r="ECG123" s="1"/>
      <c r="ECH123" s="1"/>
      <c r="ECI123" s="1"/>
      <c r="ECJ123" s="1"/>
      <c r="ECK123" s="1"/>
      <c r="ECL123" s="1"/>
      <c r="ECM123" s="1"/>
      <c r="ECN123" s="1"/>
      <c r="ECO123" s="1"/>
      <c r="ECP123" s="1"/>
      <c r="ECQ123" s="1"/>
      <c r="ECR123" s="1"/>
      <c r="ECS123" s="1"/>
      <c r="ECT123" s="1"/>
      <c r="ECU123" s="1"/>
      <c r="ECV123" s="1"/>
      <c r="ECW123" s="1"/>
      <c r="ECX123" s="1"/>
      <c r="ECY123" s="1"/>
      <c r="ECZ123" s="1"/>
      <c r="EDA123" s="1"/>
      <c r="EDB123" s="1"/>
      <c r="EDC123" s="1"/>
      <c r="EDD123" s="1"/>
      <c r="EDE123" s="1"/>
      <c r="EDF123" s="1"/>
      <c r="EDG123" s="1"/>
      <c r="EDH123" s="1"/>
      <c r="EDI123" s="1"/>
      <c r="EDJ123" s="1"/>
      <c r="EDK123" s="1"/>
      <c r="EDL123" s="1"/>
      <c r="EDM123" s="1"/>
      <c r="EDN123" s="1"/>
      <c r="EDO123" s="1"/>
      <c r="EDP123" s="1"/>
      <c r="EDQ123" s="1"/>
      <c r="EDR123" s="1"/>
      <c r="EDS123" s="1"/>
      <c r="EDT123" s="1"/>
      <c r="EDU123" s="1"/>
      <c r="EDV123" s="1"/>
      <c r="EDW123" s="1"/>
      <c r="EDX123" s="1"/>
      <c r="EDY123" s="1"/>
      <c r="EDZ123" s="1"/>
      <c r="EEA123" s="1"/>
      <c r="EEB123" s="1"/>
      <c r="EEC123" s="1"/>
      <c r="EED123" s="1"/>
      <c r="EEE123" s="1"/>
      <c r="EEF123" s="1"/>
      <c r="EEG123" s="1"/>
      <c r="EEH123" s="1"/>
      <c r="EEI123" s="1"/>
      <c r="EEJ123" s="1"/>
      <c r="EEK123" s="1"/>
      <c r="EEL123" s="1"/>
      <c r="EEM123" s="1"/>
      <c r="EEN123" s="1"/>
      <c r="EEO123" s="1"/>
      <c r="EEP123" s="1"/>
      <c r="EEQ123" s="1"/>
      <c r="EER123" s="1"/>
      <c r="EES123" s="1"/>
      <c r="EET123" s="1"/>
      <c r="EEU123" s="1"/>
      <c r="EEV123" s="1"/>
      <c r="EEW123" s="1"/>
      <c r="EEX123" s="1"/>
      <c r="EEY123" s="1"/>
      <c r="EEZ123" s="1"/>
      <c r="EFA123" s="1"/>
      <c r="EFB123" s="1"/>
      <c r="EFC123" s="1"/>
      <c r="EFD123" s="1"/>
      <c r="EFE123" s="1"/>
      <c r="EFF123" s="1"/>
      <c r="EFG123" s="1"/>
      <c r="EFH123" s="1"/>
      <c r="EFI123" s="1"/>
      <c r="EFJ123" s="1"/>
      <c r="EFK123" s="1"/>
      <c r="EFL123" s="1"/>
      <c r="EFM123" s="1"/>
      <c r="EFN123" s="1"/>
      <c r="EFO123" s="1"/>
      <c r="EFP123" s="1"/>
      <c r="EFQ123" s="1"/>
      <c r="EFR123" s="1"/>
      <c r="EFS123" s="1"/>
      <c r="EFT123" s="1"/>
      <c r="EFU123" s="1"/>
      <c r="EFV123" s="1"/>
      <c r="EFW123" s="1"/>
      <c r="EFX123" s="1"/>
      <c r="EFY123" s="1"/>
      <c r="EFZ123" s="1"/>
      <c r="EGA123" s="1"/>
      <c r="EGB123" s="1"/>
      <c r="EGC123" s="1"/>
      <c r="EGD123" s="1"/>
      <c r="EGE123" s="1"/>
      <c r="EGF123" s="1"/>
      <c r="EGG123" s="1"/>
      <c r="EGH123" s="1"/>
      <c r="EGI123" s="1"/>
      <c r="EGJ123" s="1"/>
      <c r="EGK123" s="1"/>
      <c r="EGL123" s="1"/>
      <c r="EGM123" s="1"/>
      <c r="EGN123" s="1"/>
      <c r="EGO123" s="1"/>
      <c r="EGP123" s="1"/>
      <c r="EGQ123" s="1"/>
      <c r="EGR123" s="1"/>
      <c r="EGS123" s="1"/>
      <c r="EGT123" s="1"/>
      <c r="EGU123" s="1"/>
      <c r="EGV123" s="1"/>
      <c r="EGW123" s="1"/>
      <c r="EGX123" s="1"/>
      <c r="EGY123" s="1"/>
      <c r="EGZ123" s="1"/>
      <c r="EHA123" s="1"/>
      <c r="EHB123" s="1"/>
      <c r="EHC123" s="1"/>
      <c r="EHD123" s="1"/>
      <c r="EHE123" s="1"/>
      <c r="EHF123" s="1"/>
      <c r="EHG123" s="1"/>
      <c r="EHH123" s="1"/>
      <c r="EHI123" s="1"/>
      <c r="EHJ123" s="1"/>
      <c r="EHK123" s="1"/>
      <c r="EHL123" s="1"/>
      <c r="EHM123" s="1"/>
      <c r="EHN123" s="1"/>
      <c r="EHO123" s="1"/>
      <c r="EHP123" s="1"/>
      <c r="EHQ123" s="1"/>
      <c r="EHR123" s="1"/>
      <c r="EHS123" s="1"/>
      <c r="EHT123" s="1"/>
      <c r="EHU123" s="1"/>
      <c r="EHV123" s="1"/>
      <c r="EHW123" s="1"/>
      <c r="EHX123" s="1"/>
      <c r="EHY123" s="1"/>
      <c r="EHZ123" s="1"/>
      <c r="EIA123" s="1"/>
      <c r="EIB123" s="1"/>
      <c r="EIC123" s="1"/>
      <c r="EID123" s="1"/>
      <c r="EIE123" s="1"/>
      <c r="EIF123" s="1"/>
      <c r="EIG123" s="1"/>
      <c r="EIH123" s="1"/>
      <c r="EII123" s="1"/>
      <c r="EIJ123" s="1"/>
      <c r="EIK123" s="1"/>
      <c r="EIL123" s="1"/>
      <c r="EIM123" s="1"/>
      <c r="EIN123" s="1"/>
      <c r="EIO123" s="1"/>
      <c r="EIP123" s="1"/>
      <c r="EIQ123" s="1"/>
      <c r="EIR123" s="1"/>
      <c r="EIS123" s="1"/>
      <c r="EIT123" s="1"/>
      <c r="EIU123" s="1"/>
      <c r="EIV123" s="1"/>
      <c r="EIW123" s="1"/>
      <c r="EIX123" s="1"/>
      <c r="EIY123" s="1"/>
      <c r="EIZ123" s="1"/>
      <c r="EJA123" s="1"/>
      <c r="EJB123" s="1"/>
      <c r="EJC123" s="1"/>
      <c r="EJD123" s="1"/>
      <c r="EJE123" s="1"/>
      <c r="EJF123" s="1"/>
      <c r="EJG123" s="1"/>
      <c r="EJH123" s="1"/>
      <c r="EJI123" s="1"/>
      <c r="EJJ123" s="1"/>
      <c r="EJK123" s="1"/>
      <c r="EJL123" s="1"/>
      <c r="EJM123" s="1"/>
      <c r="EJN123" s="1"/>
      <c r="EJO123" s="1"/>
      <c r="EJP123" s="1"/>
      <c r="EJQ123" s="1"/>
      <c r="EJR123" s="1"/>
      <c r="EJS123" s="1"/>
      <c r="EJT123" s="1"/>
      <c r="EJU123" s="1"/>
      <c r="EJV123" s="1"/>
      <c r="EJW123" s="1"/>
      <c r="EJX123" s="1"/>
      <c r="EJY123" s="1"/>
      <c r="EJZ123" s="1"/>
      <c r="EKA123" s="1"/>
      <c r="EKB123" s="1"/>
      <c r="EKC123" s="1"/>
      <c r="EKD123" s="1"/>
      <c r="EKE123" s="1"/>
      <c r="EKF123" s="1"/>
      <c r="EKG123" s="1"/>
      <c r="EKH123" s="1"/>
      <c r="EKI123" s="1"/>
      <c r="EKJ123" s="1"/>
      <c r="EKK123" s="1"/>
      <c r="EKL123" s="1"/>
      <c r="EKM123" s="1"/>
      <c r="EKN123" s="1"/>
      <c r="EKO123" s="1"/>
      <c r="EKP123" s="1"/>
      <c r="EKQ123" s="1"/>
      <c r="EKR123" s="1"/>
      <c r="EKS123" s="1"/>
      <c r="EKT123" s="1"/>
      <c r="EKU123" s="1"/>
      <c r="EKV123" s="1"/>
      <c r="EKW123" s="1"/>
      <c r="EKX123" s="1"/>
      <c r="EKY123" s="1"/>
      <c r="EKZ123" s="1"/>
      <c r="ELA123" s="1"/>
      <c r="ELB123" s="1"/>
      <c r="ELC123" s="1"/>
      <c r="ELD123" s="1"/>
      <c r="ELE123" s="1"/>
      <c r="ELF123" s="1"/>
      <c r="ELG123" s="1"/>
      <c r="ELH123" s="1"/>
      <c r="ELI123" s="1"/>
      <c r="ELJ123" s="1"/>
      <c r="ELK123" s="1"/>
      <c r="ELL123" s="1"/>
      <c r="ELM123" s="1"/>
      <c r="ELN123" s="1"/>
      <c r="ELO123" s="1"/>
      <c r="ELP123" s="1"/>
      <c r="ELQ123" s="1"/>
      <c r="ELR123" s="1"/>
      <c r="ELS123" s="1"/>
      <c r="ELT123" s="1"/>
      <c r="ELU123" s="1"/>
      <c r="ELV123" s="1"/>
      <c r="ELW123" s="1"/>
      <c r="ELX123" s="1"/>
      <c r="ELY123" s="1"/>
      <c r="ELZ123" s="1"/>
      <c r="EMA123" s="1"/>
      <c r="EMB123" s="1"/>
      <c r="EMC123" s="1"/>
      <c r="EMD123" s="1"/>
      <c r="EME123" s="1"/>
      <c r="EMF123" s="1"/>
      <c r="EMG123" s="1"/>
      <c r="EMH123" s="1"/>
      <c r="EMI123" s="1"/>
      <c r="EMJ123" s="1"/>
      <c r="EMK123" s="1"/>
      <c r="EML123" s="1"/>
      <c r="EMM123" s="1"/>
      <c r="EMN123" s="1"/>
      <c r="EMO123" s="1"/>
      <c r="EMP123" s="1"/>
      <c r="EMQ123" s="1"/>
      <c r="EMR123" s="1"/>
      <c r="EMS123" s="1"/>
      <c r="EMT123" s="1"/>
      <c r="EMU123" s="1"/>
      <c r="EMV123" s="1"/>
      <c r="EMW123" s="1"/>
      <c r="EMX123" s="1"/>
      <c r="EMY123" s="1"/>
      <c r="EMZ123" s="1"/>
      <c r="ENA123" s="1"/>
      <c r="ENB123" s="1"/>
      <c r="ENC123" s="1"/>
      <c r="END123" s="1"/>
      <c r="ENE123" s="1"/>
      <c r="ENF123" s="1"/>
      <c r="ENG123" s="1"/>
      <c r="ENH123" s="1"/>
      <c r="ENI123" s="1"/>
      <c r="ENJ123" s="1"/>
      <c r="ENK123" s="1"/>
      <c r="ENL123" s="1"/>
      <c r="ENM123" s="1"/>
      <c r="ENN123" s="1"/>
      <c r="ENO123" s="1"/>
      <c r="ENP123" s="1"/>
      <c r="ENQ123" s="1"/>
      <c r="ENR123" s="1"/>
      <c r="ENS123" s="1"/>
      <c r="ENT123" s="1"/>
      <c r="ENU123" s="1"/>
      <c r="ENV123" s="1"/>
      <c r="ENW123" s="1"/>
      <c r="ENX123" s="1"/>
      <c r="ENY123" s="1"/>
      <c r="ENZ123" s="1"/>
      <c r="EOA123" s="1"/>
      <c r="EOB123" s="1"/>
      <c r="EOC123" s="1"/>
      <c r="EOD123" s="1"/>
      <c r="EOE123" s="1"/>
      <c r="EOF123" s="1"/>
      <c r="EOG123" s="1"/>
      <c r="EOH123" s="1"/>
      <c r="EOI123" s="1"/>
      <c r="EOJ123" s="1"/>
      <c r="EOK123" s="1"/>
      <c r="EOL123" s="1"/>
      <c r="EOM123" s="1"/>
      <c r="EON123" s="1"/>
      <c r="EOO123" s="1"/>
      <c r="EOP123" s="1"/>
      <c r="EOQ123" s="1"/>
      <c r="EOR123" s="1"/>
      <c r="EOS123" s="1"/>
      <c r="EOT123" s="1"/>
      <c r="EOU123" s="1"/>
      <c r="EOV123" s="1"/>
      <c r="EOW123" s="1"/>
      <c r="EOX123" s="1"/>
      <c r="EOY123" s="1"/>
      <c r="EOZ123" s="1"/>
      <c r="EPA123" s="1"/>
      <c r="EPB123" s="1"/>
      <c r="EPC123" s="1"/>
      <c r="EPD123" s="1"/>
      <c r="EPE123" s="1"/>
      <c r="EPF123" s="1"/>
      <c r="EPG123" s="1"/>
      <c r="EPH123" s="1"/>
      <c r="EPI123" s="1"/>
      <c r="EPJ123" s="1"/>
      <c r="EPK123" s="1"/>
      <c r="EPL123" s="1"/>
      <c r="EPM123" s="1"/>
      <c r="EPN123" s="1"/>
      <c r="EPO123" s="1"/>
      <c r="EPP123" s="1"/>
      <c r="EPQ123" s="1"/>
      <c r="EPR123" s="1"/>
      <c r="EPS123" s="1"/>
      <c r="EPT123" s="1"/>
      <c r="EPU123" s="1"/>
      <c r="EPV123" s="1"/>
      <c r="EPW123" s="1"/>
      <c r="EPX123" s="1"/>
      <c r="EPY123" s="1"/>
      <c r="EPZ123" s="1"/>
      <c r="EQA123" s="1"/>
      <c r="EQB123" s="1"/>
      <c r="EQC123" s="1"/>
      <c r="EQD123" s="1"/>
      <c r="EQE123" s="1"/>
      <c r="EQF123" s="1"/>
      <c r="EQG123" s="1"/>
      <c r="EQH123" s="1"/>
      <c r="EQI123" s="1"/>
      <c r="EQJ123" s="1"/>
      <c r="EQK123" s="1"/>
      <c r="EQL123" s="1"/>
      <c r="EQM123" s="1"/>
      <c r="EQN123" s="1"/>
      <c r="EQO123" s="1"/>
      <c r="EQP123" s="1"/>
      <c r="EQQ123" s="1"/>
      <c r="EQR123" s="1"/>
      <c r="EQS123" s="1"/>
      <c r="EQT123" s="1"/>
      <c r="EQU123" s="1"/>
      <c r="EQV123" s="1"/>
      <c r="EQW123" s="1"/>
      <c r="EQX123" s="1"/>
      <c r="EQY123" s="1"/>
      <c r="EQZ123" s="1"/>
      <c r="ERA123" s="1"/>
      <c r="ERB123" s="1"/>
      <c r="ERC123" s="1"/>
      <c r="ERD123" s="1"/>
      <c r="ERE123" s="1"/>
      <c r="ERF123" s="1"/>
      <c r="ERG123" s="1"/>
      <c r="ERH123" s="1"/>
      <c r="ERI123" s="1"/>
      <c r="ERJ123" s="1"/>
      <c r="ERK123" s="1"/>
      <c r="ERL123" s="1"/>
      <c r="ERM123" s="1"/>
      <c r="ERN123" s="1"/>
      <c r="ERO123" s="1"/>
      <c r="ERP123" s="1"/>
      <c r="ERQ123" s="1"/>
      <c r="ERR123" s="1"/>
      <c r="ERS123" s="1"/>
      <c r="ERT123" s="1"/>
      <c r="ERU123" s="1"/>
      <c r="ERV123" s="1"/>
      <c r="ERW123" s="1"/>
      <c r="ERX123" s="1"/>
      <c r="ERY123" s="1"/>
      <c r="ERZ123" s="1"/>
      <c r="ESA123" s="1"/>
      <c r="ESB123" s="1"/>
      <c r="ESC123" s="1"/>
      <c r="ESD123" s="1"/>
      <c r="ESE123" s="1"/>
      <c r="ESF123" s="1"/>
      <c r="ESG123" s="1"/>
      <c r="ESH123" s="1"/>
      <c r="ESI123" s="1"/>
      <c r="ESJ123" s="1"/>
      <c r="ESK123" s="1"/>
      <c r="ESL123" s="1"/>
      <c r="ESM123" s="1"/>
      <c r="ESN123" s="1"/>
      <c r="ESO123" s="1"/>
      <c r="ESP123" s="1"/>
      <c r="ESQ123" s="1"/>
      <c r="ESR123" s="1"/>
      <c r="ESS123" s="1"/>
      <c r="EST123" s="1"/>
      <c r="ESU123" s="1"/>
      <c r="ESV123" s="1"/>
      <c r="ESW123" s="1"/>
      <c r="ESX123" s="1"/>
      <c r="ESY123" s="1"/>
      <c r="ESZ123" s="1"/>
      <c r="ETA123" s="1"/>
      <c r="ETB123" s="1"/>
      <c r="ETC123" s="1"/>
      <c r="ETD123" s="1"/>
      <c r="ETE123" s="1"/>
      <c r="ETF123" s="1"/>
      <c r="ETG123" s="1"/>
      <c r="ETH123" s="1"/>
      <c r="ETI123" s="1"/>
      <c r="ETJ123" s="1"/>
      <c r="ETK123" s="1"/>
      <c r="ETL123" s="1"/>
      <c r="ETM123" s="1"/>
      <c r="ETN123" s="1"/>
      <c r="ETO123" s="1"/>
      <c r="ETP123" s="1"/>
      <c r="ETQ123" s="1"/>
      <c r="ETR123" s="1"/>
      <c r="ETS123" s="1"/>
      <c r="ETT123" s="1"/>
      <c r="ETU123" s="1"/>
      <c r="ETV123" s="1"/>
      <c r="ETW123" s="1"/>
      <c r="ETX123" s="1"/>
      <c r="ETY123" s="1"/>
      <c r="ETZ123" s="1"/>
      <c r="EUA123" s="1"/>
      <c r="EUB123" s="1"/>
      <c r="EUC123" s="1"/>
      <c r="EUD123" s="1"/>
      <c r="EUE123" s="1"/>
      <c r="EUF123" s="1"/>
      <c r="EUG123" s="1"/>
      <c r="EUH123" s="1"/>
      <c r="EUI123" s="1"/>
      <c r="EUJ123" s="1"/>
      <c r="EUK123" s="1"/>
      <c r="EUL123" s="1"/>
      <c r="EUM123" s="1"/>
      <c r="EUN123" s="1"/>
      <c r="EUO123" s="1"/>
      <c r="EUP123" s="1"/>
      <c r="EUQ123" s="1"/>
      <c r="EUR123" s="1"/>
      <c r="EUS123" s="1"/>
      <c r="EUT123" s="1"/>
      <c r="EUU123" s="1"/>
      <c r="EUV123" s="1"/>
      <c r="EUW123" s="1"/>
      <c r="EUX123" s="1"/>
      <c r="EUY123" s="1"/>
      <c r="EUZ123" s="1"/>
      <c r="EVA123" s="1"/>
      <c r="EVB123" s="1"/>
      <c r="EVC123" s="1"/>
      <c r="EVD123" s="1"/>
      <c r="EVE123" s="1"/>
      <c r="EVF123" s="1"/>
      <c r="EVG123" s="1"/>
      <c r="EVH123" s="1"/>
      <c r="EVI123" s="1"/>
      <c r="EVJ123" s="1"/>
      <c r="EVK123" s="1"/>
      <c r="EVL123" s="1"/>
      <c r="EVM123" s="1"/>
      <c r="EVN123" s="1"/>
      <c r="EVO123" s="1"/>
      <c r="EVP123" s="1"/>
      <c r="EVQ123" s="1"/>
      <c r="EVR123" s="1"/>
      <c r="EVS123" s="1"/>
      <c r="EVT123" s="1"/>
      <c r="EVU123" s="1"/>
      <c r="EVV123" s="1"/>
      <c r="EVW123" s="1"/>
      <c r="EVX123" s="1"/>
      <c r="EVY123" s="1"/>
      <c r="EVZ123" s="1"/>
      <c r="EWA123" s="1"/>
      <c r="EWB123" s="1"/>
      <c r="EWC123" s="1"/>
      <c r="EWD123" s="1"/>
      <c r="EWE123" s="1"/>
      <c r="EWF123" s="1"/>
      <c r="EWG123" s="1"/>
      <c r="EWH123" s="1"/>
      <c r="EWI123" s="1"/>
      <c r="EWJ123" s="1"/>
      <c r="EWK123" s="1"/>
      <c r="EWL123" s="1"/>
      <c r="EWM123" s="1"/>
      <c r="EWN123" s="1"/>
      <c r="EWO123" s="1"/>
      <c r="EWP123" s="1"/>
      <c r="EWQ123" s="1"/>
      <c r="EWR123" s="1"/>
      <c r="EWS123" s="1"/>
      <c r="EWT123" s="1"/>
      <c r="EWU123" s="1"/>
      <c r="EWV123" s="1"/>
      <c r="EWW123" s="1"/>
      <c r="EWX123" s="1"/>
      <c r="EWY123" s="1"/>
      <c r="EWZ123" s="1"/>
      <c r="EXA123" s="1"/>
      <c r="EXB123" s="1"/>
      <c r="EXC123" s="1"/>
      <c r="EXD123" s="1"/>
      <c r="EXE123" s="1"/>
      <c r="EXF123" s="1"/>
      <c r="EXG123" s="1"/>
      <c r="EXH123" s="1"/>
      <c r="EXI123" s="1"/>
      <c r="EXJ123" s="1"/>
      <c r="EXK123" s="1"/>
      <c r="EXL123" s="1"/>
      <c r="EXM123" s="1"/>
      <c r="EXN123" s="1"/>
      <c r="EXO123" s="1"/>
      <c r="EXP123" s="1"/>
      <c r="EXQ123" s="1"/>
      <c r="EXR123" s="1"/>
      <c r="EXS123" s="1"/>
      <c r="EXT123" s="1"/>
      <c r="EXU123" s="1"/>
      <c r="EXV123" s="1"/>
      <c r="EXW123" s="1"/>
      <c r="EXX123" s="1"/>
      <c r="EXY123" s="1"/>
      <c r="EXZ123" s="1"/>
      <c r="EYA123" s="1"/>
      <c r="EYB123" s="1"/>
      <c r="EYC123" s="1"/>
      <c r="EYD123" s="1"/>
      <c r="EYE123" s="1"/>
      <c r="EYF123" s="1"/>
      <c r="EYG123" s="1"/>
      <c r="EYH123" s="1"/>
      <c r="EYI123" s="1"/>
      <c r="EYJ123" s="1"/>
      <c r="EYK123" s="1"/>
      <c r="EYL123" s="1"/>
      <c r="EYM123" s="1"/>
      <c r="EYN123" s="1"/>
      <c r="EYO123" s="1"/>
      <c r="EYP123" s="1"/>
      <c r="EYQ123" s="1"/>
      <c r="EYR123" s="1"/>
      <c r="EYS123" s="1"/>
      <c r="EYT123" s="1"/>
      <c r="EYU123" s="1"/>
      <c r="EYV123" s="1"/>
      <c r="EYW123" s="1"/>
      <c r="EYX123" s="1"/>
      <c r="EYY123" s="1"/>
      <c r="EYZ123" s="1"/>
      <c r="EZA123" s="1"/>
      <c r="EZB123" s="1"/>
      <c r="EZC123" s="1"/>
      <c r="EZD123" s="1"/>
      <c r="EZE123" s="1"/>
      <c r="EZF123" s="1"/>
      <c r="EZG123" s="1"/>
      <c r="EZH123" s="1"/>
      <c r="EZI123" s="1"/>
      <c r="EZJ123" s="1"/>
      <c r="EZK123" s="1"/>
      <c r="EZL123" s="1"/>
      <c r="EZM123" s="1"/>
      <c r="EZN123" s="1"/>
      <c r="EZO123" s="1"/>
      <c r="EZP123" s="1"/>
      <c r="EZQ123" s="1"/>
      <c r="EZR123" s="1"/>
      <c r="EZS123" s="1"/>
      <c r="EZT123" s="1"/>
      <c r="EZU123" s="1"/>
      <c r="EZV123" s="1"/>
      <c r="EZW123" s="1"/>
      <c r="EZX123" s="1"/>
      <c r="EZY123" s="1"/>
      <c r="EZZ123" s="1"/>
      <c r="FAA123" s="1"/>
      <c r="FAB123" s="1"/>
      <c r="FAC123" s="1"/>
      <c r="FAD123" s="1"/>
      <c r="FAE123" s="1"/>
      <c r="FAF123" s="1"/>
      <c r="FAG123" s="1"/>
      <c r="FAH123" s="1"/>
      <c r="FAI123" s="1"/>
      <c r="FAJ123" s="1"/>
      <c r="FAK123" s="1"/>
      <c r="FAL123" s="1"/>
      <c r="FAM123" s="1"/>
      <c r="FAN123" s="1"/>
      <c r="FAO123" s="1"/>
      <c r="FAP123" s="1"/>
      <c r="FAQ123" s="1"/>
      <c r="FAR123" s="1"/>
      <c r="FAS123" s="1"/>
      <c r="FAT123" s="1"/>
      <c r="FAU123" s="1"/>
      <c r="FAV123" s="1"/>
      <c r="FAW123" s="1"/>
      <c r="FAX123" s="1"/>
      <c r="FAY123" s="1"/>
      <c r="FAZ123" s="1"/>
      <c r="FBA123" s="1"/>
      <c r="FBB123" s="1"/>
      <c r="FBC123" s="1"/>
      <c r="FBD123" s="1"/>
      <c r="FBE123" s="1"/>
      <c r="FBF123" s="1"/>
      <c r="FBG123" s="1"/>
      <c r="FBH123" s="1"/>
      <c r="FBI123" s="1"/>
      <c r="FBJ123" s="1"/>
      <c r="FBK123" s="1"/>
      <c r="FBL123" s="1"/>
      <c r="FBM123" s="1"/>
      <c r="FBN123" s="1"/>
      <c r="FBO123" s="1"/>
      <c r="FBP123" s="1"/>
      <c r="FBQ123" s="1"/>
      <c r="FBR123" s="1"/>
      <c r="FBS123" s="1"/>
      <c r="FBT123" s="1"/>
      <c r="FBU123" s="1"/>
      <c r="FBV123" s="1"/>
      <c r="FBW123" s="1"/>
      <c r="FBX123" s="1"/>
      <c r="FBY123" s="1"/>
      <c r="FBZ123" s="1"/>
      <c r="FCA123" s="1"/>
      <c r="FCB123" s="1"/>
      <c r="FCC123" s="1"/>
      <c r="FCD123" s="1"/>
      <c r="FCE123" s="1"/>
      <c r="FCF123" s="1"/>
      <c r="FCG123" s="1"/>
      <c r="FCH123" s="1"/>
      <c r="FCI123" s="1"/>
      <c r="FCJ123" s="1"/>
      <c r="FCK123" s="1"/>
      <c r="FCL123" s="1"/>
      <c r="FCM123" s="1"/>
      <c r="FCN123" s="1"/>
      <c r="FCO123" s="1"/>
      <c r="FCP123" s="1"/>
      <c r="FCQ123" s="1"/>
      <c r="FCR123" s="1"/>
      <c r="FCS123" s="1"/>
      <c r="FCT123" s="1"/>
      <c r="FCU123" s="1"/>
      <c r="FCV123" s="1"/>
      <c r="FCW123" s="1"/>
      <c r="FCX123" s="1"/>
      <c r="FCY123" s="1"/>
      <c r="FCZ123" s="1"/>
      <c r="FDA123" s="1"/>
      <c r="FDB123" s="1"/>
      <c r="FDC123" s="1"/>
      <c r="FDD123" s="1"/>
      <c r="FDE123" s="1"/>
      <c r="FDF123" s="1"/>
      <c r="FDG123" s="1"/>
      <c r="FDH123" s="1"/>
      <c r="FDI123" s="1"/>
      <c r="FDJ123" s="1"/>
      <c r="FDK123" s="1"/>
      <c r="FDL123" s="1"/>
      <c r="FDM123" s="1"/>
      <c r="FDN123" s="1"/>
      <c r="FDO123" s="1"/>
      <c r="FDP123" s="1"/>
      <c r="FDQ123" s="1"/>
      <c r="FDR123" s="1"/>
      <c r="FDS123" s="1"/>
      <c r="FDT123" s="1"/>
      <c r="FDU123" s="1"/>
      <c r="FDV123" s="1"/>
      <c r="FDW123" s="1"/>
      <c r="FDX123" s="1"/>
      <c r="FDY123" s="1"/>
      <c r="FDZ123" s="1"/>
      <c r="FEA123" s="1"/>
      <c r="FEB123" s="1"/>
      <c r="FEC123" s="1"/>
      <c r="FED123" s="1"/>
      <c r="FEE123" s="1"/>
      <c r="FEF123" s="1"/>
      <c r="FEG123" s="1"/>
      <c r="FEH123" s="1"/>
      <c r="FEI123" s="1"/>
      <c r="FEJ123" s="1"/>
      <c r="FEK123" s="1"/>
      <c r="FEL123" s="1"/>
      <c r="FEM123" s="1"/>
      <c r="FEN123" s="1"/>
      <c r="FEO123" s="1"/>
      <c r="FEP123" s="1"/>
      <c r="FEQ123" s="1"/>
      <c r="FER123" s="1"/>
      <c r="FES123" s="1"/>
      <c r="FET123" s="1"/>
      <c r="FEU123" s="1"/>
      <c r="FEV123" s="1"/>
      <c r="FEW123" s="1"/>
      <c r="FEX123" s="1"/>
      <c r="FEY123" s="1"/>
      <c r="FEZ123" s="1"/>
      <c r="FFA123" s="1"/>
      <c r="FFB123" s="1"/>
      <c r="FFC123" s="1"/>
      <c r="FFD123" s="1"/>
      <c r="FFE123" s="1"/>
      <c r="FFF123" s="1"/>
      <c r="FFG123" s="1"/>
      <c r="FFH123" s="1"/>
      <c r="FFI123" s="1"/>
      <c r="FFJ123" s="1"/>
      <c r="FFK123" s="1"/>
      <c r="FFL123" s="1"/>
      <c r="FFM123" s="1"/>
      <c r="FFN123" s="1"/>
      <c r="FFO123" s="1"/>
      <c r="FFP123" s="1"/>
      <c r="FFQ123" s="1"/>
      <c r="FFR123" s="1"/>
      <c r="FFS123" s="1"/>
      <c r="FFT123" s="1"/>
      <c r="FFU123" s="1"/>
      <c r="FFV123" s="1"/>
      <c r="FFW123" s="1"/>
      <c r="FFX123" s="1"/>
      <c r="FFY123" s="1"/>
      <c r="FFZ123" s="1"/>
      <c r="FGA123" s="1"/>
      <c r="FGB123" s="1"/>
      <c r="FGC123" s="1"/>
      <c r="FGD123" s="1"/>
      <c r="FGE123" s="1"/>
      <c r="FGF123" s="1"/>
      <c r="FGG123" s="1"/>
      <c r="FGH123" s="1"/>
      <c r="FGI123" s="1"/>
      <c r="FGJ123" s="1"/>
      <c r="FGK123" s="1"/>
      <c r="FGL123" s="1"/>
      <c r="FGM123" s="1"/>
      <c r="FGN123" s="1"/>
      <c r="FGO123" s="1"/>
      <c r="FGP123" s="1"/>
      <c r="FGQ123" s="1"/>
      <c r="FGR123" s="1"/>
      <c r="FGS123" s="1"/>
      <c r="FGT123" s="1"/>
      <c r="FGU123" s="1"/>
      <c r="FGV123" s="1"/>
      <c r="FGW123" s="1"/>
      <c r="FGX123" s="1"/>
      <c r="FGY123" s="1"/>
      <c r="FGZ123" s="1"/>
      <c r="FHA123" s="1"/>
      <c r="FHB123" s="1"/>
      <c r="FHC123" s="1"/>
      <c r="FHD123" s="1"/>
      <c r="FHE123" s="1"/>
      <c r="FHF123" s="1"/>
      <c r="FHG123" s="1"/>
      <c r="FHH123" s="1"/>
      <c r="FHI123" s="1"/>
      <c r="FHJ123" s="1"/>
      <c r="FHK123" s="1"/>
      <c r="FHL123" s="1"/>
      <c r="FHM123" s="1"/>
      <c r="FHN123" s="1"/>
      <c r="FHO123" s="1"/>
      <c r="FHP123" s="1"/>
      <c r="FHQ123" s="1"/>
      <c r="FHR123" s="1"/>
      <c r="FHS123" s="1"/>
      <c r="FHT123" s="1"/>
      <c r="FHU123" s="1"/>
      <c r="FHV123" s="1"/>
      <c r="FHW123" s="1"/>
      <c r="FHX123" s="1"/>
      <c r="FHY123" s="1"/>
      <c r="FHZ123" s="1"/>
      <c r="FIA123" s="1"/>
      <c r="FIB123" s="1"/>
      <c r="FIC123" s="1"/>
      <c r="FID123" s="1"/>
      <c r="FIE123" s="1"/>
      <c r="FIF123" s="1"/>
      <c r="FIG123" s="1"/>
      <c r="FIH123" s="1"/>
      <c r="FII123" s="1"/>
      <c r="FIJ123" s="1"/>
      <c r="FIK123" s="1"/>
      <c r="FIL123" s="1"/>
      <c r="FIM123" s="1"/>
      <c r="FIN123" s="1"/>
      <c r="FIO123" s="1"/>
      <c r="FIP123" s="1"/>
      <c r="FIQ123" s="1"/>
      <c r="FIR123" s="1"/>
      <c r="FIS123" s="1"/>
      <c r="FIT123" s="1"/>
      <c r="FIU123" s="1"/>
      <c r="FIV123" s="1"/>
      <c r="FIW123" s="1"/>
      <c r="FIX123" s="1"/>
      <c r="FIY123" s="1"/>
      <c r="FIZ123" s="1"/>
      <c r="FJA123" s="1"/>
      <c r="FJB123" s="1"/>
      <c r="FJC123" s="1"/>
      <c r="FJD123" s="1"/>
      <c r="FJE123" s="1"/>
      <c r="FJF123" s="1"/>
      <c r="FJG123" s="1"/>
      <c r="FJH123" s="1"/>
      <c r="FJI123" s="1"/>
      <c r="FJJ123" s="1"/>
      <c r="FJK123" s="1"/>
      <c r="FJL123" s="1"/>
      <c r="FJM123" s="1"/>
      <c r="FJN123" s="1"/>
      <c r="FJO123" s="1"/>
      <c r="FJP123" s="1"/>
      <c r="FJQ123" s="1"/>
      <c r="FJR123" s="1"/>
      <c r="FJS123" s="1"/>
      <c r="FJT123" s="1"/>
      <c r="FJU123" s="1"/>
      <c r="FJV123" s="1"/>
      <c r="FJW123" s="1"/>
      <c r="FJX123" s="1"/>
      <c r="FJY123" s="1"/>
      <c r="FJZ123" s="1"/>
      <c r="FKA123" s="1"/>
      <c r="FKB123" s="1"/>
      <c r="FKC123" s="1"/>
      <c r="FKD123" s="1"/>
      <c r="FKE123" s="1"/>
      <c r="FKF123" s="1"/>
      <c r="FKG123" s="1"/>
      <c r="FKH123" s="1"/>
      <c r="FKI123" s="1"/>
      <c r="FKJ123" s="1"/>
      <c r="FKK123" s="1"/>
      <c r="FKL123" s="1"/>
      <c r="FKM123" s="1"/>
      <c r="FKN123" s="1"/>
      <c r="FKO123" s="1"/>
      <c r="FKP123" s="1"/>
      <c r="FKQ123" s="1"/>
      <c r="FKR123" s="1"/>
      <c r="FKS123" s="1"/>
      <c r="FKT123" s="1"/>
      <c r="FKU123" s="1"/>
      <c r="FKV123" s="1"/>
      <c r="FKW123" s="1"/>
      <c r="FKX123" s="1"/>
      <c r="FKY123" s="1"/>
      <c r="FKZ123" s="1"/>
      <c r="FLA123" s="1"/>
      <c r="FLB123" s="1"/>
      <c r="FLC123" s="1"/>
      <c r="FLD123" s="1"/>
      <c r="FLE123" s="1"/>
      <c r="FLF123" s="1"/>
      <c r="FLG123" s="1"/>
      <c r="FLH123" s="1"/>
      <c r="FLI123" s="1"/>
      <c r="FLJ123" s="1"/>
      <c r="FLK123" s="1"/>
      <c r="FLL123" s="1"/>
      <c r="FLM123" s="1"/>
      <c r="FLN123" s="1"/>
      <c r="FLO123" s="1"/>
      <c r="FLP123" s="1"/>
      <c r="FLQ123" s="1"/>
      <c r="FLR123" s="1"/>
      <c r="FLS123" s="1"/>
      <c r="FLT123" s="1"/>
      <c r="FLU123" s="1"/>
      <c r="FLV123" s="1"/>
      <c r="FLW123" s="1"/>
      <c r="FLX123" s="1"/>
      <c r="FLY123" s="1"/>
      <c r="FLZ123" s="1"/>
      <c r="FMA123" s="1"/>
      <c r="FMB123" s="1"/>
      <c r="FMC123" s="1"/>
      <c r="FMD123" s="1"/>
      <c r="FME123" s="1"/>
      <c r="FMF123" s="1"/>
      <c r="FMG123" s="1"/>
      <c r="FMH123" s="1"/>
      <c r="FMI123" s="1"/>
      <c r="FMJ123" s="1"/>
      <c r="FMK123" s="1"/>
      <c r="FML123" s="1"/>
      <c r="FMM123" s="1"/>
      <c r="FMN123" s="1"/>
      <c r="FMO123" s="1"/>
      <c r="FMP123" s="1"/>
      <c r="FMQ123" s="1"/>
      <c r="FMR123" s="1"/>
      <c r="FMS123" s="1"/>
      <c r="FMT123" s="1"/>
      <c r="FMU123" s="1"/>
      <c r="FMV123" s="1"/>
      <c r="FMW123" s="1"/>
      <c r="FMX123" s="1"/>
      <c r="FMY123" s="1"/>
      <c r="FMZ123" s="1"/>
      <c r="FNA123" s="1"/>
      <c r="FNB123" s="1"/>
      <c r="FNC123" s="1"/>
      <c r="FND123" s="1"/>
      <c r="FNE123" s="1"/>
      <c r="FNF123" s="1"/>
      <c r="FNG123" s="1"/>
      <c r="FNH123" s="1"/>
      <c r="FNI123" s="1"/>
      <c r="FNJ123" s="1"/>
      <c r="FNK123" s="1"/>
      <c r="FNL123" s="1"/>
      <c r="FNM123" s="1"/>
      <c r="FNN123" s="1"/>
      <c r="FNO123" s="1"/>
      <c r="FNP123" s="1"/>
      <c r="FNQ123" s="1"/>
      <c r="FNR123" s="1"/>
      <c r="FNS123" s="1"/>
      <c r="FNT123" s="1"/>
      <c r="FNU123" s="1"/>
      <c r="FNV123" s="1"/>
      <c r="FNW123" s="1"/>
      <c r="FNX123" s="1"/>
      <c r="FNY123" s="1"/>
      <c r="FNZ123" s="1"/>
      <c r="FOA123" s="1"/>
      <c r="FOB123" s="1"/>
      <c r="FOC123" s="1"/>
      <c r="FOD123" s="1"/>
      <c r="FOE123" s="1"/>
      <c r="FOF123" s="1"/>
      <c r="FOG123" s="1"/>
      <c r="FOH123" s="1"/>
      <c r="FOI123" s="1"/>
      <c r="FOJ123" s="1"/>
      <c r="FOK123" s="1"/>
      <c r="FOL123" s="1"/>
      <c r="FOM123" s="1"/>
      <c r="FON123" s="1"/>
      <c r="FOO123" s="1"/>
      <c r="FOP123" s="1"/>
      <c r="FOQ123" s="1"/>
      <c r="FOR123" s="1"/>
      <c r="FOS123" s="1"/>
      <c r="FOT123" s="1"/>
      <c r="FOU123" s="1"/>
      <c r="FOV123" s="1"/>
      <c r="FOW123" s="1"/>
      <c r="FOX123" s="1"/>
      <c r="FOY123" s="1"/>
      <c r="FOZ123" s="1"/>
      <c r="FPA123" s="1"/>
      <c r="FPB123" s="1"/>
      <c r="FPC123" s="1"/>
      <c r="FPD123" s="1"/>
      <c r="FPE123" s="1"/>
      <c r="FPF123" s="1"/>
      <c r="FPG123" s="1"/>
      <c r="FPH123" s="1"/>
      <c r="FPI123" s="1"/>
      <c r="FPJ123" s="1"/>
      <c r="FPK123" s="1"/>
      <c r="FPL123" s="1"/>
      <c r="FPM123" s="1"/>
      <c r="FPN123" s="1"/>
      <c r="FPO123" s="1"/>
      <c r="FPP123" s="1"/>
      <c r="FPQ123" s="1"/>
      <c r="FPR123" s="1"/>
      <c r="FPS123" s="1"/>
      <c r="FPT123" s="1"/>
      <c r="FPU123" s="1"/>
      <c r="FPV123" s="1"/>
      <c r="FPW123" s="1"/>
      <c r="FPX123" s="1"/>
      <c r="FPY123" s="1"/>
      <c r="FPZ123" s="1"/>
      <c r="FQA123" s="1"/>
      <c r="FQB123" s="1"/>
      <c r="FQC123" s="1"/>
      <c r="FQD123" s="1"/>
      <c r="FQE123" s="1"/>
      <c r="FQF123" s="1"/>
      <c r="FQG123" s="1"/>
      <c r="FQH123" s="1"/>
      <c r="FQI123" s="1"/>
      <c r="FQJ123" s="1"/>
      <c r="FQK123" s="1"/>
      <c r="FQL123" s="1"/>
      <c r="FQM123" s="1"/>
      <c r="FQN123" s="1"/>
      <c r="FQO123" s="1"/>
      <c r="FQP123" s="1"/>
      <c r="FQQ123" s="1"/>
      <c r="FQR123" s="1"/>
      <c r="FQS123" s="1"/>
      <c r="FQT123" s="1"/>
      <c r="FQU123" s="1"/>
      <c r="FQV123" s="1"/>
      <c r="FQW123" s="1"/>
      <c r="FQX123" s="1"/>
      <c r="FQY123" s="1"/>
      <c r="FQZ123" s="1"/>
      <c r="FRA123" s="1"/>
      <c r="FRB123" s="1"/>
      <c r="FRC123" s="1"/>
      <c r="FRD123" s="1"/>
      <c r="FRE123" s="1"/>
      <c r="FRF123" s="1"/>
      <c r="FRG123" s="1"/>
      <c r="FRH123" s="1"/>
      <c r="FRI123" s="1"/>
      <c r="FRJ123" s="1"/>
      <c r="FRK123" s="1"/>
      <c r="FRL123" s="1"/>
      <c r="FRM123" s="1"/>
      <c r="FRN123" s="1"/>
      <c r="FRO123" s="1"/>
      <c r="FRP123" s="1"/>
      <c r="FRQ123" s="1"/>
      <c r="FRR123" s="1"/>
      <c r="FRS123" s="1"/>
      <c r="FRT123" s="1"/>
      <c r="FRU123" s="1"/>
      <c r="FRV123" s="1"/>
      <c r="FRW123" s="1"/>
      <c r="FRX123" s="1"/>
      <c r="FRY123" s="1"/>
      <c r="FRZ123" s="1"/>
      <c r="FSA123" s="1"/>
      <c r="FSB123" s="1"/>
      <c r="FSC123" s="1"/>
      <c r="FSD123" s="1"/>
      <c r="FSE123" s="1"/>
      <c r="FSF123" s="1"/>
      <c r="FSG123" s="1"/>
      <c r="FSH123" s="1"/>
      <c r="FSI123" s="1"/>
      <c r="FSJ123" s="1"/>
      <c r="FSK123" s="1"/>
      <c r="FSL123" s="1"/>
      <c r="FSM123" s="1"/>
      <c r="FSN123" s="1"/>
      <c r="FSO123" s="1"/>
      <c r="FSP123" s="1"/>
      <c r="FSQ123" s="1"/>
      <c r="FSR123" s="1"/>
      <c r="FSS123" s="1"/>
      <c r="FST123" s="1"/>
      <c r="FSU123" s="1"/>
      <c r="FSV123" s="1"/>
      <c r="FSW123" s="1"/>
      <c r="FSX123" s="1"/>
      <c r="FSY123" s="1"/>
      <c r="FSZ123" s="1"/>
      <c r="FTA123" s="1"/>
      <c r="FTB123" s="1"/>
      <c r="FTC123" s="1"/>
      <c r="FTD123" s="1"/>
      <c r="FTE123" s="1"/>
      <c r="FTF123" s="1"/>
      <c r="FTG123" s="1"/>
      <c r="FTH123" s="1"/>
      <c r="FTI123" s="1"/>
      <c r="FTJ123" s="1"/>
      <c r="FTK123" s="1"/>
      <c r="FTL123" s="1"/>
      <c r="FTM123" s="1"/>
      <c r="FTN123" s="1"/>
      <c r="FTO123" s="1"/>
      <c r="FTP123" s="1"/>
      <c r="FTQ123" s="1"/>
      <c r="FTR123" s="1"/>
      <c r="FTS123" s="1"/>
      <c r="FTT123" s="1"/>
      <c r="FTU123" s="1"/>
      <c r="FTV123" s="1"/>
      <c r="FTW123" s="1"/>
      <c r="FTX123" s="1"/>
      <c r="FTY123" s="1"/>
      <c r="FTZ123" s="1"/>
      <c r="FUA123" s="1"/>
      <c r="FUB123" s="1"/>
      <c r="FUC123" s="1"/>
      <c r="FUD123" s="1"/>
      <c r="FUE123" s="1"/>
      <c r="FUF123" s="1"/>
      <c r="FUG123" s="1"/>
      <c r="FUH123" s="1"/>
      <c r="FUI123" s="1"/>
      <c r="FUJ123" s="1"/>
      <c r="FUK123" s="1"/>
      <c r="FUL123" s="1"/>
      <c r="FUM123" s="1"/>
      <c r="FUN123" s="1"/>
      <c r="FUO123" s="1"/>
      <c r="FUP123" s="1"/>
      <c r="FUQ123" s="1"/>
      <c r="FUR123" s="1"/>
      <c r="FUS123" s="1"/>
      <c r="FUT123" s="1"/>
      <c r="FUU123" s="1"/>
      <c r="FUV123" s="1"/>
      <c r="FUW123" s="1"/>
      <c r="FUX123" s="1"/>
      <c r="FUY123" s="1"/>
      <c r="FUZ123" s="1"/>
      <c r="FVA123" s="1"/>
      <c r="FVB123" s="1"/>
      <c r="FVC123" s="1"/>
      <c r="FVD123" s="1"/>
      <c r="FVE123" s="1"/>
      <c r="FVF123" s="1"/>
      <c r="FVG123" s="1"/>
      <c r="FVH123" s="1"/>
      <c r="FVI123" s="1"/>
      <c r="FVJ123" s="1"/>
      <c r="FVK123" s="1"/>
      <c r="FVL123" s="1"/>
      <c r="FVM123" s="1"/>
      <c r="FVN123" s="1"/>
      <c r="FVO123" s="1"/>
      <c r="FVP123" s="1"/>
      <c r="FVQ123" s="1"/>
      <c r="FVR123" s="1"/>
      <c r="FVS123" s="1"/>
      <c r="FVT123" s="1"/>
      <c r="FVU123" s="1"/>
      <c r="FVV123" s="1"/>
      <c r="FVW123" s="1"/>
      <c r="FVX123" s="1"/>
      <c r="FVY123" s="1"/>
      <c r="FVZ123" s="1"/>
      <c r="FWA123" s="1"/>
      <c r="FWB123" s="1"/>
      <c r="FWC123" s="1"/>
      <c r="FWD123" s="1"/>
      <c r="FWE123" s="1"/>
      <c r="FWF123" s="1"/>
      <c r="FWG123" s="1"/>
      <c r="FWH123" s="1"/>
      <c r="FWI123" s="1"/>
      <c r="FWJ123" s="1"/>
      <c r="FWK123" s="1"/>
      <c r="FWL123" s="1"/>
      <c r="FWM123" s="1"/>
      <c r="FWN123" s="1"/>
      <c r="FWO123" s="1"/>
      <c r="FWP123" s="1"/>
      <c r="FWQ123" s="1"/>
      <c r="FWR123" s="1"/>
      <c r="FWS123" s="1"/>
      <c r="FWT123" s="1"/>
      <c r="FWU123" s="1"/>
      <c r="FWV123" s="1"/>
      <c r="FWW123" s="1"/>
      <c r="FWX123" s="1"/>
      <c r="FWY123" s="1"/>
      <c r="FWZ123" s="1"/>
      <c r="FXA123" s="1"/>
      <c r="FXB123" s="1"/>
      <c r="FXC123" s="1"/>
      <c r="FXD123" s="1"/>
      <c r="FXE123" s="1"/>
      <c r="FXF123" s="1"/>
      <c r="FXG123" s="1"/>
      <c r="FXH123" s="1"/>
      <c r="FXI123" s="1"/>
      <c r="FXJ123" s="1"/>
      <c r="FXK123" s="1"/>
      <c r="FXL123" s="1"/>
      <c r="FXM123" s="1"/>
      <c r="FXN123" s="1"/>
      <c r="FXO123" s="1"/>
      <c r="FXP123" s="1"/>
      <c r="FXQ123" s="1"/>
      <c r="FXR123" s="1"/>
      <c r="FXS123" s="1"/>
      <c r="FXT123" s="1"/>
      <c r="FXU123" s="1"/>
      <c r="FXV123" s="1"/>
      <c r="FXW123" s="1"/>
      <c r="FXX123" s="1"/>
      <c r="FXY123" s="1"/>
      <c r="FXZ123" s="1"/>
      <c r="FYA123" s="1"/>
      <c r="FYB123" s="1"/>
      <c r="FYC123" s="1"/>
      <c r="FYD123" s="1"/>
      <c r="FYE123" s="1"/>
      <c r="FYF123" s="1"/>
      <c r="FYG123" s="1"/>
      <c r="FYH123" s="1"/>
      <c r="FYI123" s="1"/>
      <c r="FYJ123" s="1"/>
      <c r="FYK123" s="1"/>
      <c r="FYL123" s="1"/>
      <c r="FYM123" s="1"/>
      <c r="FYN123" s="1"/>
      <c r="FYO123" s="1"/>
      <c r="FYP123" s="1"/>
      <c r="FYQ123" s="1"/>
      <c r="FYR123" s="1"/>
      <c r="FYS123" s="1"/>
      <c r="FYT123" s="1"/>
      <c r="FYU123" s="1"/>
      <c r="FYV123" s="1"/>
      <c r="FYW123" s="1"/>
      <c r="FYX123" s="1"/>
      <c r="FYY123" s="1"/>
      <c r="FYZ123" s="1"/>
      <c r="FZA123" s="1"/>
      <c r="FZB123" s="1"/>
      <c r="FZC123" s="1"/>
      <c r="FZD123" s="1"/>
      <c r="FZE123" s="1"/>
      <c r="FZF123" s="1"/>
      <c r="FZG123" s="1"/>
      <c r="FZH123" s="1"/>
      <c r="FZI123" s="1"/>
      <c r="FZJ123" s="1"/>
      <c r="FZK123" s="1"/>
      <c r="FZL123" s="1"/>
      <c r="FZM123" s="1"/>
      <c r="FZN123" s="1"/>
      <c r="FZO123" s="1"/>
      <c r="FZP123" s="1"/>
      <c r="FZQ123" s="1"/>
      <c r="FZR123" s="1"/>
      <c r="FZS123" s="1"/>
      <c r="FZT123" s="1"/>
      <c r="FZU123" s="1"/>
      <c r="FZV123" s="1"/>
      <c r="FZW123" s="1"/>
      <c r="FZX123" s="1"/>
      <c r="FZY123" s="1"/>
      <c r="FZZ123" s="1"/>
      <c r="GAA123" s="1"/>
      <c r="GAB123" s="1"/>
      <c r="GAC123" s="1"/>
      <c r="GAD123" s="1"/>
      <c r="GAE123" s="1"/>
      <c r="GAF123" s="1"/>
      <c r="GAG123" s="1"/>
      <c r="GAH123" s="1"/>
      <c r="GAI123" s="1"/>
      <c r="GAJ123" s="1"/>
      <c r="GAK123" s="1"/>
      <c r="GAL123" s="1"/>
      <c r="GAM123" s="1"/>
      <c r="GAN123" s="1"/>
      <c r="GAO123" s="1"/>
      <c r="GAP123" s="1"/>
      <c r="GAQ123" s="1"/>
      <c r="GAR123" s="1"/>
      <c r="GAS123" s="1"/>
      <c r="GAT123" s="1"/>
      <c r="GAU123" s="1"/>
      <c r="GAV123" s="1"/>
      <c r="GAW123" s="1"/>
      <c r="GAX123" s="1"/>
      <c r="GAY123" s="1"/>
      <c r="GAZ123" s="1"/>
      <c r="GBA123" s="1"/>
      <c r="GBB123" s="1"/>
      <c r="GBC123" s="1"/>
      <c r="GBD123" s="1"/>
      <c r="GBE123" s="1"/>
      <c r="GBF123" s="1"/>
      <c r="GBG123" s="1"/>
      <c r="GBH123" s="1"/>
      <c r="GBI123" s="1"/>
      <c r="GBJ123" s="1"/>
      <c r="GBK123" s="1"/>
      <c r="GBL123" s="1"/>
      <c r="GBM123" s="1"/>
      <c r="GBN123" s="1"/>
      <c r="GBO123" s="1"/>
      <c r="GBP123" s="1"/>
      <c r="GBQ123" s="1"/>
      <c r="GBR123" s="1"/>
      <c r="GBS123" s="1"/>
      <c r="GBT123" s="1"/>
      <c r="GBU123" s="1"/>
      <c r="GBV123" s="1"/>
      <c r="GBW123" s="1"/>
      <c r="GBX123" s="1"/>
      <c r="GBY123" s="1"/>
      <c r="GBZ123" s="1"/>
      <c r="GCA123" s="1"/>
      <c r="GCB123" s="1"/>
      <c r="GCC123" s="1"/>
      <c r="GCD123" s="1"/>
      <c r="GCE123" s="1"/>
      <c r="GCF123" s="1"/>
      <c r="GCG123" s="1"/>
      <c r="GCH123" s="1"/>
      <c r="GCI123" s="1"/>
      <c r="GCJ123" s="1"/>
      <c r="GCK123" s="1"/>
      <c r="GCL123" s="1"/>
      <c r="GCM123" s="1"/>
      <c r="GCN123" s="1"/>
      <c r="GCO123" s="1"/>
      <c r="GCP123" s="1"/>
      <c r="GCQ123" s="1"/>
      <c r="GCR123" s="1"/>
      <c r="GCS123" s="1"/>
      <c r="GCT123" s="1"/>
      <c r="GCU123" s="1"/>
      <c r="GCV123" s="1"/>
      <c r="GCW123" s="1"/>
      <c r="GCX123" s="1"/>
      <c r="GCY123" s="1"/>
      <c r="GCZ123" s="1"/>
      <c r="GDA123" s="1"/>
      <c r="GDB123" s="1"/>
      <c r="GDC123" s="1"/>
      <c r="GDD123" s="1"/>
      <c r="GDE123" s="1"/>
      <c r="GDF123" s="1"/>
      <c r="GDG123" s="1"/>
      <c r="GDH123" s="1"/>
      <c r="GDI123" s="1"/>
      <c r="GDJ123" s="1"/>
      <c r="GDK123" s="1"/>
      <c r="GDL123" s="1"/>
      <c r="GDM123" s="1"/>
      <c r="GDN123" s="1"/>
      <c r="GDO123" s="1"/>
      <c r="GDP123" s="1"/>
      <c r="GDQ123" s="1"/>
      <c r="GDR123" s="1"/>
      <c r="GDS123" s="1"/>
      <c r="GDT123" s="1"/>
      <c r="GDU123" s="1"/>
      <c r="GDV123" s="1"/>
      <c r="GDW123" s="1"/>
      <c r="GDX123" s="1"/>
      <c r="GDY123" s="1"/>
      <c r="GDZ123" s="1"/>
      <c r="GEA123" s="1"/>
      <c r="GEB123" s="1"/>
      <c r="GEC123" s="1"/>
      <c r="GED123" s="1"/>
      <c r="GEE123" s="1"/>
      <c r="GEF123" s="1"/>
      <c r="GEG123" s="1"/>
      <c r="GEH123" s="1"/>
      <c r="GEI123" s="1"/>
      <c r="GEJ123" s="1"/>
      <c r="GEK123" s="1"/>
      <c r="GEL123" s="1"/>
      <c r="GEM123" s="1"/>
      <c r="GEN123" s="1"/>
      <c r="GEO123" s="1"/>
      <c r="GEP123" s="1"/>
      <c r="GEQ123" s="1"/>
      <c r="GER123" s="1"/>
      <c r="GES123" s="1"/>
      <c r="GET123" s="1"/>
      <c r="GEU123" s="1"/>
      <c r="GEV123" s="1"/>
      <c r="GEW123" s="1"/>
      <c r="GEX123" s="1"/>
      <c r="GEY123" s="1"/>
      <c r="GEZ123" s="1"/>
      <c r="GFA123" s="1"/>
      <c r="GFB123" s="1"/>
      <c r="GFC123" s="1"/>
      <c r="GFD123" s="1"/>
      <c r="GFE123" s="1"/>
      <c r="GFF123" s="1"/>
      <c r="GFG123" s="1"/>
      <c r="GFH123" s="1"/>
      <c r="GFI123" s="1"/>
      <c r="GFJ123" s="1"/>
      <c r="GFK123" s="1"/>
      <c r="GFL123" s="1"/>
      <c r="GFM123" s="1"/>
      <c r="GFN123" s="1"/>
      <c r="GFO123" s="1"/>
      <c r="GFP123" s="1"/>
      <c r="GFQ123" s="1"/>
      <c r="GFR123" s="1"/>
      <c r="GFS123" s="1"/>
      <c r="GFT123" s="1"/>
      <c r="GFU123" s="1"/>
      <c r="GFV123" s="1"/>
      <c r="GFW123" s="1"/>
      <c r="GFX123" s="1"/>
      <c r="GFY123" s="1"/>
      <c r="GFZ123" s="1"/>
      <c r="GGA123" s="1"/>
      <c r="GGB123" s="1"/>
      <c r="GGC123" s="1"/>
      <c r="GGD123" s="1"/>
      <c r="GGE123" s="1"/>
      <c r="GGF123" s="1"/>
      <c r="GGG123" s="1"/>
      <c r="GGH123" s="1"/>
      <c r="GGI123" s="1"/>
      <c r="GGJ123" s="1"/>
      <c r="GGK123" s="1"/>
      <c r="GGL123" s="1"/>
      <c r="GGM123" s="1"/>
      <c r="GGN123" s="1"/>
      <c r="GGO123" s="1"/>
      <c r="GGP123" s="1"/>
      <c r="GGQ123" s="1"/>
      <c r="GGR123" s="1"/>
      <c r="GGS123" s="1"/>
      <c r="GGT123" s="1"/>
      <c r="GGU123" s="1"/>
      <c r="GGV123" s="1"/>
      <c r="GGW123" s="1"/>
      <c r="GGX123" s="1"/>
      <c r="GGY123" s="1"/>
      <c r="GGZ123" s="1"/>
      <c r="GHA123" s="1"/>
      <c r="GHB123" s="1"/>
      <c r="GHC123" s="1"/>
      <c r="GHD123" s="1"/>
      <c r="GHE123" s="1"/>
      <c r="GHF123" s="1"/>
      <c r="GHG123" s="1"/>
      <c r="GHH123" s="1"/>
      <c r="GHI123" s="1"/>
      <c r="GHJ123" s="1"/>
      <c r="GHK123" s="1"/>
      <c r="GHL123" s="1"/>
      <c r="GHM123" s="1"/>
      <c r="GHN123" s="1"/>
      <c r="GHO123" s="1"/>
      <c r="GHP123" s="1"/>
      <c r="GHQ123" s="1"/>
      <c r="GHR123" s="1"/>
      <c r="GHS123" s="1"/>
      <c r="GHT123" s="1"/>
      <c r="GHU123" s="1"/>
      <c r="GHV123" s="1"/>
      <c r="GHW123" s="1"/>
      <c r="GHX123" s="1"/>
      <c r="GHY123" s="1"/>
      <c r="GHZ123" s="1"/>
      <c r="GIA123" s="1"/>
      <c r="GIB123" s="1"/>
      <c r="GIC123" s="1"/>
      <c r="GID123" s="1"/>
      <c r="GIE123" s="1"/>
      <c r="GIF123" s="1"/>
      <c r="GIG123" s="1"/>
      <c r="GIH123" s="1"/>
      <c r="GII123" s="1"/>
      <c r="GIJ123" s="1"/>
      <c r="GIK123" s="1"/>
      <c r="GIL123" s="1"/>
      <c r="GIM123" s="1"/>
      <c r="GIN123" s="1"/>
      <c r="GIO123" s="1"/>
      <c r="GIP123" s="1"/>
      <c r="GIQ123" s="1"/>
      <c r="GIR123" s="1"/>
      <c r="GIS123" s="1"/>
      <c r="GIT123" s="1"/>
      <c r="GIU123" s="1"/>
      <c r="GIV123" s="1"/>
      <c r="GIW123" s="1"/>
      <c r="GIX123" s="1"/>
      <c r="GIY123" s="1"/>
      <c r="GIZ123" s="1"/>
      <c r="GJA123" s="1"/>
      <c r="GJB123" s="1"/>
      <c r="GJC123" s="1"/>
      <c r="GJD123" s="1"/>
      <c r="GJE123" s="1"/>
      <c r="GJF123" s="1"/>
      <c r="GJG123" s="1"/>
      <c r="GJH123" s="1"/>
      <c r="GJI123" s="1"/>
      <c r="GJJ123" s="1"/>
      <c r="GJK123" s="1"/>
      <c r="GJL123" s="1"/>
      <c r="GJM123" s="1"/>
      <c r="GJN123" s="1"/>
      <c r="GJO123" s="1"/>
      <c r="GJP123" s="1"/>
      <c r="GJQ123" s="1"/>
      <c r="GJR123" s="1"/>
      <c r="GJS123" s="1"/>
      <c r="GJT123" s="1"/>
      <c r="GJU123" s="1"/>
      <c r="GJV123" s="1"/>
      <c r="GJW123" s="1"/>
      <c r="GJX123" s="1"/>
      <c r="GJY123" s="1"/>
      <c r="GJZ123" s="1"/>
      <c r="GKA123" s="1"/>
      <c r="GKB123" s="1"/>
      <c r="GKC123" s="1"/>
      <c r="GKD123" s="1"/>
      <c r="GKE123" s="1"/>
      <c r="GKF123" s="1"/>
      <c r="GKG123" s="1"/>
      <c r="GKH123" s="1"/>
      <c r="GKI123" s="1"/>
      <c r="GKJ123" s="1"/>
      <c r="GKK123" s="1"/>
      <c r="GKL123" s="1"/>
      <c r="GKM123" s="1"/>
      <c r="GKN123" s="1"/>
      <c r="GKO123" s="1"/>
      <c r="GKP123" s="1"/>
      <c r="GKQ123" s="1"/>
      <c r="GKR123" s="1"/>
      <c r="GKS123" s="1"/>
      <c r="GKT123" s="1"/>
      <c r="GKU123" s="1"/>
      <c r="GKV123" s="1"/>
      <c r="GKW123" s="1"/>
      <c r="GKX123" s="1"/>
      <c r="GKY123" s="1"/>
      <c r="GKZ123" s="1"/>
      <c r="GLA123" s="1"/>
      <c r="GLB123" s="1"/>
      <c r="GLC123" s="1"/>
      <c r="GLD123" s="1"/>
      <c r="GLE123" s="1"/>
      <c r="GLF123" s="1"/>
      <c r="GLG123" s="1"/>
      <c r="GLH123" s="1"/>
      <c r="GLI123" s="1"/>
      <c r="GLJ123" s="1"/>
      <c r="GLK123" s="1"/>
      <c r="GLL123" s="1"/>
      <c r="GLM123" s="1"/>
      <c r="GLN123" s="1"/>
      <c r="GLO123" s="1"/>
      <c r="GLP123" s="1"/>
      <c r="GLQ123" s="1"/>
      <c r="GLR123" s="1"/>
      <c r="GLS123" s="1"/>
      <c r="GLT123" s="1"/>
      <c r="GLU123" s="1"/>
      <c r="GLV123" s="1"/>
      <c r="GLW123" s="1"/>
      <c r="GLX123" s="1"/>
      <c r="GLY123" s="1"/>
      <c r="GLZ123" s="1"/>
      <c r="GMA123" s="1"/>
      <c r="GMB123" s="1"/>
      <c r="GMC123" s="1"/>
      <c r="GMD123" s="1"/>
      <c r="GME123" s="1"/>
      <c r="GMF123" s="1"/>
      <c r="GMG123" s="1"/>
      <c r="GMH123" s="1"/>
      <c r="GMI123" s="1"/>
      <c r="GMJ123" s="1"/>
      <c r="GMK123" s="1"/>
      <c r="GML123" s="1"/>
      <c r="GMM123" s="1"/>
      <c r="GMN123" s="1"/>
      <c r="GMO123" s="1"/>
      <c r="GMP123" s="1"/>
      <c r="GMQ123" s="1"/>
      <c r="GMR123" s="1"/>
      <c r="GMS123" s="1"/>
      <c r="GMT123" s="1"/>
      <c r="GMU123" s="1"/>
      <c r="GMV123" s="1"/>
      <c r="GMW123" s="1"/>
      <c r="GMX123" s="1"/>
      <c r="GMY123" s="1"/>
      <c r="GMZ123" s="1"/>
      <c r="GNA123" s="1"/>
      <c r="GNB123" s="1"/>
      <c r="GNC123" s="1"/>
      <c r="GND123" s="1"/>
      <c r="GNE123" s="1"/>
      <c r="GNF123" s="1"/>
      <c r="GNG123" s="1"/>
      <c r="GNH123" s="1"/>
      <c r="GNI123" s="1"/>
      <c r="GNJ123" s="1"/>
      <c r="GNK123" s="1"/>
      <c r="GNL123" s="1"/>
      <c r="GNM123" s="1"/>
      <c r="GNN123" s="1"/>
      <c r="GNO123" s="1"/>
      <c r="GNP123" s="1"/>
      <c r="GNQ123" s="1"/>
      <c r="GNR123" s="1"/>
      <c r="GNS123" s="1"/>
      <c r="GNT123" s="1"/>
      <c r="GNU123" s="1"/>
      <c r="GNV123" s="1"/>
      <c r="GNW123" s="1"/>
      <c r="GNX123" s="1"/>
      <c r="GNY123" s="1"/>
      <c r="GNZ123" s="1"/>
      <c r="GOA123" s="1"/>
      <c r="GOB123" s="1"/>
      <c r="GOC123" s="1"/>
      <c r="GOD123" s="1"/>
      <c r="GOE123" s="1"/>
      <c r="GOF123" s="1"/>
      <c r="GOG123" s="1"/>
      <c r="GOH123" s="1"/>
      <c r="GOI123" s="1"/>
      <c r="GOJ123" s="1"/>
      <c r="GOK123" s="1"/>
      <c r="GOL123" s="1"/>
      <c r="GOM123" s="1"/>
      <c r="GON123" s="1"/>
      <c r="GOO123" s="1"/>
      <c r="GOP123" s="1"/>
      <c r="GOQ123" s="1"/>
      <c r="GOR123" s="1"/>
      <c r="GOS123" s="1"/>
      <c r="GOT123" s="1"/>
      <c r="GOU123" s="1"/>
      <c r="GOV123" s="1"/>
      <c r="GOW123" s="1"/>
      <c r="GOX123" s="1"/>
      <c r="GOY123" s="1"/>
      <c r="GOZ123" s="1"/>
      <c r="GPA123" s="1"/>
      <c r="GPB123" s="1"/>
      <c r="GPC123" s="1"/>
      <c r="GPD123" s="1"/>
      <c r="GPE123" s="1"/>
      <c r="GPF123" s="1"/>
      <c r="GPG123" s="1"/>
      <c r="GPH123" s="1"/>
      <c r="GPI123" s="1"/>
      <c r="GPJ123" s="1"/>
      <c r="GPK123" s="1"/>
      <c r="GPL123" s="1"/>
      <c r="GPM123" s="1"/>
      <c r="GPN123" s="1"/>
      <c r="GPO123" s="1"/>
      <c r="GPP123" s="1"/>
      <c r="GPQ123" s="1"/>
      <c r="GPR123" s="1"/>
      <c r="GPS123" s="1"/>
      <c r="GPT123" s="1"/>
      <c r="GPU123" s="1"/>
      <c r="GPV123" s="1"/>
      <c r="GPW123" s="1"/>
      <c r="GPX123" s="1"/>
      <c r="GPY123" s="1"/>
      <c r="GPZ123" s="1"/>
      <c r="GQA123" s="1"/>
      <c r="GQB123" s="1"/>
      <c r="GQC123" s="1"/>
      <c r="GQD123" s="1"/>
      <c r="GQE123" s="1"/>
      <c r="GQF123" s="1"/>
      <c r="GQG123" s="1"/>
      <c r="GQH123" s="1"/>
      <c r="GQI123" s="1"/>
      <c r="GQJ123" s="1"/>
      <c r="GQK123" s="1"/>
      <c r="GQL123" s="1"/>
      <c r="GQM123" s="1"/>
      <c r="GQN123" s="1"/>
      <c r="GQO123" s="1"/>
      <c r="GQP123" s="1"/>
      <c r="GQQ123" s="1"/>
      <c r="GQR123" s="1"/>
      <c r="GQS123" s="1"/>
      <c r="GQT123" s="1"/>
      <c r="GQU123" s="1"/>
      <c r="GQV123" s="1"/>
      <c r="GQW123" s="1"/>
      <c r="GQX123" s="1"/>
      <c r="GQY123" s="1"/>
      <c r="GQZ123" s="1"/>
      <c r="GRA123" s="1"/>
      <c r="GRB123" s="1"/>
      <c r="GRC123" s="1"/>
      <c r="GRD123" s="1"/>
      <c r="GRE123" s="1"/>
      <c r="GRF123" s="1"/>
      <c r="GRG123" s="1"/>
      <c r="GRH123" s="1"/>
      <c r="GRI123" s="1"/>
      <c r="GRJ123" s="1"/>
      <c r="GRK123" s="1"/>
      <c r="GRL123" s="1"/>
      <c r="GRM123" s="1"/>
      <c r="GRN123" s="1"/>
      <c r="GRO123" s="1"/>
      <c r="GRP123" s="1"/>
      <c r="GRQ123" s="1"/>
      <c r="GRR123" s="1"/>
      <c r="GRS123" s="1"/>
      <c r="GRT123" s="1"/>
      <c r="GRU123" s="1"/>
      <c r="GRV123" s="1"/>
      <c r="GRW123" s="1"/>
      <c r="GRX123" s="1"/>
      <c r="GRY123" s="1"/>
      <c r="GRZ123" s="1"/>
      <c r="GSA123" s="1"/>
      <c r="GSB123" s="1"/>
      <c r="GSC123" s="1"/>
      <c r="GSD123" s="1"/>
      <c r="GSE123" s="1"/>
      <c r="GSF123" s="1"/>
      <c r="GSG123" s="1"/>
      <c r="GSH123" s="1"/>
      <c r="GSI123" s="1"/>
      <c r="GSJ123" s="1"/>
      <c r="GSK123" s="1"/>
      <c r="GSL123" s="1"/>
      <c r="GSM123" s="1"/>
      <c r="GSN123" s="1"/>
      <c r="GSO123" s="1"/>
      <c r="GSP123" s="1"/>
      <c r="GSQ123" s="1"/>
      <c r="GSR123" s="1"/>
      <c r="GSS123" s="1"/>
      <c r="GST123" s="1"/>
      <c r="GSU123" s="1"/>
      <c r="GSV123" s="1"/>
      <c r="GSW123" s="1"/>
      <c r="GSX123" s="1"/>
      <c r="GSY123" s="1"/>
      <c r="GSZ123" s="1"/>
      <c r="GTA123" s="1"/>
      <c r="GTB123" s="1"/>
      <c r="GTC123" s="1"/>
      <c r="GTD123" s="1"/>
      <c r="GTE123" s="1"/>
      <c r="GTF123" s="1"/>
      <c r="GTG123" s="1"/>
      <c r="GTH123" s="1"/>
      <c r="GTI123" s="1"/>
      <c r="GTJ123" s="1"/>
      <c r="GTK123" s="1"/>
      <c r="GTL123" s="1"/>
      <c r="GTM123" s="1"/>
      <c r="GTN123" s="1"/>
      <c r="GTO123" s="1"/>
      <c r="GTP123" s="1"/>
      <c r="GTQ123" s="1"/>
      <c r="GTR123" s="1"/>
      <c r="GTS123" s="1"/>
      <c r="GTT123" s="1"/>
      <c r="GTU123" s="1"/>
      <c r="GTV123" s="1"/>
      <c r="GTW123" s="1"/>
      <c r="GTX123" s="1"/>
      <c r="GTY123" s="1"/>
      <c r="GTZ123" s="1"/>
      <c r="GUA123" s="1"/>
      <c r="GUB123" s="1"/>
      <c r="GUC123" s="1"/>
      <c r="GUD123" s="1"/>
      <c r="GUE123" s="1"/>
      <c r="GUF123" s="1"/>
      <c r="GUG123" s="1"/>
      <c r="GUH123" s="1"/>
      <c r="GUI123" s="1"/>
      <c r="GUJ123" s="1"/>
      <c r="GUK123" s="1"/>
      <c r="GUL123" s="1"/>
      <c r="GUM123" s="1"/>
      <c r="GUN123" s="1"/>
      <c r="GUO123" s="1"/>
      <c r="GUP123" s="1"/>
      <c r="GUQ123" s="1"/>
      <c r="GUR123" s="1"/>
      <c r="GUS123" s="1"/>
      <c r="GUT123" s="1"/>
      <c r="GUU123" s="1"/>
      <c r="GUV123" s="1"/>
      <c r="GUW123" s="1"/>
      <c r="GUX123" s="1"/>
      <c r="GUY123" s="1"/>
      <c r="GUZ123" s="1"/>
      <c r="GVA123" s="1"/>
      <c r="GVB123" s="1"/>
      <c r="GVC123" s="1"/>
      <c r="GVD123" s="1"/>
      <c r="GVE123" s="1"/>
      <c r="GVF123" s="1"/>
      <c r="GVG123" s="1"/>
      <c r="GVH123" s="1"/>
      <c r="GVI123" s="1"/>
      <c r="GVJ123" s="1"/>
      <c r="GVK123" s="1"/>
      <c r="GVL123" s="1"/>
      <c r="GVM123" s="1"/>
      <c r="GVN123" s="1"/>
      <c r="GVO123" s="1"/>
      <c r="GVP123" s="1"/>
      <c r="GVQ123" s="1"/>
      <c r="GVR123" s="1"/>
      <c r="GVS123" s="1"/>
      <c r="GVT123" s="1"/>
      <c r="GVU123" s="1"/>
      <c r="GVV123" s="1"/>
      <c r="GVW123" s="1"/>
      <c r="GVX123" s="1"/>
      <c r="GVY123" s="1"/>
      <c r="GVZ123" s="1"/>
      <c r="GWA123" s="1"/>
      <c r="GWB123" s="1"/>
      <c r="GWC123" s="1"/>
      <c r="GWD123" s="1"/>
      <c r="GWE123" s="1"/>
      <c r="GWF123" s="1"/>
      <c r="GWG123" s="1"/>
      <c r="GWH123" s="1"/>
      <c r="GWI123" s="1"/>
      <c r="GWJ123" s="1"/>
      <c r="GWK123" s="1"/>
      <c r="GWL123" s="1"/>
      <c r="GWM123" s="1"/>
      <c r="GWN123" s="1"/>
      <c r="GWO123" s="1"/>
      <c r="GWP123" s="1"/>
      <c r="GWQ123" s="1"/>
      <c r="GWR123" s="1"/>
      <c r="GWS123" s="1"/>
      <c r="GWT123" s="1"/>
      <c r="GWU123" s="1"/>
      <c r="GWV123" s="1"/>
      <c r="GWW123" s="1"/>
      <c r="GWX123" s="1"/>
      <c r="GWY123" s="1"/>
      <c r="GWZ123" s="1"/>
      <c r="GXA123" s="1"/>
      <c r="GXB123" s="1"/>
      <c r="GXC123" s="1"/>
      <c r="GXD123" s="1"/>
      <c r="GXE123" s="1"/>
      <c r="GXF123" s="1"/>
      <c r="GXG123" s="1"/>
      <c r="GXH123" s="1"/>
      <c r="GXI123" s="1"/>
      <c r="GXJ123" s="1"/>
      <c r="GXK123" s="1"/>
      <c r="GXL123" s="1"/>
      <c r="GXM123" s="1"/>
      <c r="GXN123" s="1"/>
      <c r="GXO123" s="1"/>
      <c r="GXP123" s="1"/>
      <c r="GXQ123" s="1"/>
      <c r="GXR123" s="1"/>
      <c r="GXS123" s="1"/>
      <c r="GXT123" s="1"/>
      <c r="GXU123" s="1"/>
      <c r="GXV123" s="1"/>
      <c r="GXW123" s="1"/>
      <c r="GXX123" s="1"/>
      <c r="GXY123" s="1"/>
      <c r="GXZ123" s="1"/>
      <c r="GYA123" s="1"/>
      <c r="GYB123" s="1"/>
      <c r="GYC123" s="1"/>
      <c r="GYD123" s="1"/>
      <c r="GYE123" s="1"/>
      <c r="GYF123" s="1"/>
      <c r="GYG123" s="1"/>
      <c r="GYH123" s="1"/>
      <c r="GYI123" s="1"/>
      <c r="GYJ123" s="1"/>
      <c r="GYK123" s="1"/>
      <c r="GYL123" s="1"/>
      <c r="GYM123" s="1"/>
      <c r="GYN123" s="1"/>
      <c r="GYO123" s="1"/>
      <c r="GYP123" s="1"/>
      <c r="GYQ123" s="1"/>
      <c r="GYR123" s="1"/>
      <c r="GYS123" s="1"/>
      <c r="GYT123" s="1"/>
      <c r="GYU123" s="1"/>
      <c r="GYV123" s="1"/>
      <c r="GYW123" s="1"/>
      <c r="GYX123" s="1"/>
      <c r="GYY123" s="1"/>
      <c r="GYZ123" s="1"/>
      <c r="GZA123" s="1"/>
      <c r="GZB123" s="1"/>
      <c r="GZC123" s="1"/>
      <c r="GZD123" s="1"/>
      <c r="GZE123" s="1"/>
      <c r="GZF123" s="1"/>
      <c r="GZG123" s="1"/>
      <c r="GZH123" s="1"/>
      <c r="GZI123" s="1"/>
      <c r="GZJ123" s="1"/>
      <c r="GZK123" s="1"/>
      <c r="GZL123" s="1"/>
      <c r="GZM123" s="1"/>
      <c r="GZN123" s="1"/>
      <c r="GZO123" s="1"/>
      <c r="GZP123" s="1"/>
      <c r="GZQ123" s="1"/>
      <c r="GZR123" s="1"/>
      <c r="GZS123" s="1"/>
      <c r="GZT123" s="1"/>
      <c r="GZU123" s="1"/>
      <c r="GZV123" s="1"/>
      <c r="GZW123" s="1"/>
      <c r="GZX123" s="1"/>
      <c r="GZY123" s="1"/>
      <c r="GZZ123" s="1"/>
      <c r="HAA123" s="1"/>
      <c r="HAB123" s="1"/>
      <c r="HAC123" s="1"/>
      <c r="HAD123" s="1"/>
      <c r="HAE123" s="1"/>
      <c r="HAF123" s="1"/>
      <c r="HAG123" s="1"/>
      <c r="HAH123" s="1"/>
      <c r="HAI123" s="1"/>
      <c r="HAJ123" s="1"/>
      <c r="HAK123" s="1"/>
      <c r="HAL123" s="1"/>
      <c r="HAM123" s="1"/>
      <c r="HAN123" s="1"/>
      <c r="HAO123" s="1"/>
      <c r="HAP123" s="1"/>
      <c r="HAQ123" s="1"/>
      <c r="HAR123" s="1"/>
      <c r="HAS123" s="1"/>
      <c r="HAT123" s="1"/>
      <c r="HAU123" s="1"/>
      <c r="HAV123" s="1"/>
      <c r="HAW123" s="1"/>
      <c r="HAX123" s="1"/>
      <c r="HAY123" s="1"/>
      <c r="HAZ123" s="1"/>
      <c r="HBA123" s="1"/>
      <c r="HBB123" s="1"/>
      <c r="HBC123" s="1"/>
      <c r="HBD123" s="1"/>
      <c r="HBE123" s="1"/>
      <c r="HBF123" s="1"/>
      <c r="HBG123" s="1"/>
      <c r="HBH123" s="1"/>
      <c r="HBI123" s="1"/>
      <c r="HBJ123" s="1"/>
      <c r="HBK123" s="1"/>
      <c r="HBL123" s="1"/>
      <c r="HBM123" s="1"/>
      <c r="HBN123" s="1"/>
      <c r="HBO123" s="1"/>
      <c r="HBP123" s="1"/>
      <c r="HBQ123" s="1"/>
      <c r="HBR123" s="1"/>
      <c r="HBS123" s="1"/>
      <c r="HBT123" s="1"/>
      <c r="HBU123" s="1"/>
      <c r="HBV123" s="1"/>
      <c r="HBW123" s="1"/>
      <c r="HBX123" s="1"/>
      <c r="HBY123" s="1"/>
      <c r="HBZ123" s="1"/>
      <c r="HCA123" s="1"/>
      <c r="HCB123" s="1"/>
      <c r="HCC123" s="1"/>
      <c r="HCD123" s="1"/>
      <c r="HCE123" s="1"/>
      <c r="HCF123" s="1"/>
      <c r="HCG123" s="1"/>
      <c r="HCH123" s="1"/>
      <c r="HCI123" s="1"/>
      <c r="HCJ123" s="1"/>
      <c r="HCK123" s="1"/>
      <c r="HCL123" s="1"/>
      <c r="HCM123" s="1"/>
      <c r="HCN123" s="1"/>
      <c r="HCO123" s="1"/>
      <c r="HCP123" s="1"/>
      <c r="HCQ123" s="1"/>
      <c r="HCR123" s="1"/>
      <c r="HCS123" s="1"/>
      <c r="HCT123" s="1"/>
      <c r="HCU123" s="1"/>
      <c r="HCV123" s="1"/>
      <c r="HCW123" s="1"/>
      <c r="HCX123" s="1"/>
      <c r="HCY123" s="1"/>
      <c r="HCZ123" s="1"/>
      <c r="HDA123" s="1"/>
      <c r="HDB123" s="1"/>
      <c r="HDC123" s="1"/>
      <c r="HDD123" s="1"/>
      <c r="HDE123" s="1"/>
      <c r="HDF123" s="1"/>
      <c r="HDG123" s="1"/>
      <c r="HDH123" s="1"/>
      <c r="HDI123" s="1"/>
      <c r="HDJ123" s="1"/>
      <c r="HDK123" s="1"/>
      <c r="HDL123" s="1"/>
      <c r="HDM123" s="1"/>
      <c r="HDN123" s="1"/>
      <c r="HDO123" s="1"/>
      <c r="HDP123" s="1"/>
      <c r="HDQ123" s="1"/>
      <c r="HDR123" s="1"/>
      <c r="HDS123" s="1"/>
      <c r="HDT123" s="1"/>
      <c r="HDU123" s="1"/>
      <c r="HDV123" s="1"/>
      <c r="HDW123" s="1"/>
      <c r="HDX123" s="1"/>
      <c r="HDY123" s="1"/>
      <c r="HDZ123" s="1"/>
      <c r="HEA123" s="1"/>
      <c r="HEB123" s="1"/>
      <c r="HEC123" s="1"/>
      <c r="HED123" s="1"/>
      <c r="HEE123" s="1"/>
      <c r="HEF123" s="1"/>
      <c r="HEG123" s="1"/>
      <c r="HEH123" s="1"/>
      <c r="HEI123" s="1"/>
      <c r="HEJ123" s="1"/>
      <c r="HEK123" s="1"/>
      <c r="HEL123" s="1"/>
      <c r="HEM123" s="1"/>
      <c r="HEN123" s="1"/>
      <c r="HEO123" s="1"/>
      <c r="HEP123" s="1"/>
      <c r="HEQ123" s="1"/>
      <c r="HER123" s="1"/>
      <c r="HES123" s="1"/>
      <c r="HET123" s="1"/>
      <c r="HEU123" s="1"/>
      <c r="HEV123" s="1"/>
      <c r="HEW123" s="1"/>
      <c r="HEX123" s="1"/>
      <c r="HEY123" s="1"/>
      <c r="HEZ123" s="1"/>
      <c r="HFA123" s="1"/>
      <c r="HFB123" s="1"/>
      <c r="HFC123" s="1"/>
      <c r="HFD123" s="1"/>
      <c r="HFE123" s="1"/>
      <c r="HFF123" s="1"/>
      <c r="HFG123" s="1"/>
      <c r="HFH123" s="1"/>
      <c r="HFI123" s="1"/>
      <c r="HFJ123" s="1"/>
      <c r="HFK123" s="1"/>
      <c r="HFL123" s="1"/>
      <c r="HFM123" s="1"/>
      <c r="HFN123" s="1"/>
      <c r="HFO123" s="1"/>
      <c r="HFP123" s="1"/>
      <c r="HFQ123" s="1"/>
      <c r="HFR123" s="1"/>
      <c r="HFS123" s="1"/>
      <c r="HFT123" s="1"/>
      <c r="HFU123" s="1"/>
      <c r="HFV123" s="1"/>
      <c r="HFW123" s="1"/>
      <c r="HFX123" s="1"/>
      <c r="HFY123" s="1"/>
      <c r="HFZ123" s="1"/>
      <c r="HGA123" s="1"/>
      <c r="HGB123" s="1"/>
      <c r="HGC123" s="1"/>
      <c r="HGD123" s="1"/>
      <c r="HGE123" s="1"/>
      <c r="HGF123" s="1"/>
      <c r="HGG123" s="1"/>
      <c r="HGH123" s="1"/>
      <c r="HGI123" s="1"/>
      <c r="HGJ123" s="1"/>
      <c r="HGK123" s="1"/>
      <c r="HGL123" s="1"/>
      <c r="HGM123" s="1"/>
      <c r="HGN123" s="1"/>
      <c r="HGO123" s="1"/>
      <c r="HGP123" s="1"/>
      <c r="HGQ123" s="1"/>
      <c r="HGR123" s="1"/>
      <c r="HGS123" s="1"/>
      <c r="HGT123" s="1"/>
      <c r="HGU123" s="1"/>
      <c r="HGV123" s="1"/>
      <c r="HGW123" s="1"/>
      <c r="HGX123" s="1"/>
      <c r="HGY123" s="1"/>
      <c r="HGZ123" s="1"/>
      <c r="HHA123" s="1"/>
      <c r="HHB123" s="1"/>
      <c r="HHC123" s="1"/>
      <c r="HHD123" s="1"/>
      <c r="HHE123" s="1"/>
      <c r="HHF123" s="1"/>
      <c r="HHG123" s="1"/>
      <c r="HHH123" s="1"/>
      <c r="HHI123" s="1"/>
      <c r="HHJ123" s="1"/>
      <c r="HHK123" s="1"/>
      <c r="HHL123" s="1"/>
      <c r="HHM123" s="1"/>
      <c r="HHN123" s="1"/>
      <c r="HHO123" s="1"/>
      <c r="HHP123" s="1"/>
      <c r="HHQ123" s="1"/>
      <c r="HHR123" s="1"/>
      <c r="HHS123" s="1"/>
      <c r="HHT123" s="1"/>
      <c r="HHU123" s="1"/>
      <c r="HHV123" s="1"/>
      <c r="HHW123" s="1"/>
      <c r="HHX123" s="1"/>
      <c r="HHY123" s="1"/>
      <c r="HHZ123" s="1"/>
      <c r="HIA123" s="1"/>
      <c r="HIB123" s="1"/>
      <c r="HIC123" s="1"/>
      <c r="HID123" s="1"/>
      <c r="HIE123" s="1"/>
      <c r="HIF123" s="1"/>
      <c r="HIG123" s="1"/>
      <c r="HIH123" s="1"/>
      <c r="HII123" s="1"/>
      <c r="HIJ123" s="1"/>
      <c r="HIK123" s="1"/>
      <c r="HIL123" s="1"/>
      <c r="HIM123" s="1"/>
      <c r="HIN123" s="1"/>
      <c r="HIO123" s="1"/>
      <c r="HIP123" s="1"/>
      <c r="HIQ123" s="1"/>
      <c r="HIR123" s="1"/>
      <c r="HIS123" s="1"/>
      <c r="HIT123" s="1"/>
      <c r="HIU123" s="1"/>
      <c r="HIV123" s="1"/>
      <c r="HIW123" s="1"/>
      <c r="HIX123" s="1"/>
      <c r="HIY123" s="1"/>
      <c r="HIZ123" s="1"/>
      <c r="HJA123" s="1"/>
      <c r="HJB123" s="1"/>
      <c r="HJC123" s="1"/>
      <c r="HJD123" s="1"/>
      <c r="HJE123" s="1"/>
      <c r="HJF123" s="1"/>
      <c r="HJG123" s="1"/>
      <c r="HJH123" s="1"/>
      <c r="HJI123" s="1"/>
      <c r="HJJ123" s="1"/>
      <c r="HJK123" s="1"/>
      <c r="HJL123" s="1"/>
      <c r="HJM123" s="1"/>
      <c r="HJN123" s="1"/>
      <c r="HJO123" s="1"/>
      <c r="HJP123" s="1"/>
      <c r="HJQ123" s="1"/>
      <c r="HJR123" s="1"/>
      <c r="HJS123" s="1"/>
      <c r="HJT123" s="1"/>
      <c r="HJU123" s="1"/>
      <c r="HJV123" s="1"/>
      <c r="HJW123" s="1"/>
      <c r="HJX123" s="1"/>
      <c r="HJY123" s="1"/>
      <c r="HJZ123" s="1"/>
      <c r="HKA123" s="1"/>
      <c r="HKB123" s="1"/>
      <c r="HKC123" s="1"/>
      <c r="HKD123" s="1"/>
      <c r="HKE123" s="1"/>
      <c r="HKF123" s="1"/>
      <c r="HKG123" s="1"/>
      <c r="HKH123" s="1"/>
      <c r="HKI123" s="1"/>
      <c r="HKJ123" s="1"/>
      <c r="HKK123" s="1"/>
      <c r="HKL123" s="1"/>
      <c r="HKM123" s="1"/>
      <c r="HKN123" s="1"/>
      <c r="HKO123" s="1"/>
      <c r="HKP123" s="1"/>
      <c r="HKQ123" s="1"/>
      <c r="HKR123" s="1"/>
      <c r="HKS123" s="1"/>
      <c r="HKT123" s="1"/>
      <c r="HKU123" s="1"/>
      <c r="HKV123" s="1"/>
      <c r="HKW123" s="1"/>
      <c r="HKX123" s="1"/>
      <c r="HKY123" s="1"/>
      <c r="HKZ123" s="1"/>
      <c r="HLA123" s="1"/>
      <c r="HLB123" s="1"/>
      <c r="HLC123" s="1"/>
      <c r="HLD123" s="1"/>
      <c r="HLE123" s="1"/>
      <c r="HLF123" s="1"/>
      <c r="HLG123" s="1"/>
      <c r="HLH123" s="1"/>
      <c r="HLI123" s="1"/>
      <c r="HLJ123" s="1"/>
      <c r="HLK123" s="1"/>
      <c r="HLL123" s="1"/>
      <c r="HLM123" s="1"/>
      <c r="HLN123" s="1"/>
      <c r="HLO123" s="1"/>
      <c r="HLP123" s="1"/>
      <c r="HLQ123" s="1"/>
      <c r="HLR123" s="1"/>
      <c r="HLS123" s="1"/>
      <c r="HLT123" s="1"/>
      <c r="HLU123" s="1"/>
      <c r="HLV123" s="1"/>
      <c r="HLW123" s="1"/>
      <c r="HLX123" s="1"/>
      <c r="HLY123" s="1"/>
      <c r="HLZ123" s="1"/>
      <c r="HMA123" s="1"/>
      <c r="HMB123" s="1"/>
      <c r="HMC123" s="1"/>
      <c r="HMD123" s="1"/>
      <c r="HME123" s="1"/>
      <c r="HMF123" s="1"/>
      <c r="HMG123" s="1"/>
      <c r="HMH123" s="1"/>
      <c r="HMI123" s="1"/>
      <c r="HMJ123" s="1"/>
      <c r="HMK123" s="1"/>
      <c r="HML123" s="1"/>
      <c r="HMM123" s="1"/>
      <c r="HMN123" s="1"/>
      <c r="HMO123" s="1"/>
      <c r="HMP123" s="1"/>
      <c r="HMQ123" s="1"/>
      <c r="HMR123" s="1"/>
      <c r="HMS123" s="1"/>
      <c r="HMT123" s="1"/>
      <c r="HMU123" s="1"/>
      <c r="HMV123" s="1"/>
      <c r="HMW123" s="1"/>
      <c r="HMX123" s="1"/>
      <c r="HMY123" s="1"/>
      <c r="HMZ123" s="1"/>
      <c r="HNA123" s="1"/>
      <c r="HNB123" s="1"/>
      <c r="HNC123" s="1"/>
      <c r="HND123" s="1"/>
      <c r="HNE123" s="1"/>
      <c r="HNF123" s="1"/>
      <c r="HNG123" s="1"/>
      <c r="HNH123" s="1"/>
      <c r="HNI123" s="1"/>
      <c r="HNJ123" s="1"/>
      <c r="HNK123" s="1"/>
      <c r="HNL123" s="1"/>
      <c r="HNM123" s="1"/>
      <c r="HNN123" s="1"/>
      <c r="HNO123" s="1"/>
      <c r="HNP123" s="1"/>
      <c r="HNQ123" s="1"/>
      <c r="HNR123" s="1"/>
      <c r="HNS123" s="1"/>
      <c r="HNT123" s="1"/>
      <c r="HNU123" s="1"/>
      <c r="HNV123" s="1"/>
      <c r="HNW123" s="1"/>
      <c r="HNX123" s="1"/>
      <c r="HNY123" s="1"/>
      <c r="HNZ123" s="1"/>
      <c r="HOA123" s="1"/>
      <c r="HOB123" s="1"/>
      <c r="HOC123" s="1"/>
      <c r="HOD123" s="1"/>
      <c r="HOE123" s="1"/>
      <c r="HOF123" s="1"/>
      <c r="HOG123" s="1"/>
      <c r="HOH123" s="1"/>
      <c r="HOI123" s="1"/>
      <c r="HOJ123" s="1"/>
      <c r="HOK123" s="1"/>
      <c r="HOL123" s="1"/>
      <c r="HOM123" s="1"/>
      <c r="HON123" s="1"/>
      <c r="HOO123" s="1"/>
      <c r="HOP123" s="1"/>
      <c r="HOQ123" s="1"/>
      <c r="HOR123" s="1"/>
      <c r="HOS123" s="1"/>
      <c r="HOT123" s="1"/>
      <c r="HOU123" s="1"/>
      <c r="HOV123" s="1"/>
      <c r="HOW123" s="1"/>
      <c r="HOX123" s="1"/>
      <c r="HOY123" s="1"/>
      <c r="HOZ123" s="1"/>
      <c r="HPA123" s="1"/>
      <c r="HPB123" s="1"/>
      <c r="HPC123" s="1"/>
      <c r="HPD123" s="1"/>
      <c r="HPE123" s="1"/>
      <c r="HPF123" s="1"/>
      <c r="HPG123" s="1"/>
      <c r="HPH123" s="1"/>
      <c r="HPI123" s="1"/>
      <c r="HPJ123" s="1"/>
      <c r="HPK123" s="1"/>
      <c r="HPL123" s="1"/>
      <c r="HPM123" s="1"/>
      <c r="HPN123" s="1"/>
      <c r="HPO123" s="1"/>
      <c r="HPP123" s="1"/>
      <c r="HPQ123" s="1"/>
      <c r="HPR123" s="1"/>
      <c r="HPS123" s="1"/>
      <c r="HPT123" s="1"/>
      <c r="HPU123" s="1"/>
      <c r="HPV123" s="1"/>
      <c r="HPW123" s="1"/>
      <c r="HPX123" s="1"/>
      <c r="HPY123" s="1"/>
      <c r="HPZ123" s="1"/>
      <c r="HQA123" s="1"/>
      <c r="HQB123" s="1"/>
      <c r="HQC123" s="1"/>
      <c r="HQD123" s="1"/>
      <c r="HQE123" s="1"/>
      <c r="HQF123" s="1"/>
      <c r="HQG123" s="1"/>
      <c r="HQH123" s="1"/>
      <c r="HQI123" s="1"/>
      <c r="HQJ123" s="1"/>
      <c r="HQK123" s="1"/>
      <c r="HQL123" s="1"/>
      <c r="HQM123" s="1"/>
      <c r="HQN123" s="1"/>
      <c r="HQO123" s="1"/>
      <c r="HQP123" s="1"/>
      <c r="HQQ123" s="1"/>
      <c r="HQR123" s="1"/>
      <c r="HQS123" s="1"/>
      <c r="HQT123" s="1"/>
      <c r="HQU123" s="1"/>
      <c r="HQV123" s="1"/>
      <c r="HQW123" s="1"/>
      <c r="HQX123" s="1"/>
      <c r="HQY123" s="1"/>
      <c r="HQZ123" s="1"/>
      <c r="HRA123" s="1"/>
      <c r="HRB123" s="1"/>
      <c r="HRC123" s="1"/>
      <c r="HRD123" s="1"/>
      <c r="HRE123" s="1"/>
      <c r="HRF123" s="1"/>
      <c r="HRG123" s="1"/>
      <c r="HRH123" s="1"/>
      <c r="HRI123" s="1"/>
      <c r="HRJ123" s="1"/>
      <c r="HRK123" s="1"/>
      <c r="HRL123" s="1"/>
      <c r="HRM123" s="1"/>
      <c r="HRN123" s="1"/>
      <c r="HRO123" s="1"/>
      <c r="HRP123" s="1"/>
      <c r="HRQ123" s="1"/>
      <c r="HRR123" s="1"/>
      <c r="HRS123" s="1"/>
      <c r="HRT123" s="1"/>
      <c r="HRU123" s="1"/>
      <c r="HRV123" s="1"/>
      <c r="HRW123" s="1"/>
      <c r="HRX123" s="1"/>
      <c r="HRY123" s="1"/>
      <c r="HRZ123" s="1"/>
      <c r="HSA123" s="1"/>
      <c r="HSB123" s="1"/>
      <c r="HSC123" s="1"/>
      <c r="HSD123" s="1"/>
      <c r="HSE123" s="1"/>
      <c r="HSF123" s="1"/>
      <c r="HSG123" s="1"/>
      <c r="HSH123" s="1"/>
      <c r="HSI123" s="1"/>
      <c r="HSJ123" s="1"/>
      <c r="HSK123" s="1"/>
      <c r="HSL123" s="1"/>
      <c r="HSM123" s="1"/>
      <c r="HSN123" s="1"/>
      <c r="HSO123" s="1"/>
      <c r="HSP123" s="1"/>
      <c r="HSQ123" s="1"/>
      <c r="HSR123" s="1"/>
      <c r="HSS123" s="1"/>
      <c r="HST123" s="1"/>
      <c r="HSU123" s="1"/>
      <c r="HSV123" s="1"/>
      <c r="HSW123" s="1"/>
      <c r="HSX123" s="1"/>
      <c r="HSY123" s="1"/>
      <c r="HSZ123" s="1"/>
      <c r="HTA123" s="1"/>
      <c r="HTB123" s="1"/>
      <c r="HTC123" s="1"/>
      <c r="HTD123" s="1"/>
      <c r="HTE123" s="1"/>
      <c r="HTF123" s="1"/>
      <c r="HTG123" s="1"/>
      <c r="HTH123" s="1"/>
      <c r="HTI123" s="1"/>
      <c r="HTJ123" s="1"/>
      <c r="HTK123" s="1"/>
      <c r="HTL123" s="1"/>
      <c r="HTM123" s="1"/>
      <c r="HTN123" s="1"/>
      <c r="HTO123" s="1"/>
      <c r="HTP123" s="1"/>
      <c r="HTQ123" s="1"/>
      <c r="HTR123" s="1"/>
      <c r="HTS123" s="1"/>
      <c r="HTT123" s="1"/>
      <c r="HTU123" s="1"/>
      <c r="HTV123" s="1"/>
      <c r="HTW123" s="1"/>
      <c r="HTX123" s="1"/>
      <c r="HTY123" s="1"/>
      <c r="HTZ123" s="1"/>
      <c r="HUA123" s="1"/>
      <c r="HUB123" s="1"/>
      <c r="HUC123" s="1"/>
      <c r="HUD123" s="1"/>
      <c r="HUE123" s="1"/>
      <c r="HUF123" s="1"/>
      <c r="HUG123" s="1"/>
      <c r="HUH123" s="1"/>
      <c r="HUI123" s="1"/>
      <c r="HUJ123" s="1"/>
      <c r="HUK123" s="1"/>
      <c r="HUL123" s="1"/>
      <c r="HUM123" s="1"/>
      <c r="HUN123" s="1"/>
      <c r="HUO123" s="1"/>
      <c r="HUP123" s="1"/>
      <c r="HUQ123" s="1"/>
      <c r="HUR123" s="1"/>
      <c r="HUS123" s="1"/>
      <c r="HUT123" s="1"/>
      <c r="HUU123" s="1"/>
      <c r="HUV123" s="1"/>
      <c r="HUW123" s="1"/>
      <c r="HUX123" s="1"/>
      <c r="HUY123" s="1"/>
      <c r="HUZ123" s="1"/>
      <c r="HVA123" s="1"/>
      <c r="HVB123" s="1"/>
      <c r="HVC123" s="1"/>
      <c r="HVD123" s="1"/>
      <c r="HVE123" s="1"/>
      <c r="HVF123" s="1"/>
      <c r="HVG123" s="1"/>
      <c r="HVH123" s="1"/>
      <c r="HVI123" s="1"/>
      <c r="HVJ123" s="1"/>
      <c r="HVK123" s="1"/>
      <c r="HVL123" s="1"/>
      <c r="HVM123" s="1"/>
      <c r="HVN123" s="1"/>
      <c r="HVO123" s="1"/>
      <c r="HVP123" s="1"/>
      <c r="HVQ123" s="1"/>
      <c r="HVR123" s="1"/>
      <c r="HVS123" s="1"/>
      <c r="HVT123" s="1"/>
      <c r="HVU123" s="1"/>
      <c r="HVV123" s="1"/>
      <c r="HVW123" s="1"/>
      <c r="HVX123" s="1"/>
      <c r="HVY123" s="1"/>
      <c r="HVZ123" s="1"/>
      <c r="HWA123" s="1"/>
      <c r="HWB123" s="1"/>
      <c r="HWC123" s="1"/>
      <c r="HWD123" s="1"/>
      <c r="HWE123" s="1"/>
      <c r="HWF123" s="1"/>
      <c r="HWG123" s="1"/>
      <c r="HWH123" s="1"/>
      <c r="HWI123" s="1"/>
      <c r="HWJ123" s="1"/>
      <c r="HWK123" s="1"/>
      <c r="HWL123" s="1"/>
      <c r="HWM123" s="1"/>
      <c r="HWN123" s="1"/>
      <c r="HWO123" s="1"/>
      <c r="HWP123" s="1"/>
      <c r="HWQ123" s="1"/>
      <c r="HWR123" s="1"/>
      <c r="HWS123" s="1"/>
      <c r="HWT123" s="1"/>
      <c r="HWU123" s="1"/>
      <c r="HWV123" s="1"/>
      <c r="HWW123" s="1"/>
      <c r="HWX123" s="1"/>
      <c r="HWY123" s="1"/>
      <c r="HWZ123" s="1"/>
      <c r="HXA123" s="1"/>
      <c r="HXB123" s="1"/>
      <c r="HXC123" s="1"/>
      <c r="HXD123" s="1"/>
      <c r="HXE123" s="1"/>
      <c r="HXF123" s="1"/>
      <c r="HXG123" s="1"/>
      <c r="HXH123" s="1"/>
      <c r="HXI123" s="1"/>
      <c r="HXJ123" s="1"/>
      <c r="HXK123" s="1"/>
      <c r="HXL123" s="1"/>
      <c r="HXM123" s="1"/>
      <c r="HXN123" s="1"/>
      <c r="HXO123" s="1"/>
      <c r="HXP123" s="1"/>
      <c r="HXQ123" s="1"/>
      <c r="HXR123" s="1"/>
      <c r="HXS123" s="1"/>
      <c r="HXT123" s="1"/>
      <c r="HXU123" s="1"/>
      <c r="HXV123" s="1"/>
      <c r="HXW123" s="1"/>
      <c r="HXX123" s="1"/>
      <c r="HXY123" s="1"/>
      <c r="HXZ123" s="1"/>
      <c r="HYA123" s="1"/>
      <c r="HYB123" s="1"/>
      <c r="HYC123" s="1"/>
      <c r="HYD123" s="1"/>
      <c r="HYE123" s="1"/>
      <c r="HYF123" s="1"/>
      <c r="HYG123" s="1"/>
      <c r="HYH123" s="1"/>
      <c r="HYI123" s="1"/>
      <c r="HYJ123" s="1"/>
      <c r="HYK123" s="1"/>
      <c r="HYL123" s="1"/>
      <c r="HYM123" s="1"/>
      <c r="HYN123" s="1"/>
      <c r="HYO123" s="1"/>
      <c r="HYP123" s="1"/>
      <c r="HYQ123" s="1"/>
      <c r="HYR123" s="1"/>
      <c r="HYS123" s="1"/>
      <c r="HYT123" s="1"/>
      <c r="HYU123" s="1"/>
      <c r="HYV123" s="1"/>
      <c r="HYW123" s="1"/>
      <c r="HYX123" s="1"/>
      <c r="HYY123" s="1"/>
      <c r="HYZ123" s="1"/>
      <c r="HZA123" s="1"/>
      <c r="HZB123" s="1"/>
      <c r="HZC123" s="1"/>
      <c r="HZD123" s="1"/>
      <c r="HZE123" s="1"/>
      <c r="HZF123" s="1"/>
      <c r="HZG123" s="1"/>
      <c r="HZH123" s="1"/>
      <c r="HZI123" s="1"/>
      <c r="HZJ123" s="1"/>
      <c r="HZK123" s="1"/>
      <c r="HZL123" s="1"/>
      <c r="HZM123" s="1"/>
      <c r="HZN123" s="1"/>
      <c r="HZO123" s="1"/>
      <c r="HZP123" s="1"/>
      <c r="HZQ123" s="1"/>
      <c r="HZR123" s="1"/>
      <c r="HZS123" s="1"/>
      <c r="HZT123" s="1"/>
      <c r="HZU123" s="1"/>
      <c r="HZV123" s="1"/>
      <c r="HZW123" s="1"/>
      <c r="HZX123" s="1"/>
      <c r="HZY123" s="1"/>
      <c r="HZZ123" s="1"/>
      <c r="IAA123" s="1"/>
      <c r="IAB123" s="1"/>
      <c r="IAC123" s="1"/>
      <c r="IAD123" s="1"/>
      <c r="IAE123" s="1"/>
      <c r="IAF123" s="1"/>
      <c r="IAG123" s="1"/>
      <c r="IAH123" s="1"/>
      <c r="IAI123" s="1"/>
      <c r="IAJ123" s="1"/>
      <c r="IAK123" s="1"/>
      <c r="IAL123" s="1"/>
      <c r="IAM123" s="1"/>
      <c r="IAN123" s="1"/>
      <c r="IAO123" s="1"/>
      <c r="IAP123" s="1"/>
      <c r="IAQ123" s="1"/>
      <c r="IAR123" s="1"/>
      <c r="IAS123" s="1"/>
      <c r="IAT123" s="1"/>
      <c r="IAU123" s="1"/>
      <c r="IAV123" s="1"/>
      <c r="IAW123" s="1"/>
      <c r="IAX123" s="1"/>
      <c r="IAY123" s="1"/>
      <c r="IAZ123" s="1"/>
      <c r="IBA123" s="1"/>
      <c r="IBB123" s="1"/>
      <c r="IBC123" s="1"/>
      <c r="IBD123" s="1"/>
      <c r="IBE123" s="1"/>
      <c r="IBF123" s="1"/>
      <c r="IBG123" s="1"/>
      <c r="IBH123" s="1"/>
      <c r="IBI123" s="1"/>
      <c r="IBJ123" s="1"/>
      <c r="IBK123" s="1"/>
      <c r="IBL123" s="1"/>
      <c r="IBM123" s="1"/>
      <c r="IBN123" s="1"/>
      <c r="IBO123" s="1"/>
      <c r="IBP123" s="1"/>
      <c r="IBQ123" s="1"/>
      <c r="IBR123" s="1"/>
      <c r="IBS123" s="1"/>
      <c r="IBT123" s="1"/>
      <c r="IBU123" s="1"/>
      <c r="IBV123" s="1"/>
      <c r="IBW123" s="1"/>
      <c r="IBX123" s="1"/>
      <c r="IBY123" s="1"/>
      <c r="IBZ123" s="1"/>
      <c r="ICA123" s="1"/>
      <c r="ICB123" s="1"/>
      <c r="ICC123" s="1"/>
      <c r="ICD123" s="1"/>
      <c r="ICE123" s="1"/>
      <c r="ICF123" s="1"/>
      <c r="ICG123" s="1"/>
      <c r="ICH123" s="1"/>
      <c r="ICI123" s="1"/>
      <c r="ICJ123" s="1"/>
      <c r="ICK123" s="1"/>
      <c r="ICL123" s="1"/>
      <c r="ICM123" s="1"/>
      <c r="ICN123" s="1"/>
      <c r="ICO123" s="1"/>
      <c r="ICP123" s="1"/>
      <c r="ICQ123" s="1"/>
      <c r="ICR123" s="1"/>
      <c r="ICS123" s="1"/>
      <c r="ICT123" s="1"/>
      <c r="ICU123" s="1"/>
      <c r="ICV123" s="1"/>
      <c r="ICW123" s="1"/>
      <c r="ICX123" s="1"/>
      <c r="ICY123" s="1"/>
      <c r="ICZ123" s="1"/>
      <c r="IDA123" s="1"/>
      <c r="IDB123" s="1"/>
      <c r="IDC123" s="1"/>
      <c r="IDD123" s="1"/>
      <c r="IDE123" s="1"/>
      <c r="IDF123" s="1"/>
      <c r="IDG123" s="1"/>
      <c r="IDH123" s="1"/>
      <c r="IDI123" s="1"/>
      <c r="IDJ123" s="1"/>
      <c r="IDK123" s="1"/>
      <c r="IDL123" s="1"/>
      <c r="IDM123" s="1"/>
      <c r="IDN123" s="1"/>
      <c r="IDO123" s="1"/>
      <c r="IDP123" s="1"/>
      <c r="IDQ123" s="1"/>
      <c r="IDR123" s="1"/>
      <c r="IDS123" s="1"/>
      <c r="IDT123" s="1"/>
      <c r="IDU123" s="1"/>
      <c r="IDV123" s="1"/>
      <c r="IDW123" s="1"/>
      <c r="IDX123" s="1"/>
      <c r="IDY123" s="1"/>
      <c r="IDZ123" s="1"/>
      <c r="IEA123" s="1"/>
      <c r="IEB123" s="1"/>
      <c r="IEC123" s="1"/>
      <c r="IED123" s="1"/>
      <c r="IEE123" s="1"/>
      <c r="IEF123" s="1"/>
      <c r="IEG123" s="1"/>
      <c r="IEH123" s="1"/>
      <c r="IEI123" s="1"/>
      <c r="IEJ123" s="1"/>
      <c r="IEK123" s="1"/>
      <c r="IEL123" s="1"/>
      <c r="IEM123" s="1"/>
      <c r="IEN123" s="1"/>
      <c r="IEO123" s="1"/>
      <c r="IEP123" s="1"/>
      <c r="IEQ123" s="1"/>
      <c r="IER123" s="1"/>
      <c r="IES123" s="1"/>
      <c r="IET123" s="1"/>
      <c r="IEU123" s="1"/>
      <c r="IEV123" s="1"/>
      <c r="IEW123" s="1"/>
      <c r="IEX123" s="1"/>
      <c r="IEY123" s="1"/>
      <c r="IEZ123" s="1"/>
      <c r="IFA123" s="1"/>
      <c r="IFB123" s="1"/>
      <c r="IFC123" s="1"/>
      <c r="IFD123" s="1"/>
      <c r="IFE123" s="1"/>
      <c r="IFF123" s="1"/>
      <c r="IFG123" s="1"/>
      <c r="IFH123" s="1"/>
      <c r="IFI123" s="1"/>
      <c r="IFJ123" s="1"/>
      <c r="IFK123" s="1"/>
      <c r="IFL123" s="1"/>
      <c r="IFM123" s="1"/>
      <c r="IFN123" s="1"/>
      <c r="IFO123" s="1"/>
      <c r="IFP123" s="1"/>
      <c r="IFQ123" s="1"/>
      <c r="IFR123" s="1"/>
      <c r="IFS123" s="1"/>
      <c r="IFT123" s="1"/>
      <c r="IFU123" s="1"/>
      <c r="IFV123" s="1"/>
      <c r="IFW123" s="1"/>
      <c r="IFX123" s="1"/>
      <c r="IFY123" s="1"/>
      <c r="IFZ123" s="1"/>
      <c r="IGA123" s="1"/>
      <c r="IGB123" s="1"/>
      <c r="IGC123" s="1"/>
      <c r="IGD123" s="1"/>
      <c r="IGE123" s="1"/>
      <c r="IGF123" s="1"/>
      <c r="IGG123" s="1"/>
      <c r="IGH123" s="1"/>
      <c r="IGI123" s="1"/>
      <c r="IGJ123" s="1"/>
      <c r="IGK123" s="1"/>
      <c r="IGL123" s="1"/>
      <c r="IGM123" s="1"/>
      <c r="IGN123" s="1"/>
      <c r="IGO123" s="1"/>
      <c r="IGP123" s="1"/>
      <c r="IGQ123" s="1"/>
      <c r="IGR123" s="1"/>
      <c r="IGS123" s="1"/>
      <c r="IGT123" s="1"/>
      <c r="IGU123" s="1"/>
      <c r="IGV123" s="1"/>
      <c r="IGW123" s="1"/>
      <c r="IGX123" s="1"/>
      <c r="IGY123" s="1"/>
      <c r="IGZ123" s="1"/>
      <c r="IHA123" s="1"/>
      <c r="IHB123" s="1"/>
      <c r="IHC123" s="1"/>
      <c r="IHD123" s="1"/>
      <c r="IHE123" s="1"/>
      <c r="IHF123" s="1"/>
      <c r="IHG123" s="1"/>
      <c r="IHH123" s="1"/>
      <c r="IHI123" s="1"/>
      <c r="IHJ123" s="1"/>
      <c r="IHK123" s="1"/>
      <c r="IHL123" s="1"/>
      <c r="IHM123" s="1"/>
      <c r="IHN123" s="1"/>
      <c r="IHO123" s="1"/>
      <c r="IHP123" s="1"/>
      <c r="IHQ123" s="1"/>
      <c r="IHR123" s="1"/>
      <c r="IHS123" s="1"/>
      <c r="IHT123" s="1"/>
      <c r="IHU123" s="1"/>
      <c r="IHV123" s="1"/>
      <c r="IHW123" s="1"/>
      <c r="IHX123" s="1"/>
      <c r="IHY123" s="1"/>
      <c r="IHZ123" s="1"/>
      <c r="IIA123" s="1"/>
      <c r="IIB123" s="1"/>
      <c r="IIC123" s="1"/>
      <c r="IID123" s="1"/>
      <c r="IIE123" s="1"/>
      <c r="IIF123" s="1"/>
      <c r="IIG123" s="1"/>
      <c r="IIH123" s="1"/>
      <c r="III123" s="1"/>
      <c r="IIJ123" s="1"/>
      <c r="IIK123" s="1"/>
      <c r="IIL123" s="1"/>
      <c r="IIM123" s="1"/>
      <c r="IIN123" s="1"/>
      <c r="IIO123" s="1"/>
      <c r="IIP123" s="1"/>
      <c r="IIQ123" s="1"/>
      <c r="IIR123" s="1"/>
      <c r="IIS123" s="1"/>
      <c r="IIT123" s="1"/>
      <c r="IIU123" s="1"/>
      <c r="IIV123" s="1"/>
      <c r="IIW123" s="1"/>
      <c r="IIX123" s="1"/>
      <c r="IIY123" s="1"/>
      <c r="IIZ123" s="1"/>
      <c r="IJA123" s="1"/>
      <c r="IJB123" s="1"/>
      <c r="IJC123" s="1"/>
      <c r="IJD123" s="1"/>
      <c r="IJE123" s="1"/>
      <c r="IJF123" s="1"/>
      <c r="IJG123" s="1"/>
      <c r="IJH123" s="1"/>
      <c r="IJI123" s="1"/>
      <c r="IJJ123" s="1"/>
      <c r="IJK123" s="1"/>
      <c r="IJL123" s="1"/>
      <c r="IJM123" s="1"/>
      <c r="IJN123" s="1"/>
      <c r="IJO123" s="1"/>
      <c r="IJP123" s="1"/>
      <c r="IJQ123" s="1"/>
      <c r="IJR123" s="1"/>
      <c r="IJS123" s="1"/>
      <c r="IJT123" s="1"/>
      <c r="IJU123" s="1"/>
      <c r="IJV123" s="1"/>
      <c r="IJW123" s="1"/>
      <c r="IJX123" s="1"/>
      <c r="IJY123" s="1"/>
      <c r="IJZ123" s="1"/>
      <c r="IKA123" s="1"/>
      <c r="IKB123" s="1"/>
      <c r="IKC123" s="1"/>
      <c r="IKD123" s="1"/>
      <c r="IKE123" s="1"/>
      <c r="IKF123" s="1"/>
      <c r="IKG123" s="1"/>
      <c r="IKH123" s="1"/>
      <c r="IKI123" s="1"/>
      <c r="IKJ123" s="1"/>
      <c r="IKK123" s="1"/>
      <c r="IKL123" s="1"/>
      <c r="IKM123" s="1"/>
      <c r="IKN123" s="1"/>
      <c r="IKO123" s="1"/>
      <c r="IKP123" s="1"/>
      <c r="IKQ123" s="1"/>
      <c r="IKR123" s="1"/>
      <c r="IKS123" s="1"/>
      <c r="IKT123" s="1"/>
      <c r="IKU123" s="1"/>
      <c r="IKV123" s="1"/>
      <c r="IKW123" s="1"/>
      <c r="IKX123" s="1"/>
      <c r="IKY123" s="1"/>
      <c r="IKZ123" s="1"/>
      <c r="ILA123" s="1"/>
      <c r="ILB123" s="1"/>
      <c r="ILC123" s="1"/>
      <c r="ILD123" s="1"/>
      <c r="ILE123" s="1"/>
      <c r="ILF123" s="1"/>
      <c r="ILG123" s="1"/>
      <c r="ILH123" s="1"/>
      <c r="ILI123" s="1"/>
      <c r="ILJ123" s="1"/>
      <c r="ILK123" s="1"/>
      <c r="ILL123" s="1"/>
      <c r="ILM123" s="1"/>
      <c r="ILN123" s="1"/>
      <c r="ILO123" s="1"/>
      <c r="ILP123" s="1"/>
      <c r="ILQ123" s="1"/>
      <c r="ILR123" s="1"/>
      <c r="ILS123" s="1"/>
      <c r="ILT123" s="1"/>
      <c r="ILU123" s="1"/>
      <c r="ILV123" s="1"/>
      <c r="ILW123" s="1"/>
      <c r="ILX123" s="1"/>
      <c r="ILY123" s="1"/>
      <c r="ILZ123" s="1"/>
      <c r="IMA123" s="1"/>
      <c r="IMB123" s="1"/>
      <c r="IMC123" s="1"/>
      <c r="IMD123" s="1"/>
      <c r="IME123" s="1"/>
      <c r="IMF123" s="1"/>
      <c r="IMG123" s="1"/>
      <c r="IMH123" s="1"/>
      <c r="IMI123" s="1"/>
      <c r="IMJ123" s="1"/>
      <c r="IMK123" s="1"/>
      <c r="IML123" s="1"/>
      <c r="IMM123" s="1"/>
      <c r="IMN123" s="1"/>
      <c r="IMO123" s="1"/>
      <c r="IMP123" s="1"/>
      <c r="IMQ123" s="1"/>
      <c r="IMR123" s="1"/>
      <c r="IMS123" s="1"/>
      <c r="IMT123" s="1"/>
      <c r="IMU123" s="1"/>
      <c r="IMV123" s="1"/>
      <c r="IMW123" s="1"/>
      <c r="IMX123" s="1"/>
      <c r="IMY123" s="1"/>
      <c r="IMZ123" s="1"/>
      <c r="INA123" s="1"/>
      <c r="INB123" s="1"/>
      <c r="INC123" s="1"/>
      <c r="IND123" s="1"/>
      <c r="INE123" s="1"/>
      <c r="INF123" s="1"/>
      <c r="ING123" s="1"/>
      <c r="INH123" s="1"/>
      <c r="INI123" s="1"/>
      <c r="INJ123" s="1"/>
      <c r="INK123" s="1"/>
      <c r="INL123" s="1"/>
      <c r="INM123" s="1"/>
      <c r="INN123" s="1"/>
      <c r="INO123" s="1"/>
      <c r="INP123" s="1"/>
      <c r="INQ123" s="1"/>
      <c r="INR123" s="1"/>
      <c r="INS123" s="1"/>
      <c r="INT123" s="1"/>
      <c r="INU123" s="1"/>
      <c r="INV123" s="1"/>
      <c r="INW123" s="1"/>
      <c r="INX123" s="1"/>
      <c r="INY123" s="1"/>
      <c r="INZ123" s="1"/>
      <c r="IOA123" s="1"/>
      <c r="IOB123" s="1"/>
      <c r="IOC123" s="1"/>
      <c r="IOD123" s="1"/>
      <c r="IOE123" s="1"/>
      <c r="IOF123" s="1"/>
      <c r="IOG123" s="1"/>
      <c r="IOH123" s="1"/>
      <c r="IOI123" s="1"/>
      <c r="IOJ123" s="1"/>
      <c r="IOK123" s="1"/>
      <c r="IOL123" s="1"/>
      <c r="IOM123" s="1"/>
      <c r="ION123" s="1"/>
      <c r="IOO123" s="1"/>
      <c r="IOP123" s="1"/>
      <c r="IOQ123" s="1"/>
      <c r="IOR123" s="1"/>
      <c r="IOS123" s="1"/>
      <c r="IOT123" s="1"/>
      <c r="IOU123" s="1"/>
      <c r="IOV123" s="1"/>
      <c r="IOW123" s="1"/>
      <c r="IOX123" s="1"/>
      <c r="IOY123" s="1"/>
      <c r="IOZ123" s="1"/>
      <c r="IPA123" s="1"/>
      <c r="IPB123" s="1"/>
      <c r="IPC123" s="1"/>
      <c r="IPD123" s="1"/>
      <c r="IPE123" s="1"/>
      <c r="IPF123" s="1"/>
      <c r="IPG123" s="1"/>
      <c r="IPH123" s="1"/>
      <c r="IPI123" s="1"/>
      <c r="IPJ123" s="1"/>
      <c r="IPK123" s="1"/>
      <c r="IPL123" s="1"/>
      <c r="IPM123" s="1"/>
      <c r="IPN123" s="1"/>
      <c r="IPO123" s="1"/>
      <c r="IPP123" s="1"/>
      <c r="IPQ123" s="1"/>
      <c r="IPR123" s="1"/>
      <c r="IPS123" s="1"/>
      <c r="IPT123" s="1"/>
      <c r="IPU123" s="1"/>
      <c r="IPV123" s="1"/>
      <c r="IPW123" s="1"/>
      <c r="IPX123" s="1"/>
      <c r="IPY123" s="1"/>
      <c r="IPZ123" s="1"/>
      <c r="IQA123" s="1"/>
      <c r="IQB123" s="1"/>
      <c r="IQC123" s="1"/>
      <c r="IQD123" s="1"/>
      <c r="IQE123" s="1"/>
      <c r="IQF123" s="1"/>
      <c r="IQG123" s="1"/>
      <c r="IQH123" s="1"/>
      <c r="IQI123" s="1"/>
      <c r="IQJ123" s="1"/>
      <c r="IQK123" s="1"/>
      <c r="IQL123" s="1"/>
      <c r="IQM123" s="1"/>
      <c r="IQN123" s="1"/>
      <c r="IQO123" s="1"/>
      <c r="IQP123" s="1"/>
      <c r="IQQ123" s="1"/>
      <c r="IQR123" s="1"/>
      <c r="IQS123" s="1"/>
      <c r="IQT123" s="1"/>
      <c r="IQU123" s="1"/>
      <c r="IQV123" s="1"/>
      <c r="IQW123" s="1"/>
      <c r="IQX123" s="1"/>
      <c r="IQY123" s="1"/>
      <c r="IQZ123" s="1"/>
      <c r="IRA123" s="1"/>
      <c r="IRB123" s="1"/>
      <c r="IRC123" s="1"/>
      <c r="IRD123" s="1"/>
      <c r="IRE123" s="1"/>
      <c r="IRF123" s="1"/>
      <c r="IRG123" s="1"/>
      <c r="IRH123" s="1"/>
      <c r="IRI123" s="1"/>
      <c r="IRJ123" s="1"/>
      <c r="IRK123" s="1"/>
      <c r="IRL123" s="1"/>
      <c r="IRM123" s="1"/>
      <c r="IRN123" s="1"/>
      <c r="IRO123" s="1"/>
      <c r="IRP123" s="1"/>
      <c r="IRQ123" s="1"/>
      <c r="IRR123" s="1"/>
      <c r="IRS123" s="1"/>
      <c r="IRT123" s="1"/>
      <c r="IRU123" s="1"/>
      <c r="IRV123" s="1"/>
      <c r="IRW123" s="1"/>
      <c r="IRX123" s="1"/>
      <c r="IRY123" s="1"/>
      <c r="IRZ123" s="1"/>
      <c r="ISA123" s="1"/>
      <c r="ISB123" s="1"/>
      <c r="ISC123" s="1"/>
      <c r="ISD123" s="1"/>
      <c r="ISE123" s="1"/>
      <c r="ISF123" s="1"/>
      <c r="ISG123" s="1"/>
      <c r="ISH123" s="1"/>
      <c r="ISI123" s="1"/>
      <c r="ISJ123" s="1"/>
      <c r="ISK123" s="1"/>
      <c r="ISL123" s="1"/>
      <c r="ISM123" s="1"/>
      <c r="ISN123" s="1"/>
      <c r="ISO123" s="1"/>
      <c r="ISP123" s="1"/>
      <c r="ISQ123" s="1"/>
      <c r="ISR123" s="1"/>
      <c r="ISS123" s="1"/>
      <c r="IST123" s="1"/>
      <c r="ISU123" s="1"/>
      <c r="ISV123" s="1"/>
      <c r="ISW123" s="1"/>
      <c r="ISX123" s="1"/>
      <c r="ISY123" s="1"/>
      <c r="ISZ123" s="1"/>
      <c r="ITA123" s="1"/>
      <c r="ITB123" s="1"/>
      <c r="ITC123" s="1"/>
      <c r="ITD123" s="1"/>
      <c r="ITE123" s="1"/>
      <c r="ITF123" s="1"/>
      <c r="ITG123" s="1"/>
      <c r="ITH123" s="1"/>
      <c r="ITI123" s="1"/>
      <c r="ITJ123" s="1"/>
      <c r="ITK123" s="1"/>
      <c r="ITL123" s="1"/>
      <c r="ITM123" s="1"/>
      <c r="ITN123" s="1"/>
      <c r="ITO123" s="1"/>
      <c r="ITP123" s="1"/>
      <c r="ITQ123" s="1"/>
      <c r="ITR123" s="1"/>
      <c r="ITS123" s="1"/>
      <c r="ITT123" s="1"/>
      <c r="ITU123" s="1"/>
      <c r="ITV123" s="1"/>
      <c r="ITW123" s="1"/>
      <c r="ITX123" s="1"/>
      <c r="ITY123" s="1"/>
      <c r="ITZ123" s="1"/>
      <c r="IUA123" s="1"/>
      <c r="IUB123" s="1"/>
      <c r="IUC123" s="1"/>
      <c r="IUD123" s="1"/>
      <c r="IUE123" s="1"/>
      <c r="IUF123" s="1"/>
      <c r="IUG123" s="1"/>
      <c r="IUH123" s="1"/>
      <c r="IUI123" s="1"/>
      <c r="IUJ123" s="1"/>
      <c r="IUK123" s="1"/>
      <c r="IUL123" s="1"/>
      <c r="IUM123" s="1"/>
      <c r="IUN123" s="1"/>
      <c r="IUO123" s="1"/>
      <c r="IUP123" s="1"/>
      <c r="IUQ123" s="1"/>
      <c r="IUR123" s="1"/>
      <c r="IUS123" s="1"/>
      <c r="IUT123" s="1"/>
      <c r="IUU123" s="1"/>
      <c r="IUV123" s="1"/>
      <c r="IUW123" s="1"/>
      <c r="IUX123" s="1"/>
      <c r="IUY123" s="1"/>
      <c r="IUZ123" s="1"/>
      <c r="IVA123" s="1"/>
      <c r="IVB123" s="1"/>
      <c r="IVC123" s="1"/>
      <c r="IVD123" s="1"/>
      <c r="IVE123" s="1"/>
      <c r="IVF123" s="1"/>
      <c r="IVG123" s="1"/>
      <c r="IVH123" s="1"/>
      <c r="IVI123" s="1"/>
      <c r="IVJ123" s="1"/>
      <c r="IVK123" s="1"/>
      <c r="IVL123" s="1"/>
      <c r="IVM123" s="1"/>
      <c r="IVN123" s="1"/>
      <c r="IVO123" s="1"/>
      <c r="IVP123" s="1"/>
      <c r="IVQ123" s="1"/>
      <c r="IVR123" s="1"/>
      <c r="IVS123" s="1"/>
      <c r="IVT123" s="1"/>
      <c r="IVU123" s="1"/>
      <c r="IVV123" s="1"/>
      <c r="IVW123" s="1"/>
      <c r="IVX123" s="1"/>
      <c r="IVY123" s="1"/>
      <c r="IVZ123" s="1"/>
      <c r="IWA123" s="1"/>
      <c r="IWB123" s="1"/>
      <c r="IWC123" s="1"/>
      <c r="IWD123" s="1"/>
      <c r="IWE123" s="1"/>
      <c r="IWF123" s="1"/>
      <c r="IWG123" s="1"/>
      <c r="IWH123" s="1"/>
      <c r="IWI123" s="1"/>
      <c r="IWJ123" s="1"/>
      <c r="IWK123" s="1"/>
      <c r="IWL123" s="1"/>
      <c r="IWM123" s="1"/>
      <c r="IWN123" s="1"/>
      <c r="IWO123" s="1"/>
      <c r="IWP123" s="1"/>
      <c r="IWQ123" s="1"/>
      <c r="IWR123" s="1"/>
      <c r="IWS123" s="1"/>
      <c r="IWT123" s="1"/>
      <c r="IWU123" s="1"/>
      <c r="IWV123" s="1"/>
      <c r="IWW123" s="1"/>
      <c r="IWX123" s="1"/>
      <c r="IWY123" s="1"/>
      <c r="IWZ123" s="1"/>
      <c r="IXA123" s="1"/>
      <c r="IXB123" s="1"/>
      <c r="IXC123" s="1"/>
      <c r="IXD123" s="1"/>
      <c r="IXE123" s="1"/>
      <c r="IXF123" s="1"/>
      <c r="IXG123" s="1"/>
      <c r="IXH123" s="1"/>
      <c r="IXI123" s="1"/>
      <c r="IXJ123" s="1"/>
      <c r="IXK123" s="1"/>
      <c r="IXL123" s="1"/>
      <c r="IXM123" s="1"/>
      <c r="IXN123" s="1"/>
      <c r="IXO123" s="1"/>
      <c r="IXP123" s="1"/>
      <c r="IXQ123" s="1"/>
      <c r="IXR123" s="1"/>
      <c r="IXS123" s="1"/>
      <c r="IXT123" s="1"/>
      <c r="IXU123" s="1"/>
      <c r="IXV123" s="1"/>
      <c r="IXW123" s="1"/>
      <c r="IXX123" s="1"/>
      <c r="IXY123" s="1"/>
      <c r="IXZ123" s="1"/>
      <c r="IYA123" s="1"/>
      <c r="IYB123" s="1"/>
      <c r="IYC123" s="1"/>
      <c r="IYD123" s="1"/>
      <c r="IYE123" s="1"/>
      <c r="IYF123" s="1"/>
      <c r="IYG123" s="1"/>
      <c r="IYH123" s="1"/>
      <c r="IYI123" s="1"/>
      <c r="IYJ123" s="1"/>
      <c r="IYK123" s="1"/>
      <c r="IYL123" s="1"/>
      <c r="IYM123" s="1"/>
      <c r="IYN123" s="1"/>
      <c r="IYO123" s="1"/>
      <c r="IYP123" s="1"/>
      <c r="IYQ123" s="1"/>
      <c r="IYR123" s="1"/>
      <c r="IYS123" s="1"/>
      <c r="IYT123" s="1"/>
      <c r="IYU123" s="1"/>
      <c r="IYV123" s="1"/>
      <c r="IYW123" s="1"/>
      <c r="IYX123" s="1"/>
      <c r="IYY123" s="1"/>
      <c r="IYZ123" s="1"/>
      <c r="IZA123" s="1"/>
      <c r="IZB123" s="1"/>
      <c r="IZC123" s="1"/>
      <c r="IZD123" s="1"/>
      <c r="IZE123" s="1"/>
      <c r="IZF123" s="1"/>
      <c r="IZG123" s="1"/>
      <c r="IZH123" s="1"/>
      <c r="IZI123" s="1"/>
      <c r="IZJ123" s="1"/>
      <c r="IZK123" s="1"/>
      <c r="IZL123" s="1"/>
      <c r="IZM123" s="1"/>
      <c r="IZN123" s="1"/>
      <c r="IZO123" s="1"/>
      <c r="IZP123" s="1"/>
      <c r="IZQ123" s="1"/>
      <c r="IZR123" s="1"/>
      <c r="IZS123" s="1"/>
      <c r="IZT123" s="1"/>
      <c r="IZU123" s="1"/>
      <c r="IZV123" s="1"/>
      <c r="IZW123" s="1"/>
      <c r="IZX123" s="1"/>
      <c r="IZY123" s="1"/>
      <c r="IZZ123" s="1"/>
      <c r="JAA123" s="1"/>
      <c r="JAB123" s="1"/>
      <c r="JAC123" s="1"/>
      <c r="JAD123" s="1"/>
      <c r="JAE123" s="1"/>
      <c r="JAF123" s="1"/>
      <c r="JAG123" s="1"/>
      <c r="JAH123" s="1"/>
      <c r="JAI123" s="1"/>
      <c r="JAJ123" s="1"/>
      <c r="JAK123" s="1"/>
      <c r="JAL123" s="1"/>
      <c r="JAM123" s="1"/>
      <c r="JAN123" s="1"/>
      <c r="JAO123" s="1"/>
      <c r="JAP123" s="1"/>
      <c r="JAQ123" s="1"/>
      <c r="JAR123" s="1"/>
      <c r="JAS123" s="1"/>
      <c r="JAT123" s="1"/>
      <c r="JAU123" s="1"/>
      <c r="JAV123" s="1"/>
      <c r="JAW123" s="1"/>
      <c r="JAX123" s="1"/>
      <c r="JAY123" s="1"/>
      <c r="JAZ123" s="1"/>
      <c r="JBA123" s="1"/>
      <c r="JBB123" s="1"/>
      <c r="JBC123" s="1"/>
      <c r="JBD123" s="1"/>
      <c r="JBE123" s="1"/>
      <c r="JBF123" s="1"/>
      <c r="JBG123" s="1"/>
      <c r="JBH123" s="1"/>
      <c r="JBI123" s="1"/>
      <c r="JBJ123" s="1"/>
      <c r="JBK123" s="1"/>
      <c r="JBL123" s="1"/>
      <c r="JBM123" s="1"/>
      <c r="JBN123" s="1"/>
      <c r="JBO123" s="1"/>
      <c r="JBP123" s="1"/>
      <c r="JBQ123" s="1"/>
      <c r="JBR123" s="1"/>
      <c r="JBS123" s="1"/>
      <c r="JBT123" s="1"/>
      <c r="JBU123" s="1"/>
      <c r="JBV123" s="1"/>
      <c r="JBW123" s="1"/>
      <c r="JBX123" s="1"/>
      <c r="JBY123" s="1"/>
      <c r="JBZ123" s="1"/>
      <c r="JCA123" s="1"/>
      <c r="JCB123" s="1"/>
      <c r="JCC123" s="1"/>
      <c r="JCD123" s="1"/>
      <c r="JCE123" s="1"/>
      <c r="JCF123" s="1"/>
      <c r="JCG123" s="1"/>
      <c r="JCH123" s="1"/>
      <c r="JCI123" s="1"/>
      <c r="JCJ123" s="1"/>
      <c r="JCK123" s="1"/>
      <c r="JCL123" s="1"/>
      <c r="JCM123" s="1"/>
      <c r="JCN123" s="1"/>
      <c r="JCO123" s="1"/>
      <c r="JCP123" s="1"/>
      <c r="JCQ123" s="1"/>
      <c r="JCR123" s="1"/>
      <c r="JCS123" s="1"/>
      <c r="JCT123" s="1"/>
      <c r="JCU123" s="1"/>
      <c r="JCV123" s="1"/>
      <c r="JCW123" s="1"/>
      <c r="JCX123" s="1"/>
      <c r="JCY123" s="1"/>
      <c r="JCZ123" s="1"/>
      <c r="JDA123" s="1"/>
      <c r="JDB123" s="1"/>
      <c r="JDC123" s="1"/>
      <c r="JDD123" s="1"/>
      <c r="JDE123" s="1"/>
      <c r="JDF123" s="1"/>
      <c r="JDG123" s="1"/>
      <c r="JDH123" s="1"/>
      <c r="JDI123" s="1"/>
      <c r="JDJ123" s="1"/>
      <c r="JDK123" s="1"/>
      <c r="JDL123" s="1"/>
      <c r="JDM123" s="1"/>
      <c r="JDN123" s="1"/>
      <c r="JDO123" s="1"/>
      <c r="JDP123" s="1"/>
      <c r="JDQ123" s="1"/>
      <c r="JDR123" s="1"/>
      <c r="JDS123" s="1"/>
      <c r="JDT123" s="1"/>
      <c r="JDU123" s="1"/>
      <c r="JDV123" s="1"/>
      <c r="JDW123" s="1"/>
      <c r="JDX123" s="1"/>
      <c r="JDY123" s="1"/>
      <c r="JDZ123" s="1"/>
      <c r="JEA123" s="1"/>
      <c r="JEB123" s="1"/>
      <c r="JEC123" s="1"/>
      <c r="JED123" s="1"/>
      <c r="JEE123" s="1"/>
      <c r="JEF123" s="1"/>
      <c r="JEG123" s="1"/>
      <c r="JEH123" s="1"/>
      <c r="JEI123" s="1"/>
      <c r="JEJ123" s="1"/>
      <c r="JEK123" s="1"/>
      <c r="JEL123" s="1"/>
      <c r="JEM123" s="1"/>
      <c r="JEN123" s="1"/>
      <c r="JEO123" s="1"/>
      <c r="JEP123" s="1"/>
      <c r="JEQ123" s="1"/>
      <c r="JER123" s="1"/>
      <c r="JES123" s="1"/>
      <c r="JET123" s="1"/>
      <c r="JEU123" s="1"/>
      <c r="JEV123" s="1"/>
      <c r="JEW123" s="1"/>
      <c r="JEX123" s="1"/>
      <c r="JEY123" s="1"/>
      <c r="JEZ123" s="1"/>
      <c r="JFA123" s="1"/>
      <c r="JFB123" s="1"/>
      <c r="JFC123" s="1"/>
      <c r="JFD123" s="1"/>
      <c r="JFE123" s="1"/>
      <c r="JFF123" s="1"/>
      <c r="JFG123" s="1"/>
      <c r="JFH123" s="1"/>
      <c r="JFI123" s="1"/>
      <c r="JFJ123" s="1"/>
      <c r="JFK123" s="1"/>
      <c r="JFL123" s="1"/>
      <c r="JFM123" s="1"/>
      <c r="JFN123" s="1"/>
      <c r="JFO123" s="1"/>
      <c r="JFP123" s="1"/>
      <c r="JFQ123" s="1"/>
      <c r="JFR123" s="1"/>
      <c r="JFS123" s="1"/>
      <c r="JFT123" s="1"/>
      <c r="JFU123" s="1"/>
      <c r="JFV123" s="1"/>
      <c r="JFW123" s="1"/>
      <c r="JFX123" s="1"/>
      <c r="JFY123" s="1"/>
      <c r="JFZ123" s="1"/>
      <c r="JGA123" s="1"/>
      <c r="JGB123" s="1"/>
      <c r="JGC123" s="1"/>
      <c r="JGD123" s="1"/>
      <c r="JGE123" s="1"/>
      <c r="JGF123" s="1"/>
      <c r="JGG123" s="1"/>
      <c r="JGH123" s="1"/>
      <c r="JGI123" s="1"/>
      <c r="JGJ123" s="1"/>
      <c r="JGK123" s="1"/>
      <c r="JGL123" s="1"/>
      <c r="JGM123" s="1"/>
      <c r="JGN123" s="1"/>
      <c r="JGO123" s="1"/>
      <c r="JGP123" s="1"/>
      <c r="JGQ123" s="1"/>
      <c r="JGR123" s="1"/>
      <c r="JGS123" s="1"/>
      <c r="JGT123" s="1"/>
      <c r="JGU123" s="1"/>
      <c r="JGV123" s="1"/>
      <c r="JGW123" s="1"/>
      <c r="JGX123" s="1"/>
      <c r="JGY123" s="1"/>
      <c r="JGZ123" s="1"/>
      <c r="JHA123" s="1"/>
      <c r="JHB123" s="1"/>
      <c r="JHC123" s="1"/>
      <c r="JHD123" s="1"/>
      <c r="JHE123" s="1"/>
      <c r="JHF123" s="1"/>
      <c r="JHG123" s="1"/>
      <c r="JHH123" s="1"/>
      <c r="JHI123" s="1"/>
      <c r="JHJ123" s="1"/>
      <c r="JHK123" s="1"/>
      <c r="JHL123" s="1"/>
      <c r="JHM123" s="1"/>
      <c r="JHN123" s="1"/>
      <c r="JHO123" s="1"/>
      <c r="JHP123" s="1"/>
      <c r="JHQ123" s="1"/>
      <c r="JHR123" s="1"/>
      <c r="JHS123" s="1"/>
      <c r="JHT123" s="1"/>
      <c r="JHU123" s="1"/>
      <c r="JHV123" s="1"/>
      <c r="JHW123" s="1"/>
      <c r="JHX123" s="1"/>
      <c r="JHY123" s="1"/>
      <c r="JHZ123" s="1"/>
      <c r="JIA123" s="1"/>
      <c r="JIB123" s="1"/>
      <c r="JIC123" s="1"/>
      <c r="JID123" s="1"/>
      <c r="JIE123" s="1"/>
      <c r="JIF123" s="1"/>
      <c r="JIG123" s="1"/>
      <c r="JIH123" s="1"/>
      <c r="JII123" s="1"/>
      <c r="JIJ123" s="1"/>
      <c r="JIK123" s="1"/>
      <c r="JIL123" s="1"/>
      <c r="JIM123" s="1"/>
      <c r="JIN123" s="1"/>
      <c r="JIO123" s="1"/>
      <c r="JIP123" s="1"/>
      <c r="JIQ123" s="1"/>
      <c r="JIR123" s="1"/>
      <c r="JIS123" s="1"/>
      <c r="JIT123" s="1"/>
      <c r="JIU123" s="1"/>
      <c r="JIV123" s="1"/>
      <c r="JIW123" s="1"/>
      <c r="JIX123" s="1"/>
      <c r="JIY123" s="1"/>
      <c r="JIZ123" s="1"/>
      <c r="JJA123" s="1"/>
      <c r="JJB123" s="1"/>
      <c r="JJC123" s="1"/>
      <c r="JJD123" s="1"/>
      <c r="JJE123" s="1"/>
      <c r="JJF123" s="1"/>
      <c r="JJG123" s="1"/>
      <c r="JJH123" s="1"/>
      <c r="JJI123" s="1"/>
      <c r="JJJ123" s="1"/>
      <c r="JJK123" s="1"/>
      <c r="JJL123" s="1"/>
      <c r="JJM123" s="1"/>
      <c r="JJN123" s="1"/>
      <c r="JJO123" s="1"/>
      <c r="JJP123" s="1"/>
      <c r="JJQ123" s="1"/>
      <c r="JJR123" s="1"/>
      <c r="JJS123" s="1"/>
      <c r="JJT123" s="1"/>
      <c r="JJU123" s="1"/>
      <c r="JJV123" s="1"/>
      <c r="JJW123" s="1"/>
      <c r="JJX123" s="1"/>
      <c r="JJY123" s="1"/>
      <c r="JJZ123" s="1"/>
      <c r="JKA123" s="1"/>
      <c r="JKB123" s="1"/>
      <c r="JKC123" s="1"/>
      <c r="JKD123" s="1"/>
      <c r="JKE123" s="1"/>
      <c r="JKF123" s="1"/>
      <c r="JKG123" s="1"/>
      <c r="JKH123" s="1"/>
      <c r="JKI123" s="1"/>
      <c r="JKJ123" s="1"/>
      <c r="JKK123" s="1"/>
      <c r="JKL123" s="1"/>
      <c r="JKM123" s="1"/>
      <c r="JKN123" s="1"/>
      <c r="JKO123" s="1"/>
      <c r="JKP123" s="1"/>
      <c r="JKQ123" s="1"/>
      <c r="JKR123" s="1"/>
      <c r="JKS123" s="1"/>
      <c r="JKT123" s="1"/>
      <c r="JKU123" s="1"/>
      <c r="JKV123" s="1"/>
      <c r="JKW123" s="1"/>
      <c r="JKX123" s="1"/>
      <c r="JKY123" s="1"/>
      <c r="JKZ123" s="1"/>
      <c r="JLA123" s="1"/>
      <c r="JLB123" s="1"/>
      <c r="JLC123" s="1"/>
      <c r="JLD123" s="1"/>
      <c r="JLE123" s="1"/>
      <c r="JLF123" s="1"/>
      <c r="JLG123" s="1"/>
      <c r="JLH123" s="1"/>
      <c r="JLI123" s="1"/>
      <c r="JLJ123" s="1"/>
      <c r="JLK123" s="1"/>
      <c r="JLL123" s="1"/>
      <c r="JLM123" s="1"/>
      <c r="JLN123" s="1"/>
      <c r="JLO123" s="1"/>
      <c r="JLP123" s="1"/>
      <c r="JLQ123" s="1"/>
      <c r="JLR123" s="1"/>
      <c r="JLS123" s="1"/>
      <c r="JLT123" s="1"/>
      <c r="JLU123" s="1"/>
      <c r="JLV123" s="1"/>
      <c r="JLW123" s="1"/>
      <c r="JLX123" s="1"/>
      <c r="JLY123" s="1"/>
      <c r="JLZ123" s="1"/>
      <c r="JMA123" s="1"/>
      <c r="JMB123" s="1"/>
      <c r="JMC123" s="1"/>
      <c r="JMD123" s="1"/>
      <c r="JME123" s="1"/>
      <c r="JMF123" s="1"/>
      <c r="JMG123" s="1"/>
      <c r="JMH123" s="1"/>
      <c r="JMI123" s="1"/>
      <c r="JMJ123" s="1"/>
      <c r="JMK123" s="1"/>
      <c r="JML123" s="1"/>
      <c r="JMM123" s="1"/>
      <c r="JMN123" s="1"/>
      <c r="JMO123" s="1"/>
      <c r="JMP123" s="1"/>
      <c r="JMQ123" s="1"/>
      <c r="JMR123" s="1"/>
      <c r="JMS123" s="1"/>
      <c r="JMT123" s="1"/>
      <c r="JMU123" s="1"/>
      <c r="JMV123" s="1"/>
      <c r="JMW123" s="1"/>
      <c r="JMX123" s="1"/>
      <c r="JMY123" s="1"/>
      <c r="JMZ123" s="1"/>
      <c r="JNA123" s="1"/>
      <c r="JNB123" s="1"/>
      <c r="JNC123" s="1"/>
      <c r="JND123" s="1"/>
      <c r="JNE123" s="1"/>
      <c r="JNF123" s="1"/>
      <c r="JNG123" s="1"/>
      <c r="JNH123" s="1"/>
      <c r="JNI123" s="1"/>
      <c r="JNJ123" s="1"/>
      <c r="JNK123" s="1"/>
      <c r="JNL123" s="1"/>
      <c r="JNM123" s="1"/>
      <c r="JNN123" s="1"/>
      <c r="JNO123" s="1"/>
      <c r="JNP123" s="1"/>
      <c r="JNQ123" s="1"/>
      <c r="JNR123" s="1"/>
      <c r="JNS123" s="1"/>
      <c r="JNT123" s="1"/>
      <c r="JNU123" s="1"/>
      <c r="JNV123" s="1"/>
      <c r="JNW123" s="1"/>
      <c r="JNX123" s="1"/>
      <c r="JNY123" s="1"/>
      <c r="JNZ123" s="1"/>
      <c r="JOA123" s="1"/>
      <c r="JOB123" s="1"/>
      <c r="JOC123" s="1"/>
      <c r="JOD123" s="1"/>
      <c r="JOE123" s="1"/>
      <c r="JOF123" s="1"/>
      <c r="JOG123" s="1"/>
      <c r="JOH123" s="1"/>
      <c r="JOI123" s="1"/>
      <c r="JOJ123" s="1"/>
      <c r="JOK123" s="1"/>
      <c r="JOL123" s="1"/>
      <c r="JOM123" s="1"/>
      <c r="JON123" s="1"/>
      <c r="JOO123" s="1"/>
      <c r="JOP123" s="1"/>
      <c r="JOQ123" s="1"/>
      <c r="JOR123" s="1"/>
      <c r="JOS123" s="1"/>
      <c r="JOT123" s="1"/>
      <c r="JOU123" s="1"/>
      <c r="JOV123" s="1"/>
      <c r="JOW123" s="1"/>
      <c r="JOX123" s="1"/>
      <c r="JOY123" s="1"/>
      <c r="JOZ123" s="1"/>
      <c r="JPA123" s="1"/>
      <c r="JPB123" s="1"/>
      <c r="JPC123" s="1"/>
      <c r="JPD123" s="1"/>
      <c r="JPE123" s="1"/>
      <c r="JPF123" s="1"/>
      <c r="JPG123" s="1"/>
      <c r="JPH123" s="1"/>
      <c r="JPI123" s="1"/>
      <c r="JPJ123" s="1"/>
      <c r="JPK123" s="1"/>
      <c r="JPL123" s="1"/>
      <c r="JPM123" s="1"/>
      <c r="JPN123" s="1"/>
      <c r="JPO123" s="1"/>
      <c r="JPP123" s="1"/>
      <c r="JPQ123" s="1"/>
      <c r="JPR123" s="1"/>
      <c r="JPS123" s="1"/>
      <c r="JPT123" s="1"/>
      <c r="JPU123" s="1"/>
      <c r="JPV123" s="1"/>
      <c r="JPW123" s="1"/>
      <c r="JPX123" s="1"/>
      <c r="JPY123" s="1"/>
      <c r="JPZ123" s="1"/>
      <c r="JQA123" s="1"/>
      <c r="JQB123" s="1"/>
      <c r="JQC123" s="1"/>
      <c r="JQD123" s="1"/>
      <c r="JQE123" s="1"/>
      <c r="JQF123" s="1"/>
      <c r="JQG123" s="1"/>
      <c r="JQH123" s="1"/>
      <c r="JQI123" s="1"/>
      <c r="JQJ123" s="1"/>
      <c r="JQK123" s="1"/>
      <c r="JQL123" s="1"/>
      <c r="JQM123" s="1"/>
      <c r="JQN123" s="1"/>
      <c r="JQO123" s="1"/>
      <c r="JQP123" s="1"/>
      <c r="JQQ123" s="1"/>
      <c r="JQR123" s="1"/>
      <c r="JQS123" s="1"/>
      <c r="JQT123" s="1"/>
      <c r="JQU123" s="1"/>
      <c r="JQV123" s="1"/>
      <c r="JQW123" s="1"/>
      <c r="JQX123" s="1"/>
      <c r="JQY123" s="1"/>
      <c r="JQZ123" s="1"/>
      <c r="JRA123" s="1"/>
      <c r="JRB123" s="1"/>
      <c r="JRC123" s="1"/>
      <c r="JRD123" s="1"/>
      <c r="JRE123" s="1"/>
      <c r="JRF123" s="1"/>
      <c r="JRG123" s="1"/>
      <c r="JRH123" s="1"/>
      <c r="JRI123" s="1"/>
      <c r="JRJ123" s="1"/>
      <c r="JRK123" s="1"/>
      <c r="JRL123" s="1"/>
      <c r="JRM123" s="1"/>
      <c r="JRN123" s="1"/>
      <c r="JRO123" s="1"/>
      <c r="JRP123" s="1"/>
      <c r="JRQ123" s="1"/>
      <c r="JRR123" s="1"/>
      <c r="JRS123" s="1"/>
      <c r="JRT123" s="1"/>
      <c r="JRU123" s="1"/>
      <c r="JRV123" s="1"/>
      <c r="JRW123" s="1"/>
      <c r="JRX123" s="1"/>
      <c r="JRY123" s="1"/>
      <c r="JRZ123" s="1"/>
      <c r="JSA123" s="1"/>
      <c r="JSB123" s="1"/>
      <c r="JSC123" s="1"/>
      <c r="JSD123" s="1"/>
      <c r="JSE123" s="1"/>
      <c r="JSF123" s="1"/>
      <c r="JSG123" s="1"/>
      <c r="JSH123" s="1"/>
      <c r="JSI123" s="1"/>
      <c r="JSJ123" s="1"/>
      <c r="JSK123" s="1"/>
      <c r="JSL123" s="1"/>
      <c r="JSM123" s="1"/>
      <c r="JSN123" s="1"/>
      <c r="JSO123" s="1"/>
      <c r="JSP123" s="1"/>
      <c r="JSQ123" s="1"/>
      <c r="JSR123" s="1"/>
      <c r="JSS123" s="1"/>
      <c r="JST123" s="1"/>
      <c r="JSU123" s="1"/>
      <c r="JSV123" s="1"/>
      <c r="JSW123" s="1"/>
      <c r="JSX123" s="1"/>
      <c r="JSY123" s="1"/>
      <c r="JSZ123" s="1"/>
      <c r="JTA123" s="1"/>
      <c r="JTB123" s="1"/>
      <c r="JTC123" s="1"/>
      <c r="JTD123" s="1"/>
      <c r="JTE123" s="1"/>
      <c r="JTF123" s="1"/>
      <c r="JTG123" s="1"/>
      <c r="JTH123" s="1"/>
      <c r="JTI123" s="1"/>
      <c r="JTJ123" s="1"/>
      <c r="JTK123" s="1"/>
      <c r="JTL123" s="1"/>
      <c r="JTM123" s="1"/>
      <c r="JTN123" s="1"/>
      <c r="JTO123" s="1"/>
      <c r="JTP123" s="1"/>
      <c r="JTQ123" s="1"/>
      <c r="JTR123" s="1"/>
      <c r="JTS123" s="1"/>
      <c r="JTT123" s="1"/>
      <c r="JTU123" s="1"/>
      <c r="JTV123" s="1"/>
      <c r="JTW123" s="1"/>
      <c r="JTX123" s="1"/>
      <c r="JTY123" s="1"/>
      <c r="JTZ123" s="1"/>
      <c r="JUA123" s="1"/>
      <c r="JUB123" s="1"/>
      <c r="JUC123" s="1"/>
      <c r="JUD123" s="1"/>
      <c r="JUE123" s="1"/>
      <c r="JUF123" s="1"/>
      <c r="JUG123" s="1"/>
      <c r="JUH123" s="1"/>
      <c r="JUI123" s="1"/>
      <c r="JUJ123" s="1"/>
      <c r="JUK123" s="1"/>
      <c r="JUL123" s="1"/>
      <c r="JUM123" s="1"/>
      <c r="JUN123" s="1"/>
      <c r="JUO123" s="1"/>
      <c r="JUP123" s="1"/>
      <c r="JUQ123" s="1"/>
      <c r="JUR123" s="1"/>
      <c r="JUS123" s="1"/>
      <c r="JUT123" s="1"/>
      <c r="JUU123" s="1"/>
      <c r="JUV123" s="1"/>
      <c r="JUW123" s="1"/>
      <c r="JUX123" s="1"/>
      <c r="JUY123" s="1"/>
      <c r="JUZ123" s="1"/>
      <c r="JVA123" s="1"/>
      <c r="JVB123" s="1"/>
      <c r="JVC123" s="1"/>
      <c r="JVD123" s="1"/>
      <c r="JVE123" s="1"/>
      <c r="JVF123" s="1"/>
      <c r="JVG123" s="1"/>
      <c r="JVH123" s="1"/>
      <c r="JVI123" s="1"/>
      <c r="JVJ123" s="1"/>
      <c r="JVK123" s="1"/>
      <c r="JVL123" s="1"/>
      <c r="JVM123" s="1"/>
      <c r="JVN123" s="1"/>
      <c r="JVO123" s="1"/>
      <c r="JVP123" s="1"/>
      <c r="JVQ123" s="1"/>
      <c r="JVR123" s="1"/>
      <c r="JVS123" s="1"/>
      <c r="JVT123" s="1"/>
      <c r="JVU123" s="1"/>
      <c r="JVV123" s="1"/>
      <c r="JVW123" s="1"/>
      <c r="JVX123" s="1"/>
      <c r="JVY123" s="1"/>
      <c r="JVZ123" s="1"/>
      <c r="JWA123" s="1"/>
      <c r="JWB123" s="1"/>
      <c r="JWC123" s="1"/>
      <c r="JWD123" s="1"/>
      <c r="JWE123" s="1"/>
      <c r="JWF123" s="1"/>
      <c r="JWG123" s="1"/>
      <c r="JWH123" s="1"/>
      <c r="JWI123" s="1"/>
      <c r="JWJ123" s="1"/>
      <c r="JWK123" s="1"/>
      <c r="JWL123" s="1"/>
      <c r="JWM123" s="1"/>
      <c r="JWN123" s="1"/>
      <c r="JWO123" s="1"/>
      <c r="JWP123" s="1"/>
      <c r="JWQ123" s="1"/>
      <c r="JWR123" s="1"/>
      <c r="JWS123" s="1"/>
      <c r="JWT123" s="1"/>
      <c r="JWU123" s="1"/>
      <c r="JWV123" s="1"/>
      <c r="JWW123" s="1"/>
      <c r="JWX123" s="1"/>
      <c r="JWY123" s="1"/>
      <c r="JWZ123" s="1"/>
      <c r="JXA123" s="1"/>
      <c r="JXB123" s="1"/>
      <c r="JXC123" s="1"/>
      <c r="JXD123" s="1"/>
      <c r="JXE123" s="1"/>
      <c r="JXF123" s="1"/>
      <c r="JXG123" s="1"/>
      <c r="JXH123" s="1"/>
      <c r="JXI123" s="1"/>
      <c r="JXJ123" s="1"/>
      <c r="JXK123" s="1"/>
      <c r="JXL123" s="1"/>
      <c r="JXM123" s="1"/>
      <c r="JXN123" s="1"/>
      <c r="JXO123" s="1"/>
      <c r="JXP123" s="1"/>
      <c r="JXQ123" s="1"/>
      <c r="JXR123" s="1"/>
      <c r="JXS123" s="1"/>
      <c r="JXT123" s="1"/>
      <c r="JXU123" s="1"/>
      <c r="JXV123" s="1"/>
      <c r="JXW123" s="1"/>
      <c r="JXX123" s="1"/>
      <c r="JXY123" s="1"/>
      <c r="JXZ123" s="1"/>
      <c r="JYA123" s="1"/>
      <c r="JYB123" s="1"/>
      <c r="JYC123" s="1"/>
      <c r="JYD123" s="1"/>
      <c r="JYE123" s="1"/>
      <c r="JYF123" s="1"/>
      <c r="JYG123" s="1"/>
      <c r="JYH123" s="1"/>
      <c r="JYI123" s="1"/>
      <c r="JYJ123" s="1"/>
      <c r="JYK123" s="1"/>
      <c r="JYL123" s="1"/>
      <c r="JYM123" s="1"/>
      <c r="JYN123" s="1"/>
      <c r="JYO123" s="1"/>
      <c r="JYP123" s="1"/>
      <c r="JYQ123" s="1"/>
      <c r="JYR123" s="1"/>
      <c r="JYS123" s="1"/>
      <c r="JYT123" s="1"/>
      <c r="JYU123" s="1"/>
      <c r="JYV123" s="1"/>
      <c r="JYW123" s="1"/>
      <c r="JYX123" s="1"/>
      <c r="JYY123" s="1"/>
      <c r="JYZ123" s="1"/>
      <c r="JZA123" s="1"/>
      <c r="JZB123" s="1"/>
      <c r="JZC123" s="1"/>
      <c r="JZD123" s="1"/>
      <c r="JZE123" s="1"/>
      <c r="JZF123" s="1"/>
      <c r="JZG123" s="1"/>
      <c r="JZH123" s="1"/>
      <c r="JZI123" s="1"/>
      <c r="JZJ123" s="1"/>
      <c r="JZK123" s="1"/>
      <c r="JZL123" s="1"/>
      <c r="JZM123" s="1"/>
      <c r="JZN123" s="1"/>
      <c r="JZO123" s="1"/>
      <c r="JZP123" s="1"/>
      <c r="JZQ123" s="1"/>
      <c r="JZR123" s="1"/>
      <c r="JZS123" s="1"/>
      <c r="JZT123" s="1"/>
      <c r="JZU123" s="1"/>
      <c r="JZV123" s="1"/>
      <c r="JZW123" s="1"/>
      <c r="JZX123" s="1"/>
      <c r="JZY123" s="1"/>
      <c r="JZZ123" s="1"/>
      <c r="KAA123" s="1"/>
      <c r="KAB123" s="1"/>
      <c r="KAC123" s="1"/>
      <c r="KAD123" s="1"/>
      <c r="KAE123" s="1"/>
      <c r="KAF123" s="1"/>
      <c r="KAG123" s="1"/>
      <c r="KAH123" s="1"/>
      <c r="KAI123" s="1"/>
      <c r="KAJ123" s="1"/>
      <c r="KAK123" s="1"/>
      <c r="KAL123" s="1"/>
      <c r="KAM123" s="1"/>
      <c r="KAN123" s="1"/>
      <c r="KAO123" s="1"/>
      <c r="KAP123" s="1"/>
      <c r="KAQ123" s="1"/>
      <c r="KAR123" s="1"/>
      <c r="KAS123" s="1"/>
      <c r="KAT123" s="1"/>
      <c r="KAU123" s="1"/>
      <c r="KAV123" s="1"/>
      <c r="KAW123" s="1"/>
      <c r="KAX123" s="1"/>
      <c r="KAY123" s="1"/>
      <c r="KAZ123" s="1"/>
      <c r="KBA123" s="1"/>
      <c r="KBB123" s="1"/>
      <c r="KBC123" s="1"/>
      <c r="KBD123" s="1"/>
      <c r="KBE123" s="1"/>
      <c r="KBF123" s="1"/>
      <c r="KBG123" s="1"/>
      <c r="KBH123" s="1"/>
      <c r="KBI123" s="1"/>
      <c r="KBJ123" s="1"/>
      <c r="KBK123" s="1"/>
      <c r="KBL123" s="1"/>
      <c r="KBM123" s="1"/>
      <c r="KBN123" s="1"/>
      <c r="KBO123" s="1"/>
      <c r="KBP123" s="1"/>
      <c r="KBQ123" s="1"/>
      <c r="KBR123" s="1"/>
      <c r="KBS123" s="1"/>
      <c r="KBT123" s="1"/>
      <c r="KBU123" s="1"/>
      <c r="KBV123" s="1"/>
      <c r="KBW123" s="1"/>
      <c r="KBX123" s="1"/>
      <c r="KBY123" s="1"/>
      <c r="KBZ123" s="1"/>
      <c r="KCA123" s="1"/>
      <c r="KCB123" s="1"/>
      <c r="KCC123" s="1"/>
      <c r="KCD123" s="1"/>
      <c r="KCE123" s="1"/>
      <c r="KCF123" s="1"/>
      <c r="KCG123" s="1"/>
      <c r="KCH123" s="1"/>
      <c r="KCI123" s="1"/>
      <c r="KCJ123" s="1"/>
      <c r="KCK123" s="1"/>
      <c r="KCL123" s="1"/>
      <c r="KCM123" s="1"/>
      <c r="KCN123" s="1"/>
      <c r="KCO123" s="1"/>
      <c r="KCP123" s="1"/>
      <c r="KCQ123" s="1"/>
      <c r="KCR123" s="1"/>
      <c r="KCS123" s="1"/>
      <c r="KCT123" s="1"/>
      <c r="KCU123" s="1"/>
      <c r="KCV123" s="1"/>
      <c r="KCW123" s="1"/>
      <c r="KCX123" s="1"/>
      <c r="KCY123" s="1"/>
      <c r="KCZ123" s="1"/>
      <c r="KDA123" s="1"/>
      <c r="KDB123" s="1"/>
      <c r="KDC123" s="1"/>
      <c r="KDD123" s="1"/>
      <c r="KDE123" s="1"/>
      <c r="KDF123" s="1"/>
      <c r="KDG123" s="1"/>
      <c r="KDH123" s="1"/>
      <c r="KDI123" s="1"/>
      <c r="KDJ123" s="1"/>
      <c r="KDK123" s="1"/>
      <c r="KDL123" s="1"/>
      <c r="KDM123" s="1"/>
      <c r="KDN123" s="1"/>
      <c r="KDO123" s="1"/>
      <c r="KDP123" s="1"/>
      <c r="KDQ123" s="1"/>
      <c r="KDR123" s="1"/>
      <c r="KDS123" s="1"/>
      <c r="KDT123" s="1"/>
      <c r="KDU123" s="1"/>
      <c r="KDV123" s="1"/>
      <c r="KDW123" s="1"/>
      <c r="KDX123" s="1"/>
      <c r="KDY123" s="1"/>
      <c r="KDZ123" s="1"/>
      <c r="KEA123" s="1"/>
      <c r="KEB123" s="1"/>
      <c r="KEC123" s="1"/>
      <c r="KED123" s="1"/>
      <c r="KEE123" s="1"/>
      <c r="KEF123" s="1"/>
      <c r="KEG123" s="1"/>
      <c r="KEH123" s="1"/>
      <c r="KEI123" s="1"/>
      <c r="KEJ123" s="1"/>
      <c r="KEK123" s="1"/>
      <c r="KEL123" s="1"/>
      <c r="KEM123" s="1"/>
      <c r="KEN123" s="1"/>
      <c r="KEO123" s="1"/>
      <c r="KEP123" s="1"/>
      <c r="KEQ123" s="1"/>
      <c r="KER123" s="1"/>
      <c r="KES123" s="1"/>
      <c r="KET123" s="1"/>
      <c r="KEU123" s="1"/>
      <c r="KEV123" s="1"/>
      <c r="KEW123" s="1"/>
      <c r="KEX123" s="1"/>
      <c r="KEY123" s="1"/>
      <c r="KEZ123" s="1"/>
      <c r="KFA123" s="1"/>
      <c r="KFB123" s="1"/>
      <c r="KFC123" s="1"/>
      <c r="KFD123" s="1"/>
      <c r="KFE123" s="1"/>
      <c r="KFF123" s="1"/>
      <c r="KFG123" s="1"/>
      <c r="KFH123" s="1"/>
      <c r="KFI123" s="1"/>
      <c r="KFJ123" s="1"/>
      <c r="KFK123" s="1"/>
      <c r="KFL123" s="1"/>
      <c r="KFM123" s="1"/>
      <c r="KFN123" s="1"/>
      <c r="KFO123" s="1"/>
      <c r="KFP123" s="1"/>
      <c r="KFQ123" s="1"/>
      <c r="KFR123" s="1"/>
      <c r="KFS123" s="1"/>
      <c r="KFT123" s="1"/>
      <c r="KFU123" s="1"/>
      <c r="KFV123" s="1"/>
      <c r="KFW123" s="1"/>
      <c r="KFX123" s="1"/>
      <c r="KFY123" s="1"/>
      <c r="KFZ123" s="1"/>
      <c r="KGA123" s="1"/>
      <c r="KGB123" s="1"/>
      <c r="KGC123" s="1"/>
      <c r="KGD123" s="1"/>
      <c r="KGE123" s="1"/>
      <c r="KGF123" s="1"/>
      <c r="KGG123" s="1"/>
      <c r="KGH123" s="1"/>
      <c r="KGI123" s="1"/>
      <c r="KGJ123" s="1"/>
      <c r="KGK123" s="1"/>
      <c r="KGL123" s="1"/>
      <c r="KGM123" s="1"/>
      <c r="KGN123" s="1"/>
      <c r="KGO123" s="1"/>
      <c r="KGP123" s="1"/>
      <c r="KGQ123" s="1"/>
      <c r="KGR123" s="1"/>
      <c r="KGS123" s="1"/>
      <c r="KGT123" s="1"/>
      <c r="KGU123" s="1"/>
      <c r="KGV123" s="1"/>
      <c r="KGW123" s="1"/>
      <c r="KGX123" s="1"/>
      <c r="KGY123" s="1"/>
      <c r="KGZ123" s="1"/>
      <c r="KHA123" s="1"/>
      <c r="KHB123" s="1"/>
      <c r="KHC123" s="1"/>
      <c r="KHD123" s="1"/>
      <c r="KHE123" s="1"/>
      <c r="KHF123" s="1"/>
      <c r="KHG123" s="1"/>
      <c r="KHH123" s="1"/>
      <c r="KHI123" s="1"/>
      <c r="KHJ123" s="1"/>
      <c r="KHK123" s="1"/>
      <c r="KHL123" s="1"/>
      <c r="KHM123" s="1"/>
      <c r="KHN123" s="1"/>
      <c r="KHO123" s="1"/>
      <c r="KHP123" s="1"/>
      <c r="KHQ123" s="1"/>
      <c r="KHR123" s="1"/>
      <c r="KHS123" s="1"/>
      <c r="KHT123" s="1"/>
      <c r="KHU123" s="1"/>
      <c r="KHV123" s="1"/>
      <c r="KHW123" s="1"/>
      <c r="KHX123" s="1"/>
      <c r="KHY123" s="1"/>
      <c r="KHZ123" s="1"/>
      <c r="KIA123" s="1"/>
      <c r="KIB123" s="1"/>
      <c r="KIC123" s="1"/>
      <c r="KID123" s="1"/>
      <c r="KIE123" s="1"/>
      <c r="KIF123" s="1"/>
      <c r="KIG123" s="1"/>
      <c r="KIH123" s="1"/>
      <c r="KII123" s="1"/>
      <c r="KIJ123" s="1"/>
      <c r="KIK123" s="1"/>
      <c r="KIL123" s="1"/>
      <c r="KIM123" s="1"/>
      <c r="KIN123" s="1"/>
      <c r="KIO123" s="1"/>
      <c r="KIP123" s="1"/>
      <c r="KIQ123" s="1"/>
      <c r="KIR123" s="1"/>
      <c r="KIS123" s="1"/>
      <c r="KIT123" s="1"/>
      <c r="KIU123" s="1"/>
      <c r="KIV123" s="1"/>
      <c r="KIW123" s="1"/>
      <c r="KIX123" s="1"/>
      <c r="KIY123" s="1"/>
      <c r="KIZ123" s="1"/>
      <c r="KJA123" s="1"/>
      <c r="KJB123" s="1"/>
      <c r="KJC123" s="1"/>
      <c r="KJD123" s="1"/>
      <c r="KJE123" s="1"/>
      <c r="KJF123" s="1"/>
      <c r="KJG123" s="1"/>
      <c r="KJH123" s="1"/>
      <c r="KJI123" s="1"/>
      <c r="KJJ123" s="1"/>
      <c r="KJK123" s="1"/>
      <c r="KJL123" s="1"/>
      <c r="KJM123" s="1"/>
      <c r="KJN123" s="1"/>
      <c r="KJO123" s="1"/>
      <c r="KJP123" s="1"/>
      <c r="KJQ123" s="1"/>
      <c r="KJR123" s="1"/>
      <c r="KJS123" s="1"/>
      <c r="KJT123" s="1"/>
      <c r="KJU123" s="1"/>
      <c r="KJV123" s="1"/>
      <c r="KJW123" s="1"/>
      <c r="KJX123" s="1"/>
      <c r="KJY123" s="1"/>
      <c r="KJZ123" s="1"/>
      <c r="KKA123" s="1"/>
      <c r="KKB123" s="1"/>
      <c r="KKC123" s="1"/>
      <c r="KKD123" s="1"/>
      <c r="KKE123" s="1"/>
      <c r="KKF123" s="1"/>
      <c r="KKG123" s="1"/>
      <c r="KKH123" s="1"/>
      <c r="KKI123" s="1"/>
      <c r="KKJ123" s="1"/>
      <c r="KKK123" s="1"/>
      <c r="KKL123" s="1"/>
      <c r="KKM123" s="1"/>
      <c r="KKN123" s="1"/>
      <c r="KKO123" s="1"/>
      <c r="KKP123" s="1"/>
      <c r="KKQ123" s="1"/>
      <c r="KKR123" s="1"/>
      <c r="KKS123" s="1"/>
      <c r="KKT123" s="1"/>
      <c r="KKU123" s="1"/>
      <c r="KKV123" s="1"/>
      <c r="KKW123" s="1"/>
      <c r="KKX123" s="1"/>
      <c r="KKY123" s="1"/>
      <c r="KKZ123" s="1"/>
      <c r="KLA123" s="1"/>
      <c r="KLB123" s="1"/>
      <c r="KLC123" s="1"/>
      <c r="KLD123" s="1"/>
      <c r="KLE123" s="1"/>
      <c r="KLF123" s="1"/>
      <c r="KLG123" s="1"/>
      <c r="KLH123" s="1"/>
      <c r="KLI123" s="1"/>
      <c r="KLJ123" s="1"/>
      <c r="KLK123" s="1"/>
      <c r="KLL123" s="1"/>
      <c r="KLM123" s="1"/>
      <c r="KLN123" s="1"/>
      <c r="KLO123" s="1"/>
      <c r="KLP123" s="1"/>
      <c r="KLQ123" s="1"/>
      <c r="KLR123" s="1"/>
      <c r="KLS123" s="1"/>
      <c r="KLT123" s="1"/>
      <c r="KLU123" s="1"/>
      <c r="KLV123" s="1"/>
      <c r="KLW123" s="1"/>
      <c r="KLX123" s="1"/>
      <c r="KLY123" s="1"/>
      <c r="KLZ123" s="1"/>
      <c r="KMA123" s="1"/>
      <c r="KMB123" s="1"/>
      <c r="KMC123" s="1"/>
      <c r="KMD123" s="1"/>
      <c r="KME123" s="1"/>
      <c r="KMF123" s="1"/>
      <c r="KMG123" s="1"/>
      <c r="KMH123" s="1"/>
      <c r="KMI123" s="1"/>
      <c r="KMJ123" s="1"/>
      <c r="KMK123" s="1"/>
      <c r="KML123" s="1"/>
      <c r="KMM123" s="1"/>
      <c r="KMN123" s="1"/>
      <c r="KMO123" s="1"/>
      <c r="KMP123" s="1"/>
      <c r="KMQ123" s="1"/>
      <c r="KMR123" s="1"/>
      <c r="KMS123" s="1"/>
      <c r="KMT123" s="1"/>
      <c r="KMU123" s="1"/>
      <c r="KMV123" s="1"/>
      <c r="KMW123" s="1"/>
      <c r="KMX123" s="1"/>
      <c r="KMY123" s="1"/>
      <c r="KMZ123" s="1"/>
      <c r="KNA123" s="1"/>
      <c r="KNB123" s="1"/>
      <c r="KNC123" s="1"/>
      <c r="KND123" s="1"/>
      <c r="KNE123" s="1"/>
      <c r="KNF123" s="1"/>
      <c r="KNG123" s="1"/>
      <c r="KNH123" s="1"/>
      <c r="KNI123" s="1"/>
      <c r="KNJ123" s="1"/>
      <c r="KNK123" s="1"/>
      <c r="KNL123" s="1"/>
      <c r="KNM123" s="1"/>
      <c r="KNN123" s="1"/>
      <c r="KNO123" s="1"/>
      <c r="KNP123" s="1"/>
      <c r="KNQ123" s="1"/>
      <c r="KNR123" s="1"/>
      <c r="KNS123" s="1"/>
      <c r="KNT123" s="1"/>
      <c r="KNU123" s="1"/>
      <c r="KNV123" s="1"/>
      <c r="KNW123" s="1"/>
      <c r="KNX123" s="1"/>
      <c r="KNY123" s="1"/>
      <c r="KNZ123" s="1"/>
      <c r="KOA123" s="1"/>
      <c r="KOB123" s="1"/>
      <c r="KOC123" s="1"/>
      <c r="KOD123" s="1"/>
      <c r="KOE123" s="1"/>
      <c r="KOF123" s="1"/>
      <c r="KOG123" s="1"/>
      <c r="KOH123" s="1"/>
      <c r="KOI123" s="1"/>
      <c r="KOJ123" s="1"/>
      <c r="KOK123" s="1"/>
      <c r="KOL123" s="1"/>
      <c r="KOM123" s="1"/>
      <c r="KON123" s="1"/>
      <c r="KOO123" s="1"/>
      <c r="KOP123" s="1"/>
      <c r="KOQ123" s="1"/>
      <c r="KOR123" s="1"/>
      <c r="KOS123" s="1"/>
      <c r="KOT123" s="1"/>
      <c r="KOU123" s="1"/>
      <c r="KOV123" s="1"/>
      <c r="KOW123" s="1"/>
      <c r="KOX123" s="1"/>
      <c r="KOY123" s="1"/>
      <c r="KOZ123" s="1"/>
      <c r="KPA123" s="1"/>
      <c r="KPB123" s="1"/>
      <c r="KPC123" s="1"/>
      <c r="KPD123" s="1"/>
      <c r="KPE123" s="1"/>
      <c r="KPF123" s="1"/>
      <c r="KPG123" s="1"/>
      <c r="KPH123" s="1"/>
      <c r="KPI123" s="1"/>
      <c r="KPJ123" s="1"/>
      <c r="KPK123" s="1"/>
      <c r="KPL123" s="1"/>
      <c r="KPM123" s="1"/>
      <c r="KPN123" s="1"/>
      <c r="KPO123" s="1"/>
      <c r="KPP123" s="1"/>
      <c r="KPQ123" s="1"/>
      <c r="KPR123" s="1"/>
      <c r="KPS123" s="1"/>
      <c r="KPT123" s="1"/>
      <c r="KPU123" s="1"/>
      <c r="KPV123" s="1"/>
      <c r="KPW123" s="1"/>
      <c r="KPX123" s="1"/>
      <c r="KPY123" s="1"/>
      <c r="KPZ123" s="1"/>
      <c r="KQA123" s="1"/>
      <c r="KQB123" s="1"/>
      <c r="KQC123" s="1"/>
      <c r="KQD123" s="1"/>
      <c r="KQE123" s="1"/>
      <c r="KQF123" s="1"/>
      <c r="KQG123" s="1"/>
      <c r="KQH123" s="1"/>
      <c r="KQI123" s="1"/>
      <c r="KQJ123" s="1"/>
      <c r="KQK123" s="1"/>
      <c r="KQL123" s="1"/>
      <c r="KQM123" s="1"/>
      <c r="KQN123" s="1"/>
      <c r="KQO123" s="1"/>
      <c r="KQP123" s="1"/>
      <c r="KQQ123" s="1"/>
      <c r="KQR123" s="1"/>
      <c r="KQS123" s="1"/>
      <c r="KQT123" s="1"/>
      <c r="KQU123" s="1"/>
      <c r="KQV123" s="1"/>
      <c r="KQW123" s="1"/>
      <c r="KQX123" s="1"/>
      <c r="KQY123" s="1"/>
      <c r="KQZ123" s="1"/>
      <c r="KRA123" s="1"/>
      <c r="KRB123" s="1"/>
      <c r="KRC123" s="1"/>
      <c r="KRD123" s="1"/>
      <c r="KRE123" s="1"/>
      <c r="KRF123" s="1"/>
      <c r="KRG123" s="1"/>
      <c r="KRH123" s="1"/>
      <c r="KRI123" s="1"/>
      <c r="KRJ123" s="1"/>
      <c r="KRK123" s="1"/>
      <c r="KRL123" s="1"/>
      <c r="KRM123" s="1"/>
      <c r="KRN123" s="1"/>
      <c r="KRO123" s="1"/>
      <c r="KRP123" s="1"/>
      <c r="KRQ123" s="1"/>
      <c r="KRR123" s="1"/>
      <c r="KRS123" s="1"/>
      <c r="KRT123" s="1"/>
      <c r="KRU123" s="1"/>
      <c r="KRV123" s="1"/>
      <c r="KRW123" s="1"/>
      <c r="KRX123" s="1"/>
      <c r="KRY123" s="1"/>
      <c r="KRZ123" s="1"/>
      <c r="KSA123" s="1"/>
      <c r="KSB123" s="1"/>
      <c r="KSC123" s="1"/>
      <c r="KSD123" s="1"/>
      <c r="KSE123" s="1"/>
      <c r="KSF123" s="1"/>
      <c r="KSG123" s="1"/>
      <c r="KSH123" s="1"/>
      <c r="KSI123" s="1"/>
      <c r="KSJ123" s="1"/>
      <c r="KSK123" s="1"/>
      <c r="KSL123" s="1"/>
      <c r="KSM123" s="1"/>
      <c r="KSN123" s="1"/>
      <c r="KSO123" s="1"/>
      <c r="KSP123" s="1"/>
      <c r="KSQ123" s="1"/>
      <c r="KSR123" s="1"/>
      <c r="KSS123" s="1"/>
      <c r="KST123" s="1"/>
      <c r="KSU123" s="1"/>
      <c r="KSV123" s="1"/>
      <c r="KSW123" s="1"/>
      <c r="KSX123" s="1"/>
      <c r="KSY123" s="1"/>
      <c r="KSZ123" s="1"/>
      <c r="KTA123" s="1"/>
      <c r="KTB123" s="1"/>
      <c r="KTC123" s="1"/>
      <c r="KTD123" s="1"/>
      <c r="KTE123" s="1"/>
      <c r="KTF123" s="1"/>
      <c r="KTG123" s="1"/>
      <c r="KTH123" s="1"/>
      <c r="KTI123" s="1"/>
      <c r="KTJ123" s="1"/>
      <c r="KTK123" s="1"/>
      <c r="KTL123" s="1"/>
      <c r="KTM123" s="1"/>
      <c r="KTN123" s="1"/>
      <c r="KTO123" s="1"/>
      <c r="KTP123" s="1"/>
      <c r="KTQ123" s="1"/>
      <c r="KTR123" s="1"/>
      <c r="KTS123" s="1"/>
      <c r="KTT123" s="1"/>
      <c r="KTU123" s="1"/>
      <c r="KTV123" s="1"/>
      <c r="KTW123" s="1"/>
      <c r="KTX123" s="1"/>
      <c r="KTY123" s="1"/>
      <c r="KTZ123" s="1"/>
      <c r="KUA123" s="1"/>
      <c r="KUB123" s="1"/>
      <c r="KUC123" s="1"/>
      <c r="KUD123" s="1"/>
      <c r="KUE123" s="1"/>
      <c r="KUF123" s="1"/>
      <c r="KUG123" s="1"/>
      <c r="KUH123" s="1"/>
      <c r="KUI123" s="1"/>
      <c r="KUJ123" s="1"/>
      <c r="KUK123" s="1"/>
      <c r="KUL123" s="1"/>
      <c r="KUM123" s="1"/>
      <c r="KUN123" s="1"/>
      <c r="KUO123" s="1"/>
      <c r="KUP123" s="1"/>
      <c r="KUQ123" s="1"/>
      <c r="KUR123" s="1"/>
      <c r="KUS123" s="1"/>
      <c r="KUT123" s="1"/>
      <c r="KUU123" s="1"/>
      <c r="KUV123" s="1"/>
      <c r="KUW123" s="1"/>
      <c r="KUX123" s="1"/>
      <c r="KUY123" s="1"/>
      <c r="KUZ123" s="1"/>
      <c r="KVA123" s="1"/>
      <c r="KVB123" s="1"/>
      <c r="KVC123" s="1"/>
      <c r="KVD123" s="1"/>
      <c r="KVE123" s="1"/>
      <c r="KVF123" s="1"/>
      <c r="KVG123" s="1"/>
      <c r="KVH123" s="1"/>
      <c r="KVI123" s="1"/>
      <c r="KVJ123" s="1"/>
      <c r="KVK123" s="1"/>
      <c r="KVL123" s="1"/>
      <c r="KVM123" s="1"/>
      <c r="KVN123" s="1"/>
      <c r="KVO123" s="1"/>
      <c r="KVP123" s="1"/>
      <c r="KVQ123" s="1"/>
      <c r="KVR123" s="1"/>
      <c r="KVS123" s="1"/>
      <c r="KVT123" s="1"/>
      <c r="KVU123" s="1"/>
      <c r="KVV123" s="1"/>
      <c r="KVW123" s="1"/>
      <c r="KVX123" s="1"/>
      <c r="KVY123" s="1"/>
      <c r="KVZ123" s="1"/>
      <c r="KWA123" s="1"/>
      <c r="KWB123" s="1"/>
      <c r="KWC123" s="1"/>
      <c r="KWD123" s="1"/>
      <c r="KWE123" s="1"/>
      <c r="KWF123" s="1"/>
      <c r="KWG123" s="1"/>
      <c r="KWH123" s="1"/>
      <c r="KWI123" s="1"/>
      <c r="KWJ123" s="1"/>
      <c r="KWK123" s="1"/>
      <c r="KWL123" s="1"/>
      <c r="KWM123" s="1"/>
      <c r="KWN123" s="1"/>
      <c r="KWO123" s="1"/>
      <c r="KWP123" s="1"/>
      <c r="KWQ123" s="1"/>
      <c r="KWR123" s="1"/>
      <c r="KWS123" s="1"/>
      <c r="KWT123" s="1"/>
      <c r="KWU123" s="1"/>
      <c r="KWV123" s="1"/>
      <c r="KWW123" s="1"/>
      <c r="KWX123" s="1"/>
      <c r="KWY123" s="1"/>
      <c r="KWZ123" s="1"/>
      <c r="KXA123" s="1"/>
      <c r="KXB123" s="1"/>
      <c r="KXC123" s="1"/>
      <c r="KXD123" s="1"/>
      <c r="KXE123" s="1"/>
      <c r="KXF123" s="1"/>
      <c r="KXG123" s="1"/>
      <c r="KXH123" s="1"/>
      <c r="KXI123" s="1"/>
      <c r="KXJ123" s="1"/>
      <c r="KXK123" s="1"/>
      <c r="KXL123" s="1"/>
      <c r="KXM123" s="1"/>
      <c r="KXN123" s="1"/>
      <c r="KXO123" s="1"/>
      <c r="KXP123" s="1"/>
      <c r="KXQ123" s="1"/>
      <c r="KXR123" s="1"/>
      <c r="KXS123" s="1"/>
      <c r="KXT123" s="1"/>
      <c r="KXU123" s="1"/>
      <c r="KXV123" s="1"/>
      <c r="KXW123" s="1"/>
      <c r="KXX123" s="1"/>
      <c r="KXY123" s="1"/>
      <c r="KXZ123" s="1"/>
      <c r="KYA123" s="1"/>
      <c r="KYB123" s="1"/>
      <c r="KYC123" s="1"/>
      <c r="KYD123" s="1"/>
      <c r="KYE123" s="1"/>
      <c r="KYF123" s="1"/>
      <c r="KYG123" s="1"/>
      <c r="KYH123" s="1"/>
      <c r="KYI123" s="1"/>
      <c r="KYJ123" s="1"/>
      <c r="KYK123" s="1"/>
      <c r="KYL123" s="1"/>
      <c r="KYM123" s="1"/>
      <c r="KYN123" s="1"/>
      <c r="KYO123" s="1"/>
      <c r="KYP123" s="1"/>
      <c r="KYQ123" s="1"/>
      <c r="KYR123" s="1"/>
      <c r="KYS123" s="1"/>
      <c r="KYT123" s="1"/>
      <c r="KYU123" s="1"/>
      <c r="KYV123" s="1"/>
      <c r="KYW123" s="1"/>
      <c r="KYX123" s="1"/>
      <c r="KYY123" s="1"/>
      <c r="KYZ123" s="1"/>
      <c r="KZA123" s="1"/>
      <c r="KZB123" s="1"/>
      <c r="KZC123" s="1"/>
      <c r="KZD123" s="1"/>
      <c r="KZE123" s="1"/>
      <c r="KZF123" s="1"/>
      <c r="KZG123" s="1"/>
      <c r="KZH123" s="1"/>
      <c r="KZI123" s="1"/>
      <c r="KZJ123" s="1"/>
      <c r="KZK123" s="1"/>
      <c r="KZL123" s="1"/>
      <c r="KZM123" s="1"/>
      <c r="KZN123" s="1"/>
      <c r="KZO123" s="1"/>
      <c r="KZP123" s="1"/>
      <c r="KZQ123" s="1"/>
      <c r="KZR123" s="1"/>
      <c r="KZS123" s="1"/>
      <c r="KZT123" s="1"/>
      <c r="KZU123" s="1"/>
      <c r="KZV123" s="1"/>
      <c r="KZW123" s="1"/>
      <c r="KZX123" s="1"/>
      <c r="KZY123" s="1"/>
      <c r="KZZ123" s="1"/>
      <c r="LAA123" s="1"/>
      <c r="LAB123" s="1"/>
      <c r="LAC123" s="1"/>
      <c r="LAD123" s="1"/>
      <c r="LAE123" s="1"/>
      <c r="LAF123" s="1"/>
      <c r="LAG123" s="1"/>
      <c r="LAH123" s="1"/>
      <c r="LAI123" s="1"/>
      <c r="LAJ123" s="1"/>
      <c r="LAK123" s="1"/>
      <c r="LAL123" s="1"/>
      <c r="LAM123" s="1"/>
      <c r="LAN123" s="1"/>
      <c r="LAO123" s="1"/>
      <c r="LAP123" s="1"/>
      <c r="LAQ123" s="1"/>
      <c r="LAR123" s="1"/>
      <c r="LAS123" s="1"/>
      <c r="LAT123" s="1"/>
      <c r="LAU123" s="1"/>
      <c r="LAV123" s="1"/>
      <c r="LAW123" s="1"/>
      <c r="LAX123" s="1"/>
      <c r="LAY123" s="1"/>
      <c r="LAZ123" s="1"/>
      <c r="LBA123" s="1"/>
      <c r="LBB123" s="1"/>
      <c r="LBC123" s="1"/>
      <c r="LBD123" s="1"/>
      <c r="LBE123" s="1"/>
      <c r="LBF123" s="1"/>
      <c r="LBG123" s="1"/>
      <c r="LBH123" s="1"/>
      <c r="LBI123" s="1"/>
      <c r="LBJ123" s="1"/>
      <c r="LBK123" s="1"/>
      <c r="LBL123" s="1"/>
      <c r="LBM123" s="1"/>
      <c r="LBN123" s="1"/>
      <c r="LBO123" s="1"/>
      <c r="LBP123" s="1"/>
      <c r="LBQ123" s="1"/>
      <c r="LBR123" s="1"/>
      <c r="LBS123" s="1"/>
      <c r="LBT123" s="1"/>
      <c r="LBU123" s="1"/>
      <c r="LBV123" s="1"/>
      <c r="LBW123" s="1"/>
      <c r="LBX123" s="1"/>
      <c r="LBY123" s="1"/>
      <c r="LBZ123" s="1"/>
      <c r="LCA123" s="1"/>
      <c r="LCB123" s="1"/>
      <c r="LCC123" s="1"/>
      <c r="LCD123" s="1"/>
      <c r="LCE123" s="1"/>
      <c r="LCF123" s="1"/>
      <c r="LCG123" s="1"/>
      <c r="LCH123" s="1"/>
      <c r="LCI123" s="1"/>
      <c r="LCJ123" s="1"/>
      <c r="LCK123" s="1"/>
      <c r="LCL123" s="1"/>
      <c r="LCM123" s="1"/>
      <c r="LCN123" s="1"/>
      <c r="LCO123" s="1"/>
      <c r="LCP123" s="1"/>
      <c r="LCQ123" s="1"/>
      <c r="LCR123" s="1"/>
      <c r="LCS123" s="1"/>
      <c r="LCT123" s="1"/>
      <c r="LCU123" s="1"/>
      <c r="LCV123" s="1"/>
      <c r="LCW123" s="1"/>
      <c r="LCX123" s="1"/>
      <c r="LCY123" s="1"/>
      <c r="LCZ123" s="1"/>
      <c r="LDA123" s="1"/>
      <c r="LDB123" s="1"/>
      <c r="LDC123" s="1"/>
      <c r="LDD123" s="1"/>
      <c r="LDE123" s="1"/>
      <c r="LDF123" s="1"/>
      <c r="LDG123" s="1"/>
      <c r="LDH123" s="1"/>
      <c r="LDI123" s="1"/>
      <c r="LDJ123" s="1"/>
      <c r="LDK123" s="1"/>
      <c r="LDL123" s="1"/>
      <c r="LDM123" s="1"/>
      <c r="LDN123" s="1"/>
      <c r="LDO123" s="1"/>
      <c r="LDP123" s="1"/>
      <c r="LDQ123" s="1"/>
      <c r="LDR123" s="1"/>
      <c r="LDS123" s="1"/>
      <c r="LDT123" s="1"/>
      <c r="LDU123" s="1"/>
      <c r="LDV123" s="1"/>
      <c r="LDW123" s="1"/>
      <c r="LDX123" s="1"/>
      <c r="LDY123" s="1"/>
      <c r="LDZ123" s="1"/>
      <c r="LEA123" s="1"/>
      <c r="LEB123" s="1"/>
      <c r="LEC123" s="1"/>
      <c r="LED123" s="1"/>
      <c r="LEE123" s="1"/>
      <c r="LEF123" s="1"/>
      <c r="LEG123" s="1"/>
      <c r="LEH123" s="1"/>
      <c r="LEI123" s="1"/>
      <c r="LEJ123" s="1"/>
      <c r="LEK123" s="1"/>
      <c r="LEL123" s="1"/>
      <c r="LEM123" s="1"/>
      <c r="LEN123" s="1"/>
      <c r="LEO123" s="1"/>
      <c r="LEP123" s="1"/>
      <c r="LEQ123" s="1"/>
      <c r="LER123" s="1"/>
      <c r="LES123" s="1"/>
      <c r="LET123" s="1"/>
      <c r="LEU123" s="1"/>
      <c r="LEV123" s="1"/>
      <c r="LEW123" s="1"/>
      <c r="LEX123" s="1"/>
      <c r="LEY123" s="1"/>
      <c r="LEZ123" s="1"/>
      <c r="LFA123" s="1"/>
      <c r="LFB123" s="1"/>
      <c r="LFC123" s="1"/>
      <c r="LFD123" s="1"/>
      <c r="LFE123" s="1"/>
      <c r="LFF123" s="1"/>
      <c r="LFG123" s="1"/>
      <c r="LFH123" s="1"/>
      <c r="LFI123" s="1"/>
      <c r="LFJ123" s="1"/>
      <c r="LFK123" s="1"/>
      <c r="LFL123" s="1"/>
      <c r="LFM123" s="1"/>
      <c r="LFN123" s="1"/>
      <c r="LFO123" s="1"/>
      <c r="LFP123" s="1"/>
      <c r="LFQ123" s="1"/>
      <c r="LFR123" s="1"/>
      <c r="LFS123" s="1"/>
      <c r="LFT123" s="1"/>
      <c r="LFU123" s="1"/>
      <c r="LFV123" s="1"/>
      <c r="LFW123" s="1"/>
      <c r="LFX123" s="1"/>
      <c r="LFY123" s="1"/>
      <c r="LFZ123" s="1"/>
      <c r="LGA123" s="1"/>
      <c r="LGB123" s="1"/>
      <c r="LGC123" s="1"/>
      <c r="LGD123" s="1"/>
      <c r="LGE123" s="1"/>
      <c r="LGF123" s="1"/>
      <c r="LGG123" s="1"/>
      <c r="LGH123" s="1"/>
      <c r="LGI123" s="1"/>
      <c r="LGJ123" s="1"/>
      <c r="LGK123" s="1"/>
      <c r="LGL123" s="1"/>
      <c r="LGM123" s="1"/>
      <c r="LGN123" s="1"/>
      <c r="LGO123" s="1"/>
      <c r="LGP123" s="1"/>
      <c r="LGQ123" s="1"/>
      <c r="LGR123" s="1"/>
      <c r="LGS123" s="1"/>
      <c r="LGT123" s="1"/>
      <c r="LGU123" s="1"/>
      <c r="LGV123" s="1"/>
      <c r="LGW123" s="1"/>
      <c r="LGX123" s="1"/>
      <c r="LGY123" s="1"/>
      <c r="LGZ123" s="1"/>
      <c r="LHA123" s="1"/>
      <c r="LHB123" s="1"/>
      <c r="LHC123" s="1"/>
      <c r="LHD123" s="1"/>
      <c r="LHE123" s="1"/>
      <c r="LHF123" s="1"/>
      <c r="LHG123" s="1"/>
      <c r="LHH123" s="1"/>
      <c r="LHI123" s="1"/>
      <c r="LHJ123" s="1"/>
      <c r="LHK123" s="1"/>
      <c r="LHL123" s="1"/>
      <c r="LHM123" s="1"/>
      <c r="LHN123" s="1"/>
      <c r="LHO123" s="1"/>
      <c r="LHP123" s="1"/>
      <c r="LHQ123" s="1"/>
      <c r="LHR123" s="1"/>
      <c r="LHS123" s="1"/>
      <c r="LHT123" s="1"/>
      <c r="LHU123" s="1"/>
      <c r="LHV123" s="1"/>
      <c r="LHW123" s="1"/>
      <c r="LHX123" s="1"/>
      <c r="LHY123" s="1"/>
      <c r="LHZ123" s="1"/>
      <c r="LIA123" s="1"/>
      <c r="LIB123" s="1"/>
      <c r="LIC123" s="1"/>
      <c r="LID123" s="1"/>
      <c r="LIE123" s="1"/>
      <c r="LIF123" s="1"/>
      <c r="LIG123" s="1"/>
      <c r="LIH123" s="1"/>
      <c r="LII123" s="1"/>
      <c r="LIJ123" s="1"/>
      <c r="LIK123" s="1"/>
      <c r="LIL123" s="1"/>
      <c r="LIM123" s="1"/>
      <c r="LIN123" s="1"/>
      <c r="LIO123" s="1"/>
      <c r="LIP123" s="1"/>
      <c r="LIQ123" s="1"/>
      <c r="LIR123" s="1"/>
      <c r="LIS123" s="1"/>
      <c r="LIT123" s="1"/>
      <c r="LIU123" s="1"/>
      <c r="LIV123" s="1"/>
      <c r="LIW123" s="1"/>
      <c r="LIX123" s="1"/>
      <c r="LIY123" s="1"/>
      <c r="LIZ123" s="1"/>
      <c r="LJA123" s="1"/>
      <c r="LJB123" s="1"/>
      <c r="LJC123" s="1"/>
      <c r="LJD123" s="1"/>
      <c r="LJE123" s="1"/>
      <c r="LJF123" s="1"/>
      <c r="LJG123" s="1"/>
      <c r="LJH123" s="1"/>
      <c r="LJI123" s="1"/>
      <c r="LJJ123" s="1"/>
      <c r="LJK123" s="1"/>
      <c r="LJL123" s="1"/>
      <c r="LJM123" s="1"/>
      <c r="LJN123" s="1"/>
      <c r="LJO123" s="1"/>
      <c r="LJP123" s="1"/>
      <c r="LJQ123" s="1"/>
      <c r="LJR123" s="1"/>
      <c r="LJS123" s="1"/>
      <c r="LJT123" s="1"/>
      <c r="LJU123" s="1"/>
      <c r="LJV123" s="1"/>
      <c r="LJW123" s="1"/>
      <c r="LJX123" s="1"/>
      <c r="LJY123" s="1"/>
      <c r="LJZ123" s="1"/>
      <c r="LKA123" s="1"/>
      <c r="LKB123" s="1"/>
      <c r="LKC123" s="1"/>
      <c r="LKD123" s="1"/>
      <c r="LKE123" s="1"/>
      <c r="LKF123" s="1"/>
      <c r="LKG123" s="1"/>
      <c r="LKH123" s="1"/>
      <c r="LKI123" s="1"/>
      <c r="LKJ123" s="1"/>
      <c r="LKK123" s="1"/>
      <c r="LKL123" s="1"/>
      <c r="LKM123" s="1"/>
      <c r="LKN123" s="1"/>
      <c r="LKO123" s="1"/>
      <c r="LKP123" s="1"/>
      <c r="LKQ123" s="1"/>
      <c r="LKR123" s="1"/>
      <c r="LKS123" s="1"/>
      <c r="LKT123" s="1"/>
      <c r="LKU123" s="1"/>
      <c r="LKV123" s="1"/>
      <c r="LKW123" s="1"/>
      <c r="LKX123" s="1"/>
      <c r="LKY123" s="1"/>
      <c r="LKZ123" s="1"/>
      <c r="LLA123" s="1"/>
      <c r="LLB123" s="1"/>
      <c r="LLC123" s="1"/>
      <c r="LLD123" s="1"/>
      <c r="LLE123" s="1"/>
      <c r="LLF123" s="1"/>
      <c r="LLG123" s="1"/>
      <c r="LLH123" s="1"/>
      <c r="LLI123" s="1"/>
      <c r="LLJ123" s="1"/>
      <c r="LLK123" s="1"/>
      <c r="LLL123" s="1"/>
      <c r="LLM123" s="1"/>
      <c r="LLN123" s="1"/>
      <c r="LLO123" s="1"/>
      <c r="LLP123" s="1"/>
      <c r="LLQ123" s="1"/>
      <c r="LLR123" s="1"/>
      <c r="LLS123" s="1"/>
      <c r="LLT123" s="1"/>
      <c r="LLU123" s="1"/>
      <c r="LLV123" s="1"/>
      <c r="LLW123" s="1"/>
      <c r="LLX123" s="1"/>
      <c r="LLY123" s="1"/>
      <c r="LLZ123" s="1"/>
      <c r="LMA123" s="1"/>
      <c r="LMB123" s="1"/>
      <c r="LMC123" s="1"/>
      <c r="LMD123" s="1"/>
      <c r="LME123" s="1"/>
      <c r="LMF123" s="1"/>
      <c r="LMG123" s="1"/>
      <c r="LMH123" s="1"/>
      <c r="LMI123" s="1"/>
      <c r="LMJ123" s="1"/>
      <c r="LMK123" s="1"/>
      <c r="LML123" s="1"/>
      <c r="LMM123" s="1"/>
      <c r="LMN123" s="1"/>
      <c r="LMO123" s="1"/>
      <c r="LMP123" s="1"/>
      <c r="LMQ123" s="1"/>
      <c r="LMR123" s="1"/>
      <c r="LMS123" s="1"/>
      <c r="LMT123" s="1"/>
      <c r="LMU123" s="1"/>
      <c r="LMV123" s="1"/>
      <c r="LMW123" s="1"/>
      <c r="LMX123" s="1"/>
      <c r="LMY123" s="1"/>
      <c r="LMZ123" s="1"/>
      <c r="LNA123" s="1"/>
      <c r="LNB123" s="1"/>
      <c r="LNC123" s="1"/>
      <c r="LND123" s="1"/>
      <c r="LNE123" s="1"/>
      <c r="LNF123" s="1"/>
      <c r="LNG123" s="1"/>
      <c r="LNH123" s="1"/>
      <c r="LNI123" s="1"/>
      <c r="LNJ123" s="1"/>
      <c r="LNK123" s="1"/>
      <c r="LNL123" s="1"/>
      <c r="LNM123" s="1"/>
      <c r="LNN123" s="1"/>
      <c r="LNO123" s="1"/>
      <c r="LNP123" s="1"/>
      <c r="LNQ123" s="1"/>
      <c r="LNR123" s="1"/>
      <c r="LNS123" s="1"/>
      <c r="LNT123" s="1"/>
      <c r="LNU123" s="1"/>
      <c r="LNV123" s="1"/>
      <c r="LNW123" s="1"/>
      <c r="LNX123" s="1"/>
      <c r="LNY123" s="1"/>
      <c r="LNZ123" s="1"/>
      <c r="LOA123" s="1"/>
      <c r="LOB123" s="1"/>
      <c r="LOC123" s="1"/>
      <c r="LOD123" s="1"/>
      <c r="LOE123" s="1"/>
      <c r="LOF123" s="1"/>
      <c r="LOG123" s="1"/>
      <c r="LOH123" s="1"/>
      <c r="LOI123" s="1"/>
      <c r="LOJ123" s="1"/>
      <c r="LOK123" s="1"/>
      <c r="LOL123" s="1"/>
      <c r="LOM123" s="1"/>
      <c r="LON123" s="1"/>
      <c r="LOO123" s="1"/>
      <c r="LOP123" s="1"/>
      <c r="LOQ123" s="1"/>
      <c r="LOR123" s="1"/>
      <c r="LOS123" s="1"/>
      <c r="LOT123" s="1"/>
      <c r="LOU123" s="1"/>
      <c r="LOV123" s="1"/>
      <c r="LOW123" s="1"/>
      <c r="LOX123" s="1"/>
      <c r="LOY123" s="1"/>
      <c r="LOZ123" s="1"/>
      <c r="LPA123" s="1"/>
      <c r="LPB123" s="1"/>
      <c r="LPC123" s="1"/>
      <c r="LPD123" s="1"/>
      <c r="LPE123" s="1"/>
      <c r="LPF123" s="1"/>
      <c r="LPG123" s="1"/>
      <c r="LPH123" s="1"/>
      <c r="LPI123" s="1"/>
      <c r="LPJ123" s="1"/>
      <c r="LPK123" s="1"/>
      <c r="LPL123" s="1"/>
      <c r="LPM123" s="1"/>
      <c r="LPN123" s="1"/>
      <c r="LPO123" s="1"/>
      <c r="LPP123" s="1"/>
      <c r="LPQ123" s="1"/>
      <c r="LPR123" s="1"/>
      <c r="LPS123" s="1"/>
      <c r="LPT123" s="1"/>
      <c r="LPU123" s="1"/>
      <c r="LPV123" s="1"/>
      <c r="LPW123" s="1"/>
      <c r="LPX123" s="1"/>
      <c r="LPY123" s="1"/>
      <c r="LPZ123" s="1"/>
      <c r="LQA123" s="1"/>
      <c r="LQB123" s="1"/>
      <c r="LQC123" s="1"/>
      <c r="LQD123" s="1"/>
      <c r="LQE123" s="1"/>
      <c r="LQF123" s="1"/>
      <c r="LQG123" s="1"/>
      <c r="LQH123" s="1"/>
      <c r="LQI123" s="1"/>
      <c r="LQJ123" s="1"/>
      <c r="LQK123" s="1"/>
      <c r="LQL123" s="1"/>
      <c r="LQM123" s="1"/>
      <c r="LQN123" s="1"/>
      <c r="LQO123" s="1"/>
      <c r="LQP123" s="1"/>
      <c r="LQQ123" s="1"/>
      <c r="LQR123" s="1"/>
      <c r="LQS123" s="1"/>
      <c r="LQT123" s="1"/>
      <c r="LQU123" s="1"/>
      <c r="LQV123" s="1"/>
      <c r="LQW123" s="1"/>
      <c r="LQX123" s="1"/>
      <c r="LQY123" s="1"/>
      <c r="LQZ123" s="1"/>
      <c r="LRA123" s="1"/>
      <c r="LRB123" s="1"/>
      <c r="LRC123" s="1"/>
      <c r="LRD123" s="1"/>
      <c r="LRE123" s="1"/>
      <c r="LRF123" s="1"/>
      <c r="LRG123" s="1"/>
      <c r="LRH123" s="1"/>
      <c r="LRI123" s="1"/>
      <c r="LRJ123" s="1"/>
      <c r="LRK123" s="1"/>
      <c r="LRL123" s="1"/>
      <c r="LRM123" s="1"/>
      <c r="LRN123" s="1"/>
      <c r="LRO123" s="1"/>
      <c r="LRP123" s="1"/>
      <c r="LRQ123" s="1"/>
      <c r="LRR123" s="1"/>
      <c r="LRS123" s="1"/>
      <c r="LRT123" s="1"/>
      <c r="LRU123" s="1"/>
      <c r="LRV123" s="1"/>
      <c r="LRW123" s="1"/>
      <c r="LRX123" s="1"/>
      <c r="LRY123" s="1"/>
      <c r="LRZ123" s="1"/>
      <c r="LSA123" s="1"/>
      <c r="LSB123" s="1"/>
      <c r="LSC123" s="1"/>
      <c r="LSD123" s="1"/>
      <c r="LSE123" s="1"/>
      <c r="LSF123" s="1"/>
      <c r="LSG123" s="1"/>
      <c r="LSH123" s="1"/>
      <c r="LSI123" s="1"/>
      <c r="LSJ123" s="1"/>
      <c r="LSK123" s="1"/>
      <c r="LSL123" s="1"/>
      <c r="LSM123" s="1"/>
      <c r="LSN123" s="1"/>
      <c r="LSO123" s="1"/>
      <c r="LSP123" s="1"/>
      <c r="LSQ123" s="1"/>
      <c r="LSR123" s="1"/>
      <c r="LSS123" s="1"/>
      <c r="LST123" s="1"/>
      <c r="LSU123" s="1"/>
      <c r="LSV123" s="1"/>
      <c r="LSW123" s="1"/>
      <c r="LSX123" s="1"/>
      <c r="LSY123" s="1"/>
      <c r="LSZ123" s="1"/>
      <c r="LTA123" s="1"/>
      <c r="LTB123" s="1"/>
      <c r="LTC123" s="1"/>
      <c r="LTD123" s="1"/>
      <c r="LTE123" s="1"/>
      <c r="LTF123" s="1"/>
      <c r="LTG123" s="1"/>
      <c r="LTH123" s="1"/>
      <c r="LTI123" s="1"/>
      <c r="LTJ123" s="1"/>
      <c r="LTK123" s="1"/>
      <c r="LTL123" s="1"/>
      <c r="LTM123" s="1"/>
      <c r="LTN123" s="1"/>
      <c r="LTO123" s="1"/>
      <c r="LTP123" s="1"/>
      <c r="LTQ123" s="1"/>
      <c r="LTR123" s="1"/>
      <c r="LTS123" s="1"/>
      <c r="LTT123" s="1"/>
      <c r="LTU123" s="1"/>
      <c r="LTV123" s="1"/>
      <c r="LTW123" s="1"/>
      <c r="LTX123" s="1"/>
      <c r="LTY123" s="1"/>
      <c r="LTZ123" s="1"/>
      <c r="LUA123" s="1"/>
      <c r="LUB123" s="1"/>
      <c r="LUC123" s="1"/>
      <c r="LUD123" s="1"/>
      <c r="LUE123" s="1"/>
      <c r="LUF123" s="1"/>
      <c r="LUG123" s="1"/>
      <c r="LUH123" s="1"/>
      <c r="LUI123" s="1"/>
      <c r="LUJ123" s="1"/>
      <c r="LUK123" s="1"/>
      <c r="LUL123" s="1"/>
      <c r="LUM123" s="1"/>
      <c r="LUN123" s="1"/>
      <c r="LUO123" s="1"/>
      <c r="LUP123" s="1"/>
      <c r="LUQ123" s="1"/>
      <c r="LUR123" s="1"/>
      <c r="LUS123" s="1"/>
      <c r="LUT123" s="1"/>
      <c r="LUU123" s="1"/>
      <c r="LUV123" s="1"/>
      <c r="LUW123" s="1"/>
      <c r="LUX123" s="1"/>
      <c r="LUY123" s="1"/>
      <c r="LUZ123" s="1"/>
      <c r="LVA123" s="1"/>
      <c r="LVB123" s="1"/>
      <c r="LVC123" s="1"/>
      <c r="LVD123" s="1"/>
      <c r="LVE123" s="1"/>
      <c r="LVF123" s="1"/>
      <c r="LVG123" s="1"/>
      <c r="LVH123" s="1"/>
      <c r="LVI123" s="1"/>
      <c r="LVJ123" s="1"/>
      <c r="LVK123" s="1"/>
      <c r="LVL123" s="1"/>
      <c r="LVM123" s="1"/>
      <c r="LVN123" s="1"/>
      <c r="LVO123" s="1"/>
      <c r="LVP123" s="1"/>
      <c r="LVQ123" s="1"/>
      <c r="LVR123" s="1"/>
      <c r="LVS123" s="1"/>
      <c r="LVT123" s="1"/>
      <c r="LVU123" s="1"/>
      <c r="LVV123" s="1"/>
      <c r="LVW123" s="1"/>
      <c r="LVX123" s="1"/>
      <c r="LVY123" s="1"/>
      <c r="LVZ123" s="1"/>
      <c r="LWA123" s="1"/>
      <c r="LWB123" s="1"/>
      <c r="LWC123" s="1"/>
      <c r="LWD123" s="1"/>
      <c r="LWE123" s="1"/>
      <c r="LWF123" s="1"/>
      <c r="LWG123" s="1"/>
      <c r="LWH123" s="1"/>
      <c r="LWI123" s="1"/>
      <c r="LWJ123" s="1"/>
      <c r="LWK123" s="1"/>
      <c r="LWL123" s="1"/>
      <c r="LWM123" s="1"/>
      <c r="LWN123" s="1"/>
      <c r="LWO123" s="1"/>
      <c r="LWP123" s="1"/>
      <c r="LWQ123" s="1"/>
      <c r="LWR123" s="1"/>
      <c r="LWS123" s="1"/>
      <c r="LWT123" s="1"/>
      <c r="LWU123" s="1"/>
      <c r="LWV123" s="1"/>
      <c r="LWW123" s="1"/>
      <c r="LWX123" s="1"/>
      <c r="LWY123" s="1"/>
      <c r="LWZ123" s="1"/>
      <c r="LXA123" s="1"/>
      <c r="LXB123" s="1"/>
      <c r="LXC123" s="1"/>
      <c r="LXD123" s="1"/>
      <c r="LXE123" s="1"/>
      <c r="LXF123" s="1"/>
      <c r="LXG123" s="1"/>
      <c r="LXH123" s="1"/>
      <c r="LXI123" s="1"/>
      <c r="LXJ123" s="1"/>
      <c r="LXK123" s="1"/>
      <c r="LXL123" s="1"/>
      <c r="LXM123" s="1"/>
      <c r="LXN123" s="1"/>
      <c r="LXO123" s="1"/>
      <c r="LXP123" s="1"/>
      <c r="LXQ123" s="1"/>
      <c r="LXR123" s="1"/>
      <c r="LXS123" s="1"/>
      <c r="LXT123" s="1"/>
      <c r="LXU123" s="1"/>
      <c r="LXV123" s="1"/>
      <c r="LXW123" s="1"/>
      <c r="LXX123" s="1"/>
      <c r="LXY123" s="1"/>
      <c r="LXZ123" s="1"/>
      <c r="LYA123" s="1"/>
      <c r="LYB123" s="1"/>
      <c r="LYC123" s="1"/>
      <c r="LYD123" s="1"/>
      <c r="LYE123" s="1"/>
      <c r="LYF123" s="1"/>
      <c r="LYG123" s="1"/>
      <c r="LYH123" s="1"/>
      <c r="LYI123" s="1"/>
      <c r="LYJ123" s="1"/>
      <c r="LYK123" s="1"/>
      <c r="LYL123" s="1"/>
      <c r="LYM123" s="1"/>
      <c r="LYN123" s="1"/>
      <c r="LYO123" s="1"/>
      <c r="LYP123" s="1"/>
      <c r="LYQ123" s="1"/>
      <c r="LYR123" s="1"/>
      <c r="LYS123" s="1"/>
      <c r="LYT123" s="1"/>
      <c r="LYU123" s="1"/>
      <c r="LYV123" s="1"/>
      <c r="LYW123" s="1"/>
      <c r="LYX123" s="1"/>
      <c r="LYY123" s="1"/>
      <c r="LYZ123" s="1"/>
      <c r="LZA123" s="1"/>
      <c r="LZB123" s="1"/>
      <c r="LZC123" s="1"/>
      <c r="LZD123" s="1"/>
      <c r="LZE123" s="1"/>
      <c r="LZF123" s="1"/>
      <c r="LZG123" s="1"/>
      <c r="LZH123" s="1"/>
      <c r="LZI123" s="1"/>
      <c r="LZJ123" s="1"/>
      <c r="LZK123" s="1"/>
      <c r="LZL123" s="1"/>
      <c r="LZM123" s="1"/>
      <c r="LZN123" s="1"/>
      <c r="LZO123" s="1"/>
      <c r="LZP123" s="1"/>
      <c r="LZQ123" s="1"/>
      <c r="LZR123" s="1"/>
      <c r="LZS123" s="1"/>
      <c r="LZT123" s="1"/>
      <c r="LZU123" s="1"/>
      <c r="LZV123" s="1"/>
      <c r="LZW123" s="1"/>
      <c r="LZX123" s="1"/>
      <c r="LZY123" s="1"/>
      <c r="LZZ123" s="1"/>
      <c r="MAA123" s="1"/>
      <c r="MAB123" s="1"/>
      <c r="MAC123" s="1"/>
      <c r="MAD123" s="1"/>
      <c r="MAE123" s="1"/>
      <c r="MAF123" s="1"/>
      <c r="MAG123" s="1"/>
      <c r="MAH123" s="1"/>
      <c r="MAI123" s="1"/>
      <c r="MAJ123" s="1"/>
      <c r="MAK123" s="1"/>
      <c r="MAL123" s="1"/>
      <c r="MAM123" s="1"/>
      <c r="MAN123" s="1"/>
      <c r="MAO123" s="1"/>
      <c r="MAP123" s="1"/>
      <c r="MAQ123" s="1"/>
      <c r="MAR123" s="1"/>
      <c r="MAS123" s="1"/>
      <c r="MAT123" s="1"/>
      <c r="MAU123" s="1"/>
      <c r="MAV123" s="1"/>
      <c r="MAW123" s="1"/>
      <c r="MAX123" s="1"/>
      <c r="MAY123" s="1"/>
      <c r="MAZ123" s="1"/>
      <c r="MBA123" s="1"/>
      <c r="MBB123" s="1"/>
      <c r="MBC123" s="1"/>
      <c r="MBD123" s="1"/>
      <c r="MBE123" s="1"/>
      <c r="MBF123" s="1"/>
      <c r="MBG123" s="1"/>
      <c r="MBH123" s="1"/>
      <c r="MBI123" s="1"/>
      <c r="MBJ123" s="1"/>
      <c r="MBK123" s="1"/>
      <c r="MBL123" s="1"/>
      <c r="MBM123" s="1"/>
      <c r="MBN123" s="1"/>
      <c r="MBO123" s="1"/>
      <c r="MBP123" s="1"/>
      <c r="MBQ123" s="1"/>
      <c r="MBR123" s="1"/>
      <c r="MBS123" s="1"/>
      <c r="MBT123" s="1"/>
      <c r="MBU123" s="1"/>
      <c r="MBV123" s="1"/>
      <c r="MBW123" s="1"/>
      <c r="MBX123" s="1"/>
      <c r="MBY123" s="1"/>
      <c r="MBZ123" s="1"/>
      <c r="MCA123" s="1"/>
      <c r="MCB123" s="1"/>
      <c r="MCC123" s="1"/>
      <c r="MCD123" s="1"/>
      <c r="MCE123" s="1"/>
      <c r="MCF123" s="1"/>
      <c r="MCG123" s="1"/>
      <c r="MCH123" s="1"/>
      <c r="MCI123" s="1"/>
      <c r="MCJ123" s="1"/>
      <c r="MCK123" s="1"/>
      <c r="MCL123" s="1"/>
      <c r="MCM123" s="1"/>
      <c r="MCN123" s="1"/>
      <c r="MCO123" s="1"/>
      <c r="MCP123" s="1"/>
      <c r="MCQ123" s="1"/>
      <c r="MCR123" s="1"/>
      <c r="MCS123" s="1"/>
      <c r="MCT123" s="1"/>
      <c r="MCU123" s="1"/>
      <c r="MCV123" s="1"/>
      <c r="MCW123" s="1"/>
      <c r="MCX123" s="1"/>
      <c r="MCY123" s="1"/>
      <c r="MCZ123" s="1"/>
      <c r="MDA123" s="1"/>
      <c r="MDB123" s="1"/>
      <c r="MDC123" s="1"/>
      <c r="MDD123" s="1"/>
      <c r="MDE123" s="1"/>
      <c r="MDF123" s="1"/>
      <c r="MDG123" s="1"/>
      <c r="MDH123" s="1"/>
      <c r="MDI123" s="1"/>
      <c r="MDJ123" s="1"/>
      <c r="MDK123" s="1"/>
      <c r="MDL123" s="1"/>
      <c r="MDM123" s="1"/>
      <c r="MDN123" s="1"/>
      <c r="MDO123" s="1"/>
      <c r="MDP123" s="1"/>
      <c r="MDQ123" s="1"/>
      <c r="MDR123" s="1"/>
      <c r="MDS123" s="1"/>
      <c r="MDT123" s="1"/>
      <c r="MDU123" s="1"/>
      <c r="MDV123" s="1"/>
      <c r="MDW123" s="1"/>
      <c r="MDX123" s="1"/>
      <c r="MDY123" s="1"/>
      <c r="MDZ123" s="1"/>
      <c r="MEA123" s="1"/>
      <c r="MEB123" s="1"/>
      <c r="MEC123" s="1"/>
      <c r="MED123" s="1"/>
      <c r="MEE123" s="1"/>
      <c r="MEF123" s="1"/>
      <c r="MEG123" s="1"/>
      <c r="MEH123" s="1"/>
      <c r="MEI123" s="1"/>
      <c r="MEJ123" s="1"/>
      <c r="MEK123" s="1"/>
      <c r="MEL123" s="1"/>
      <c r="MEM123" s="1"/>
      <c r="MEN123" s="1"/>
      <c r="MEO123" s="1"/>
      <c r="MEP123" s="1"/>
      <c r="MEQ123" s="1"/>
      <c r="MER123" s="1"/>
      <c r="MES123" s="1"/>
      <c r="MET123" s="1"/>
      <c r="MEU123" s="1"/>
      <c r="MEV123" s="1"/>
      <c r="MEW123" s="1"/>
      <c r="MEX123" s="1"/>
      <c r="MEY123" s="1"/>
      <c r="MEZ123" s="1"/>
      <c r="MFA123" s="1"/>
      <c r="MFB123" s="1"/>
      <c r="MFC123" s="1"/>
      <c r="MFD123" s="1"/>
      <c r="MFE123" s="1"/>
      <c r="MFF123" s="1"/>
      <c r="MFG123" s="1"/>
      <c r="MFH123" s="1"/>
      <c r="MFI123" s="1"/>
      <c r="MFJ123" s="1"/>
      <c r="MFK123" s="1"/>
      <c r="MFL123" s="1"/>
      <c r="MFM123" s="1"/>
      <c r="MFN123" s="1"/>
      <c r="MFO123" s="1"/>
      <c r="MFP123" s="1"/>
      <c r="MFQ123" s="1"/>
      <c r="MFR123" s="1"/>
      <c r="MFS123" s="1"/>
      <c r="MFT123" s="1"/>
      <c r="MFU123" s="1"/>
      <c r="MFV123" s="1"/>
      <c r="MFW123" s="1"/>
      <c r="MFX123" s="1"/>
      <c r="MFY123" s="1"/>
      <c r="MFZ123" s="1"/>
      <c r="MGA123" s="1"/>
      <c r="MGB123" s="1"/>
      <c r="MGC123" s="1"/>
      <c r="MGD123" s="1"/>
      <c r="MGE123" s="1"/>
      <c r="MGF123" s="1"/>
      <c r="MGG123" s="1"/>
      <c r="MGH123" s="1"/>
      <c r="MGI123" s="1"/>
      <c r="MGJ123" s="1"/>
      <c r="MGK123" s="1"/>
      <c r="MGL123" s="1"/>
      <c r="MGM123" s="1"/>
      <c r="MGN123" s="1"/>
      <c r="MGO123" s="1"/>
      <c r="MGP123" s="1"/>
      <c r="MGQ123" s="1"/>
      <c r="MGR123" s="1"/>
      <c r="MGS123" s="1"/>
      <c r="MGT123" s="1"/>
      <c r="MGU123" s="1"/>
      <c r="MGV123" s="1"/>
      <c r="MGW123" s="1"/>
      <c r="MGX123" s="1"/>
      <c r="MGY123" s="1"/>
      <c r="MGZ123" s="1"/>
      <c r="MHA123" s="1"/>
      <c r="MHB123" s="1"/>
      <c r="MHC123" s="1"/>
      <c r="MHD123" s="1"/>
      <c r="MHE123" s="1"/>
      <c r="MHF123" s="1"/>
      <c r="MHG123" s="1"/>
      <c r="MHH123" s="1"/>
      <c r="MHI123" s="1"/>
      <c r="MHJ123" s="1"/>
      <c r="MHK123" s="1"/>
      <c r="MHL123" s="1"/>
      <c r="MHM123" s="1"/>
      <c r="MHN123" s="1"/>
      <c r="MHO123" s="1"/>
      <c r="MHP123" s="1"/>
      <c r="MHQ123" s="1"/>
      <c r="MHR123" s="1"/>
      <c r="MHS123" s="1"/>
      <c r="MHT123" s="1"/>
      <c r="MHU123" s="1"/>
      <c r="MHV123" s="1"/>
      <c r="MHW123" s="1"/>
      <c r="MHX123" s="1"/>
      <c r="MHY123" s="1"/>
      <c r="MHZ123" s="1"/>
      <c r="MIA123" s="1"/>
      <c r="MIB123" s="1"/>
      <c r="MIC123" s="1"/>
      <c r="MID123" s="1"/>
      <c r="MIE123" s="1"/>
      <c r="MIF123" s="1"/>
      <c r="MIG123" s="1"/>
      <c r="MIH123" s="1"/>
      <c r="MII123" s="1"/>
      <c r="MIJ123" s="1"/>
      <c r="MIK123" s="1"/>
      <c r="MIL123" s="1"/>
      <c r="MIM123" s="1"/>
      <c r="MIN123" s="1"/>
      <c r="MIO123" s="1"/>
      <c r="MIP123" s="1"/>
      <c r="MIQ123" s="1"/>
      <c r="MIR123" s="1"/>
      <c r="MIS123" s="1"/>
      <c r="MIT123" s="1"/>
      <c r="MIU123" s="1"/>
      <c r="MIV123" s="1"/>
      <c r="MIW123" s="1"/>
      <c r="MIX123" s="1"/>
      <c r="MIY123" s="1"/>
      <c r="MIZ123" s="1"/>
      <c r="MJA123" s="1"/>
      <c r="MJB123" s="1"/>
      <c r="MJC123" s="1"/>
      <c r="MJD123" s="1"/>
      <c r="MJE123" s="1"/>
      <c r="MJF123" s="1"/>
      <c r="MJG123" s="1"/>
      <c r="MJH123" s="1"/>
      <c r="MJI123" s="1"/>
      <c r="MJJ123" s="1"/>
      <c r="MJK123" s="1"/>
      <c r="MJL123" s="1"/>
      <c r="MJM123" s="1"/>
      <c r="MJN123" s="1"/>
      <c r="MJO123" s="1"/>
      <c r="MJP123" s="1"/>
      <c r="MJQ123" s="1"/>
      <c r="MJR123" s="1"/>
      <c r="MJS123" s="1"/>
      <c r="MJT123" s="1"/>
      <c r="MJU123" s="1"/>
      <c r="MJV123" s="1"/>
      <c r="MJW123" s="1"/>
      <c r="MJX123" s="1"/>
      <c r="MJY123" s="1"/>
      <c r="MJZ123" s="1"/>
      <c r="MKA123" s="1"/>
      <c r="MKB123" s="1"/>
      <c r="MKC123" s="1"/>
      <c r="MKD123" s="1"/>
      <c r="MKE123" s="1"/>
      <c r="MKF123" s="1"/>
      <c r="MKG123" s="1"/>
      <c r="MKH123" s="1"/>
      <c r="MKI123" s="1"/>
      <c r="MKJ123" s="1"/>
      <c r="MKK123" s="1"/>
      <c r="MKL123" s="1"/>
      <c r="MKM123" s="1"/>
      <c r="MKN123" s="1"/>
      <c r="MKO123" s="1"/>
      <c r="MKP123" s="1"/>
      <c r="MKQ123" s="1"/>
      <c r="MKR123" s="1"/>
      <c r="MKS123" s="1"/>
      <c r="MKT123" s="1"/>
      <c r="MKU123" s="1"/>
      <c r="MKV123" s="1"/>
      <c r="MKW123" s="1"/>
      <c r="MKX123" s="1"/>
      <c r="MKY123" s="1"/>
      <c r="MKZ123" s="1"/>
      <c r="MLA123" s="1"/>
      <c r="MLB123" s="1"/>
      <c r="MLC123" s="1"/>
      <c r="MLD123" s="1"/>
      <c r="MLE123" s="1"/>
      <c r="MLF123" s="1"/>
      <c r="MLG123" s="1"/>
      <c r="MLH123" s="1"/>
      <c r="MLI123" s="1"/>
      <c r="MLJ123" s="1"/>
      <c r="MLK123" s="1"/>
      <c r="MLL123" s="1"/>
      <c r="MLM123" s="1"/>
      <c r="MLN123" s="1"/>
      <c r="MLO123" s="1"/>
      <c r="MLP123" s="1"/>
      <c r="MLQ123" s="1"/>
      <c r="MLR123" s="1"/>
      <c r="MLS123" s="1"/>
      <c r="MLT123" s="1"/>
      <c r="MLU123" s="1"/>
      <c r="MLV123" s="1"/>
      <c r="MLW123" s="1"/>
      <c r="MLX123" s="1"/>
      <c r="MLY123" s="1"/>
      <c r="MLZ123" s="1"/>
      <c r="MMA123" s="1"/>
      <c r="MMB123" s="1"/>
      <c r="MMC123" s="1"/>
      <c r="MMD123" s="1"/>
      <c r="MME123" s="1"/>
      <c r="MMF123" s="1"/>
      <c r="MMG123" s="1"/>
      <c r="MMH123" s="1"/>
      <c r="MMI123" s="1"/>
      <c r="MMJ123" s="1"/>
      <c r="MMK123" s="1"/>
      <c r="MML123" s="1"/>
      <c r="MMM123" s="1"/>
      <c r="MMN123" s="1"/>
      <c r="MMO123" s="1"/>
      <c r="MMP123" s="1"/>
      <c r="MMQ123" s="1"/>
      <c r="MMR123" s="1"/>
      <c r="MMS123" s="1"/>
      <c r="MMT123" s="1"/>
      <c r="MMU123" s="1"/>
      <c r="MMV123" s="1"/>
      <c r="MMW123" s="1"/>
      <c r="MMX123" s="1"/>
      <c r="MMY123" s="1"/>
      <c r="MMZ123" s="1"/>
      <c r="MNA123" s="1"/>
      <c r="MNB123" s="1"/>
      <c r="MNC123" s="1"/>
      <c r="MND123" s="1"/>
      <c r="MNE123" s="1"/>
      <c r="MNF123" s="1"/>
      <c r="MNG123" s="1"/>
      <c r="MNH123" s="1"/>
      <c r="MNI123" s="1"/>
      <c r="MNJ123" s="1"/>
      <c r="MNK123" s="1"/>
      <c r="MNL123" s="1"/>
      <c r="MNM123" s="1"/>
      <c r="MNN123" s="1"/>
      <c r="MNO123" s="1"/>
      <c r="MNP123" s="1"/>
      <c r="MNQ123" s="1"/>
      <c r="MNR123" s="1"/>
      <c r="MNS123" s="1"/>
      <c r="MNT123" s="1"/>
      <c r="MNU123" s="1"/>
      <c r="MNV123" s="1"/>
      <c r="MNW123" s="1"/>
      <c r="MNX123" s="1"/>
      <c r="MNY123" s="1"/>
      <c r="MNZ123" s="1"/>
      <c r="MOA123" s="1"/>
      <c r="MOB123" s="1"/>
      <c r="MOC123" s="1"/>
      <c r="MOD123" s="1"/>
      <c r="MOE123" s="1"/>
      <c r="MOF123" s="1"/>
      <c r="MOG123" s="1"/>
      <c r="MOH123" s="1"/>
      <c r="MOI123" s="1"/>
      <c r="MOJ123" s="1"/>
      <c r="MOK123" s="1"/>
      <c r="MOL123" s="1"/>
      <c r="MOM123" s="1"/>
      <c r="MON123" s="1"/>
      <c r="MOO123" s="1"/>
      <c r="MOP123" s="1"/>
      <c r="MOQ123" s="1"/>
      <c r="MOR123" s="1"/>
      <c r="MOS123" s="1"/>
      <c r="MOT123" s="1"/>
      <c r="MOU123" s="1"/>
      <c r="MOV123" s="1"/>
      <c r="MOW123" s="1"/>
      <c r="MOX123" s="1"/>
      <c r="MOY123" s="1"/>
      <c r="MOZ123" s="1"/>
      <c r="MPA123" s="1"/>
      <c r="MPB123" s="1"/>
      <c r="MPC123" s="1"/>
      <c r="MPD123" s="1"/>
      <c r="MPE123" s="1"/>
      <c r="MPF123" s="1"/>
      <c r="MPG123" s="1"/>
      <c r="MPH123" s="1"/>
      <c r="MPI123" s="1"/>
      <c r="MPJ123" s="1"/>
      <c r="MPK123" s="1"/>
      <c r="MPL123" s="1"/>
      <c r="MPM123" s="1"/>
      <c r="MPN123" s="1"/>
      <c r="MPO123" s="1"/>
      <c r="MPP123" s="1"/>
      <c r="MPQ123" s="1"/>
      <c r="MPR123" s="1"/>
      <c r="MPS123" s="1"/>
      <c r="MPT123" s="1"/>
      <c r="MPU123" s="1"/>
      <c r="MPV123" s="1"/>
      <c r="MPW123" s="1"/>
      <c r="MPX123" s="1"/>
      <c r="MPY123" s="1"/>
      <c r="MPZ123" s="1"/>
      <c r="MQA123" s="1"/>
      <c r="MQB123" s="1"/>
      <c r="MQC123" s="1"/>
      <c r="MQD123" s="1"/>
      <c r="MQE123" s="1"/>
      <c r="MQF123" s="1"/>
      <c r="MQG123" s="1"/>
      <c r="MQH123" s="1"/>
      <c r="MQI123" s="1"/>
      <c r="MQJ123" s="1"/>
      <c r="MQK123" s="1"/>
      <c r="MQL123" s="1"/>
      <c r="MQM123" s="1"/>
      <c r="MQN123" s="1"/>
      <c r="MQO123" s="1"/>
      <c r="MQP123" s="1"/>
      <c r="MQQ123" s="1"/>
      <c r="MQR123" s="1"/>
      <c r="MQS123" s="1"/>
      <c r="MQT123" s="1"/>
      <c r="MQU123" s="1"/>
      <c r="MQV123" s="1"/>
      <c r="MQW123" s="1"/>
      <c r="MQX123" s="1"/>
      <c r="MQY123" s="1"/>
      <c r="MQZ123" s="1"/>
      <c r="MRA123" s="1"/>
      <c r="MRB123" s="1"/>
      <c r="MRC123" s="1"/>
      <c r="MRD123" s="1"/>
      <c r="MRE123" s="1"/>
      <c r="MRF123" s="1"/>
      <c r="MRG123" s="1"/>
      <c r="MRH123" s="1"/>
      <c r="MRI123" s="1"/>
      <c r="MRJ123" s="1"/>
      <c r="MRK123" s="1"/>
      <c r="MRL123" s="1"/>
      <c r="MRM123" s="1"/>
      <c r="MRN123" s="1"/>
      <c r="MRO123" s="1"/>
      <c r="MRP123" s="1"/>
      <c r="MRQ123" s="1"/>
      <c r="MRR123" s="1"/>
      <c r="MRS123" s="1"/>
      <c r="MRT123" s="1"/>
      <c r="MRU123" s="1"/>
      <c r="MRV123" s="1"/>
      <c r="MRW123" s="1"/>
      <c r="MRX123" s="1"/>
      <c r="MRY123" s="1"/>
      <c r="MRZ123" s="1"/>
      <c r="MSA123" s="1"/>
      <c r="MSB123" s="1"/>
      <c r="MSC123" s="1"/>
      <c r="MSD123" s="1"/>
      <c r="MSE123" s="1"/>
      <c r="MSF123" s="1"/>
      <c r="MSG123" s="1"/>
      <c r="MSH123" s="1"/>
      <c r="MSI123" s="1"/>
      <c r="MSJ123" s="1"/>
      <c r="MSK123" s="1"/>
      <c r="MSL123" s="1"/>
      <c r="MSM123" s="1"/>
      <c r="MSN123" s="1"/>
      <c r="MSO123" s="1"/>
      <c r="MSP123" s="1"/>
      <c r="MSQ123" s="1"/>
      <c r="MSR123" s="1"/>
      <c r="MSS123" s="1"/>
      <c r="MST123" s="1"/>
      <c r="MSU123" s="1"/>
      <c r="MSV123" s="1"/>
      <c r="MSW123" s="1"/>
      <c r="MSX123" s="1"/>
      <c r="MSY123" s="1"/>
      <c r="MSZ123" s="1"/>
      <c r="MTA123" s="1"/>
      <c r="MTB123" s="1"/>
      <c r="MTC123" s="1"/>
      <c r="MTD123" s="1"/>
      <c r="MTE123" s="1"/>
      <c r="MTF123" s="1"/>
      <c r="MTG123" s="1"/>
      <c r="MTH123" s="1"/>
      <c r="MTI123" s="1"/>
      <c r="MTJ123" s="1"/>
      <c r="MTK123" s="1"/>
      <c r="MTL123" s="1"/>
      <c r="MTM123" s="1"/>
      <c r="MTN123" s="1"/>
      <c r="MTO123" s="1"/>
      <c r="MTP123" s="1"/>
      <c r="MTQ123" s="1"/>
      <c r="MTR123" s="1"/>
      <c r="MTS123" s="1"/>
      <c r="MTT123" s="1"/>
      <c r="MTU123" s="1"/>
      <c r="MTV123" s="1"/>
      <c r="MTW123" s="1"/>
      <c r="MTX123" s="1"/>
      <c r="MTY123" s="1"/>
      <c r="MTZ123" s="1"/>
      <c r="MUA123" s="1"/>
      <c r="MUB123" s="1"/>
      <c r="MUC123" s="1"/>
      <c r="MUD123" s="1"/>
      <c r="MUE123" s="1"/>
      <c r="MUF123" s="1"/>
      <c r="MUG123" s="1"/>
      <c r="MUH123" s="1"/>
      <c r="MUI123" s="1"/>
      <c r="MUJ123" s="1"/>
      <c r="MUK123" s="1"/>
      <c r="MUL123" s="1"/>
      <c r="MUM123" s="1"/>
      <c r="MUN123" s="1"/>
      <c r="MUO123" s="1"/>
      <c r="MUP123" s="1"/>
      <c r="MUQ123" s="1"/>
      <c r="MUR123" s="1"/>
      <c r="MUS123" s="1"/>
      <c r="MUT123" s="1"/>
      <c r="MUU123" s="1"/>
      <c r="MUV123" s="1"/>
      <c r="MUW123" s="1"/>
      <c r="MUX123" s="1"/>
      <c r="MUY123" s="1"/>
      <c r="MUZ123" s="1"/>
      <c r="MVA123" s="1"/>
      <c r="MVB123" s="1"/>
      <c r="MVC123" s="1"/>
      <c r="MVD123" s="1"/>
      <c r="MVE123" s="1"/>
      <c r="MVF123" s="1"/>
      <c r="MVG123" s="1"/>
      <c r="MVH123" s="1"/>
      <c r="MVI123" s="1"/>
      <c r="MVJ123" s="1"/>
      <c r="MVK123" s="1"/>
      <c r="MVL123" s="1"/>
      <c r="MVM123" s="1"/>
      <c r="MVN123" s="1"/>
      <c r="MVO123" s="1"/>
      <c r="MVP123" s="1"/>
      <c r="MVQ123" s="1"/>
      <c r="MVR123" s="1"/>
      <c r="MVS123" s="1"/>
      <c r="MVT123" s="1"/>
      <c r="MVU123" s="1"/>
      <c r="MVV123" s="1"/>
      <c r="MVW123" s="1"/>
      <c r="MVX123" s="1"/>
      <c r="MVY123" s="1"/>
      <c r="MVZ123" s="1"/>
      <c r="MWA123" s="1"/>
      <c r="MWB123" s="1"/>
      <c r="MWC123" s="1"/>
      <c r="MWD123" s="1"/>
      <c r="MWE123" s="1"/>
      <c r="MWF123" s="1"/>
      <c r="MWG123" s="1"/>
      <c r="MWH123" s="1"/>
      <c r="MWI123" s="1"/>
      <c r="MWJ123" s="1"/>
      <c r="MWK123" s="1"/>
      <c r="MWL123" s="1"/>
      <c r="MWM123" s="1"/>
      <c r="MWN123" s="1"/>
      <c r="MWO123" s="1"/>
      <c r="MWP123" s="1"/>
      <c r="MWQ123" s="1"/>
      <c r="MWR123" s="1"/>
      <c r="MWS123" s="1"/>
      <c r="MWT123" s="1"/>
      <c r="MWU123" s="1"/>
      <c r="MWV123" s="1"/>
      <c r="MWW123" s="1"/>
      <c r="MWX123" s="1"/>
      <c r="MWY123" s="1"/>
      <c r="MWZ123" s="1"/>
      <c r="MXA123" s="1"/>
      <c r="MXB123" s="1"/>
      <c r="MXC123" s="1"/>
      <c r="MXD123" s="1"/>
      <c r="MXE123" s="1"/>
      <c r="MXF123" s="1"/>
      <c r="MXG123" s="1"/>
      <c r="MXH123" s="1"/>
      <c r="MXI123" s="1"/>
      <c r="MXJ123" s="1"/>
      <c r="MXK123" s="1"/>
      <c r="MXL123" s="1"/>
      <c r="MXM123" s="1"/>
      <c r="MXN123" s="1"/>
      <c r="MXO123" s="1"/>
      <c r="MXP123" s="1"/>
      <c r="MXQ123" s="1"/>
      <c r="MXR123" s="1"/>
      <c r="MXS123" s="1"/>
      <c r="MXT123" s="1"/>
      <c r="MXU123" s="1"/>
      <c r="MXV123" s="1"/>
      <c r="MXW123" s="1"/>
      <c r="MXX123" s="1"/>
      <c r="MXY123" s="1"/>
      <c r="MXZ123" s="1"/>
      <c r="MYA123" s="1"/>
      <c r="MYB123" s="1"/>
      <c r="MYC123" s="1"/>
      <c r="MYD123" s="1"/>
      <c r="MYE123" s="1"/>
      <c r="MYF123" s="1"/>
      <c r="MYG123" s="1"/>
      <c r="MYH123" s="1"/>
      <c r="MYI123" s="1"/>
      <c r="MYJ123" s="1"/>
      <c r="MYK123" s="1"/>
      <c r="MYL123" s="1"/>
      <c r="MYM123" s="1"/>
      <c r="MYN123" s="1"/>
      <c r="MYO123" s="1"/>
      <c r="MYP123" s="1"/>
      <c r="MYQ123" s="1"/>
      <c r="MYR123" s="1"/>
      <c r="MYS123" s="1"/>
      <c r="MYT123" s="1"/>
      <c r="MYU123" s="1"/>
      <c r="MYV123" s="1"/>
      <c r="MYW123" s="1"/>
      <c r="MYX123" s="1"/>
      <c r="MYY123" s="1"/>
      <c r="MYZ123" s="1"/>
      <c r="MZA123" s="1"/>
      <c r="MZB123" s="1"/>
      <c r="MZC123" s="1"/>
      <c r="MZD123" s="1"/>
      <c r="MZE123" s="1"/>
      <c r="MZF123" s="1"/>
      <c r="MZG123" s="1"/>
      <c r="MZH123" s="1"/>
      <c r="MZI123" s="1"/>
      <c r="MZJ123" s="1"/>
      <c r="MZK123" s="1"/>
      <c r="MZL123" s="1"/>
      <c r="MZM123" s="1"/>
      <c r="MZN123" s="1"/>
      <c r="MZO123" s="1"/>
      <c r="MZP123" s="1"/>
      <c r="MZQ123" s="1"/>
      <c r="MZR123" s="1"/>
      <c r="MZS123" s="1"/>
      <c r="MZT123" s="1"/>
      <c r="MZU123" s="1"/>
      <c r="MZV123" s="1"/>
      <c r="MZW123" s="1"/>
      <c r="MZX123" s="1"/>
      <c r="MZY123" s="1"/>
      <c r="MZZ123" s="1"/>
      <c r="NAA123" s="1"/>
      <c r="NAB123" s="1"/>
      <c r="NAC123" s="1"/>
      <c r="NAD123" s="1"/>
      <c r="NAE123" s="1"/>
      <c r="NAF123" s="1"/>
      <c r="NAG123" s="1"/>
      <c r="NAH123" s="1"/>
      <c r="NAI123" s="1"/>
      <c r="NAJ123" s="1"/>
      <c r="NAK123" s="1"/>
      <c r="NAL123" s="1"/>
      <c r="NAM123" s="1"/>
      <c r="NAN123" s="1"/>
      <c r="NAO123" s="1"/>
      <c r="NAP123" s="1"/>
      <c r="NAQ123" s="1"/>
      <c r="NAR123" s="1"/>
      <c r="NAS123" s="1"/>
      <c r="NAT123" s="1"/>
      <c r="NAU123" s="1"/>
      <c r="NAV123" s="1"/>
      <c r="NAW123" s="1"/>
      <c r="NAX123" s="1"/>
      <c r="NAY123" s="1"/>
      <c r="NAZ123" s="1"/>
      <c r="NBA123" s="1"/>
      <c r="NBB123" s="1"/>
      <c r="NBC123" s="1"/>
      <c r="NBD123" s="1"/>
      <c r="NBE123" s="1"/>
      <c r="NBF123" s="1"/>
      <c r="NBG123" s="1"/>
      <c r="NBH123" s="1"/>
      <c r="NBI123" s="1"/>
      <c r="NBJ123" s="1"/>
      <c r="NBK123" s="1"/>
      <c r="NBL123" s="1"/>
      <c r="NBM123" s="1"/>
      <c r="NBN123" s="1"/>
      <c r="NBO123" s="1"/>
      <c r="NBP123" s="1"/>
      <c r="NBQ123" s="1"/>
      <c r="NBR123" s="1"/>
      <c r="NBS123" s="1"/>
      <c r="NBT123" s="1"/>
      <c r="NBU123" s="1"/>
      <c r="NBV123" s="1"/>
      <c r="NBW123" s="1"/>
      <c r="NBX123" s="1"/>
      <c r="NBY123" s="1"/>
      <c r="NBZ123" s="1"/>
      <c r="NCA123" s="1"/>
      <c r="NCB123" s="1"/>
      <c r="NCC123" s="1"/>
      <c r="NCD123" s="1"/>
      <c r="NCE123" s="1"/>
      <c r="NCF123" s="1"/>
      <c r="NCG123" s="1"/>
      <c r="NCH123" s="1"/>
      <c r="NCI123" s="1"/>
      <c r="NCJ123" s="1"/>
      <c r="NCK123" s="1"/>
      <c r="NCL123" s="1"/>
      <c r="NCM123" s="1"/>
      <c r="NCN123" s="1"/>
      <c r="NCO123" s="1"/>
      <c r="NCP123" s="1"/>
      <c r="NCQ123" s="1"/>
      <c r="NCR123" s="1"/>
      <c r="NCS123" s="1"/>
      <c r="NCT123" s="1"/>
      <c r="NCU123" s="1"/>
      <c r="NCV123" s="1"/>
      <c r="NCW123" s="1"/>
      <c r="NCX123" s="1"/>
      <c r="NCY123" s="1"/>
      <c r="NCZ123" s="1"/>
      <c r="NDA123" s="1"/>
      <c r="NDB123" s="1"/>
      <c r="NDC123" s="1"/>
      <c r="NDD123" s="1"/>
      <c r="NDE123" s="1"/>
      <c r="NDF123" s="1"/>
      <c r="NDG123" s="1"/>
      <c r="NDH123" s="1"/>
      <c r="NDI123" s="1"/>
      <c r="NDJ123" s="1"/>
      <c r="NDK123" s="1"/>
      <c r="NDL123" s="1"/>
      <c r="NDM123" s="1"/>
      <c r="NDN123" s="1"/>
      <c r="NDO123" s="1"/>
      <c r="NDP123" s="1"/>
      <c r="NDQ123" s="1"/>
      <c r="NDR123" s="1"/>
      <c r="NDS123" s="1"/>
      <c r="NDT123" s="1"/>
      <c r="NDU123" s="1"/>
      <c r="NDV123" s="1"/>
      <c r="NDW123" s="1"/>
      <c r="NDX123" s="1"/>
      <c r="NDY123" s="1"/>
      <c r="NDZ123" s="1"/>
      <c r="NEA123" s="1"/>
      <c r="NEB123" s="1"/>
      <c r="NEC123" s="1"/>
      <c r="NED123" s="1"/>
      <c r="NEE123" s="1"/>
      <c r="NEF123" s="1"/>
      <c r="NEG123" s="1"/>
      <c r="NEH123" s="1"/>
      <c r="NEI123" s="1"/>
      <c r="NEJ123" s="1"/>
      <c r="NEK123" s="1"/>
      <c r="NEL123" s="1"/>
      <c r="NEM123" s="1"/>
      <c r="NEN123" s="1"/>
      <c r="NEO123" s="1"/>
      <c r="NEP123" s="1"/>
      <c r="NEQ123" s="1"/>
      <c r="NER123" s="1"/>
      <c r="NES123" s="1"/>
      <c r="NET123" s="1"/>
      <c r="NEU123" s="1"/>
      <c r="NEV123" s="1"/>
      <c r="NEW123" s="1"/>
      <c r="NEX123" s="1"/>
      <c r="NEY123" s="1"/>
      <c r="NEZ123" s="1"/>
      <c r="NFA123" s="1"/>
      <c r="NFB123" s="1"/>
      <c r="NFC123" s="1"/>
      <c r="NFD123" s="1"/>
      <c r="NFE123" s="1"/>
      <c r="NFF123" s="1"/>
      <c r="NFG123" s="1"/>
      <c r="NFH123" s="1"/>
      <c r="NFI123" s="1"/>
      <c r="NFJ123" s="1"/>
      <c r="NFK123" s="1"/>
      <c r="NFL123" s="1"/>
      <c r="NFM123" s="1"/>
      <c r="NFN123" s="1"/>
      <c r="NFO123" s="1"/>
      <c r="NFP123" s="1"/>
      <c r="NFQ123" s="1"/>
      <c r="NFR123" s="1"/>
      <c r="NFS123" s="1"/>
      <c r="NFT123" s="1"/>
      <c r="NFU123" s="1"/>
      <c r="NFV123" s="1"/>
      <c r="NFW123" s="1"/>
      <c r="NFX123" s="1"/>
      <c r="NFY123" s="1"/>
      <c r="NFZ123" s="1"/>
      <c r="NGA123" s="1"/>
      <c r="NGB123" s="1"/>
      <c r="NGC123" s="1"/>
      <c r="NGD123" s="1"/>
      <c r="NGE123" s="1"/>
      <c r="NGF123" s="1"/>
      <c r="NGG123" s="1"/>
      <c r="NGH123" s="1"/>
      <c r="NGI123" s="1"/>
      <c r="NGJ123" s="1"/>
      <c r="NGK123" s="1"/>
      <c r="NGL123" s="1"/>
      <c r="NGM123" s="1"/>
      <c r="NGN123" s="1"/>
      <c r="NGO123" s="1"/>
      <c r="NGP123" s="1"/>
      <c r="NGQ123" s="1"/>
      <c r="NGR123" s="1"/>
      <c r="NGS123" s="1"/>
      <c r="NGT123" s="1"/>
      <c r="NGU123" s="1"/>
      <c r="NGV123" s="1"/>
      <c r="NGW123" s="1"/>
      <c r="NGX123" s="1"/>
      <c r="NGY123" s="1"/>
      <c r="NGZ123" s="1"/>
      <c r="NHA123" s="1"/>
      <c r="NHB123" s="1"/>
      <c r="NHC123" s="1"/>
      <c r="NHD123" s="1"/>
      <c r="NHE123" s="1"/>
      <c r="NHF123" s="1"/>
      <c r="NHG123" s="1"/>
      <c r="NHH123" s="1"/>
      <c r="NHI123" s="1"/>
      <c r="NHJ123" s="1"/>
      <c r="NHK123" s="1"/>
      <c r="NHL123" s="1"/>
      <c r="NHM123" s="1"/>
      <c r="NHN123" s="1"/>
      <c r="NHO123" s="1"/>
      <c r="NHP123" s="1"/>
      <c r="NHQ123" s="1"/>
      <c r="NHR123" s="1"/>
      <c r="NHS123" s="1"/>
      <c r="NHT123" s="1"/>
      <c r="NHU123" s="1"/>
      <c r="NHV123" s="1"/>
      <c r="NHW123" s="1"/>
      <c r="NHX123" s="1"/>
      <c r="NHY123" s="1"/>
      <c r="NHZ123" s="1"/>
      <c r="NIA123" s="1"/>
      <c r="NIB123" s="1"/>
      <c r="NIC123" s="1"/>
      <c r="NID123" s="1"/>
      <c r="NIE123" s="1"/>
      <c r="NIF123" s="1"/>
      <c r="NIG123" s="1"/>
      <c r="NIH123" s="1"/>
      <c r="NII123" s="1"/>
      <c r="NIJ123" s="1"/>
      <c r="NIK123" s="1"/>
      <c r="NIL123" s="1"/>
      <c r="NIM123" s="1"/>
      <c r="NIN123" s="1"/>
      <c r="NIO123" s="1"/>
      <c r="NIP123" s="1"/>
      <c r="NIQ123" s="1"/>
      <c r="NIR123" s="1"/>
      <c r="NIS123" s="1"/>
      <c r="NIT123" s="1"/>
      <c r="NIU123" s="1"/>
      <c r="NIV123" s="1"/>
      <c r="NIW123" s="1"/>
      <c r="NIX123" s="1"/>
      <c r="NIY123" s="1"/>
      <c r="NIZ123" s="1"/>
      <c r="NJA123" s="1"/>
      <c r="NJB123" s="1"/>
      <c r="NJC123" s="1"/>
      <c r="NJD123" s="1"/>
      <c r="NJE123" s="1"/>
      <c r="NJF123" s="1"/>
      <c r="NJG123" s="1"/>
      <c r="NJH123" s="1"/>
      <c r="NJI123" s="1"/>
      <c r="NJJ123" s="1"/>
      <c r="NJK123" s="1"/>
      <c r="NJL123" s="1"/>
      <c r="NJM123" s="1"/>
      <c r="NJN123" s="1"/>
      <c r="NJO123" s="1"/>
      <c r="NJP123" s="1"/>
      <c r="NJQ123" s="1"/>
      <c r="NJR123" s="1"/>
      <c r="NJS123" s="1"/>
      <c r="NJT123" s="1"/>
      <c r="NJU123" s="1"/>
      <c r="NJV123" s="1"/>
      <c r="NJW123" s="1"/>
      <c r="NJX123" s="1"/>
      <c r="NJY123" s="1"/>
      <c r="NJZ123" s="1"/>
      <c r="NKA123" s="1"/>
      <c r="NKB123" s="1"/>
      <c r="NKC123" s="1"/>
      <c r="NKD123" s="1"/>
      <c r="NKE123" s="1"/>
      <c r="NKF123" s="1"/>
      <c r="NKG123" s="1"/>
      <c r="NKH123" s="1"/>
      <c r="NKI123" s="1"/>
      <c r="NKJ123" s="1"/>
      <c r="NKK123" s="1"/>
      <c r="NKL123" s="1"/>
      <c r="NKM123" s="1"/>
      <c r="NKN123" s="1"/>
      <c r="NKO123" s="1"/>
      <c r="NKP123" s="1"/>
      <c r="NKQ123" s="1"/>
      <c r="NKR123" s="1"/>
      <c r="NKS123" s="1"/>
      <c r="NKT123" s="1"/>
      <c r="NKU123" s="1"/>
      <c r="NKV123" s="1"/>
      <c r="NKW123" s="1"/>
      <c r="NKX123" s="1"/>
      <c r="NKY123" s="1"/>
      <c r="NKZ123" s="1"/>
      <c r="NLA123" s="1"/>
      <c r="NLB123" s="1"/>
      <c r="NLC123" s="1"/>
      <c r="NLD123" s="1"/>
      <c r="NLE123" s="1"/>
      <c r="NLF123" s="1"/>
      <c r="NLG123" s="1"/>
      <c r="NLH123" s="1"/>
      <c r="NLI123" s="1"/>
      <c r="NLJ123" s="1"/>
      <c r="NLK123" s="1"/>
      <c r="NLL123" s="1"/>
      <c r="NLM123" s="1"/>
      <c r="NLN123" s="1"/>
      <c r="NLO123" s="1"/>
      <c r="NLP123" s="1"/>
      <c r="NLQ123" s="1"/>
      <c r="NLR123" s="1"/>
      <c r="NLS123" s="1"/>
      <c r="NLT123" s="1"/>
      <c r="NLU123" s="1"/>
      <c r="NLV123" s="1"/>
      <c r="NLW123" s="1"/>
      <c r="NLX123" s="1"/>
      <c r="NLY123" s="1"/>
      <c r="NLZ123" s="1"/>
      <c r="NMA123" s="1"/>
      <c r="NMB123" s="1"/>
      <c r="NMC123" s="1"/>
      <c r="NMD123" s="1"/>
      <c r="NME123" s="1"/>
      <c r="NMF123" s="1"/>
      <c r="NMG123" s="1"/>
      <c r="NMH123" s="1"/>
      <c r="NMI123" s="1"/>
      <c r="NMJ123" s="1"/>
      <c r="NMK123" s="1"/>
      <c r="NML123" s="1"/>
      <c r="NMM123" s="1"/>
      <c r="NMN123" s="1"/>
      <c r="NMO123" s="1"/>
      <c r="NMP123" s="1"/>
      <c r="NMQ123" s="1"/>
      <c r="NMR123" s="1"/>
      <c r="NMS123" s="1"/>
      <c r="NMT123" s="1"/>
      <c r="NMU123" s="1"/>
      <c r="NMV123" s="1"/>
      <c r="NMW123" s="1"/>
      <c r="NMX123" s="1"/>
      <c r="NMY123" s="1"/>
      <c r="NMZ123" s="1"/>
      <c r="NNA123" s="1"/>
      <c r="NNB123" s="1"/>
      <c r="NNC123" s="1"/>
      <c r="NND123" s="1"/>
      <c r="NNE123" s="1"/>
      <c r="NNF123" s="1"/>
      <c r="NNG123" s="1"/>
      <c r="NNH123" s="1"/>
      <c r="NNI123" s="1"/>
      <c r="NNJ123" s="1"/>
      <c r="NNK123" s="1"/>
      <c r="NNL123" s="1"/>
      <c r="NNM123" s="1"/>
      <c r="NNN123" s="1"/>
      <c r="NNO123" s="1"/>
      <c r="NNP123" s="1"/>
      <c r="NNQ123" s="1"/>
      <c r="NNR123" s="1"/>
      <c r="NNS123" s="1"/>
      <c r="NNT123" s="1"/>
      <c r="NNU123" s="1"/>
      <c r="NNV123" s="1"/>
      <c r="NNW123" s="1"/>
      <c r="NNX123" s="1"/>
      <c r="NNY123" s="1"/>
      <c r="NNZ123" s="1"/>
      <c r="NOA123" s="1"/>
      <c r="NOB123" s="1"/>
      <c r="NOC123" s="1"/>
      <c r="NOD123" s="1"/>
      <c r="NOE123" s="1"/>
      <c r="NOF123" s="1"/>
      <c r="NOG123" s="1"/>
      <c r="NOH123" s="1"/>
      <c r="NOI123" s="1"/>
      <c r="NOJ123" s="1"/>
      <c r="NOK123" s="1"/>
      <c r="NOL123" s="1"/>
      <c r="NOM123" s="1"/>
      <c r="NON123" s="1"/>
      <c r="NOO123" s="1"/>
      <c r="NOP123" s="1"/>
      <c r="NOQ123" s="1"/>
      <c r="NOR123" s="1"/>
      <c r="NOS123" s="1"/>
      <c r="NOT123" s="1"/>
      <c r="NOU123" s="1"/>
      <c r="NOV123" s="1"/>
      <c r="NOW123" s="1"/>
      <c r="NOX123" s="1"/>
      <c r="NOY123" s="1"/>
      <c r="NOZ123" s="1"/>
      <c r="NPA123" s="1"/>
      <c r="NPB123" s="1"/>
      <c r="NPC123" s="1"/>
      <c r="NPD123" s="1"/>
      <c r="NPE123" s="1"/>
      <c r="NPF123" s="1"/>
      <c r="NPG123" s="1"/>
      <c r="NPH123" s="1"/>
      <c r="NPI123" s="1"/>
      <c r="NPJ123" s="1"/>
      <c r="NPK123" s="1"/>
      <c r="NPL123" s="1"/>
      <c r="NPM123" s="1"/>
      <c r="NPN123" s="1"/>
      <c r="NPO123" s="1"/>
      <c r="NPP123" s="1"/>
      <c r="NPQ123" s="1"/>
      <c r="NPR123" s="1"/>
      <c r="NPS123" s="1"/>
      <c r="NPT123" s="1"/>
      <c r="NPU123" s="1"/>
      <c r="NPV123" s="1"/>
      <c r="NPW123" s="1"/>
      <c r="NPX123" s="1"/>
      <c r="NPY123" s="1"/>
      <c r="NPZ123" s="1"/>
      <c r="NQA123" s="1"/>
      <c r="NQB123" s="1"/>
      <c r="NQC123" s="1"/>
      <c r="NQD123" s="1"/>
      <c r="NQE123" s="1"/>
      <c r="NQF123" s="1"/>
      <c r="NQG123" s="1"/>
      <c r="NQH123" s="1"/>
      <c r="NQI123" s="1"/>
      <c r="NQJ123" s="1"/>
      <c r="NQK123" s="1"/>
      <c r="NQL123" s="1"/>
      <c r="NQM123" s="1"/>
      <c r="NQN123" s="1"/>
      <c r="NQO123" s="1"/>
      <c r="NQP123" s="1"/>
      <c r="NQQ123" s="1"/>
      <c r="NQR123" s="1"/>
      <c r="NQS123" s="1"/>
      <c r="NQT123" s="1"/>
      <c r="NQU123" s="1"/>
      <c r="NQV123" s="1"/>
      <c r="NQW123" s="1"/>
      <c r="NQX123" s="1"/>
      <c r="NQY123" s="1"/>
      <c r="NQZ123" s="1"/>
      <c r="NRA123" s="1"/>
      <c r="NRB123" s="1"/>
      <c r="NRC123" s="1"/>
      <c r="NRD123" s="1"/>
      <c r="NRE123" s="1"/>
      <c r="NRF123" s="1"/>
      <c r="NRG123" s="1"/>
      <c r="NRH123" s="1"/>
      <c r="NRI123" s="1"/>
      <c r="NRJ123" s="1"/>
      <c r="NRK123" s="1"/>
      <c r="NRL123" s="1"/>
      <c r="NRM123" s="1"/>
      <c r="NRN123" s="1"/>
      <c r="NRO123" s="1"/>
      <c r="NRP123" s="1"/>
      <c r="NRQ123" s="1"/>
      <c r="NRR123" s="1"/>
      <c r="NRS123" s="1"/>
      <c r="NRT123" s="1"/>
      <c r="NRU123" s="1"/>
      <c r="NRV123" s="1"/>
      <c r="NRW123" s="1"/>
      <c r="NRX123" s="1"/>
      <c r="NRY123" s="1"/>
      <c r="NRZ123" s="1"/>
      <c r="NSA123" s="1"/>
      <c r="NSB123" s="1"/>
      <c r="NSC123" s="1"/>
      <c r="NSD123" s="1"/>
      <c r="NSE123" s="1"/>
      <c r="NSF123" s="1"/>
      <c r="NSG123" s="1"/>
      <c r="NSH123" s="1"/>
      <c r="NSI123" s="1"/>
      <c r="NSJ123" s="1"/>
      <c r="NSK123" s="1"/>
      <c r="NSL123" s="1"/>
      <c r="NSM123" s="1"/>
      <c r="NSN123" s="1"/>
      <c r="NSO123" s="1"/>
      <c r="NSP123" s="1"/>
      <c r="NSQ123" s="1"/>
      <c r="NSR123" s="1"/>
      <c r="NSS123" s="1"/>
      <c r="NST123" s="1"/>
      <c r="NSU123" s="1"/>
      <c r="NSV123" s="1"/>
      <c r="NSW123" s="1"/>
      <c r="NSX123" s="1"/>
      <c r="NSY123" s="1"/>
      <c r="NSZ123" s="1"/>
      <c r="NTA123" s="1"/>
      <c r="NTB123" s="1"/>
      <c r="NTC123" s="1"/>
      <c r="NTD123" s="1"/>
      <c r="NTE123" s="1"/>
      <c r="NTF123" s="1"/>
      <c r="NTG123" s="1"/>
      <c r="NTH123" s="1"/>
      <c r="NTI123" s="1"/>
      <c r="NTJ123" s="1"/>
      <c r="NTK123" s="1"/>
      <c r="NTL123" s="1"/>
      <c r="NTM123" s="1"/>
      <c r="NTN123" s="1"/>
      <c r="NTO123" s="1"/>
      <c r="NTP123" s="1"/>
      <c r="NTQ123" s="1"/>
      <c r="NTR123" s="1"/>
      <c r="NTS123" s="1"/>
      <c r="NTT123" s="1"/>
      <c r="NTU123" s="1"/>
      <c r="NTV123" s="1"/>
      <c r="NTW123" s="1"/>
      <c r="NTX123" s="1"/>
      <c r="NTY123" s="1"/>
      <c r="NTZ123" s="1"/>
      <c r="NUA123" s="1"/>
      <c r="NUB123" s="1"/>
      <c r="NUC123" s="1"/>
      <c r="NUD123" s="1"/>
      <c r="NUE123" s="1"/>
      <c r="NUF123" s="1"/>
      <c r="NUG123" s="1"/>
      <c r="NUH123" s="1"/>
      <c r="NUI123" s="1"/>
      <c r="NUJ123" s="1"/>
      <c r="NUK123" s="1"/>
      <c r="NUL123" s="1"/>
      <c r="NUM123" s="1"/>
      <c r="NUN123" s="1"/>
      <c r="NUO123" s="1"/>
      <c r="NUP123" s="1"/>
      <c r="NUQ123" s="1"/>
      <c r="NUR123" s="1"/>
      <c r="NUS123" s="1"/>
      <c r="NUT123" s="1"/>
      <c r="NUU123" s="1"/>
      <c r="NUV123" s="1"/>
      <c r="NUW123" s="1"/>
      <c r="NUX123" s="1"/>
      <c r="NUY123" s="1"/>
      <c r="NUZ123" s="1"/>
      <c r="NVA123" s="1"/>
      <c r="NVB123" s="1"/>
      <c r="NVC123" s="1"/>
      <c r="NVD123" s="1"/>
      <c r="NVE123" s="1"/>
      <c r="NVF123" s="1"/>
      <c r="NVG123" s="1"/>
      <c r="NVH123" s="1"/>
      <c r="NVI123" s="1"/>
      <c r="NVJ123" s="1"/>
      <c r="NVK123" s="1"/>
      <c r="NVL123" s="1"/>
      <c r="NVM123" s="1"/>
      <c r="NVN123" s="1"/>
      <c r="NVO123" s="1"/>
      <c r="NVP123" s="1"/>
      <c r="NVQ123" s="1"/>
      <c r="NVR123" s="1"/>
      <c r="NVS123" s="1"/>
      <c r="NVT123" s="1"/>
      <c r="NVU123" s="1"/>
      <c r="NVV123" s="1"/>
      <c r="NVW123" s="1"/>
      <c r="NVX123" s="1"/>
      <c r="NVY123" s="1"/>
      <c r="NVZ123" s="1"/>
      <c r="NWA123" s="1"/>
      <c r="NWB123" s="1"/>
      <c r="NWC123" s="1"/>
      <c r="NWD123" s="1"/>
      <c r="NWE123" s="1"/>
      <c r="NWF123" s="1"/>
      <c r="NWG123" s="1"/>
      <c r="NWH123" s="1"/>
      <c r="NWI123" s="1"/>
      <c r="NWJ123" s="1"/>
      <c r="NWK123" s="1"/>
      <c r="NWL123" s="1"/>
      <c r="NWM123" s="1"/>
      <c r="NWN123" s="1"/>
      <c r="NWO123" s="1"/>
      <c r="NWP123" s="1"/>
      <c r="NWQ123" s="1"/>
      <c r="NWR123" s="1"/>
      <c r="NWS123" s="1"/>
      <c r="NWT123" s="1"/>
      <c r="NWU123" s="1"/>
      <c r="NWV123" s="1"/>
      <c r="NWW123" s="1"/>
      <c r="NWX123" s="1"/>
      <c r="NWY123" s="1"/>
      <c r="NWZ123" s="1"/>
      <c r="NXA123" s="1"/>
      <c r="NXB123" s="1"/>
      <c r="NXC123" s="1"/>
      <c r="NXD123" s="1"/>
      <c r="NXE123" s="1"/>
      <c r="NXF123" s="1"/>
      <c r="NXG123" s="1"/>
      <c r="NXH123" s="1"/>
      <c r="NXI123" s="1"/>
      <c r="NXJ123" s="1"/>
      <c r="NXK123" s="1"/>
      <c r="NXL123" s="1"/>
      <c r="NXM123" s="1"/>
      <c r="NXN123" s="1"/>
      <c r="NXO123" s="1"/>
      <c r="NXP123" s="1"/>
      <c r="NXQ123" s="1"/>
      <c r="NXR123" s="1"/>
      <c r="NXS123" s="1"/>
      <c r="NXT123" s="1"/>
      <c r="NXU123" s="1"/>
      <c r="NXV123" s="1"/>
      <c r="NXW123" s="1"/>
      <c r="NXX123" s="1"/>
      <c r="NXY123" s="1"/>
      <c r="NXZ123" s="1"/>
      <c r="NYA123" s="1"/>
      <c r="NYB123" s="1"/>
      <c r="NYC123" s="1"/>
      <c r="NYD123" s="1"/>
      <c r="NYE123" s="1"/>
      <c r="NYF123" s="1"/>
      <c r="NYG123" s="1"/>
      <c r="NYH123" s="1"/>
      <c r="NYI123" s="1"/>
      <c r="NYJ123" s="1"/>
      <c r="NYK123" s="1"/>
      <c r="NYL123" s="1"/>
      <c r="NYM123" s="1"/>
      <c r="NYN123" s="1"/>
      <c r="NYO123" s="1"/>
      <c r="NYP123" s="1"/>
      <c r="NYQ123" s="1"/>
      <c r="NYR123" s="1"/>
      <c r="NYS123" s="1"/>
      <c r="NYT123" s="1"/>
      <c r="NYU123" s="1"/>
      <c r="NYV123" s="1"/>
      <c r="NYW123" s="1"/>
      <c r="NYX123" s="1"/>
      <c r="NYY123" s="1"/>
      <c r="NYZ123" s="1"/>
      <c r="NZA123" s="1"/>
      <c r="NZB123" s="1"/>
      <c r="NZC123" s="1"/>
      <c r="NZD123" s="1"/>
      <c r="NZE123" s="1"/>
      <c r="NZF123" s="1"/>
      <c r="NZG123" s="1"/>
      <c r="NZH123" s="1"/>
      <c r="NZI123" s="1"/>
      <c r="NZJ123" s="1"/>
      <c r="NZK123" s="1"/>
      <c r="NZL123" s="1"/>
      <c r="NZM123" s="1"/>
      <c r="NZN123" s="1"/>
      <c r="NZO123" s="1"/>
      <c r="NZP123" s="1"/>
      <c r="NZQ123" s="1"/>
      <c r="NZR123" s="1"/>
      <c r="NZS123" s="1"/>
      <c r="NZT123" s="1"/>
      <c r="NZU123" s="1"/>
      <c r="NZV123" s="1"/>
      <c r="NZW123" s="1"/>
      <c r="NZX123" s="1"/>
      <c r="NZY123" s="1"/>
      <c r="NZZ123" s="1"/>
      <c r="OAA123" s="1"/>
      <c r="OAB123" s="1"/>
      <c r="OAC123" s="1"/>
      <c r="OAD123" s="1"/>
      <c r="OAE123" s="1"/>
      <c r="OAF123" s="1"/>
      <c r="OAG123" s="1"/>
      <c r="OAH123" s="1"/>
      <c r="OAI123" s="1"/>
      <c r="OAJ123" s="1"/>
      <c r="OAK123" s="1"/>
      <c r="OAL123" s="1"/>
      <c r="OAM123" s="1"/>
      <c r="OAN123" s="1"/>
      <c r="OAO123" s="1"/>
      <c r="OAP123" s="1"/>
      <c r="OAQ123" s="1"/>
      <c r="OAR123" s="1"/>
      <c r="OAS123" s="1"/>
      <c r="OAT123" s="1"/>
      <c r="OAU123" s="1"/>
      <c r="OAV123" s="1"/>
      <c r="OAW123" s="1"/>
      <c r="OAX123" s="1"/>
      <c r="OAY123" s="1"/>
      <c r="OAZ123" s="1"/>
      <c r="OBA123" s="1"/>
      <c r="OBB123" s="1"/>
      <c r="OBC123" s="1"/>
      <c r="OBD123" s="1"/>
      <c r="OBE123" s="1"/>
      <c r="OBF123" s="1"/>
      <c r="OBG123" s="1"/>
      <c r="OBH123" s="1"/>
      <c r="OBI123" s="1"/>
      <c r="OBJ123" s="1"/>
      <c r="OBK123" s="1"/>
      <c r="OBL123" s="1"/>
      <c r="OBM123" s="1"/>
      <c r="OBN123" s="1"/>
      <c r="OBO123" s="1"/>
      <c r="OBP123" s="1"/>
      <c r="OBQ123" s="1"/>
      <c r="OBR123" s="1"/>
      <c r="OBS123" s="1"/>
      <c r="OBT123" s="1"/>
      <c r="OBU123" s="1"/>
      <c r="OBV123" s="1"/>
      <c r="OBW123" s="1"/>
      <c r="OBX123" s="1"/>
      <c r="OBY123" s="1"/>
      <c r="OBZ123" s="1"/>
      <c r="OCA123" s="1"/>
      <c r="OCB123" s="1"/>
      <c r="OCC123" s="1"/>
      <c r="OCD123" s="1"/>
      <c r="OCE123" s="1"/>
      <c r="OCF123" s="1"/>
      <c r="OCG123" s="1"/>
      <c r="OCH123" s="1"/>
      <c r="OCI123" s="1"/>
      <c r="OCJ123" s="1"/>
      <c r="OCK123" s="1"/>
      <c r="OCL123" s="1"/>
      <c r="OCM123" s="1"/>
      <c r="OCN123" s="1"/>
      <c r="OCO123" s="1"/>
      <c r="OCP123" s="1"/>
      <c r="OCQ123" s="1"/>
      <c r="OCR123" s="1"/>
      <c r="OCS123" s="1"/>
      <c r="OCT123" s="1"/>
      <c r="OCU123" s="1"/>
      <c r="OCV123" s="1"/>
      <c r="OCW123" s="1"/>
      <c r="OCX123" s="1"/>
      <c r="OCY123" s="1"/>
      <c r="OCZ123" s="1"/>
      <c r="ODA123" s="1"/>
      <c r="ODB123" s="1"/>
      <c r="ODC123" s="1"/>
      <c r="ODD123" s="1"/>
      <c r="ODE123" s="1"/>
      <c r="ODF123" s="1"/>
      <c r="ODG123" s="1"/>
      <c r="ODH123" s="1"/>
      <c r="ODI123" s="1"/>
      <c r="ODJ123" s="1"/>
      <c r="ODK123" s="1"/>
      <c r="ODL123" s="1"/>
      <c r="ODM123" s="1"/>
      <c r="ODN123" s="1"/>
      <c r="ODO123" s="1"/>
      <c r="ODP123" s="1"/>
      <c r="ODQ123" s="1"/>
      <c r="ODR123" s="1"/>
      <c r="ODS123" s="1"/>
      <c r="ODT123" s="1"/>
      <c r="ODU123" s="1"/>
      <c r="ODV123" s="1"/>
      <c r="ODW123" s="1"/>
      <c r="ODX123" s="1"/>
      <c r="ODY123" s="1"/>
      <c r="ODZ123" s="1"/>
      <c r="OEA123" s="1"/>
      <c r="OEB123" s="1"/>
      <c r="OEC123" s="1"/>
      <c r="OED123" s="1"/>
      <c r="OEE123" s="1"/>
      <c r="OEF123" s="1"/>
      <c r="OEG123" s="1"/>
      <c r="OEH123" s="1"/>
      <c r="OEI123" s="1"/>
      <c r="OEJ123" s="1"/>
      <c r="OEK123" s="1"/>
      <c r="OEL123" s="1"/>
      <c r="OEM123" s="1"/>
      <c r="OEN123" s="1"/>
      <c r="OEO123" s="1"/>
      <c r="OEP123" s="1"/>
      <c r="OEQ123" s="1"/>
      <c r="OER123" s="1"/>
      <c r="OES123" s="1"/>
      <c r="OET123" s="1"/>
      <c r="OEU123" s="1"/>
      <c r="OEV123" s="1"/>
      <c r="OEW123" s="1"/>
      <c r="OEX123" s="1"/>
      <c r="OEY123" s="1"/>
      <c r="OEZ123" s="1"/>
      <c r="OFA123" s="1"/>
      <c r="OFB123" s="1"/>
      <c r="OFC123" s="1"/>
      <c r="OFD123" s="1"/>
      <c r="OFE123" s="1"/>
      <c r="OFF123" s="1"/>
      <c r="OFG123" s="1"/>
      <c r="OFH123" s="1"/>
      <c r="OFI123" s="1"/>
      <c r="OFJ123" s="1"/>
      <c r="OFK123" s="1"/>
      <c r="OFL123" s="1"/>
      <c r="OFM123" s="1"/>
      <c r="OFN123" s="1"/>
      <c r="OFO123" s="1"/>
      <c r="OFP123" s="1"/>
      <c r="OFQ123" s="1"/>
      <c r="OFR123" s="1"/>
      <c r="OFS123" s="1"/>
      <c r="OFT123" s="1"/>
      <c r="OFU123" s="1"/>
      <c r="OFV123" s="1"/>
      <c r="OFW123" s="1"/>
      <c r="OFX123" s="1"/>
      <c r="OFY123" s="1"/>
      <c r="OFZ123" s="1"/>
      <c r="OGA123" s="1"/>
      <c r="OGB123" s="1"/>
      <c r="OGC123" s="1"/>
      <c r="OGD123" s="1"/>
      <c r="OGE123" s="1"/>
      <c r="OGF123" s="1"/>
      <c r="OGG123" s="1"/>
      <c r="OGH123" s="1"/>
      <c r="OGI123" s="1"/>
      <c r="OGJ123" s="1"/>
      <c r="OGK123" s="1"/>
      <c r="OGL123" s="1"/>
      <c r="OGM123" s="1"/>
      <c r="OGN123" s="1"/>
      <c r="OGO123" s="1"/>
      <c r="OGP123" s="1"/>
      <c r="OGQ123" s="1"/>
      <c r="OGR123" s="1"/>
      <c r="OGS123" s="1"/>
      <c r="OGT123" s="1"/>
      <c r="OGU123" s="1"/>
      <c r="OGV123" s="1"/>
      <c r="OGW123" s="1"/>
      <c r="OGX123" s="1"/>
      <c r="OGY123" s="1"/>
      <c r="OGZ123" s="1"/>
      <c r="OHA123" s="1"/>
      <c r="OHB123" s="1"/>
      <c r="OHC123" s="1"/>
      <c r="OHD123" s="1"/>
      <c r="OHE123" s="1"/>
      <c r="OHF123" s="1"/>
      <c r="OHG123" s="1"/>
      <c r="OHH123" s="1"/>
      <c r="OHI123" s="1"/>
      <c r="OHJ123" s="1"/>
      <c r="OHK123" s="1"/>
      <c r="OHL123" s="1"/>
      <c r="OHM123" s="1"/>
      <c r="OHN123" s="1"/>
      <c r="OHO123" s="1"/>
      <c r="OHP123" s="1"/>
      <c r="OHQ123" s="1"/>
      <c r="OHR123" s="1"/>
      <c r="OHS123" s="1"/>
      <c r="OHT123" s="1"/>
      <c r="OHU123" s="1"/>
      <c r="OHV123" s="1"/>
      <c r="OHW123" s="1"/>
      <c r="OHX123" s="1"/>
      <c r="OHY123" s="1"/>
      <c r="OHZ123" s="1"/>
      <c r="OIA123" s="1"/>
      <c r="OIB123" s="1"/>
      <c r="OIC123" s="1"/>
      <c r="OID123" s="1"/>
      <c r="OIE123" s="1"/>
      <c r="OIF123" s="1"/>
      <c r="OIG123" s="1"/>
      <c r="OIH123" s="1"/>
      <c r="OII123" s="1"/>
      <c r="OIJ123" s="1"/>
      <c r="OIK123" s="1"/>
      <c r="OIL123" s="1"/>
      <c r="OIM123" s="1"/>
      <c r="OIN123" s="1"/>
      <c r="OIO123" s="1"/>
      <c r="OIP123" s="1"/>
      <c r="OIQ123" s="1"/>
      <c r="OIR123" s="1"/>
      <c r="OIS123" s="1"/>
      <c r="OIT123" s="1"/>
      <c r="OIU123" s="1"/>
      <c r="OIV123" s="1"/>
      <c r="OIW123" s="1"/>
      <c r="OIX123" s="1"/>
      <c r="OIY123" s="1"/>
      <c r="OIZ123" s="1"/>
      <c r="OJA123" s="1"/>
      <c r="OJB123" s="1"/>
      <c r="OJC123" s="1"/>
      <c r="OJD123" s="1"/>
      <c r="OJE123" s="1"/>
      <c r="OJF123" s="1"/>
      <c r="OJG123" s="1"/>
      <c r="OJH123" s="1"/>
      <c r="OJI123" s="1"/>
      <c r="OJJ123" s="1"/>
      <c r="OJK123" s="1"/>
      <c r="OJL123" s="1"/>
      <c r="OJM123" s="1"/>
      <c r="OJN123" s="1"/>
      <c r="OJO123" s="1"/>
      <c r="OJP123" s="1"/>
      <c r="OJQ123" s="1"/>
      <c r="OJR123" s="1"/>
      <c r="OJS123" s="1"/>
      <c r="OJT123" s="1"/>
      <c r="OJU123" s="1"/>
      <c r="OJV123" s="1"/>
      <c r="OJW123" s="1"/>
      <c r="OJX123" s="1"/>
      <c r="OJY123" s="1"/>
      <c r="OJZ123" s="1"/>
      <c r="OKA123" s="1"/>
      <c r="OKB123" s="1"/>
      <c r="OKC123" s="1"/>
      <c r="OKD123" s="1"/>
      <c r="OKE123" s="1"/>
      <c r="OKF123" s="1"/>
      <c r="OKG123" s="1"/>
      <c r="OKH123" s="1"/>
      <c r="OKI123" s="1"/>
      <c r="OKJ123" s="1"/>
      <c r="OKK123" s="1"/>
      <c r="OKL123" s="1"/>
      <c r="OKM123" s="1"/>
      <c r="OKN123" s="1"/>
      <c r="OKO123" s="1"/>
      <c r="OKP123" s="1"/>
      <c r="OKQ123" s="1"/>
      <c r="OKR123" s="1"/>
      <c r="OKS123" s="1"/>
      <c r="OKT123" s="1"/>
      <c r="OKU123" s="1"/>
      <c r="OKV123" s="1"/>
      <c r="OKW123" s="1"/>
      <c r="OKX123" s="1"/>
      <c r="OKY123" s="1"/>
      <c r="OKZ123" s="1"/>
      <c r="OLA123" s="1"/>
      <c r="OLB123" s="1"/>
      <c r="OLC123" s="1"/>
      <c r="OLD123" s="1"/>
      <c r="OLE123" s="1"/>
      <c r="OLF123" s="1"/>
      <c r="OLG123" s="1"/>
      <c r="OLH123" s="1"/>
      <c r="OLI123" s="1"/>
      <c r="OLJ123" s="1"/>
      <c r="OLK123" s="1"/>
      <c r="OLL123" s="1"/>
      <c r="OLM123" s="1"/>
      <c r="OLN123" s="1"/>
      <c r="OLO123" s="1"/>
      <c r="OLP123" s="1"/>
      <c r="OLQ123" s="1"/>
      <c r="OLR123" s="1"/>
      <c r="OLS123" s="1"/>
      <c r="OLT123" s="1"/>
      <c r="OLU123" s="1"/>
      <c r="OLV123" s="1"/>
      <c r="OLW123" s="1"/>
      <c r="OLX123" s="1"/>
      <c r="OLY123" s="1"/>
      <c r="OLZ123" s="1"/>
      <c r="OMA123" s="1"/>
      <c r="OMB123" s="1"/>
      <c r="OMC123" s="1"/>
      <c r="OMD123" s="1"/>
      <c r="OME123" s="1"/>
      <c r="OMF123" s="1"/>
      <c r="OMG123" s="1"/>
      <c r="OMH123" s="1"/>
      <c r="OMI123" s="1"/>
      <c r="OMJ123" s="1"/>
      <c r="OMK123" s="1"/>
      <c r="OML123" s="1"/>
      <c r="OMM123" s="1"/>
      <c r="OMN123" s="1"/>
      <c r="OMO123" s="1"/>
      <c r="OMP123" s="1"/>
      <c r="OMQ123" s="1"/>
      <c r="OMR123" s="1"/>
      <c r="OMS123" s="1"/>
      <c r="OMT123" s="1"/>
      <c r="OMU123" s="1"/>
      <c r="OMV123" s="1"/>
      <c r="OMW123" s="1"/>
      <c r="OMX123" s="1"/>
      <c r="OMY123" s="1"/>
      <c r="OMZ123" s="1"/>
      <c r="ONA123" s="1"/>
      <c r="ONB123" s="1"/>
      <c r="ONC123" s="1"/>
      <c r="OND123" s="1"/>
      <c r="ONE123" s="1"/>
      <c r="ONF123" s="1"/>
      <c r="ONG123" s="1"/>
      <c r="ONH123" s="1"/>
      <c r="ONI123" s="1"/>
      <c r="ONJ123" s="1"/>
      <c r="ONK123" s="1"/>
      <c r="ONL123" s="1"/>
      <c r="ONM123" s="1"/>
      <c r="ONN123" s="1"/>
      <c r="ONO123" s="1"/>
      <c r="ONP123" s="1"/>
      <c r="ONQ123" s="1"/>
      <c r="ONR123" s="1"/>
      <c r="ONS123" s="1"/>
      <c r="ONT123" s="1"/>
      <c r="ONU123" s="1"/>
      <c r="ONV123" s="1"/>
      <c r="ONW123" s="1"/>
      <c r="ONX123" s="1"/>
      <c r="ONY123" s="1"/>
      <c r="ONZ123" s="1"/>
      <c r="OOA123" s="1"/>
      <c r="OOB123" s="1"/>
      <c r="OOC123" s="1"/>
      <c r="OOD123" s="1"/>
      <c r="OOE123" s="1"/>
      <c r="OOF123" s="1"/>
      <c r="OOG123" s="1"/>
      <c r="OOH123" s="1"/>
      <c r="OOI123" s="1"/>
      <c r="OOJ123" s="1"/>
      <c r="OOK123" s="1"/>
      <c r="OOL123" s="1"/>
      <c r="OOM123" s="1"/>
      <c r="OON123" s="1"/>
      <c r="OOO123" s="1"/>
      <c r="OOP123" s="1"/>
      <c r="OOQ123" s="1"/>
      <c r="OOR123" s="1"/>
      <c r="OOS123" s="1"/>
      <c r="OOT123" s="1"/>
      <c r="OOU123" s="1"/>
      <c r="OOV123" s="1"/>
      <c r="OOW123" s="1"/>
      <c r="OOX123" s="1"/>
      <c r="OOY123" s="1"/>
      <c r="OOZ123" s="1"/>
      <c r="OPA123" s="1"/>
      <c r="OPB123" s="1"/>
      <c r="OPC123" s="1"/>
      <c r="OPD123" s="1"/>
      <c r="OPE123" s="1"/>
      <c r="OPF123" s="1"/>
      <c r="OPG123" s="1"/>
      <c r="OPH123" s="1"/>
      <c r="OPI123" s="1"/>
      <c r="OPJ123" s="1"/>
      <c r="OPK123" s="1"/>
      <c r="OPL123" s="1"/>
      <c r="OPM123" s="1"/>
      <c r="OPN123" s="1"/>
      <c r="OPO123" s="1"/>
      <c r="OPP123" s="1"/>
      <c r="OPQ123" s="1"/>
      <c r="OPR123" s="1"/>
      <c r="OPS123" s="1"/>
      <c r="OPT123" s="1"/>
      <c r="OPU123" s="1"/>
      <c r="OPV123" s="1"/>
      <c r="OPW123" s="1"/>
      <c r="OPX123" s="1"/>
      <c r="OPY123" s="1"/>
      <c r="OPZ123" s="1"/>
      <c r="OQA123" s="1"/>
      <c r="OQB123" s="1"/>
      <c r="OQC123" s="1"/>
      <c r="OQD123" s="1"/>
      <c r="OQE123" s="1"/>
      <c r="OQF123" s="1"/>
      <c r="OQG123" s="1"/>
      <c r="OQH123" s="1"/>
      <c r="OQI123" s="1"/>
      <c r="OQJ123" s="1"/>
      <c r="OQK123" s="1"/>
      <c r="OQL123" s="1"/>
      <c r="OQM123" s="1"/>
      <c r="OQN123" s="1"/>
      <c r="OQO123" s="1"/>
      <c r="OQP123" s="1"/>
      <c r="OQQ123" s="1"/>
      <c r="OQR123" s="1"/>
      <c r="OQS123" s="1"/>
      <c r="OQT123" s="1"/>
      <c r="OQU123" s="1"/>
      <c r="OQV123" s="1"/>
      <c r="OQW123" s="1"/>
      <c r="OQX123" s="1"/>
      <c r="OQY123" s="1"/>
      <c r="OQZ123" s="1"/>
      <c r="ORA123" s="1"/>
      <c r="ORB123" s="1"/>
      <c r="ORC123" s="1"/>
      <c r="ORD123" s="1"/>
      <c r="ORE123" s="1"/>
      <c r="ORF123" s="1"/>
      <c r="ORG123" s="1"/>
      <c r="ORH123" s="1"/>
      <c r="ORI123" s="1"/>
      <c r="ORJ123" s="1"/>
      <c r="ORK123" s="1"/>
      <c r="ORL123" s="1"/>
      <c r="ORM123" s="1"/>
      <c r="ORN123" s="1"/>
      <c r="ORO123" s="1"/>
      <c r="ORP123" s="1"/>
      <c r="ORQ123" s="1"/>
      <c r="ORR123" s="1"/>
      <c r="ORS123" s="1"/>
      <c r="ORT123" s="1"/>
      <c r="ORU123" s="1"/>
      <c r="ORV123" s="1"/>
      <c r="ORW123" s="1"/>
      <c r="ORX123" s="1"/>
      <c r="ORY123" s="1"/>
      <c r="ORZ123" s="1"/>
      <c r="OSA123" s="1"/>
      <c r="OSB123" s="1"/>
      <c r="OSC123" s="1"/>
      <c r="OSD123" s="1"/>
      <c r="OSE123" s="1"/>
      <c r="OSF123" s="1"/>
      <c r="OSG123" s="1"/>
      <c r="OSH123" s="1"/>
      <c r="OSI123" s="1"/>
      <c r="OSJ123" s="1"/>
      <c r="OSK123" s="1"/>
      <c r="OSL123" s="1"/>
      <c r="OSM123" s="1"/>
      <c r="OSN123" s="1"/>
      <c r="OSO123" s="1"/>
      <c r="OSP123" s="1"/>
      <c r="OSQ123" s="1"/>
      <c r="OSR123" s="1"/>
      <c r="OSS123" s="1"/>
      <c r="OST123" s="1"/>
      <c r="OSU123" s="1"/>
      <c r="OSV123" s="1"/>
      <c r="OSW123" s="1"/>
      <c r="OSX123" s="1"/>
      <c r="OSY123" s="1"/>
      <c r="OSZ123" s="1"/>
      <c r="OTA123" s="1"/>
      <c r="OTB123" s="1"/>
      <c r="OTC123" s="1"/>
      <c r="OTD123" s="1"/>
      <c r="OTE123" s="1"/>
      <c r="OTF123" s="1"/>
      <c r="OTG123" s="1"/>
      <c r="OTH123" s="1"/>
      <c r="OTI123" s="1"/>
      <c r="OTJ123" s="1"/>
      <c r="OTK123" s="1"/>
      <c r="OTL123" s="1"/>
      <c r="OTM123" s="1"/>
      <c r="OTN123" s="1"/>
      <c r="OTO123" s="1"/>
      <c r="OTP123" s="1"/>
      <c r="OTQ123" s="1"/>
      <c r="OTR123" s="1"/>
      <c r="OTS123" s="1"/>
      <c r="OTT123" s="1"/>
      <c r="OTU123" s="1"/>
      <c r="OTV123" s="1"/>
      <c r="OTW123" s="1"/>
      <c r="OTX123" s="1"/>
      <c r="OTY123" s="1"/>
      <c r="OTZ123" s="1"/>
      <c r="OUA123" s="1"/>
      <c r="OUB123" s="1"/>
      <c r="OUC123" s="1"/>
      <c r="OUD123" s="1"/>
      <c r="OUE123" s="1"/>
      <c r="OUF123" s="1"/>
      <c r="OUG123" s="1"/>
      <c r="OUH123" s="1"/>
      <c r="OUI123" s="1"/>
      <c r="OUJ123" s="1"/>
      <c r="OUK123" s="1"/>
      <c r="OUL123" s="1"/>
      <c r="OUM123" s="1"/>
      <c r="OUN123" s="1"/>
      <c r="OUO123" s="1"/>
      <c r="OUP123" s="1"/>
      <c r="OUQ123" s="1"/>
      <c r="OUR123" s="1"/>
      <c r="OUS123" s="1"/>
      <c r="OUT123" s="1"/>
      <c r="OUU123" s="1"/>
      <c r="OUV123" s="1"/>
      <c r="OUW123" s="1"/>
      <c r="OUX123" s="1"/>
      <c r="OUY123" s="1"/>
      <c r="OUZ123" s="1"/>
      <c r="OVA123" s="1"/>
      <c r="OVB123" s="1"/>
      <c r="OVC123" s="1"/>
      <c r="OVD123" s="1"/>
      <c r="OVE123" s="1"/>
      <c r="OVF123" s="1"/>
      <c r="OVG123" s="1"/>
      <c r="OVH123" s="1"/>
      <c r="OVI123" s="1"/>
      <c r="OVJ123" s="1"/>
      <c r="OVK123" s="1"/>
      <c r="OVL123" s="1"/>
      <c r="OVM123" s="1"/>
      <c r="OVN123" s="1"/>
      <c r="OVO123" s="1"/>
      <c r="OVP123" s="1"/>
      <c r="OVQ123" s="1"/>
      <c r="OVR123" s="1"/>
      <c r="OVS123" s="1"/>
      <c r="OVT123" s="1"/>
      <c r="OVU123" s="1"/>
      <c r="OVV123" s="1"/>
      <c r="OVW123" s="1"/>
      <c r="OVX123" s="1"/>
      <c r="OVY123" s="1"/>
      <c r="OVZ123" s="1"/>
      <c r="OWA123" s="1"/>
      <c r="OWB123" s="1"/>
      <c r="OWC123" s="1"/>
      <c r="OWD123" s="1"/>
      <c r="OWE123" s="1"/>
      <c r="OWF123" s="1"/>
      <c r="OWG123" s="1"/>
      <c r="OWH123" s="1"/>
      <c r="OWI123" s="1"/>
      <c r="OWJ123" s="1"/>
      <c r="OWK123" s="1"/>
      <c r="OWL123" s="1"/>
      <c r="OWM123" s="1"/>
      <c r="OWN123" s="1"/>
      <c r="OWO123" s="1"/>
      <c r="OWP123" s="1"/>
      <c r="OWQ123" s="1"/>
      <c r="OWR123" s="1"/>
      <c r="OWS123" s="1"/>
      <c r="OWT123" s="1"/>
      <c r="OWU123" s="1"/>
      <c r="OWV123" s="1"/>
      <c r="OWW123" s="1"/>
      <c r="OWX123" s="1"/>
      <c r="OWY123" s="1"/>
      <c r="OWZ123" s="1"/>
      <c r="OXA123" s="1"/>
      <c r="OXB123" s="1"/>
      <c r="OXC123" s="1"/>
      <c r="OXD123" s="1"/>
      <c r="OXE123" s="1"/>
      <c r="OXF123" s="1"/>
      <c r="OXG123" s="1"/>
      <c r="OXH123" s="1"/>
      <c r="OXI123" s="1"/>
      <c r="OXJ123" s="1"/>
      <c r="OXK123" s="1"/>
      <c r="OXL123" s="1"/>
      <c r="OXM123" s="1"/>
      <c r="OXN123" s="1"/>
      <c r="OXO123" s="1"/>
      <c r="OXP123" s="1"/>
      <c r="OXQ123" s="1"/>
      <c r="OXR123" s="1"/>
      <c r="OXS123" s="1"/>
      <c r="OXT123" s="1"/>
      <c r="OXU123" s="1"/>
      <c r="OXV123" s="1"/>
      <c r="OXW123" s="1"/>
      <c r="OXX123" s="1"/>
      <c r="OXY123" s="1"/>
      <c r="OXZ123" s="1"/>
      <c r="OYA123" s="1"/>
      <c r="OYB123" s="1"/>
      <c r="OYC123" s="1"/>
      <c r="OYD123" s="1"/>
      <c r="OYE123" s="1"/>
      <c r="OYF123" s="1"/>
      <c r="OYG123" s="1"/>
      <c r="OYH123" s="1"/>
      <c r="OYI123" s="1"/>
      <c r="OYJ123" s="1"/>
      <c r="OYK123" s="1"/>
      <c r="OYL123" s="1"/>
      <c r="OYM123" s="1"/>
      <c r="OYN123" s="1"/>
      <c r="OYO123" s="1"/>
      <c r="OYP123" s="1"/>
      <c r="OYQ123" s="1"/>
      <c r="OYR123" s="1"/>
      <c r="OYS123" s="1"/>
      <c r="OYT123" s="1"/>
      <c r="OYU123" s="1"/>
      <c r="OYV123" s="1"/>
      <c r="OYW123" s="1"/>
      <c r="OYX123" s="1"/>
      <c r="OYY123" s="1"/>
      <c r="OYZ123" s="1"/>
      <c r="OZA123" s="1"/>
      <c r="OZB123" s="1"/>
      <c r="OZC123" s="1"/>
      <c r="OZD123" s="1"/>
      <c r="OZE123" s="1"/>
      <c r="OZF123" s="1"/>
      <c r="OZG123" s="1"/>
      <c r="OZH123" s="1"/>
      <c r="OZI123" s="1"/>
      <c r="OZJ123" s="1"/>
      <c r="OZK123" s="1"/>
      <c r="OZL123" s="1"/>
      <c r="OZM123" s="1"/>
      <c r="OZN123" s="1"/>
      <c r="OZO123" s="1"/>
      <c r="OZP123" s="1"/>
      <c r="OZQ123" s="1"/>
      <c r="OZR123" s="1"/>
      <c r="OZS123" s="1"/>
      <c r="OZT123" s="1"/>
      <c r="OZU123" s="1"/>
      <c r="OZV123" s="1"/>
      <c r="OZW123" s="1"/>
      <c r="OZX123" s="1"/>
      <c r="OZY123" s="1"/>
      <c r="OZZ123" s="1"/>
      <c r="PAA123" s="1"/>
      <c r="PAB123" s="1"/>
      <c r="PAC123" s="1"/>
      <c r="PAD123" s="1"/>
      <c r="PAE123" s="1"/>
      <c r="PAF123" s="1"/>
      <c r="PAG123" s="1"/>
      <c r="PAH123" s="1"/>
      <c r="PAI123" s="1"/>
      <c r="PAJ123" s="1"/>
      <c r="PAK123" s="1"/>
      <c r="PAL123" s="1"/>
      <c r="PAM123" s="1"/>
      <c r="PAN123" s="1"/>
      <c r="PAO123" s="1"/>
      <c r="PAP123" s="1"/>
      <c r="PAQ123" s="1"/>
      <c r="PAR123" s="1"/>
      <c r="PAS123" s="1"/>
      <c r="PAT123" s="1"/>
      <c r="PAU123" s="1"/>
      <c r="PAV123" s="1"/>
      <c r="PAW123" s="1"/>
      <c r="PAX123" s="1"/>
      <c r="PAY123" s="1"/>
      <c r="PAZ123" s="1"/>
      <c r="PBA123" s="1"/>
      <c r="PBB123" s="1"/>
      <c r="PBC123" s="1"/>
      <c r="PBD123" s="1"/>
      <c r="PBE123" s="1"/>
      <c r="PBF123" s="1"/>
      <c r="PBG123" s="1"/>
      <c r="PBH123" s="1"/>
      <c r="PBI123" s="1"/>
      <c r="PBJ123" s="1"/>
      <c r="PBK123" s="1"/>
      <c r="PBL123" s="1"/>
      <c r="PBM123" s="1"/>
      <c r="PBN123" s="1"/>
      <c r="PBO123" s="1"/>
      <c r="PBP123" s="1"/>
      <c r="PBQ123" s="1"/>
      <c r="PBR123" s="1"/>
      <c r="PBS123" s="1"/>
      <c r="PBT123" s="1"/>
      <c r="PBU123" s="1"/>
      <c r="PBV123" s="1"/>
      <c r="PBW123" s="1"/>
      <c r="PBX123" s="1"/>
      <c r="PBY123" s="1"/>
      <c r="PBZ123" s="1"/>
      <c r="PCA123" s="1"/>
      <c r="PCB123" s="1"/>
      <c r="PCC123" s="1"/>
      <c r="PCD123" s="1"/>
      <c r="PCE123" s="1"/>
      <c r="PCF123" s="1"/>
      <c r="PCG123" s="1"/>
      <c r="PCH123" s="1"/>
      <c r="PCI123" s="1"/>
      <c r="PCJ123" s="1"/>
      <c r="PCK123" s="1"/>
      <c r="PCL123" s="1"/>
      <c r="PCM123" s="1"/>
      <c r="PCN123" s="1"/>
      <c r="PCO123" s="1"/>
      <c r="PCP123" s="1"/>
      <c r="PCQ123" s="1"/>
      <c r="PCR123" s="1"/>
      <c r="PCS123" s="1"/>
      <c r="PCT123" s="1"/>
      <c r="PCU123" s="1"/>
      <c r="PCV123" s="1"/>
      <c r="PCW123" s="1"/>
      <c r="PCX123" s="1"/>
      <c r="PCY123" s="1"/>
      <c r="PCZ123" s="1"/>
      <c r="PDA123" s="1"/>
      <c r="PDB123" s="1"/>
      <c r="PDC123" s="1"/>
      <c r="PDD123" s="1"/>
      <c r="PDE123" s="1"/>
      <c r="PDF123" s="1"/>
      <c r="PDG123" s="1"/>
      <c r="PDH123" s="1"/>
      <c r="PDI123" s="1"/>
      <c r="PDJ123" s="1"/>
      <c r="PDK123" s="1"/>
      <c r="PDL123" s="1"/>
      <c r="PDM123" s="1"/>
      <c r="PDN123" s="1"/>
      <c r="PDO123" s="1"/>
      <c r="PDP123" s="1"/>
      <c r="PDQ123" s="1"/>
      <c r="PDR123" s="1"/>
      <c r="PDS123" s="1"/>
      <c r="PDT123" s="1"/>
      <c r="PDU123" s="1"/>
      <c r="PDV123" s="1"/>
      <c r="PDW123" s="1"/>
      <c r="PDX123" s="1"/>
      <c r="PDY123" s="1"/>
      <c r="PDZ123" s="1"/>
      <c r="PEA123" s="1"/>
      <c r="PEB123" s="1"/>
      <c r="PEC123" s="1"/>
      <c r="PED123" s="1"/>
      <c r="PEE123" s="1"/>
      <c r="PEF123" s="1"/>
      <c r="PEG123" s="1"/>
      <c r="PEH123" s="1"/>
      <c r="PEI123" s="1"/>
      <c r="PEJ123" s="1"/>
      <c r="PEK123" s="1"/>
      <c r="PEL123" s="1"/>
      <c r="PEM123" s="1"/>
      <c r="PEN123" s="1"/>
      <c r="PEO123" s="1"/>
      <c r="PEP123" s="1"/>
      <c r="PEQ123" s="1"/>
      <c r="PER123" s="1"/>
      <c r="PES123" s="1"/>
      <c r="PET123" s="1"/>
      <c r="PEU123" s="1"/>
      <c r="PEV123" s="1"/>
      <c r="PEW123" s="1"/>
      <c r="PEX123" s="1"/>
      <c r="PEY123" s="1"/>
      <c r="PEZ123" s="1"/>
      <c r="PFA123" s="1"/>
      <c r="PFB123" s="1"/>
      <c r="PFC123" s="1"/>
      <c r="PFD123" s="1"/>
      <c r="PFE123" s="1"/>
      <c r="PFF123" s="1"/>
      <c r="PFG123" s="1"/>
      <c r="PFH123" s="1"/>
      <c r="PFI123" s="1"/>
      <c r="PFJ123" s="1"/>
      <c r="PFK123" s="1"/>
      <c r="PFL123" s="1"/>
      <c r="PFM123" s="1"/>
      <c r="PFN123" s="1"/>
      <c r="PFO123" s="1"/>
      <c r="PFP123" s="1"/>
      <c r="PFQ123" s="1"/>
      <c r="PFR123" s="1"/>
      <c r="PFS123" s="1"/>
      <c r="PFT123" s="1"/>
      <c r="PFU123" s="1"/>
      <c r="PFV123" s="1"/>
      <c r="PFW123" s="1"/>
      <c r="PFX123" s="1"/>
      <c r="PFY123" s="1"/>
      <c r="PFZ123" s="1"/>
      <c r="PGA123" s="1"/>
      <c r="PGB123" s="1"/>
      <c r="PGC123" s="1"/>
      <c r="PGD123" s="1"/>
      <c r="PGE123" s="1"/>
      <c r="PGF123" s="1"/>
      <c r="PGG123" s="1"/>
      <c r="PGH123" s="1"/>
      <c r="PGI123" s="1"/>
      <c r="PGJ123" s="1"/>
      <c r="PGK123" s="1"/>
      <c r="PGL123" s="1"/>
      <c r="PGM123" s="1"/>
      <c r="PGN123" s="1"/>
      <c r="PGO123" s="1"/>
      <c r="PGP123" s="1"/>
      <c r="PGQ123" s="1"/>
      <c r="PGR123" s="1"/>
      <c r="PGS123" s="1"/>
      <c r="PGT123" s="1"/>
      <c r="PGU123" s="1"/>
      <c r="PGV123" s="1"/>
      <c r="PGW123" s="1"/>
      <c r="PGX123" s="1"/>
      <c r="PGY123" s="1"/>
      <c r="PGZ123" s="1"/>
      <c r="PHA123" s="1"/>
      <c r="PHB123" s="1"/>
      <c r="PHC123" s="1"/>
      <c r="PHD123" s="1"/>
      <c r="PHE123" s="1"/>
      <c r="PHF123" s="1"/>
      <c r="PHG123" s="1"/>
      <c r="PHH123" s="1"/>
      <c r="PHI123" s="1"/>
      <c r="PHJ123" s="1"/>
      <c r="PHK123" s="1"/>
      <c r="PHL123" s="1"/>
      <c r="PHM123" s="1"/>
      <c r="PHN123" s="1"/>
      <c r="PHO123" s="1"/>
      <c r="PHP123" s="1"/>
      <c r="PHQ123" s="1"/>
      <c r="PHR123" s="1"/>
      <c r="PHS123" s="1"/>
      <c r="PHT123" s="1"/>
      <c r="PHU123" s="1"/>
      <c r="PHV123" s="1"/>
      <c r="PHW123" s="1"/>
      <c r="PHX123" s="1"/>
      <c r="PHY123" s="1"/>
      <c r="PHZ123" s="1"/>
      <c r="PIA123" s="1"/>
      <c r="PIB123" s="1"/>
      <c r="PIC123" s="1"/>
      <c r="PID123" s="1"/>
      <c r="PIE123" s="1"/>
      <c r="PIF123" s="1"/>
      <c r="PIG123" s="1"/>
      <c r="PIH123" s="1"/>
      <c r="PII123" s="1"/>
      <c r="PIJ123" s="1"/>
      <c r="PIK123" s="1"/>
      <c r="PIL123" s="1"/>
      <c r="PIM123" s="1"/>
      <c r="PIN123" s="1"/>
      <c r="PIO123" s="1"/>
      <c r="PIP123" s="1"/>
      <c r="PIQ123" s="1"/>
      <c r="PIR123" s="1"/>
      <c r="PIS123" s="1"/>
      <c r="PIT123" s="1"/>
      <c r="PIU123" s="1"/>
      <c r="PIV123" s="1"/>
      <c r="PIW123" s="1"/>
      <c r="PIX123" s="1"/>
      <c r="PIY123" s="1"/>
      <c r="PIZ123" s="1"/>
      <c r="PJA123" s="1"/>
      <c r="PJB123" s="1"/>
      <c r="PJC123" s="1"/>
      <c r="PJD123" s="1"/>
      <c r="PJE123" s="1"/>
      <c r="PJF123" s="1"/>
      <c r="PJG123" s="1"/>
      <c r="PJH123" s="1"/>
      <c r="PJI123" s="1"/>
      <c r="PJJ123" s="1"/>
      <c r="PJK123" s="1"/>
      <c r="PJL123" s="1"/>
      <c r="PJM123" s="1"/>
      <c r="PJN123" s="1"/>
      <c r="PJO123" s="1"/>
      <c r="PJP123" s="1"/>
      <c r="PJQ123" s="1"/>
      <c r="PJR123" s="1"/>
      <c r="PJS123" s="1"/>
      <c r="PJT123" s="1"/>
      <c r="PJU123" s="1"/>
      <c r="PJV123" s="1"/>
      <c r="PJW123" s="1"/>
      <c r="PJX123" s="1"/>
      <c r="PJY123" s="1"/>
      <c r="PJZ123" s="1"/>
      <c r="PKA123" s="1"/>
      <c r="PKB123" s="1"/>
      <c r="PKC123" s="1"/>
      <c r="PKD123" s="1"/>
      <c r="PKE123" s="1"/>
      <c r="PKF123" s="1"/>
      <c r="PKG123" s="1"/>
      <c r="PKH123" s="1"/>
      <c r="PKI123" s="1"/>
      <c r="PKJ123" s="1"/>
      <c r="PKK123" s="1"/>
      <c r="PKL123" s="1"/>
      <c r="PKM123" s="1"/>
      <c r="PKN123" s="1"/>
      <c r="PKO123" s="1"/>
      <c r="PKP123" s="1"/>
      <c r="PKQ123" s="1"/>
      <c r="PKR123" s="1"/>
      <c r="PKS123" s="1"/>
      <c r="PKT123" s="1"/>
      <c r="PKU123" s="1"/>
      <c r="PKV123" s="1"/>
      <c r="PKW123" s="1"/>
      <c r="PKX123" s="1"/>
      <c r="PKY123" s="1"/>
      <c r="PKZ123" s="1"/>
      <c r="PLA123" s="1"/>
      <c r="PLB123" s="1"/>
      <c r="PLC123" s="1"/>
      <c r="PLD123" s="1"/>
      <c r="PLE123" s="1"/>
      <c r="PLF123" s="1"/>
      <c r="PLG123" s="1"/>
      <c r="PLH123" s="1"/>
      <c r="PLI123" s="1"/>
      <c r="PLJ123" s="1"/>
      <c r="PLK123" s="1"/>
      <c r="PLL123" s="1"/>
      <c r="PLM123" s="1"/>
      <c r="PLN123" s="1"/>
      <c r="PLO123" s="1"/>
      <c r="PLP123" s="1"/>
      <c r="PLQ123" s="1"/>
      <c r="PLR123" s="1"/>
      <c r="PLS123" s="1"/>
      <c r="PLT123" s="1"/>
      <c r="PLU123" s="1"/>
      <c r="PLV123" s="1"/>
      <c r="PLW123" s="1"/>
      <c r="PLX123" s="1"/>
      <c r="PLY123" s="1"/>
      <c r="PLZ123" s="1"/>
      <c r="PMA123" s="1"/>
      <c r="PMB123" s="1"/>
      <c r="PMC123" s="1"/>
      <c r="PMD123" s="1"/>
      <c r="PME123" s="1"/>
      <c r="PMF123" s="1"/>
      <c r="PMG123" s="1"/>
      <c r="PMH123" s="1"/>
      <c r="PMI123" s="1"/>
      <c r="PMJ123" s="1"/>
      <c r="PMK123" s="1"/>
      <c r="PML123" s="1"/>
      <c r="PMM123" s="1"/>
      <c r="PMN123" s="1"/>
      <c r="PMO123" s="1"/>
      <c r="PMP123" s="1"/>
      <c r="PMQ123" s="1"/>
      <c r="PMR123" s="1"/>
      <c r="PMS123" s="1"/>
      <c r="PMT123" s="1"/>
      <c r="PMU123" s="1"/>
      <c r="PMV123" s="1"/>
      <c r="PMW123" s="1"/>
      <c r="PMX123" s="1"/>
      <c r="PMY123" s="1"/>
      <c r="PMZ123" s="1"/>
      <c r="PNA123" s="1"/>
      <c r="PNB123" s="1"/>
      <c r="PNC123" s="1"/>
      <c r="PND123" s="1"/>
      <c r="PNE123" s="1"/>
      <c r="PNF123" s="1"/>
      <c r="PNG123" s="1"/>
      <c r="PNH123" s="1"/>
      <c r="PNI123" s="1"/>
      <c r="PNJ123" s="1"/>
      <c r="PNK123" s="1"/>
      <c r="PNL123" s="1"/>
      <c r="PNM123" s="1"/>
      <c r="PNN123" s="1"/>
      <c r="PNO123" s="1"/>
      <c r="PNP123" s="1"/>
      <c r="PNQ123" s="1"/>
      <c r="PNR123" s="1"/>
      <c r="PNS123" s="1"/>
      <c r="PNT123" s="1"/>
      <c r="PNU123" s="1"/>
      <c r="PNV123" s="1"/>
      <c r="PNW123" s="1"/>
      <c r="PNX123" s="1"/>
      <c r="PNY123" s="1"/>
      <c r="PNZ123" s="1"/>
      <c r="POA123" s="1"/>
      <c r="POB123" s="1"/>
      <c r="POC123" s="1"/>
      <c r="POD123" s="1"/>
      <c r="POE123" s="1"/>
      <c r="POF123" s="1"/>
      <c r="POG123" s="1"/>
      <c r="POH123" s="1"/>
      <c r="POI123" s="1"/>
      <c r="POJ123" s="1"/>
      <c r="POK123" s="1"/>
      <c r="POL123" s="1"/>
      <c r="POM123" s="1"/>
      <c r="PON123" s="1"/>
      <c r="POO123" s="1"/>
      <c r="POP123" s="1"/>
      <c r="POQ123" s="1"/>
      <c r="POR123" s="1"/>
      <c r="POS123" s="1"/>
      <c r="POT123" s="1"/>
      <c r="POU123" s="1"/>
      <c r="POV123" s="1"/>
      <c r="POW123" s="1"/>
      <c r="POX123" s="1"/>
      <c r="POY123" s="1"/>
      <c r="POZ123" s="1"/>
      <c r="PPA123" s="1"/>
      <c r="PPB123" s="1"/>
      <c r="PPC123" s="1"/>
      <c r="PPD123" s="1"/>
      <c r="PPE123" s="1"/>
      <c r="PPF123" s="1"/>
      <c r="PPG123" s="1"/>
      <c r="PPH123" s="1"/>
      <c r="PPI123" s="1"/>
      <c r="PPJ123" s="1"/>
      <c r="PPK123" s="1"/>
      <c r="PPL123" s="1"/>
      <c r="PPM123" s="1"/>
      <c r="PPN123" s="1"/>
      <c r="PPO123" s="1"/>
      <c r="PPP123" s="1"/>
      <c r="PPQ123" s="1"/>
      <c r="PPR123" s="1"/>
      <c r="PPS123" s="1"/>
      <c r="PPT123" s="1"/>
      <c r="PPU123" s="1"/>
      <c r="PPV123" s="1"/>
      <c r="PPW123" s="1"/>
      <c r="PPX123" s="1"/>
      <c r="PPY123" s="1"/>
      <c r="PPZ123" s="1"/>
      <c r="PQA123" s="1"/>
      <c r="PQB123" s="1"/>
      <c r="PQC123" s="1"/>
      <c r="PQD123" s="1"/>
      <c r="PQE123" s="1"/>
      <c r="PQF123" s="1"/>
      <c r="PQG123" s="1"/>
      <c r="PQH123" s="1"/>
      <c r="PQI123" s="1"/>
      <c r="PQJ123" s="1"/>
      <c r="PQK123" s="1"/>
      <c r="PQL123" s="1"/>
      <c r="PQM123" s="1"/>
      <c r="PQN123" s="1"/>
      <c r="PQO123" s="1"/>
      <c r="PQP123" s="1"/>
      <c r="PQQ123" s="1"/>
      <c r="PQR123" s="1"/>
      <c r="PQS123" s="1"/>
      <c r="PQT123" s="1"/>
      <c r="PQU123" s="1"/>
      <c r="PQV123" s="1"/>
      <c r="PQW123" s="1"/>
      <c r="PQX123" s="1"/>
      <c r="PQY123" s="1"/>
      <c r="PQZ123" s="1"/>
      <c r="PRA123" s="1"/>
      <c r="PRB123" s="1"/>
      <c r="PRC123" s="1"/>
      <c r="PRD123" s="1"/>
      <c r="PRE123" s="1"/>
      <c r="PRF123" s="1"/>
      <c r="PRG123" s="1"/>
      <c r="PRH123" s="1"/>
      <c r="PRI123" s="1"/>
      <c r="PRJ123" s="1"/>
      <c r="PRK123" s="1"/>
      <c r="PRL123" s="1"/>
      <c r="PRM123" s="1"/>
      <c r="PRN123" s="1"/>
      <c r="PRO123" s="1"/>
      <c r="PRP123" s="1"/>
      <c r="PRQ123" s="1"/>
      <c r="PRR123" s="1"/>
      <c r="PRS123" s="1"/>
      <c r="PRT123" s="1"/>
      <c r="PRU123" s="1"/>
      <c r="PRV123" s="1"/>
      <c r="PRW123" s="1"/>
      <c r="PRX123" s="1"/>
      <c r="PRY123" s="1"/>
      <c r="PRZ123" s="1"/>
      <c r="PSA123" s="1"/>
      <c r="PSB123" s="1"/>
      <c r="PSC123" s="1"/>
      <c r="PSD123" s="1"/>
      <c r="PSE123" s="1"/>
      <c r="PSF123" s="1"/>
      <c r="PSG123" s="1"/>
      <c r="PSH123" s="1"/>
      <c r="PSI123" s="1"/>
      <c r="PSJ123" s="1"/>
      <c r="PSK123" s="1"/>
      <c r="PSL123" s="1"/>
      <c r="PSM123" s="1"/>
      <c r="PSN123" s="1"/>
      <c r="PSO123" s="1"/>
      <c r="PSP123" s="1"/>
      <c r="PSQ123" s="1"/>
      <c r="PSR123" s="1"/>
      <c r="PSS123" s="1"/>
      <c r="PST123" s="1"/>
      <c r="PSU123" s="1"/>
      <c r="PSV123" s="1"/>
      <c r="PSW123" s="1"/>
      <c r="PSX123" s="1"/>
      <c r="PSY123" s="1"/>
      <c r="PSZ123" s="1"/>
      <c r="PTA123" s="1"/>
      <c r="PTB123" s="1"/>
      <c r="PTC123" s="1"/>
      <c r="PTD123" s="1"/>
      <c r="PTE123" s="1"/>
      <c r="PTF123" s="1"/>
      <c r="PTG123" s="1"/>
      <c r="PTH123" s="1"/>
      <c r="PTI123" s="1"/>
      <c r="PTJ123" s="1"/>
      <c r="PTK123" s="1"/>
      <c r="PTL123" s="1"/>
      <c r="PTM123" s="1"/>
      <c r="PTN123" s="1"/>
      <c r="PTO123" s="1"/>
      <c r="PTP123" s="1"/>
      <c r="PTQ123" s="1"/>
      <c r="PTR123" s="1"/>
      <c r="PTS123" s="1"/>
      <c r="PTT123" s="1"/>
      <c r="PTU123" s="1"/>
      <c r="PTV123" s="1"/>
      <c r="PTW123" s="1"/>
      <c r="PTX123" s="1"/>
      <c r="PTY123" s="1"/>
      <c r="PTZ123" s="1"/>
      <c r="PUA123" s="1"/>
      <c r="PUB123" s="1"/>
      <c r="PUC123" s="1"/>
      <c r="PUD123" s="1"/>
      <c r="PUE123" s="1"/>
      <c r="PUF123" s="1"/>
      <c r="PUG123" s="1"/>
      <c r="PUH123" s="1"/>
      <c r="PUI123" s="1"/>
      <c r="PUJ123" s="1"/>
      <c r="PUK123" s="1"/>
      <c r="PUL123" s="1"/>
      <c r="PUM123" s="1"/>
      <c r="PUN123" s="1"/>
      <c r="PUO123" s="1"/>
      <c r="PUP123" s="1"/>
      <c r="PUQ123" s="1"/>
      <c r="PUR123" s="1"/>
      <c r="PUS123" s="1"/>
      <c r="PUT123" s="1"/>
      <c r="PUU123" s="1"/>
      <c r="PUV123" s="1"/>
      <c r="PUW123" s="1"/>
      <c r="PUX123" s="1"/>
      <c r="PUY123" s="1"/>
      <c r="PUZ123" s="1"/>
      <c r="PVA123" s="1"/>
      <c r="PVB123" s="1"/>
      <c r="PVC123" s="1"/>
      <c r="PVD123" s="1"/>
      <c r="PVE123" s="1"/>
      <c r="PVF123" s="1"/>
      <c r="PVG123" s="1"/>
      <c r="PVH123" s="1"/>
      <c r="PVI123" s="1"/>
      <c r="PVJ123" s="1"/>
      <c r="PVK123" s="1"/>
      <c r="PVL123" s="1"/>
      <c r="PVM123" s="1"/>
      <c r="PVN123" s="1"/>
      <c r="PVO123" s="1"/>
      <c r="PVP123" s="1"/>
      <c r="PVQ123" s="1"/>
      <c r="PVR123" s="1"/>
      <c r="PVS123" s="1"/>
      <c r="PVT123" s="1"/>
      <c r="PVU123" s="1"/>
      <c r="PVV123" s="1"/>
      <c r="PVW123" s="1"/>
      <c r="PVX123" s="1"/>
      <c r="PVY123" s="1"/>
      <c r="PVZ123" s="1"/>
      <c r="PWA123" s="1"/>
      <c r="PWB123" s="1"/>
      <c r="PWC123" s="1"/>
      <c r="PWD123" s="1"/>
      <c r="PWE123" s="1"/>
      <c r="PWF123" s="1"/>
      <c r="PWG123" s="1"/>
      <c r="PWH123" s="1"/>
      <c r="PWI123" s="1"/>
      <c r="PWJ123" s="1"/>
      <c r="PWK123" s="1"/>
      <c r="PWL123" s="1"/>
      <c r="PWM123" s="1"/>
      <c r="PWN123" s="1"/>
      <c r="PWO123" s="1"/>
      <c r="PWP123" s="1"/>
      <c r="PWQ123" s="1"/>
      <c r="PWR123" s="1"/>
      <c r="PWS123" s="1"/>
      <c r="PWT123" s="1"/>
      <c r="PWU123" s="1"/>
      <c r="PWV123" s="1"/>
      <c r="PWW123" s="1"/>
      <c r="PWX123" s="1"/>
      <c r="PWY123" s="1"/>
      <c r="PWZ123" s="1"/>
      <c r="PXA123" s="1"/>
      <c r="PXB123" s="1"/>
      <c r="PXC123" s="1"/>
      <c r="PXD123" s="1"/>
      <c r="PXE123" s="1"/>
      <c r="PXF123" s="1"/>
      <c r="PXG123" s="1"/>
      <c r="PXH123" s="1"/>
      <c r="PXI123" s="1"/>
      <c r="PXJ123" s="1"/>
      <c r="PXK123" s="1"/>
      <c r="PXL123" s="1"/>
      <c r="PXM123" s="1"/>
      <c r="PXN123" s="1"/>
      <c r="PXO123" s="1"/>
      <c r="PXP123" s="1"/>
      <c r="PXQ123" s="1"/>
      <c r="PXR123" s="1"/>
      <c r="PXS123" s="1"/>
      <c r="PXT123" s="1"/>
      <c r="PXU123" s="1"/>
      <c r="PXV123" s="1"/>
      <c r="PXW123" s="1"/>
      <c r="PXX123" s="1"/>
      <c r="PXY123" s="1"/>
      <c r="PXZ123" s="1"/>
      <c r="PYA123" s="1"/>
      <c r="PYB123" s="1"/>
      <c r="PYC123" s="1"/>
      <c r="PYD123" s="1"/>
      <c r="PYE123" s="1"/>
      <c r="PYF123" s="1"/>
      <c r="PYG123" s="1"/>
      <c r="PYH123" s="1"/>
      <c r="PYI123" s="1"/>
      <c r="PYJ123" s="1"/>
      <c r="PYK123" s="1"/>
      <c r="PYL123" s="1"/>
      <c r="PYM123" s="1"/>
      <c r="PYN123" s="1"/>
      <c r="PYO123" s="1"/>
      <c r="PYP123" s="1"/>
      <c r="PYQ123" s="1"/>
      <c r="PYR123" s="1"/>
      <c r="PYS123" s="1"/>
      <c r="PYT123" s="1"/>
      <c r="PYU123" s="1"/>
      <c r="PYV123" s="1"/>
      <c r="PYW123" s="1"/>
      <c r="PYX123" s="1"/>
      <c r="PYY123" s="1"/>
      <c r="PYZ123" s="1"/>
      <c r="PZA123" s="1"/>
      <c r="PZB123" s="1"/>
      <c r="PZC123" s="1"/>
      <c r="PZD123" s="1"/>
      <c r="PZE123" s="1"/>
      <c r="PZF123" s="1"/>
      <c r="PZG123" s="1"/>
      <c r="PZH123" s="1"/>
      <c r="PZI123" s="1"/>
      <c r="PZJ123" s="1"/>
      <c r="PZK123" s="1"/>
      <c r="PZL123" s="1"/>
      <c r="PZM123" s="1"/>
      <c r="PZN123" s="1"/>
      <c r="PZO123" s="1"/>
      <c r="PZP123" s="1"/>
      <c r="PZQ123" s="1"/>
      <c r="PZR123" s="1"/>
      <c r="PZS123" s="1"/>
      <c r="PZT123" s="1"/>
      <c r="PZU123" s="1"/>
      <c r="PZV123" s="1"/>
      <c r="PZW123" s="1"/>
      <c r="PZX123" s="1"/>
      <c r="PZY123" s="1"/>
      <c r="PZZ123" s="1"/>
      <c r="QAA123" s="1"/>
      <c r="QAB123" s="1"/>
      <c r="QAC123" s="1"/>
      <c r="QAD123" s="1"/>
      <c r="QAE123" s="1"/>
      <c r="QAF123" s="1"/>
      <c r="QAG123" s="1"/>
      <c r="QAH123" s="1"/>
      <c r="QAI123" s="1"/>
      <c r="QAJ123" s="1"/>
      <c r="QAK123" s="1"/>
      <c r="QAL123" s="1"/>
      <c r="QAM123" s="1"/>
      <c r="QAN123" s="1"/>
      <c r="QAO123" s="1"/>
      <c r="QAP123" s="1"/>
      <c r="QAQ123" s="1"/>
      <c r="QAR123" s="1"/>
      <c r="QAS123" s="1"/>
      <c r="QAT123" s="1"/>
      <c r="QAU123" s="1"/>
      <c r="QAV123" s="1"/>
      <c r="QAW123" s="1"/>
      <c r="QAX123" s="1"/>
      <c r="QAY123" s="1"/>
      <c r="QAZ123" s="1"/>
      <c r="QBA123" s="1"/>
      <c r="QBB123" s="1"/>
      <c r="QBC123" s="1"/>
      <c r="QBD123" s="1"/>
      <c r="QBE123" s="1"/>
      <c r="QBF123" s="1"/>
      <c r="QBG123" s="1"/>
      <c r="QBH123" s="1"/>
      <c r="QBI123" s="1"/>
      <c r="QBJ123" s="1"/>
      <c r="QBK123" s="1"/>
      <c r="QBL123" s="1"/>
      <c r="QBM123" s="1"/>
      <c r="QBN123" s="1"/>
      <c r="QBO123" s="1"/>
      <c r="QBP123" s="1"/>
      <c r="QBQ123" s="1"/>
      <c r="QBR123" s="1"/>
      <c r="QBS123" s="1"/>
      <c r="QBT123" s="1"/>
      <c r="QBU123" s="1"/>
      <c r="QBV123" s="1"/>
      <c r="QBW123" s="1"/>
      <c r="QBX123" s="1"/>
      <c r="QBY123" s="1"/>
      <c r="QBZ123" s="1"/>
      <c r="QCA123" s="1"/>
      <c r="QCB123" s="1"/>
      <c r="QCC123" s="1"/>
      <c r="QCD123" s="1"/>
      <c r="QCE123" s="1"/>
      <c r="QCF123" s="1"/>
      <c r="QCG123" s="1"/>
      <c r="QCH123" s="1"/>
      <c r="QCI123" s="1"/>
      <c r="QCJ123" s="1"/>
      <c r="QCK123" s="1"/>
      <c r="QCL123" s="1"/>
      <c r="QCM123" s="1"/>
      <c r="QCN123" s="1"/>
      <c r="QCO123" s="1"/>
      <c r="QCP123" s="1"/>
      <c r="QCQ123" s="1"/>
      <c r="QCR123" s="1"/>
      <c r="QCS123" s="1"/>
      <c r="QCT123" s="1"/>
      <c r="QCU123" s="1"/>
      <c r="QCV123" s="1"/>
      <c r="QCW123" s="1"/>
      <c r="QCX123" s="1"/>
      <c r="QCY123" s="1"/>
      <c r="QCZ123" s="1"/>
      <c r="QDA123" s="1"/>
      <c r="QDB123" s="1"/>
      <c r="QDC123" s="1"/>
      <c r="QDD123" s="1"/>
      <c r="QDE123" s="1"/>
      <c r="QDF123" s="1"/>
      <c r="QDG123" s="1"/>
      <c r="QDH123" s="1"/>
      <c r="QDI123" s="1"/>
      <c r="QDJ123" s="1"/>
      <c r="QDK123" s="1"/>
      <c r="QDL123" s="1"/>
      <c r="QDM123" s="1"/>
      <c r="QDN123" s="1"/>
      <c r="QDO123" s="1"/>
      <c r="QDP123" s="1"/>
      <c r="QDQ123" s="1"/>
      <c r="QDR123" s="1"/>
      <c r="QDS123" s="1"/>
      <c r="QDT123" s="1"/>
      <c r="QDU123" s="1"/>
      <c r="QDV123" s="1"/>
      <c r="QDW123" s="1"/>
      <c r="QDX123" s="1"/>
      <c r="QDY123" s="1"/>
      <c r="QDZ123" s="1"/>
      <c r="QEA123" s="1"/>
      <c r="QEB123" s="1"/>
      <c r="QEC123" s="1"/>
      <c r="QED123" s="1"/>
      <c r="QEE123" s="1"/>
      <c r="QEF123" s="1"/>
      <c r="QEG123" s="1"/>
      <c r="QEH123" s="1"/>
      <c r="QEI123" s="1"/>
      <c r="QEJ123" s="1"/>
      <c r="QEK123" s="1"/>
      <c r="QEL123" s="1"/>
      <c r="QEM123" s="1"/>
      <c r="QEN123" s="1"/>
      <c r="QEO123" s="1"/>
      <c r="QEP123" s="1"/>
      <c r="QEQ123" s="1"/>
      <c r="QER123" s="1"/>
      <c r="QES123" s="1"/>
      <c r="QET123" s="1"/>
      <c r="QEU123" s="1"/>
      <c r="QEV123" s="1"/>
      <c r="QEW123" s="1"/>
      <c r="QEX123" s="1"/>
      <c r="QEY123" s="1"/>
      <c r="QEZ123" s="1"/>
      <c r="QFA123" s="1"/>
      <c r="QFB123" s="1"/>
      <c r="QFC123" s="1"/>
      <c r="QFD123" s="1"/>
      <c r="QFE123" s="1"/>
      <c r="QFF123" s="1"/>
      <c r="QFG123" s="1"/>
      <c r="QFH123" s="1"/>
      <c r="QFI123" s="1"/>
      <c r="QFJ123" s="1"/>
      <c r="QFK123" s="1"/>
      <c r="QFL123" s="1"/>
      <c r="QFM123" s="1"/>
      <c r="QFN123" s="1"/>
      <c r="QFO123" s="1"/>
      <c r="QFP123" s="1"/>
      <c r="QFQ123" s="1"/>
      <c r="QFR123" s="1"/>
      <c r="QFS123" s="1"/>
      <c r="QFT123" s="1"/>
      <c r="QFU123" s="1"/>
      <c r="QFV123" s="1"/>
      <c r="QFW123" s="1"/>
      <c r="QFX123" s="1"/>
      <c r="QFY123" s="1"/>
      <c r="QFZ123" s="1"/>
      <c r="QGA123" s="1"/>
      <c r="QGB123" s="1"/>
      <c r="QGC123" s="1"/>
      <c r="QGD123" s="1"/>
      <c r="QGE123" s="1"/>
      <c r="QGF123" s="1"/>
      <c r="QGG123" s="1"/>
      <c r="QGH123" s="1"/>
      <c r="QGI123" s="1"/>
      <c r="QGJ123" s="1"/>
      <c r="QGK123" s="1"/>
      <c r="QGL123" s="1"/>
      <c r="QGM123" s="1"/>
      <c r="QGN123" s="1"/>
      <c r="QGO123" s="1"/>
      <c r="QGP123" s="1"/>
      <c r="QGQ123" s="1"/>
      <c r="QGR123" s="1"/>
      <c r="QGS123" s="1"/>
      <c r="QGT123" s="1"/>
      <c r="QGU123" s="1"/>
      <c r="QGV123" s="1"/>
      <c r="QGW123" s="1"/>
      <c r="QGX123" s="1"/>
      <c r="QGY123" s="1"/>
      <c r="QGZ123" s="1"/>
      <c r="QHA123" s="1"/>
      <c r="QHB123" s="1"/>
      <c r="QHC123" s="1"/>
      <c r="QHD123" s="1"/>
      <c r="QHE123" s="1"/>
      <c r="QHF123" s="1"/>
      <c r="QHG123" s="1"/>
      <c r="QHH123" s="1"/>
      <c r="QHI123" s="1"/>
      <c r="QHJ123" s="1"/>
      <c r="QHK123" s="1"/>
      <c r="QHL123" s="1"/>
      <c r="QHM123" s="1"/>
      <c r="QHN123" s="1"/>
      <c r="QHO123" s="1"/>
      <c r="QHP123" s="1"/>
      <c r="QHQ123" s="1"/>
      <c r="QHR123" s="1"/>
      <c r="QHS123" s="1"/>
      <c r="QHT123" s="1"/>
      <c r="QHU123" s="1"/>
      <c r="QHV123" s="1"/>
      <c r="QHW123" s="1"/>
      <c r="QHX123" s="1"/>
      <c r="QHY123" s="1"/>
      <c r="QHZ123" s="1"/>
      <c r="QIA123" s="1"/>
      <c r="QIB123" s="1"/>
      <c r="QIC123" s="1"/>
      <c r="QID123" s="1"/>
      <c r="QIE123" s="1"/>
      <c r="QIF123" s="1"/>
      <c r="QIG123" s="1"/>
      <c r="QIH123" s="1"/>
      <c r="QII123" s="1"/>
      <c r="QIJ123" s="1"/>
      <c r="QIK123" s="1"/>
      <c r="QIL123" s="1"/>
      <c r="QIM123" s="1"/>
      <c r="QIN123" s="1"/>
      <c r="QIO123" s="1"/>
      <c r="QIP123" s="1"/>
      <c r="QIQ123" s="1"/>
      <c r="QIR123" s="1"/>
      <c r="QIS123" s="1"/>
      <c r="QIT123" s="1"/>
      <c r="QIU123" s="1"/>
      <c r="QIV123" s="1"/>
      <c r="QIW123" s="1"/>
      <c r="QIX123" s="1"/>
      <c r="QIY123" s="1"/>
      <c r="QIZ123" s="1"/>
      <c r="QJA123" s="1"/>
      <c r="QJB123" s="1"/>
      <c r="QJC123" s="1"/>
      <c r="QJD123" s="1"/>
      <c r="QJE123" s="1"/>
      <c r="QJF123" s="1"/>
      <c r="QJG123" s="1"/>
      <c r="QJH123" s="1"/>
      <c r="QJI123" s="1"/>
      <c r="QJJ123" s="1"/>
      <c r="QJK123" s="1"/>
      <c r="QJL123" s="1"/>
      <c r="QJM123" s="1"/>
      <c r="QJN123" s="1"/>
      <c r="QJO123" s="1"/>
      <c r="QJP123" s="1"/>
      <c r="QJQ123" s="1"/>
      <c r="QJR123" s="1"/>
      <c r="QJS123" s="1"/>
      <c r="QJT123" s="1"/>
      <c r="QJU123" s="1"/>
      <c r="QJV123" s="1"/>
      <c r="QJW123" s="1"/>
      <c r="QJX123" s="1"/>
      <c r="QJY123" s="1"/>
      <c r="QJZ123" s="1"/>
      <c r="QKA123" s="1"/>
      <c r="QKB123" s="1"/>
      <c r="QKC123" s="1"/>
      <c r="QKD123" s="1"/>
      <c r="QKE123" s="1"/>
      <c r="QKF123" s="1"/>
      <c r="QKG123" s="1"/>
      <c r="QKH123" s="1"/>
      <c r="QKI123" s="1"/>
      <c r="QKJ123" s="1"/>
      <c r="QKK123" s="1"/>
      <c r="QKL123" s="1"/>
      <c r="QKM123" s="1"/>
      <c r="QKN123" s="1"/>
      <c r="QKO123" s="1"/>
      <c r="QKP123" s="1"/>
      <c r="QKQ123" s="1"/>
      <c r="QKR123" s="1"/>
      <c r="QKS123" s="1"/>
      <c r="QKT123" s="1"/>
      <c r="QKU123" s="1"/>
      <c r="QKV123" s="1"/>
      <c r="QKW123" s="1"/>
      <c r="QKX123" s="1"/>
      <c r="QKY123" s="1"/>
      <c r="QKZ123" s="1"/>
      <c r="QLA123" s="1"/>
      <c r="QLB123" s="1"/>
      <c r="QLC123" s="1"/>
      <c r="QLD123" s="1"/>
      <c r="QLE123" s="1"/>
      <c r="QLF123" s="1"/>
      <c r="QLG123" s="1"/>
      <c r="QLH123" s="1"/>
      <c r="QLI123" s="1"/>
      <c r="QLJ123" s="1"/>
      <c r="QLK123" s="1"/>
      <c r="QLL123" s="1"/>
      <c r="QLM123" s="1"/>
      <c r="QLN123" s="1"/>
      <c r="QLO123" s="1"/>
      <c r="QLP123" s="1"/>
      <c r="QLQ123" s="1"/>
      <c r="QLR123" s="1"/>
      <c r="QLS123" s="1"/>
      <c r="QLT123" s="1"/>
      <c r="QLU123" s="1"/>
      <c r="QLV123" s="1"/>
      <c r="QLW123" s="1"/>
      <c r="QLX123" s="1"/>
      <c r="QLY123" s="1"/>
      <c r="QLZ123" s="1"/>
      <c r="QMA123" s="1"/>
      <c r="QMB123" s="1"/>
      <c r="QMC123" s="1"/>
      <c r="QMD123" s="1"/>
      <c r="QME123" s="1"/>
      <c r="QMF123" s="1"/>
      <c r="QMG123" s="1"/>
      <c r="QMH123" s="1"/>
      <c r="QMI123" s="1"/>
      <c r="QMJ123" s="1"/>
      <c r="QMK123" s="1"/>
      <c r="QML123" s="1"/>
      <c r="QMM123" s="1"/>
      <c r="QMN123" s="1"/>
      <c r="QMO123" s="1"/>
      <c r="QMP123" s="1"/>
      <c r="QMQ123" s="1"/>
      <c r="QMR123" s="1"/>
      <c r="QMS123" s="1"/>
      <c r="QMT123" s="1"/>
      <c r="QMU123" s="1"/>
      <c r="QMV123" s="1"/>
      <c r="QMW123" s="1"/>
      <c r="QMX123" s="1"/>
      <c r="QMY123" s="1"/>
      <c r="QMZ123" s="1"/>
      <c r="QNA123" s="1"/>
      <c r="QNB123" s="1"/>
      <c r="QNC123" s="1"/>
      <c r="QND123" s="1"/>
      <c r="QNE123" s="1"/>
      <c r="QNF123" s="1"/>
      <c r="QNG123" s="1"/>
      <c r="QNH123" s="1"/>
      <c r="QNI123" s="1"/>
      <c r="QNJ123" s="1"/>
      <c r="QNK123" s="1"/>
      <c r="QNL123" s="1"/>
      <c r="QNM123" s="1"/>
      <c r="QNN123" s="1"/>
      <c r="QNO123" s="1"/>
      <c r="QNP123" s="1"/>
      <c r="QNQ123" s="1"/>
      <c r="QNR123" s="1"/>
      <c r="QNS123" s="1"/>
      <c r="QNT123" s="1"/>
      <c r="QNU123" s="1"/>
      <c r="QNV123" s="1"/>
      <c r="QNW123" s="1"/>
      <c r="QNX123" s="1"/>
      <c r="QNY123" s="1"/>
      <c r="QNZ123" s="1"/>
      <c r="QOA123" s="1"/>
      <c r="QOB123" s="1"/>
      <c r="QOC123" s="1"/>
      <c r="QOD123" s="1"/>
      <c r="QOE123" s="1"/>
      <c r="QOF123" s="1"/>
      <c r="QOG123" s="1"/>
      <c r="QOH123" s="1"/>
      <c r="QOI123" s="1"/>
      <c r="QOJ123" s="1"/>
      <c r="QOK123" s="1"/>
      <c r="QOL123" s="1"/>
      <c r="QOM123" s="1"/>
      <c r="QON123" s="1"/>
      <c r="QOO123" s="1"/>
      <c r="QOP123" s="1"/>
      <c r="QOQ123" s="1"/>
      <c r="QOR123" s="1"/>
      <c r="QOS123" s="1"/>
      <c r="QOT123" s="1"/>
      <c r="QOU123" s="1"/>
      <c r="QOV123" s="1"/>
      <c r="QOW123" s="1"/>
      <c r="QOX123" s="1"/>
      <c r="QOY123" s="1"/>
      <c r="QOZ123" s="1"/>
      <c r="QPA123" s="1"/>
      <c r="QPB123" s="1"/>
      <c r="QPC123" s="1"/>
      <c r="QPD123" s="1"/>
      <c r="QPE123" s="1"/>
      <c r="QPF123" s="1"/>
      <c r="QPG123" s="1"/>
      <c r="QPH123" s="1"/>
      <c r="QPI123" s="1"/>
      <c r="QPJ123" s="1"/>
      <c r="QPK123" s="1"/>
      <c r="QPL123" s="1"/>
      <c r="QPM123" s="1"/>
      <c r="QPN123" s="1"/>
      <c r="QPO123" s="1"/>
      <c r="QPP123" s="1"/>
      <c r="QPQ123" s="1"/>
      <c r="QPR123" s="1"/>
      <c r="QPS123" s="1"/>
      <c r="QPT123" s="1"/>
      <c r="QPU123" s="1"/>
      <c r="QPV123" s="1"/>
      <c r="QPW123" s="1"/>
      <c r="QPX123" s="1"/>
      <c r="QPY123" s="1"/>
      <c r="QPZ123" s="1"/>
      <c r="QQA123" s="1"/>
      <c r="QQB123" s="1"/>
      <c r="QQC123" s="1"/>
      <c r="QQD123" s="1"/>
      <c r="QQE123" s="1"/>
      <c r="QQF123" s="1"/>
      <c r="QQG123" s="1"/>
      <c r="QQH123" s="1"/>
      <c r="QQI123" s="1"/>
      <c r="QQJ123" s="1"/>
      <c r="QQK123" s="1"/>
      <c r="QQL123" s="1"/>
      <c r="QQM123" s="1"/>
      <c r="QQN123" s="1"/>
      <c r="QQO123" s="1"/>
      <c r="QQP123" s="1"/>
      <c r="QQQ123" s="1"/>
      <c r="QQR123" s="1"/>
      <c r="QQS123" s="1"/>
      <c r="QQT123" s="1"/>
      <c r="QQU123" s="1"/>
      <c r="QQV123" s="1"/>
      <c r="QQW123" s="1"/>
      <c r="QQX123" s="1"/>
      <c r="QQY123" s="1"/>
      <c r="QQZ123" s="1"/>
      <c r="QRA123" s="1"/>
      <c r="QRB123" s="1"/>
      <c r="QRC123" s="1"/>
      <c r="QRD123" s="1"/>
      <c r="QRE123" s="1"/>
      <c r="QRF123" s="1"/>
      <c r="QRG123" s="1"/>
      <c r="QRH123" s="1"/>
      <c r="QRI123" s="1"/>
      <c r="QRJ123" s="1"/>
      <c r="QRK123" s="1"/>
      <c r="QRL123" s="1"/>
      <c r="QRM123" s="1"/>
      <c r="QRN123" s="1"/>
      <c r="QRO123" s="1"/>
      <c r="QRP123" s="1"/>
      <c r="QRQ123" s="1"/>
      <c r="QRR123" s="1"/>
      <c r="QRS123" s="1"/>
      <c r="QRT123" s="1"/>
      <c r="QRU123" s="1"/>
      <c r="QRV123" s="1"/>
      <c r="QRW123" s="1"/>
      <c r="QRX123" s="1"/>
      <c r="QRY123" s="1"/>
      <c r="QRZ123" s="1"/>
      <c r="QSA123" s="1"/>
      <c r="QSB123" s="1"/>
      <c r="QSC123" s="1"/>
      <c r="QSD123" s="1"/>
      <c r="QSE123" s="1"/>
      <c r="QSF123" s="1"/>
      <c r="QSG123" s="1"/>
      <c r="QSH123" s="1"/>
      <c r="QSI123" s="1"/>
      <c r="QSJ123" s="1"/>
      <c r="QSK123" s="1"/>
      <c r="QSL123" s="1"/>
      <c r="QSM123" s="1"/>
      <c r="QSN123" s="1"/>
      <c r="QSO123" s="1"/>
      <c r="QSP123" s="1"/>
      <c r="QSQ123" s="1"/>
      <c r="QSR123" s="1"/>
      <c r="QSS123" s="1"/>
      <c r="QST123" s="1"/>
      <c r="QSU123" s="1"/>
      <c r="QSV123" s="1"/>
      <c r="QSW123" s="1"/>
      <c r="QSX123" s="1"/>
      <c r="QSY123" s="1"/>
      <c r="QSZ123" s="1"/>
      <c r="QTA123" s="1"/>
      <c r="QTB123" s="1"/>
      <c r="QTC123" s="1"/>
      <c r="QTD123" s="1"/>
      <c r="QTE123" s="1"/>
      <c r="QTF123" s="1"/>
      <c r="QTG123" s="1"/>
      <c r="QTH123" s="1"/>
      <c r="QTI123" s="1"/>
      <c r="QTJ123" s="1"/>
      <c r="QTK123" s="1"/>
      <c r="QTL123" s="1"/>
      <c r="QTM123" s="1"/>
      <c r="QTN123" s="1"/>
      <c r="QTO123" s="1"/>
      <c r="QTP123" s="1"/>
      <c r="QTQ123" s="1"/>
      <c r="QTR123" s="1"/>
      <c r="QTS123" s="1"/>
      <c r="QTT123" s="1"/>
      <c r="QTU123" s="1"/>
      <c r="QTV123" s="1"/>
      <c r="QTW123" s="1"/>
      <c r="QTX123" s="1"/>
      <c r="QTY123" s="1"/>
      <c r="QTZ123" s="1"/>
      <c r="QUA123" s="1"/>
      <c r="QUB123" s="1"/>
      <c r="QUC123" s="1"/>
      <c r="QUD123" s="1"/>
      <c r="QUE123" s="1"/>
      <c r="QUF123" s="1"/>
      <c r="QUG123" s="1"/>
      <c r="QUH123" s="1"/>
      <c r="QUI123" s="1"/>
      <c r="QUJ123" s="1"/>
      <c r="QUK123" s="1"/>
      <c r="QUL123" s="1"/>
      <c r="QUM123" s="1"/>
      <c r="QUN123" s="1"/>
      <c r="QUO123" s="1"/>
      <c r="QUP123" s="1"/>
      <c r="QUQ123" s="1"/>
      <c r="QUR123" s="1"/>
      <c r="QUS123" s="1"/>
      <c r="QUT123" s="1"/>
      <c r="QUU123" s="1"/>
      <c r="QUV123" s="1"/>
      <c r="QUW123" s="1"/>
      <c r="QUX123" s="1"/>
      <c r="QUY123" s="1"/>
      <c r="QUZ123" s="1"/>
      <c r="QVA123" s="1"/>
      <c r="QVB123" s="1"/>
      <c r="QVC123" s="1"/>
      <c r="QVD123" s="1"/>
      <c r="QVE123" s="1"/>
      <c r="QVF123" s="1"/>
      <c r="QVG123" s="1"/>
      <c r="QVH123" s="1"/>
      <c r="QVI123" s="1"/>
      <c r="QVJ123" s="1"/>
      <c r="QVK123" s="1"/>
      <c r="QVL123" s="1"/>
      <c r="QVM123" s="1"/>
      <c r="QVN123" s="1"/>
      <c r="QVO123" s="1"/>
      <c r="QVP123" s="1"/>
      <c r="QVQ123" s="1"/>
      <c r="QVR123" s="1"/>
      <c r="QVS123" s="1"/>
      <c r="QVT123" s="1"/>
      <c r="QVU123" s="1"/>
      <c r="QVV123" s="1"/>
      <c r="QVW123" s="1"/>
      <c r="QVX123" s="1"/>
      <c r="QVY123" s="1"/>
      <c r="QVZ123" s="1"/>
      <c r="QWA123" s="1"/>
      <c r="QWB123" s="1"/>
      <c r="QWC123" s="1"/>
      <c r="QWD123" s="1"/>
      <c r="QWE123" s="1"/>
      <c r="QWF123" s="1"/>
      <c r="QWG123" s="1"/>
      <c r="QWH123" s="1"/>
      <c r="QWI123" s="1"/>
      <c r="QWJ123" s="1"/>
      <c r="QWK123" s="1"/>
      <c r="QWL123" s="1"/>
      <c r="QWM123" s="1"/>
      <c r="QWN123" s="1"/>
      <c r="QWO123" s="1"/>
      <c r="QWP123" s="1"/>
      <c r="QWQ123" s="1"/>
      <c r="QWR123" s="1"/>
      <c r="QWS123" s="1"/>
      <c r="QWT123" s="1"/>
      <c r="QWU123" s="1"/>
      <c r="QWV123" s="1"/>
      <c r="QWW123" s="1"/>
      <c r="QWX123" s="1"/>
      <c r="QWY123" s="1"/>
      <c r="QWZ123" s="1"/>
      <c r="QXA123" s="1"/>
      <c r="QXB123" s="1"/>
      <c r="QXC123" s="1"/>
      <c r="QXD123" s="1"/>
      <c r="QXE123" s="1"/>
      <c r="QXF123" s="1"/>
      <c r="QXG123" s="1"/>
      <c r="QXH123" s="1"/>
      <c r="QXI123" s="1"/>
      <c r="QXJ123" s="1"/>
      <c r="QXK123" s="1"/>
      <c r="QXL123" s="1"/>
      <c r="QXM123" s="1"/>
      <c r="QXN123" s="1"/>
      <c r="QXO123" s="1"/>
      <c r="QXP123" s="1"/>
      <c r="QXQ123" s="1"/>
      <c r="QXR123" s="1"/>
      <c r="QXS123" s="1"/>
      <c r="QXT123" s="1"/>
      <c r="QXU123" s="1"/>
      <c r="QXV123" s="1"/>
      <c r="QXW123" s="1"/>
      <c r="QXX123" s="1"/>
      <c r="QXY123" s="1"/>
      <c r="QXZ123" s="1"/>
      <c r="QYA123" s="1"/>
      <c r="QYB123" s="1"/>
      <c r="QYC123" s="1"/>
      <c r="QYD123" s="1"/>
      <c r="QYE123" s="1"/>
      <c r="QYF123" s="1"/>
      <c r="QYG123" s="1"/>
      <c r="QYH123" s="1"/>
      <c r="QYI123" s="1"/>
      <c r="QYJ123" s="1"/>
      <c r="QYK123" s="1"/>
      <c r="QYL123" s="1"/>
      <c r="QYM123" s="1"/>
      <c r="QYN123" s="1"/>
      <c r="QYO123" s="1"/>
      <c r="QYP123" s="1"/>
      <c r="QYQ123" s="1"/>
      <c r="QYR123" s="1"/>
      <c r="QYS123" s="1"/>
      <c r="QYT123" s="1"/>
      <c r="QYU123" s="1"/>
      <c r="QYV123" s="1"/>
      <c r="QYW123" s="1"/>
      <c r="QYX123" s="1"/>
      <c r="QYY123" s="1"/>
      <c r="QYZ123" s="1"/>
      <c r="QZA123" s="1"/>
      <c r="QZB123" s="1"/>
      <c r="QZC123" s="1"/>
      <c r="QZD123" s="1"/>
      <c r="QZE123" s="1"/>
      <c r="QZF123" s="1"/>
      <c r="QZG123" s="1"/>
      <c r="QZH123" s="1"/>
      <c r="QZI123" s="1"/>
      <c r="QZJ123" s="1"/>
      <c r="QZK123" s="1"/>
      <c r="QZL123" s="1"/>
      <c r="QZM123" s="1"/>
      <c r="QZN123" s="1"/>
      <c r="QZO123" s="1"/>
      <c r="QZP123" s="1"/>
      <c r="QZQ123" s="1"/>
      <c r="QZR123" s="1"/>
      <c r="QZS123" s="1"/>
      <c r="QZT123" s="1"/>
      <c r="QZU123" s="1"/>
      <c r="QZV123" s="1"/>
      <c r="QZW123" s="1"/>
      <c r="QZX123" s="1"/>
      <c r="QZY123" s="1"/>
      <c r="QZZ123" s="1"/>
      <c r="RAA123" s="1"/>
      <c r="RAB123" s="1"/>
      <c r="RAC123" s="1"/>
      <c r="RAD123" s="1"/>
      <c r="RAE123" s="1"/>
      <c r="RAF123" s="1"/>
      <c r="RAG123" s="1"/>
      <c r="RAH123" s="1"/>
      <c r="RAI123" s="1"/>
      <c r="RAJ123" s="1"/>
      <c r="RAK123" s="1"/>
      <c r="RAL123" s="1"/>
      <c r="RAM123" s="1"/>
      <c r="RAN123" s="1"/>
      <c r="RAO123" s="1"/>
      <c r="RAP123" s="1"/>
      <c r="RAQ123" s="1"/>
      <c r="RAR123" s="1"/>
      <c r="RAS123" s="1"/>
      <c r="RAT123" s="1"/>
      <c r="RAU123" s="1"/>
      <c r="RAV123" s="1"/>
      <c r="RAW123" s="1"/>
      <c r="RAX123" s="1"/>
      <c r="RAY123" s="1"/>
      <c r="RAZ123" s="1"/>
      <c r="RBA123" s="1"/>
      <c r="RBB123" s="1"/>
      <c r="RBC123" s="1"/>
      <c r="RBD123" s="1"/>
      <c r="RBE123" s="1"/>
      <c r="RBF123" s="1"/>
      <c r="RBG123" s="1"/>
      <c r="RBH123" s="1"/>
      <c r="RBI123" s="1"/>
      <c r="RBJ123" s="1"/>
      <c r="RBK123" s="1"/>
      <c r="RBL123" s="1"/>
      <c r="RBM123" s="1"/>
      <c r="RBN123" s="1"/>
      <c r="RBO123" s="1"/>
      <c r="RBP123" s="1"/>
      <c r="RBQ123" s="1"/>
      <c r="RBR123" s="1"/>
      <c r="RBS123" s="1"/>
      <c r="RBT123" s="1"/>
      <c r="RBU123" s="1"/>
      <c r="RBV123" s="1"/>
      <c r="RBW123" s="1"/>
      <c r="RBX123" s="1"/>
      <c r="RBY123" s="1"/>
      <c r="RBZ123" s="1"/>
      <c r="RCA123" s="1"/>
      <c r="RCB123" s="1"/>
      <c r="RCC123" s="1"/>
      <c r="RCD123" s="1"/>
      <c r="RCE123" s="1"/>
      <c r="RCF123" s="1"/>
      <c r="RCG123" s="1"/>
      <c r="RCH123" s="1"/>
      <c r="RCI123" s="1"/>
      <c r="RCJ123" s="1"/>
      <c r="RCK123" s="1"/>
      <c r="RCL123" s="1"/>
      <c r="RCM123" s="1"/>
      <c r="RCN123" s="1"/>
      <c r="RCO123" s="1"/>
      <c r="RCP123" s="1"/>
      <c r="RCQ123" s="1"/>
      <c r="RCR123" s="1"/>
      <c r="RCS123" s="1"/>
      <c r="RCT123" s="1"/>
      <c r="RCU123" s="1"/>
      <c r="RCV123" s="1"/>
      <c r="RCW123" s="1"/>
      <c r="RCX123" s="1"/>
      <c r="RCY123" s="1"/>
      <c r="RCZ123" s="1"/>
      <c r="RDA123" s="1"/>
      <c r="RDB123" s="1"/>
      <c r="RDC123" s="1"/>
      <c r="RDD123" s="1"/>
      <c r="RDE123" s="1"/>
      <c r="RDF123" s="1"/>
      <c r="RDG123" s="1"/>
      <c r="RDH123" s="1"/>
      <c r="RDI123" s="1"/>
      <c r="RDJ123" s="1"/>
      <c r="RDK123" s="1"/>
      <c r="RDL123" s="1"/>
      <c r="RDM123" s="1"/>
      <c r="RDN123" s="1"/>
      <c r="RDO123" s="1"/>
      <c r="RDP123" s="1"/>
      <c r="RDQ123" s="1"/>
      <c r="RDR123" s="1"/>
      <c r="RDS123" s="1"/>
      <c r="RDT123" s="1"/>
      <c r="RDU123" s="1"/>
      <c r="RDV123" s="1"/>
      <c r="RDW123" s="1"/>
      <c r="RDX123" s="1"/>
      <c r="RDY123" s="1"/>
      <c r="RDZ123" s="1"/>
      <c r="REA123" s="1"/>
      <c r="REB123" s="1"/>
      <c r="REC123" s="1"/>
      <c r="RED123" s="1"/>
      <c r="REE123" s="1"/>
      <c r="REF123" s="1"/>
      <c r="REG123" s="1"/>
      <c r="REH123" s="1"/>
      <c r="REI123" s="1"/>
      <c r="REJ123" s="1"/>
      <c r="REK123" s="1"/>
      <c r="REL123" s="1"/>
      <c r="REM123" s="1"/>
      <c r="REN123" s="1"/>
      <c r="REO123" s="1"/>
      <c r="REP123" s="1"/>
      <c r="REQ123" s="1"/>
      <c r="RER123" s="1"/>
      <c r="RES123" s="1"/>
      <c r="RET123" s="1"/>
      <c r="REU123" s="1"/>
      <c r="REV123" s="1"/>
      <c r="REW123" s="1"/>
      <c r="REX123" s="1"/>
      <c r="REY123" s="1"/>
      <c r="REZ123" s="1"/>
      <c r="RFA123" s="1"/>
      <c r="RFB123" s="1"/>
      <c r="RFC123" s="1"/>
      <c r="RFD123" s="1"/>
      <c r="RFE123" s="1"/>
      <c r="RFF123" s="1"/>
      <c r="RFG123" s="1"/>
      <c r="RFH123" s="1"/>
      <c r="RFI123" s="1"/>
      <c r="RFJ123" s="1"/>
      <c r="RFK123" s="1"/>
      <c r="RFL123" s="1"/>
      <c r="RFM123" s="1"/>
      <c r="RFN123" s="1"/>
      <c r="RFO123" s="1"/>
      <c r="RFP123" s="1"/>
      <c r="RFQ123" s="1"/>
      <c r="RFR123" s="1"/>
      <c r="RFS123" s="1"/>
      <c r="RFT123" s="1"/>
      <c r="RFU123" s="1"/>
      <c r="RFV123" s="1"/>
      <c r="RFW123" s="1"/>
      <c r="RFX123" s="1"/>
      <c r="RFY123" s="1"/>
      <c r="RFZ123" s="1"/>
      <c r="RGA123" s="1"/>
      <c r="RGB123" s="1"/>
      <c r="RGC123" s="1"/>
      <c r="RGD123" s="1"/>
      <c r="RGE123" s="1"/>
      <c r="RGF123" s="1"/>
      <c r="RGG123" s="1"/>
      <c r="RGH123" s="1"/>
      <c r="RGI123" s="1"/>
      <c r="RGJ123" s="1"/>
      <c r="RGK123" s="1"/>
      <c r="RGL123" s="1"/>
      <c r="RGM123" s="1"/>
      <c r="RGN123" s="1"/>
      <c r="RGO123" s="1"/>
      <c r="RGP123" s="1"/>
      <c r="RGQ123" s="1"/>
      <c r="RGR123" s="1"/>
      <c r="RGS123" s="1"/>
      <c r="RGT123" s="1"/>
      <c r="RGU123" s="1"/>
      <c r="RGV123" s="1"/>
      <c r="RGW123" s="1"/>
      <c r="RGX123" s="1"/>
      <c r="RGY123" s="1"/>
      <c r="RGZ123" s="1"/>
      <c r="RHA123" s="1"/>
      <c r="RHB123" s="1"/>
      <c r="RHC123" s="1"/>
      <c r="RHD123" s="1"/>
      <c r="RHE123" s="1"/>
      <c r="RHF123" s="1"/>
      <c r="RHG123" s="1"/>
      <c r="RHH123" s="1"/>
      <c r="RHI123" s="1"/>
      <c r="RHJ123" s="1"/>
      <c r="RHK123" s="1"/>
      <c r="RHL123" s="1"/>
      <c r="RHM123" s="1"/>
      <c r="RHN123" s="1"/>
      <c r="RHO123" s="1"/>
      <c r="RHP123" s="1"/>
      <c r="RHQ123" s="1"/>
      <c r="RHR123" s="1"/>
      <c r="RHS123" s="1"/>
      <c r="RHT123" s="1"/>
      <c r="RHU123" s="1"/>
      <c r="RHV123" s="1"/>
      <c r="RHW123" s="1"/>
      <c r="RHX123" s="1"/>
      <c r="RHY123" s="1"/>
      <c r="RHZ123" s="1"/>
      <c r="RIA123" s="1"/>
      <c r="RIB123" s="1"/>
      <c r="RIC123" s="1"/>
      <c r="RID123" s="1"/>
      <c r="RIE123" s="1"/>
      <c r="RIF123" s="1"/>
      <c r="RIG123" s="1"/>
      <c r="RIH123" s="1"/>
      <c r="RII123" s="1"/>
      <c r="RIJ123" s="1"/>
      <c r="RIK123" s="1"/>
      <c r="RIL123" s="1"/>
      <c r="RIM123" s="1"/>
      <c r="RIN123" s="1"/>
      <c r="RIO123" s="1"/>
      <c r="RIP123" s="1"/>
      <c r="RIQ123" s="1"/>
      <c r="RIR123" s="1"/>
      <c r="RIS123" s="1"/>
      <c r="RIT123" s="1"/>
      <c r="RIU123" s="1"/>
      <c r="RIV123" s="1"/>
      <c r="RIW123" s="1"/>
      <c r="RIX123" s="1"/>
      <c r="RIY123" s="1"/>
      <c r="RIZ123" s="1"/>
      <c r="RJA123" s="1"/>
      <c r="RJB123" s="1"/>
      <c r="RJC123" s="1"/>
      <c r="RJD123" s="1"/>
      <c r="RJE123" s="1"/>
      <c r="RJF123" s="1"/>
      <c r="RJG123" s="1"/>
      <c r="RJH123" s="1"/>
      <c r="RJI123" s="1"/>
      <c r="RJJ123" s="1"/>
      <c r="RJK123" s="1"/>
      <c r="RJL123" s="1"/>
      <c r="RJM123" s="1"/>
      <c r="RJN123" s="1"/>
      <c r="RJO123" s="1"/>
      <c r="RJP123" s="1"/>
      <c r="RJQ123" s="1"/>
      <c r="RJR123" s="1"/>
      <c r="RJS123" s="1"/>
      <c r="RJT123" s="1"/>
      <c r="RJU123" s="1"/>
      <c r="RJV123" s="1"/>
      <c r="RJW123" s="1"/>
      <c r="RJX123" s="1"/>
      <c r="RJY123" s="1"/>
      <c r="RJZ123" s="1"/>
      <c r="RKA123" s="1"/>
      <c r="RKB123" s="1"/>
      <c r="RKC123" s="1"/>
      <c r="RKD123" s="1"/>
      <c r="RKE123" s="1"/>
      <c r="RKF123" s="1"/>
      <c r="RKG123" s="1"/>
      <c r="RKH123" s="1"/>
      <c r="RKI123" s="1"/>
      <c r="RKJ123" s="1"/>
      <c r="RKK123" s="1"/>
      <c r="RKL123" s="1"/>
      <c r="RKM123" s="1"/>
      <c r="RKN123" s="1"/>
      <c r="RKO123" s="1"/>
      <c r="RKP123" s="1"/>
      <c r="RKQ123" s="1"/>
      <c r="RKR123" s="1"/>
      <c r="RKS123" s="1"/>
      <c r="RKT123" s="1"/>
      <c r="RKU123" s="1"/>
      <c r="RKV123" s="1"/>
      <c r="RKW123" s="1"/>
      <c r="RKX123" s="1"/>
      <c r="RKY123" s="1"/>
      <c r="RKZ123" s="1"/>
      <c r="RLA123" s="1"/>
      <c r="RLB123" s="1"/>
      <c r="RLC123" s="1"/>
      <c r="RLD123" s="1"/>
      <c r="RLE123" s="1"/>
      <c r="RLF123" s="1"/>
      <c r="RLG123" s="1"/>
      <c r="RLH123" s="1"/>
      <c r="RLI123" s="1"/>
      <c r="RLJ123" s="1"/>
      <c r="RLK123" s="1"/>
      <c r="RLL123" s="1"/>
      <c r="RLM123" s="1"/>
      <c r="RLN123" s="1"/>
      <c r="RLO123" s="1"/>
      <c r="RLP123" s="1"/>
      <c r="RLQ123" s="1"/>
      <c r="RLR123" s="1"/>
      <c r="RLS123" s="1"/>
      <c r="RLT123" s="1"/>
      <c r="RLU123" s="1"/>
      <c r="RLV123" s="1"/>
      <c r="RLW123" s="1"/>
      <c r="RLX123" s="1"/>
      <c r="RLY123" s="1"/>
      <c r="RLZ123" s="1"/>
      <c r="RMA123" s="1"/>
      <c r="RMB123" s="1"/>
      <c r="RMC123" s="1"/>
      <c r="RMD123" s="1"/>
      <c r="RME123" s="1"/>
      <c r="RMF123" s="1"/>
      <c r="RMG123" s="1"/>
      <c r="RMH123" s="1"/>
      <c r="RMI123" s="1"/>
      <c r="RMJ123" s="1"/>
      <c r="RMK123" s="1"/>
      <c r="RML123" s="1"/>
      <c r="RMM123" s="1"/>
      <c r="RMN123" s="1"/>
      <c r="RMO123" s="1"/>
      <c r="RMP123" s="1"/>
      <c r="RMQ123" s="1"/>
      <c r="RMR123" s="1"/>
      <c r="RMS123" s="1"/>
      <c r="RMT123" s="1"/>
      <c r="RMU123" s="1"/>
      <c r="RMV123" s="1"/>
      <c r="RMW123" s="1"/>
      <c r="RMX123" s="1"/>
      <c r="RMY123" s="1"/>
      <c r="RMZ123" s="1"/>
      <c r="RNA123" s="1"/>
      <c r="RNB123" s="1"/>
      <c r="RNC123" s="1"/>
      <c r="RND123" s="1"/>
      <c r="RNE123" s="1"/>
      <c r="RNF123" s="1"/>
      <c r="RNG123" s="1"/>
      <c r="RNH123" s="1"/>
      <c r="RNI123" s="1"/>
      <c r="RNJ123" s="1"/>
      <c r="RNK123" s="1"/>
      <c r="RNL123" s="1"/>
      <c r="RNM123" s="1"/>
      <c r="RNN123" s="1"/>
      <c r="RNO123" s="1"/>
      <c r="RNP123" s="1"/>
      <c r="RNQ123" s="1"/>
      <c r="RNR123" s="1"/>
      <c r="RNS123" s="1"/>
      <c r="RNT123" s="1"/>
      <c r="RNU123" s="1"/>
      <c r="RNV123" s="1"/>
      <c r="RNW123" s="1"/>
      <c r="RNX123" s="1"/>
      <c r="RNY123" s="1"/>
      <c r="RNZ123" s="1"/>
      <c r="ROA123" s="1"/>
      <c r="ROB123" s="1"/>
      <c r="ROC123" s="1"/>
      <c r="ROD123" s="1"/>
      <c r="ROE123" s="1"/>
      <c r="ROF123" s="1"/>
      <c r="ROG123" s="1"/>
      <c r="ROH123" s="1"/>
      <c r="ROI123" s="1"/>
      <c r="ROJ123" s="1"/>
      <c r="ROK123" s="1"/>
      <c r="ROL123" s="1"/>
      <c r="ROM123" s="1"/>
      <c r="RON123" s="1"/>
      <c r="ROO123" s="1"/>
      <c r="ROP123" s="1"/>
      <c r="ROQ123" s="1"/>
      <c r="ROR123" s="1"/>
      <c r="ROS123" s="1"/>
      <c r="ROT123" s="1"/>
      <c r="ROU123" s="1"/>
      <c r="ROV123" s="1"/>
      <c r="ROW123" s="1"/>
      <c r="ROX123" s="1"/>
      <c r="ROY123" s="1"/>
      <c r="ROZ123" s="1"/>
      <c r="RPA123" s="1"/>
      <c r="RPB123" s="1"/>
      <c r="RPC123" s="1"/>
      <c r="RPD123" s="1"/>
      <c r="RPE123" s="1"/>
      <c r="RPF123" s="1"/>
      <c r="RPG123" s="1"/>
      <c r="RPH123" s="1"/>
      <c r="RPI123" s="1"/>
      <c r="RPJ123" s="1"/>
      <c r="RPK123" s="1"/>
      <c r="RPL123" s="1"/>
      <c r="RPM123" s="1"/>
      <c r="RPN123" s="1"/>
      <c r="RPO123" s="1"/>
      <c r="RPP123" s="1"/>
      <c r="RPQ123" s="1"/>
      <c r="RPR123" s="1"/>
      <c r="RPS123" s="1"/>
      <c r="RPT123" s="1"/>
      <c r="RPU123" s="1"/>
      <c r="RPV123" s="1"/>
      <c r="RPW123" s="1"/>
      <c r="RPX123" s="1"/>
      <c r="RPY123" s="1"/>
      <c r="RPZ123" s="1"/>
      <c r="RQA123" s="1"/>
      <c r="RQB123" s="1"/>
      <c r="RQC123" s="1"/>
      <c r="RQD123" s="1"/>
      <c r="RQE123" s="1"/>
      <c r="RQF123" s="1"/>
      <c r="RQG123" s="1"/>
      <c r="RQH123" s="1"/>
      <c r="RQI123" s="1"/>
      <c r="RQJ123" s="1"/>
      <c r="RQK123" s="1"/>
      <c r="RQL123" s="1"/>
      <c r="RQM123" s="1"/>
      <c r="RQN123" s="1"/>
      <c r="RQO123" s="1"/>
      <c r="RQP123" s="1"/>
      <c r="RQQ123" s="1"/>
      <c r="RQR123" s="1"/>
      <c r="RQS123" s="1"/>
      <c r="RQT123" s="1"/>
      <c r="RQU123" s="1"/>
      <c r="RQV123" s="1"/>
      <c r="RQW123" s="1"/>
      <c r="RQX123" s="1"/>
      <c r="RQY123" s="1"/>
      <c r="RQZ123" s="1"/>
      <c r="RRA123" s="1"/>
      <c r="RRB123" s="1"/>
      <c r="RRC123" s="1"/>
      <c r="RRD123" s="1"/>
      <c r="RRE123" s="1"/>
      <c r="RRF123" s="1"/>
      <c r="RRG123" s="1"/>
      <c r="RRH123" s="1"/>
      <c r="RRI123" s="1"/>
      <c r="RRJ123" s="1"/>
      <c r="RRK123" s="1"/>
      <c r="RRL123" s="1"/>
      <c r="RRM123" s="1"/>
      <c r="RRN123" s="1"/>
      <c r="RRO123" s="1"/>
      <c r="RRP123" s="1"/>
      <c r="RRQ123" s="1"/>
      <c r="RRR123" s="1"/>
      <c r="RRS123" s="1"/>
      <c r="RRT123" s="1"/>
      <c r="RRU123" s="1"/>
      <c r="RRV123" s="1"/>
      <c r="RRW123" s="1"/>
      <c r="RRX123" s="1"/>
      <c r="RRY123" s="1"/>
      <c r="RRZ123" s="1"/>
      <c r="RSA123" s="1"/>
      <c r="RSB123" s="1"/>
      <c r="RSC123" s="1"/>
      <c r="RSD123" s="1"/>
      <c r="RSE123" s="1"/>
      <c r="RSF123" s="1"/>
      <c r="RSG123" s="1"/>
      <c r="RSH123" s="1"/>
      <c r="RSI123" s="1"/>
      <c r="RSJ123" s="1"/>
      <c r="RSK123" s="1"/>
      <c r="RSL123" s="1"/>
      <c r="RSM123" s="1"/>
      <c r="RSN123" s="1"/>
      <c r="RSO123" s="1"/>
      <c r="RSP123" s="1"/>
      <c r="RSQ123" s="1"/>
      <c r="RSR123" s="1"/>
      <c r="RSS123" s="1"/>
      <c r="RST123" s="1"/>
      <c r="RSU123" s="1"/>
      <c r="RSV123" s="1"/>
      <c r="RSW123" s="1"/>
      <c r="RSX123" s="1"/>
      <c r="RSY123" s="1"/>
      <c r="RSZ123" s="1"/>
      <c r="RTA123" s="1"/>
      <c r="RTB123" s="1"/>
      <c r="RTC123" s="1"/>
      <c r="RTD123" s="1"/>
      <c r="RTE123" s="1"/>
      <c r="RTF123" s="1"/>
      <c r="RTG123" s="1"/>
      <c r="RTH123" s="1"/>
      <c r="RTI123" s="1"/>
      <c r="RTJ123" s="1"/>
      <c r="RTK123" s="1"/>
      <c r="RTL123" s="1"/>
      <c r="RTM123" s="1"/>
      <c r="RTN123" s="1"/>
      <c r="RTO123" s="1"/>
      <c r="RTP123" s="1"/>
      <c r="RTQ123" s="1"/>
      <c r="RTR123" s="1"/>
      <c r="RTS123" s="1"/>
      <c r="RTT123" s="1"/>
      <c r="RTU123" s="1"/>
      <c r="RTV123" s="1"/>
      <c r="RTW123" s="1"/>
      <c r="RTX123" s="1"/>
      <c r="RTY123" s="1"/>
      <c r="RTZ123" s="1"/>
      <c r="RUA123" s="1"/>
      <c r="RUB123" s="1"/>
      <c r="RUC123" s="1"/>
      <c r="RUD123" s="1"/>
      <c r="RUE123" s="1"/>
      <c r="RUF123" s="1"/>
      <c r="RUG123" s="1"/>
      <c r="RUH123" s="1"/>
      <c r="RUI123" s="1"/>
      <c r="RUJ123" s="1"/>
      <c r="RUK123" s="1"/>
      <c r="RUL123" s="1"/>
      <c r="RUM123" s="1"/>
      <c r="RUN123" s="1"/>
      <c r="RUO123" s="1"/>
      <c r="RUP123" s="1"/>
      <c r="RUQ123" s="1"/>
      <c r="RUR123" s="1"/>
      <c r="RUS123" s="1"/>
      <c r="RUT123" s="1"/>
      <c r="RUU123" s="1"/>
      <c r="RUV123" s="1"/>
      <c r="RUW123" s="1"/>
      <c r="RUX123" s="1"/>
      <c r="RUY123" s="1"/>
      <c r="RUZ123" s="1"/>
      <c r="RVA123" s="1"/>
      <c r="RVB123" s="1"/>
      <c r="RVC123" s="1"/>
      <c r="RVD123" s="1"/>
      <c r="RVE123" s="1"/>
      <c r="RVF123" s="1"/>
      <c r="RVG123" s="1"/>
      <c r="RVH123" s="1"/>
      <c r="RVI123" s="1"/>
      <c r="RVJ123" s="1"/>
      <c r="RVK123" s="1"/>
      <c r="RVL123" s="1"/>
      <c r="RVM123" s="1"/>
      <c r="RVN123" s="1"/>
      <c r="RVO123" s="1"/>
      <c r="RVP123" s="1"/>
      <c r="RVQ123" s="1"/>
      <c r="RVR123" s="1"/>
      <c r="RVS123" s="1"/>
      <c r="RVT123" s="1"/>
      <c r="RVU123" s="1"/>
      <c r="RVV123" s="1"/>
      <c r="RVW123" s="1"/>
      <c r="RVX123" s="1"/>
      <c r="RVY123" s="1"/>
      <c r="RVZ123" s="1"/>
      <c r="RWA123" s="1"/>
      <c r="RWB123" s="1"/>
      <c r="RWC123" s="1"/>
      <c r="RWD123" s="1"/>
      <c r="RWE123" s="1"/>
      <c r="RWF123" s="1"/>
      <c r="RWG123" s="1"/>
      <c r="RWH123" s="1"/>
      <c r="RWI123" s="1"/>
      <c r="RWJ123" s="1"/>
      <c r="RWK123" s="1"/>
      <c r="RWL123" s="1"/>
      <c r="RWM123" s="1"/>
      <c r="RWN123" s="1"/>
      <c r="RWO123" s="1"/>
      <c r="RWP123" s="1"/>
      <c r="RWQ123" s="1"/>
      <c r="RWR123" s="1"/>
      <c r="RWS123" s="1"/>
      <c r="RWT123" s="1"/>
      <c r="RWU123" s="1"/>
      <c r="RWV123" s="1"/>
      <c r="RWW123" s="1"/>
      <c r="RWX123" s="1"/>
      <c r="RWY123" s="1"/>
      <c r="RWZ123" s="1"/>
      <c r="RXA123" s="1"/>
      <c r="RXB123" s="1"/>
      <c r="RXC123" s="1"/>
      <c r="RXD123" s="1"/>
      <c r="RXE123" s="1"/>
      <c r="RXF123" s="1"/>
      <c r="RXG123" s="1"/>
      <c r="RXH123" s="1"/>
      <c r="RXI123" s="1"/>
      <c r="RXJ123" s="1"/>
      <c r="RXK123" s="1"/>
      <c r="RXL123" s="1"/>
      <c r="RXM123" s="1"/>
      <c r="RXN123" s="1"/>
      <c r="RXO123" s="1"/>
      <c r="RXP123" s="1"/>
      <c r="RXQ123" s="1"/>
      <c r="RXR123" s="1"/>
      <c r="RXS123" s="1"/>
      <c r="RXT123" s="1"/>
      <c r="RXU123" s="1"/>
      <c r="RXV123" s="1"/>
      <c r="RXW123" s="1"/>
      <c r="RXX123" s="1"/>
      <c r="RXY123" s="1"/>
      <c r="RXZ123" s="1"/>
      <c r="RYA123" s="1"/>
      <c r="RYB123" s="1"/>
      <c r="RYC123" s="1"/>
      <c r="RYD123" s="1"/>
      <c r="RYE123" s="1"/>
      <c r="RYF123" s="1"/>
      <c r="RYG123" s="1"/>
      <c r="RYH123" s="1"/>
      <c r="RYI123" s="1"/>
      <c r="RYJ123" s="1"/>
      <c r="RYK123" s="1"/>
      <c r="RYL123" s="1"/>
      <c r="RYM123" s="1"/>
      <c r="RYN123" s="1"/>
      <c r="RYO123" s="1"/>
      <c r="RYP123" s="1"/>
      <c r="RYQ123" s="1"/>
      <c r="RYR123" s="1"/>
      <c r="RYS123" s="1"/>
      <c r="RYT123" s="1"/>
      <c r="RYU123" s="1"/>
      <c r="RYV123" s="1"/>
      <c r="RYW123" s="1"/>
      <c r="RYX123" s="1"/>
      <c r="RYY123" s="1"/>
      <c r="RYZ123" s="1"/>
      <c r="RZA123" s="1"/>
      <c r="RZB123" s="1"/>
      <c r="RZC123" s="1"/>
      <c r="RZD123" s="1"/>
      <c r="RZE123" s="1"/>
      <c r="RZF123" s="1"/>
      <c r="RZG123" s="1"/>
      <c r="RZH123" s="1"/>
      <c r="RZI123" s="1"/>
      <c r="RZJ123" s="1"/>
      <c r="RZK123" s="1"/>
      <c r="RZL123" s="1"/>
      <c r="RZM123" s="1"/>
      <c r="RZN123" s="1"/>
      <c r="RZO123" s="1"/>
      <c r="RZP123" s="1"/>
      <c r="RZQ123" s="1"/>
      <c r="RZR123" s="1"/>
      <c r="RZS123" s="1"/>
      <c r="RZT123" s="1"/>
      <c r="RZU123" s="1"/>
      <c r="RZV123" s="1"/>
      <c r="RZW123" s="1"/>
      <c r="RZX123" s="1"/>
      <c r="RZY123" s="1"/>
      <c r="RZZ123" s="1"/>
      <c r="SAA123" s="1"/>
      <c r="SAB123" s="1"/>
      <c r="SAC123" s="1"/>
      <c r="SAD123" s="1"/>
      <c r="SAE123" s="1"/>
      <c r="SAF123" s="1"/>
      <c r="SAG123" s="1"/>
      <c r="SAH123" s="1"/>
      <c r="SAI123" s="1"/>
      <c r="SAJ123" s="1"/>
      <c r="SAK123" s="1"/>
      <c r="SAL123" s="1"/>
      <c r="SAM123" s="1"/>
      <c r="SAN123" s="1"/>
      <c r="SAO123" s="1"/>
      <c r="SAP123" s="1"/>
      <c r="SAQ123" s="1"/>
      <c r="SAR123" s="1"/>
      <c r="SAS123" s="1"/>
      <c r="SAT123" s="1"/>
      <c r="SAU123" s="1"/>
      <c r="SAV123" s="1"/>
      <c r="SAW123" s="1"/>
      <c r="SAX123" s="1"/>
      <c r="SAY123" s="1"/>
      <c r="SAZ123" s="1"/>
      <c r="SBA123" s="1"/>
      <c r="SBB123" s="1"/>
      <c r="SBC123" s="1"/>
      <c r="SBD123" s="1"/>
      <c r="SBE123" s="1"/>
      <c r="SBF123" s="1"/>
      <c r="SBG123" s="1"/>
      <c r="SBH123" s="1"/>
      <c r="SBI123" s="1"/>
      <c r="SBJ123" s="1"/>
      <c r="SBK123" s="1"/>
      <c r="SBL123" s="1"/>
      <c r="SBM123" s="1"/>
      <c r="SBN123" s="1"/>
      <c r="SBO123" s="1"/>
      <c r="SBP123" s="1"/>
      <c r="SBQ123" s="1"/>
      <c r="SBR123" s="1"/>
      <c r="SBS123" s="1"/>
      <c r="SBT123" s="1"/>
      <c r="SBU123" s="1"/>
      <c r="SBV123" s="1"/>
      <c r="SBW123" s="1"/>
      <c r="SBX123" s="1"/>
      <c r="SBY123" s="1"/>
      <c r="SBZ123" s="1"/>
      <c r="SCA123" s="1"/>
      <c r="SCB123" s="1"/>
      <c r="SCC123" s="1"/>
      <c r="SCD123" s="1"/>
      <c r="SCE123" s="1"/>
      <c r="SCF123" s="1"/>
      <c r="SCG123" s="1"/>
      <c r="SCH123" s="1"/>
      <c r="SCI123" s="1"/>
      <c r="SCJ123" s="1"/>
      <c r="SCK123" s="1"/>
      <c r="SCL123" s="1"/>
      <c r="SCM123" s="1"/>
      <c r="SCN123" s="1"/>
      <c r="SCO123" s="1"/>
      <c r="SCP123" s="1"/>
      <c r="SCQ123" s="1"/>
      <c r="SCR123" s="1"/>
      <c r="SCS123" s="1"/>
      <c r="SCT123" s="1"/>
      <c r="SCU123" s="1"/>
      <c r="SCV123" s="1"/>
      <c r="SCW123" s="1"/>
      <c r="SCX123" s="1"/>
      <c r="SCY123" s="1"/>
      <c r="SCZ123" s="1"/>
      <c r="SDA123" s="1"/>
      <c r="SDB123" s="1"/>
      <c r="SDC123" s="1"/>
      <c r="SDD123" s="1"/>
      <c r="SDE123" s="1"/>
      <c r="SDF123" s="1"/>
      <c r="SDG123" s="1"/>
      <c r="SDH123" s="1"/>
      <c r="SDI123" s="1"/>
      <c r="SDJ123" s="1"/>
      <c r="SDK123" s="1"/>
      <c r="SDL123" s="1"/>
      <c r="SDM123" s="1"/>
      <c r="SDN123" s="1"/>
      <c r="SDO123" s="1"/>
      <c r="SDP123" s="1"/>
      <c r="SDQ123" s="1"/>
      <c r="SDR123" s="1"/>
      <c r="SDS123" s="1"/>
      <c r="SDT123" s="1"/>
      <c r="SDU123" s="1"/>
      <c r="SDV123" s="1"/>
      <c r="SDW123" s="1"/>
      <c r="SDX123" s="1"/>
      <c r="SDY123" s="1"/>
      <c r="SDZ123" s="1"/>
      <c r="SEA123" s="1"/>
      <c r="SEB123" s="1"/>
      <c r="SEC123" s="1"/>
      <c r="SED123" s="1"/>
      <c r="SEE123" s="1"/>
      <c r="SEF123" s="1"/>
      <c r="SEG123" s="1"/>
      <c r="SEH123" s="1"/>
      <c r="SEI123" s="1"/>
      <c r="SEJ123" s="1"/>
      <c r="SEK123" s="1"/>
      <c r="SEL123" s="1"/>
      <c r="SEM123" s="1"/>
      <c r="SEN123" s="1"/>
      <c r="SEO123" s="1"/>
      <c r="SEP123" s="1"/>
      <c r="SEQ123" s="1"/>
      <c r="SER123" s="1"/>
      <c r="SES123" s="1"/>
      <c r="SET123" s="1"/>
      <c r="SEU123" s="1"/>
      <c r="SEV123" s="1"/>
      <c r="SEW123" s="1"/>
      <c r="SEX123" s="1"/>
      <c r="SEY123" s="1"/>
      <c r="SEZ123" s="1"/>
      <c r="SFA123" s="1"/>
      <c r="SFB123" s="1"/>
      <c r="SFC123" s="1"/>
      <c r="SFD123" s="1"/>
      <c r="SFE123" s="1"/>
      <c r="SFF123" s="1"/>
      <c r="SFG123" s="1"/>
      <c r="SFH123" s="1"/>
      <c r="SFI123" s="1"/>
      <c r="SFJ123" s="1"/>
      <c r="SFK123" s="1"/>
      <c r="SFL123" s="1"/>
      <c r="SFM123" s="1"/>
      <c r="SFN123" s="1"/>
      <c r="SFO123" s="1"/>
      <c r="SFP123" s="1"/>
      <c r="SFQ123" s="1"/>
      <c r="SFR123" s="1"/>
      <c r="SFS123" s="1"/>
      <c r="SFT123" s="1"/>
      <c r="SFU123" s="1"/>
      <c r="SFV123" s="1"/>
      <c r="SFW123" s="1"/>
      <c r="SFX123" s="1"/>
      <c r="SFY123" s="1"/>
      <c r="SFZ123" s="1"/>
      <c r="SGA123" s="1"/>
      <c r="SGB123" s="1"/>
      <c r="SGC123" s="1"/>
      <c r="SGD123" s="1"/>
      <c r="SGE123" s="1"/>
      <c r="SGF123" s="1"/>
      <c r="SGG123" s="1"/>
      <c r="SGH123" s="1"/>
      <c r="SGI123" s="1"/>
      <c r="SGJ123" s="1"/>
      <c r="SGK123" s="1"/>
      <c r="SGL123" s="1"/>
      <c r="SGM123" s="1"/>
      <c r="SGN123" s="1"/>
      <c r="SGO123" s="1"/>
      <c r="SGP123" s="1"/>
      <c r="SGQ123" s="1"/>
      <c r="SGR123" s="1"/>
      <c r="SGS123" s="1"/>
      <c r="SGT123" s="1"/>
      <c r="SGU123" s="1"/>
      <c r="SGV123" s="1"/>
      <c r="SGW123" s="1"/>
      <c r="SGX123" s="1"/>
      <c r="SGY123" s="1"/>
      <c r="SGZ123" s="1"/>
      <c r="SHA123" s="1"/>
      <c r="SHB123" s="1"/>
      <c r="SHC123" s="1"/>
      <c r="SHD123" s="1"/>
      <c r="SHE123" s="1"/>
      <c r="SHF123" s="1"/>
      <c r="SHG123" s="1"/>
      <c r="SHH123" s="1"/>
      <c r="SHI123" s="1"/>
      <c r="SHJ123" s="1"/>
      <c r="SHK123" s="1"/>
      <c r="SHL123" s="1"/>
      <c r="SHM123" s="1"/>
      <c r="SHN123" s="1"/>
      <c r="SHO123" s="1"/>
      <c r="SHP123" s="1"/>
      <c r="SHQ123" s="1"/>
      <c r="SHR123" s="1"/>
      <c r="SHS123" s="1"/>
      <c r="SHT123" s="1"/>
      <c r="SHU123" s="1"/>
      <c r="SHV123" s="1"/>
      <c r="SHW123" s="1"/>
      <c r="SHX123" s="1"/>
      <c r="SHY123" s="1"/>
      <c r="SHZ123" s="1"/>
      <c r="SIA123" s="1"/>
      <c r="SIB123" s="1"/>
      <c r="SIC123" s="1"/>
      <c r="SID123" s="1"/>
      <c r="SIE123" s="1"/>
      <c r="SIF123" s="1"/>
      <c r="SIG123" s="1"/>
      <c r="SIH123" s="1"/>
      <c r="SII123" s="1"/>
      <c r="SIJ123" s="1"/>
      <c r="SIK123" s="1"/>
      <c r="SIL123" s="1"/>
      <c r="SIM123" s="1"/>
      <c r="SIN123" s="1"/>
      <c r="SIO123" s="1"/>
      <c r="SIP123" s="1"/>
      <c r="SIQ123" s="1"/>
      <c r="SIR123" s="1"/>
      <c r="SIS123" s="1"/>
      <c r="SIT123" s="1"/>
      <c r="SIU123" s="1"/>
      <c r="SIV123" s="1"/>
      <c r="SIW123" s="1"/>
      <c r="SIX123" s="1"/>
      <c r="SIY123" s="1"/>
      <c r="SIZ123" s="1"/>
      <c r="SJA123" s="1"/>
      <c r="SJB123" s="1"/>
      <c r="SJC123" s="1"/>
      <c r="SJD123" s="1"/>
      <c r="SJE123" s="1"/>
      <c r="SJF123" s="1"/>
      <c r="SJG123" s="1"/>
      <c r="SJH123" s="1"/>
      <c r="SJI123" s="1"/>
      <c r="SJJ123" s="1"/>
      <c r="SJK123" s="1"/>
      <c r="SJL123" s="1"/>
      <c r="SJM123" s="1"/>
      <c r="SJN123" s="1"/>
      <c r="SJO123" s="1"/>
      <c r="SJP123" s="1"/>
      <c r="SJQ123" s="1"/>
      <c r="SJR123" s="1"/>
      <c r="SJS123" s="1"/>
      <c r="SJT123" s="1"/>
      <c r="SJU123" s="1"/>
      <c r="SJV123" s="1"/>
      <c r="SJW123" s="1"/>
      <c r="SJX123" s="1"/>
      <c r="SJY123" s="1"/>
      <c r="SJZ123" s="1"/>
      <c r="SKA123" s="1"/>
      <c r="SKB123" s="1"/>
      <c r="SKC123" s="1"/>
      <c r="SKD123" s="1"/>
      <c r="SKE123" s="1"/>
      <c r="SKF123" s="1"/>
      <c r="SKG123" s="1"/>
      <c r="SKH123" s="1"/>
      <c r="SKI123" s="1"/>
      <c r="SKJ123" s="1"/>
      <c r="SKK123" s="1"/>
      <c r="SKL123" s="1"/>
      <c r="SKM123" s="1"/>
      <c r="SKN123" s="1"/>
      <c r="SKO123" s="1"/>
      <c r="SKP123" s="1"/>
      <c r="SKQ123" s="1"/>
      <c r="SKR123" s="1"/>
      <c r="SKS123" s="1"/>
      <c r="SKT123" s="1"/>
      <c r="SKU123" s="1"/>
      <c r="SKV123" s="1"/>
      <c r="SKW123" s="1"/>
      <c r="SKX123" s="1"/>
      <c r="SKY123" s="1"/>
      <c r="SKZ123" s="1"/>
      <c r="SLA123" s="1"/>
      <c r="SLB123" s="1"/>
      <c r="SLC123" s="1"/>
      <c r="SLD123" s="1"/>
      <c r="SLE123" s="1"/>
      <c r="SLF123" s="1"/>
      <c r="SLG123" s="1"/>
      <c r="SLH123" s="1"/>
      <c r="SLI123" s="1"/>
      <c r="SLJ123" s="1"/>
      <c r="SLK123" s="1"/>
      <c r="SLL123" s="1"/>
      <c r="SLM123" s="1"/>
      <c r="SLN123" s="1"/>
      <c r="SLO123" s="1"/>
      <c r="SLP123" s="1"/>
      <c r="SLQ123" s="1"/>
      <c r="SLR123" s="1"/>
      <c r="SLS123" s="1"/>
      <c r="SLT123" s="1"/>
      <c r="SLU123" s="1"/>
      <c r="SLV123" s="1"/>
      <c r="SLW123" s="1"/>
      <c r="SLX123" s="1"/>
      <c r="SLY123" s="1"/>
      <c r="SLZ123" s="1"/>
      <c r="SMA123" s="1"/>
      <c r="SMB123" s="1"/>
      <c r="SMC123" s="1"/>
      <c r="SMD123" s="1"/>
      <c r="SME123" s="1"/>
      <c r="SMF123" s="1"/>
      <c r="SMG123" s="1"/>
      <c r="SMH123" s="1"/>
      <c r="SMI123" s="1"/>
      <c r="SMJ123" s="1"/>
      <c r="SMK123" s="1"/>
      <c r="SML123" s="1"/>
      <c r="SMM123" s="1"/>
      <c r="SMN123" s="1"/>
      <c r="SMO123" s="1"/>
      <c r="SMP123" s="1"/>
      <c r="SMQ123" s="1"/>
      <c r="SMR123" s="1"/>
      <c r="SMS123" s="1"/>
      <c r="SMT123" s="1"/>
      <c r="SMU123" s="1"/>
      <c r="SMV123" s="1"/>
      <c r="SMW123" s="1"/>
      <c r="SMX123" s="1"/>
      <c r="SMY123" s="1"/>
      <c r="SMZ123" s="1"/>
      <c r="SNA123" s="1"/>
      <c r="SNB123" s="1"/>
      <c r="SNC123" s="1"/>
      <c r="SND123" s="1"/>
      <c r="SNE123" s="1"/>
      <c r="SNF123" s="1"/>
      <c r="SNG123" s="1"/>
      <c r="SNH123" s="1"/>
      <c r="SNI123" s="1"/>
      <c r="SNJ123" s="1"/>
      <c r="SNK123" s="1"/>
      <c r="SNL123" s="1"/>
      <c r="SNM123" s="1"/>
      <c r="SNN123" s="1"/>
      <c r="SNO123" s="1"/>
      <c r="SNP123" s="1"/>
      <c r="SNQ123" s="1"/>
      <c r="SNR123" s="1"/>
      <c r="SNS123" s="1"/>
      <c r="SNT123" s="1"/>
      <c r="SNU123" s="1"/>
      <c r="SNV123" s="1"/>
      <c r="SNW123" s="1"/>
      <c r="SNX123" s="1"/>
      <c r="SNY123" s="1"/>
      <c r="SNZ123" s="1"/>
      <c r="SOA123" s="1"/>
      <c r="SOB123" s="1"/>
      <c r="SOC123" s="1"/>
      <c r="SOD123" s="1"/>
      <c r="SOE123" s="1"/>
      <c r="SOF123" s="1"/>
      <c r="SOG123" s="1"/>
      <c r="SOH123" s="1"/>
      <c r="SOI123" s="1"/>
      <c r="SOJ123" s="1"/>
      <c r="SOK123" s="1"/>
      <c r="SOL123" s="1"/>
      <c r="SOM123" s="1"/>
      <c r="SON123" s="1"/>
      <c r="SOO123" s="1"/>
      <c r="SOP123" s="1"/>
      <c r="SOQ123" s="1"/>
      <c r="SOR123" s="1"/>
      <c r="SOS123" s="1"/>
      <c r="SOT123" s="1"/>
      <c r="SOU123" s="1"/>
      <c r="SOV123" s="1"/>
      <c r="SOW123" s="1"/>
      <c r="SOX123" s="1"/>
      <c r="SOY123" s="1"/>
      <c r="SOZ123" s="1"/>
      <c r="SPA123" s="1"/>
      <c r="SPB123" s="1"/>
      <c r="SPC123" s="1"/>
      <c r="SPD123" s="1"/>
      <c r="SPE123" s="1"/>
      <c r="SPF123" s="1"/>
      <c r="SPG123" s="1"/>
      <c r="SPH123" s="1"/>
      <c r="SPI123" s="1"/>
      <c r="SPJ123" s="1"/>
      <c r="SPK123" s="1"/>
      <c r="SPL123" s="1"/>
      <c r="SPM123" s="1"/>
      <c r="SPN123" s="1"/>
      <c r="SPO123" s="1"/>
      <c r="SPP123" s="1"/>
      <c r="SPQ123" s="1"/>
      <c r="SPR123" s="1"/>
      <c r="SPS123" s="1"/>
      <c r="SPT123" s="1"/>
      <c r="SPU123" s="1"/>
      <c r="SPV123" s="1"/>
      <c r="SPW123" s="1"/>
      <c r="SPX123" s="1"/>
      <c r="SPY123" s="1"/>
      <c r="SPZ123" s="1"/>
      <c r="SQA123" s="1"/>
      <c r="SQB123" s="1"/>
      <c r="SQC123" s="1"/>
      <c r="SQD123" s="1"/>
      <c r="SQE123" s="1"/>
      <c r="SQF123" s="1"/>
      <c r="SQG123" s="1"/>
      <c r="SQH123" s="1"/>
      <c r="SQI123" s="1"/>
      <c r="SQJ123" s="1"/>
      <c r="SQK123" s="1"/>
      <c r="SQL123" s="1"/>
      <c r="SQM123" s="1"/>
      <c r="SQN123" s="1"/>
      <c r="SQO123" s="1"/>
      <c r="SQP123" s="1"/>
      <c r="SQQ123" s="1"/>
      <c r="SQR123" s="1"/>
      <c r="SQS123" s="1"/>
      <c r="SQT123" s="1"/>
      <c r="SQU123" s="1"/>
      <c r="SQV123" s="1"/>
      <c r="SQW123" s="1"/>
      <c r="SQX123" s="1"/>
      <c r="SQY123" s="1"/>
      <c r="SQZ123" s="1"/>
      <c r="SRA123" s="1"/>
      <c r="SRB123" s="1"/>
      <c r="SRC123" s="1"/>
      <c r="SRD123" s="1"/>
      <c r="SRE123" s="1"/>
      <c r="SRF123" s="1"/>
      <c r="SRG123" s="1"/>
      <c r="SRH123" s="1"/>
      <c r="SRI123" s="1"/>
      <c r="SRJ123" s="1"/>
      <c r="SRK123" s="1"/>
      <c r="SRL123" s="1"/>
      <c r="SRM123" s="1"/>
      <c r="SRN123" s="1"/>
      <c r="SRO123" s="1"/>
      <c r="SRP123" s="1"/>
      <c r="SRQ123" s="1"/>
      <c r="SRR123" s="1"/>
      <c r="SRS123" s="1"/>
      <c r="SRT123" s="1"/>
      <c r="SRU123" s="1"/>
      <c r="SRV123" s="1"/>
      <c r="SRW123" s="1"/>
      <c r="SRX123" s="1"/>
      <c r="SRY123" s="1"/>
      <c r="SRZ123" s="1"/>
      <c r="SSA123" s="1"/>
      <c r="SSB123" s="1"/>
      <c r="SSC123" s="1"/>
      <c r="SSD123" s="1"/>
      <c r="SSE123" s="1"/>
      <c r="SSF123" s="1"/>
      <c r="SSG123" s="1"/>
      <c r="SSH123" s="1"/>
      <c r="SSI123" s="1"/>
      <c r="SSJ123" s="1"/>
      <c r="SSK123" s="1"/>
      <c r="SSL123" s="1"/>
      <c r="SSM123" s="1"/>
      <c r="SSN123" s="1"/>
      <c r="SSO123" s="1"/>
      <c r="SSP123" s="1"/>
      <c r="SSQ123" s="1"/>
      <c r="SSR123" s="1"/>
      <c r="SSS123" s="1"/>
      <c r="SST123" s="1"/>
      <c r="SSU123" s="1"/>
      <c r="SSV123" s="1"/>
      <c r="SSW123" s="1"/>
      <c r="SSX123" s="1"/>
      <c r="SSY123" s="1"/>
      <c r="SSZ123" s="1"/>
      <c r="STA123" s="1"/>
      <c r="STB123" s="1"/>
      <c r="STC123" s="1"/>
      <c r="STD123" s="1"/>
      <c r="STE123" s="1"/>
      <c r="STF123" s="1"/>
      <c r="STG123" s="1"/>
      <c r="STH123" s="1"/>
      <c r="STI123" s="1"/>
      <c r="STJ123" s="1"/>
      <c r="STK123" s="1"/>
      <c r="STL123" s="1"/>
      <c r="STM123" s="1"/>
      <c r="STN123" s="1"/>
      <c r="STO123" s="1"/>
      <c r="STP123" s="1"/>
      <c r="STQ123" s="1"/>
      <c r="STR123" s="1"/>
      <c r="STS123" s="1"/>
      <c r="STT123" s="1"/>
      <c r="STU123" s="1"/>
      <c r="STV123" s="1"/>
      <c r="STW123" s="1"/>
      <c r="STX123" s="1"/>
      <c r="STY123" s="1"/>
      <c r="STZ123" s="1"/>
      <c r="SUA123" s="1"/>
      <c r="SUB123" s="1"/>
      <c r="SUC123" s="1"/>
      <c r="SUD123" s="1"/>
      <c r="SUE123" s="1"/>
      <c r="SUF123" s="1"/>
      <c r="SUG123" s="1"/>
      <c r="SUH123" s="1"/>
      <c r="SUI123" s="1"/>
      <c r="SUJ123" s="1"/>
      <c r="SUK123" s="1"/>
      <c r="SUL123" s="1"/>
      <c r="SUM123" s="1"/>
      <c r="SUN123" s="1"/>
      <c r="SUO123" s="1"/>
      <c r="SUP123" s="1"/>
      <c r="SUQ123" s="1"/>
      <c r="SUR123" s="1"/>
      <c r="SUS123" s="1"/>
      <c r="SUT123" s="1"/>
      <c r="SUU123" s="1"/>
      <c r="SUV123" s="1"/>
      <c r="SUW123" s="1"/>
      <c r="SUX123" s="1"/>
      <c r="SUY123" s="1"/>
      <c r="SUZ123" s="1"/>
      <c r="SVA123" s="1"/>
      <c r="SVB123" s="1"/>
      <c r="SVC123" s="1"/>
      <c r="SVD123" s="1"/>
      <c r="SVE123" s="1"/>
      <c r="SVF123" s="1"/>
      <c r="SVG123" s="1"/>
      <c r="SVH123" s="1"/>
      <c r="SVI123" s="1"/>
      <c r="SVJ123" s="1"/>
      <c r="SVK123" s="1"/>
      <c r="SVL123" s="1"/>
      <c r="SVM123" s="1"/>
      <c r="SVN123" s="1"/>
      <c r="SVO123" s="1"/>
      <c r="SVP123" s="1"/>
      <c r="SVQ123" s="1"/>
      <c r="SVR123" s="1"/>
      <c r="SVS123" s="1"/>
      <c r="SVT123" s="1"/>
      <c r="SVU123" s="1"/>
      <c r="SVV123" s="1"/>
      <c r="SVW123" s="1"/>
      <c r="SVX123" s="1"/>
      <c r="SVY123" s="1"/>
      <c r="SVZ123" s="1"/>
      <c r="SWA123" s="1"/>
      <c r="SWB123" s="1"/>
      <c r="SWC123" s="1"/>
      <c r="SWD123" s="1"/>
      <c r="SWE123" s="1"/>
      <c r="SWF123" s="1"/>
      <c r="SWG123" s="1"/>
      <c r="SWH123" s="1"/>
      <c r="SWI123" s="1"/>
      <c r="SWJ123" s="1"/>
      <c r="SWK123" s="1"/>
      <c r="SWL123" s="1"/>
      <c r="SWM123" s="1"/>
      <c r="SWN123" s="1"/>
      <c r="SWO123" s="1"/>
      <c r="SWP123" s="1"/>
      <c r="SWQ123" s="1"/>
      <c r="SWR123" s="1"/>
      <c r="SWS123" s="1"/>
      <c r="SWT123" s="1"/>
      <c r="SWU123" s="1"/>
      <c r="SWV123" s="1"/>
      <c r="SWW123" s="1"/>
      <c r="SWX123" s="1"/>
      <c r="SWY123" s="1"/>
      <c r="SWZ123" s="1"/>
      <c r="SXA123" s="1"/>
      <c r="SXB123" s="1"/>
      <c r="SXC123" s="1"/>
      <c r="SXD123" s="1"/>
      <c r="SXE123" s="1"/>
      <c r="SXF123" s="1"/>
      <c r="SXG123" s="1"/>
      <c r="SXH123" s="1"/>
      <c r="SXI123" s="1"/>
      <c r="SXJ123" s="1"/>
      <c r="SXK123" s="1"/>
      <c r="SXL123" s="1"/>
      <c r="SXM123" s="1"/>
      <c r="SXN123" s="1"/>
      <c r="SXO123" s="1"/>
      <c r="SXP123" s="1"/>
      <c r="SXQ123" s="1"/>
      <c r="SXR123" s="1"/>
      <c r="SXS123" s="1"/>
      <c r="SXT123" s="1"/>
      <c r="SXU123" s="1"/>
      <c r="SXV123" s="1"/>
      <c r="SXW123" s="1"/>
      <c r="SXX123" s="1"/>
      <c r="SXY123" s="1"/>
      <c r="SXZ123" s="1"/>
      <c r="SYA123" s="1"/>
      <c r="SYB123" s="1"/>
      <c r="SYC123" s="1"/>
      <c r="SYD123" s="1"/>
      <c r="SYE123" s="1"/>
      <c r="SYF123" s="1"/>
      <c r="SYG123" s="1"/>
      <c r="SYH123" s="1"/>
      <c r="SYI123" s="1"/>
      <c r="SYJ123" s="1"/>
      <c r="SYK123" s="1"/>
      <c r="SYL123" s="1"/>
      <c r="SYM123" s="1"/>
      <c r="SYN123" s="1"/>
      <c r="SYO123" s="1"/>
      <c r="SYP123" s="1"/>
      <c r="SYQ123" s="1"/>
      <c r="SYR123" s="1"/>
      <c r="SYS123" s="1"/>
      <c r="SYT123" s="1"/>
      <c r="SYU123" s="1"/>
      <c r="SYV123" s="1"/>
      <c r="SYW123" s="1"/>
      <c r="SYX123" s="1"/>
      <c r="SYY123" s="1"/>
      <c r="SYZ123" s="1"/>
      <c r="SZA123" s="1"/>
      <c r="SZB123" s="1"/>
      <c r="SZC123" s="1"/>
      <c r="SZD123" s="1"/>
      <c r="SZE123" s="1"/>
      <c r="SZF123" s="1"/>
      <c r="SZG123" s="1"/>
      <c r="SZH123" s="1"/>
      <c r="SZI123" s="1"/>
      <c r="SZJ123" s="1"/>
      <c r="SZK123" s="1"/>
      <c r="SZL123" s="1"/>
      <c r="SZM123" s="1"/>
      <c r="SZN123" s="1"/>
      <c r="SZO123" s="1"/>
      <c r="SZP123" s="1"/>
      <c r="SZQ123" s="1"/>
      <c r="SZR123" s="1"/>
      <c r="SZS123" s="1"/>
      <c r="SZT123" s="1"/>
      <c r="SZU123" s="1"/>
      <c r="SZV123" s="1"/>
      <c r="SZW123" s="1"/>
      <c r="SZX123" s="1"/>
      <c r="SZY123" s="1"/>
      <c r="SZZ123" s="1"/>
      <c r="TAA123" s="1"/>
      <c r="TAB123" s="1"/>
      <c r="TAC123" s="1"/>
      <c r="TAD123" s="1"/>
      <c r="TAE123" s="1"/>
      <c r="TAF123" s="1"/>
      <c r="TAG123" s="1"/>
      <c r="TAH123" s="1"/>
      <c r="TAI123" s="1"/>
      <c r="TAJ123" s="1"/>
      <c r="TAK123" s="1"/>
      <c r="TAL123" s="1"/>
      <c r="TAM123" s="1"/>
      <c r="TAN123" s="1"/>
      <c r="TAO123" s="1"/>
      <c r="TAP123" s="1"/>
      <c r="TAQ123" s="1"/>
      <c r="TAR123" s="1"/>
      <c r="TAS123" s="1"/>
      <c r="TAT123" s="1"/>
      <c r="TAU123" s="1"/>
      <c r="TAV123" s="1"/>
      <c r="TAW123" s="1"/>
      <c r="TAX123" s="1"/>
      <c r="TAY123" s="1"/>
      <c r="TAZ123" s="1"/>
      <c r="TBA123" s="1"/>
      <c r="TBB123" s="1"/>
      <c r="TBC123" s="1"/>
      <c r="TBD123" s="1"/>
      <c r="TBE123" s="1"/>
      <c r="TBF123" s="1"/>
      <c r="TBG123" s="1"/>
      <c r="TBH123" s="1"/>
      <c r="TBI123" s="1"/>
      <c r="TBJ123" s="1"/>
      <c r="TBK123" s="1"/>
      <c r="TBL123" s="1"/>
      <c r="TBM123" s="1"/>
      <c r="TBN123" s="1"/>
      <c r="TBO123" s="1"/>
      <c r="TBP123" s="1"/>
      <c r="TBQ123" s="1"/>
      <c r="TBR123" s="1"/>
      <c r="TBS123" s="1"/>
      <c r="TBT123" s="1"/>
      <c r="TBU123" s="1"/>
      <c r="TBV123" s="1"/>
      <c r="TBW123" s="1"/>
      <c r="TBX123" s="1"/>
      <c r="TBY123" s="1"/>
      <c r="TBZ123" s="1"/>
      <c r="TCA123" s="1"/>
      <c r="TCB123" s="1"/>
      <c r="TCC123" s="1"/>
      <c r="TCD123" s="1"/>
      <c r="TCE123" s="1"/>
      <c r="TCF123" s="1"/>
      <c r="TCG123" s="1"/>
      <c r="TCH123" s="1"/>
      <c r="TCI123" s="1"/>
      <c r="TCJ123" s="1"/>
      <c r="TCK123" s="1"/>
      <c r="TCL123" s="1"/>
      <c r="TCM123" s="1"/>
      <c r="TCN123" s="1"/>
      <c r="TCO123" s="1"/>
      <c r="TCP123" s="1"/>
      <c r="TCQ123" s="1"/>
      <c r="TCR123" s="1"/>
      <c r="TCS123" s="1"/>
      <c r="TCT123" s="1"/>
      <c r="TCU123" s="1"/>
      <c r="TCV123" s="1"/>
      <c r="TCW123" s="1"/>
      <c r="TCX123" s="1"/>
      <c r="TCY123" s="1"/>
      <c r="TCZ123" s="1"/>
      <c r="TDA123" s="1"/>
      <c r="TDB123" s="1"/>
      <c r="TDC123" s="1"/>
      <c r="TDD123" s="1"/>
      <c r="TDE123" s="1"/>
      <c r="TDF123" s="1"/>
      <c r="TDG123" s="1"/>
      <c r="TDH123" s="1"/>
      <c r="TDI123" s="1"/>
      <c r="TDJ123" s="1"/>
      <c r="TDK123" s="1"/>
      <c r="TDL123" s="1"/>
      <c r="TDM123" s="1"/>
      <c r="TDN123" s="1"/>
      <c r="TDO123" s="1"/>
      <c r="TDP123" s="1"/>
      <c r="TDQ123" s="1"/>
      <c r="TDR123" s="1"/>
      <c r="TDS123" s="1"/>
      <c r="TDT123" s="1"/>
      <c r="TDU123" s="1"/>
      <c r="TDV123" s="1"/>
      <c r="TDW123" s="1"/>
      <c r="TDX123" s="1"/>
      <c r="TDY123" s="1"/>
      <c r="TDZ123" s="1"/>
      <c r="TEA123" s="1"/>
      <c r="TEB123" s="1"/>
      <c r="TEC123" s="1"/>
      <c r="TED123" s="1"/>
      <c r="TEE123" s="1"/>
      <c r="TEF123" s="1"/>
      <c r="TEG123" s="1"/>
      <c r="TEH123" s="1"/>
      <c r="TEI123" s="1"/>
      <c r="TEJ123" s="1"/>
      <c r="TEK123" s="1"/>
      <c r="TEL123" s="1"/>
      <c r="TEM123" s="1"/>
      <c r="TEN123" s="1"/>
      <c r="TEO123" s="1"/>
      <c r="TEP123" s="1"/>
      <c r="TEQ123" s="1"/>
      <c r="TER123" s="1"/>
      <c r="TES123" s="1"/>
      <c r="TET123" s="1"/>
      <c r="TEU123" s="1"/>
      <c r="TEV123" s="1"/>
      <c r="TEW123" s="1"/>
      <c r="TEX123" s="1"/>
      <c r="TEY123" s="1"/>
      <c r="TEZ123" s="1"/>
      <c r="TFA123" s="1"/>
      <c r="TFB123" s="1"/>
      <c r="TFC123" s="1"/>
      <c r="TFD123" s="1"/>
      <c r="TFE123" s="1"/>
      <c r="TFF123" s="1"/>
      <c r="TFG123" s="1"/>
      <c r="TFH123" s="1"/>
      <c r="TFI123" s="1"/>
      <c r="TFJ123" s="1"/>
      <c r="TFK123" s="1"/>
      <c r="TFL123" s="1"/>
      <c r="TFM123" s="1"/>
      <c r="TFN123" s="1"/>
      <c r="TFO123" s="1"/>
      <c r="TFP123" s="1"/>
      <c r="TFQ123" s="1"/>
      <c r="TFR123" s="1"/>
      <c r="TFS123" s="1"/>
      <c r="TFT123" s="1"/>
      <c r="TFU123" s="1"/>
      <c r="TFV123" s="1"/>
      <c r="TFW123" s="1"/>
      <c r="TFX123" s="1"/>
      <c r="TFY123" s="1"/>
      <c r="TFZ123" s="1"/>
      <c r="TGA123" s="1"/>
      <c r="TGB123" s="1"/>
      <c r="TGC123" s="1"/>
      <c r="TGD123" s="1"/>
      <c r="TGE123" s="1"/>
      <c r="TGF123" s="1"/>
      <c r="TGG123" s="1"/>
      <c r="TGH123" s="1"/>
      <c r="TGI123" s="1"/>
      <c r="TGJ123" s="1"/>
      <c r="TGK123" s="1"/>
      <c r="TGL123" s="1"/>
      <c r="TGM123" s="1"/>
      <c r="TGN123" s="1"/>
      <c r="TGO123" s="1"/>
      <c r="TGP123" s="1"/>
      <c r="TGQ123" s="1"/>
      <c r="TGR123" s="1"/>
      <c r="TGS123" s="1"/>
      <c r="TGT123" s="1"/>
      <c r="TGU123" s="1"/>
      <c r="TGV123" s="1"/>
      <c r="TGW123" s="1"/>
      <c r="TGX123" s="1"/>
      <c r="TGY123" s="1"/>
      <c r="TGZ123" s="1"/>
      <c r="THA123" s="1"/>
      <c r="THB123" s="1"/>
      <c r="THC123" s="1"/>
      <c r="THD123" s="1"/>
      <c r="THE123" s="1"/>
      <c r="THF123" s="1"/>
      <c r="THG123" s="1"/>
      <c r="THH123" s="1"/>
      <c r="THI123" s="1"/>
      <c r="THJ123" s="1"/>
      <c r="THK123" s="1"/>
      <c r="THL123" s="1"/>
      <c r="THM123" s="1"/>
      <c r="THN123" s="1"/>
      <c r="THO123" s="1"/>
      <c r="THP123" s="1"/>
      <c r="THQ123" s="1"/>
      <c r="THR123" s="1"/>
      <c r="THS123" s="1"/>
      <c r="THT123" s="1"/>
      <c r="THU123" s="1"/>
      <c r="THV123" s="1"/>
      <c r="THW123" s="1"/>
      <c r="THX123" s="1"/>
      <c r="THY123" s="1"/>
      <c r="THZ123" s="1"/>
      <c r="TIA123" s="1"/>
      <c r="TIB123" s="1"/>
      <c r="TIC123" s="1"/>
      <c r="TID123" s="1"/>
      <c r="TIE123" s="1"/>
      <c r="TIF123" s="1"/>
      <c r="TIG123" s="1"/>
      <c r="TIH123" s="1"/>
      <c r="TII123" s="1"/>
      <c r="TIJ123" s="1"/>
      <c r="TIK123" s="1"/>
      <c r="TIL123" s="1"/>
      <c r="TIM123" s="1"/>
      <c r="TIN123" s="1"/>
      <c r="TIO123" s="1"/>
      <c r="TIP123" s="1"/>
      <c r="TIQ123" s="1"/>
      <c r="TIR123" s="1"/>
      <c r="TIS123" s="1"/>
      <c r="TIT123" s="1"/>
      <c r="TIU123" s="1"/>
      <c r="TIV123" s="1"/>
      <c r="TIW123" s="1"/>
      <c r="TIX123" s="1"/>
      <c r="TIY123" s="1"/>
      <c r="TIZ123" s="1"/>
      <c r="TJA123" s="1"/>
      <c r="TJB123" s="1"/>
      <c r="TJC123" s="1"/>
      <c r="TJD123" s="1"/>
      <c r="TJE123" s="1"/>
      <c r="TJF123" s="1"/>
      <c r="TJG123" s="1"/>
      <c r="TJH123" s="1"/>
      <c r="TJI123" s="1"/>
      <c r="TJJ123" s="1"/>
      <c r="TJK123" s="1"/>
      <c r="TJL123" s="1"/>
      <c r="TJM123" s="1"/>
      <c r="TJN123" s="1"/>
      <c r="TJO123" s="1"/>
      <c r="TJP123" s="1"/>
      <c r="TJQ123" s="1"/>
      <c r="TJR123" s="1"/>
      <c r="TJS123" s="1"/>
      <c r="TJT123" s="1"/>
      <c r="TJU123" s="1"/>
      <c r="TJV123" s="1"/>
      <c r="TJW123" s="1"/>
      <c r="TJX123" s="1"/>
      <c r="TJY123" s="1"/>
      <c r="TJZ123" s="1"/>
      <c r="TKA123" s="1"/>
      <c r="TKB123" s="1"/>
      <c r="TKC123" s="1"/>
      <c r="TKD123" s="1"/>
      <c r="TKE123" s="1"/>
      <c r="TKF123" s="1"/>
      <c r="TKG123" s="1"/>
      <c r="TKH123" s="1"/>
      <c r="TKI123" s="1"/>
      <c r="TKJ123" s="1"/>
      <c r="TKK123" s="1"/>
      <c r="TKL123" s="1"/>
      <c r="TKM123" s="1"/>
      <c r="TKN123" s="1"/>
      <c r="TKO123" s="1"/>
      <c r="TKP123" s="1"/>
      <c r="TKQ123" s="1"/>
      <c r="TKR123" s="1"/>
      <c r="TKS123" s="1"/>
      <c r="TKT123" s="1"/>
      <c r="TKU123" s="1"/>
      <c r="TKV123" s="1"/>
      <c r="TKW123" s="1"/>
      <c r="TKX123" s="1"/>
      <c r="TKY123" s="1"/>
      <c r="TKZ123" s="1"/>
      <c r="TLA123" s="1"/>
      <c r="TLB123" s="1"/>
      <c r="TLC123" s="1"/>
      <c r="TLD123" s="1"/>
      <c r="TLE123" s="1"/>
      <c r="TLF123" s="1"/>
      <c r="TLG123" s="1"/>
      <c r="TLH123" s="1"/>
      <c r="TLI123" s="1"/>
      <c r="TLJ123" s="1"/>
      <c r="TLK123" s="1"/>
      <c r="TLL123" s="1"/>
      <c r="TLM123" s="1"/>
      <c r="TLN123" s="1"/>
      <c r="TLO123" s="1"/>
      <c r="TLP123" s="1"/>
      <c r="TLQ123" s="1"/>
      <c r="TLR123" s="1"/>
      <c r="TLS123" s="1"/>
      <c r="TLT123" s="1"/>
      <c r="TLU123" s="1"/>
      <c r="TLV123" s="1"/>
      <c r="TLW123" s="1"/>
      <c r="TLX123" s="1"/>
      <c r="TLY123" s="1"/>
      <c r="TLZ123" s="1"/>
      <c r="TMA123" s="1"/>
      <c r="TMB123" s="1"/>
      <c r="TMC123" s="1"/>
      <c r="TMD123" s="1"/>
      <c r="TME123" s="1"/>
      <c r="TMF123" s="1"/>
      <c r="TMG123" s="1"/>
      <c r="TMH123" s="1"/>
      <c r="TMI123" s="1"/>
      <c r="TMJ123" s="1"/>
      <c r="TMK123" s="1"/>
      <c r="TML123" s="1"/>
      <c r="TMM123" s="1"/>
      <c r="TMN123" s="1"/>
      <c r="TMO123" s="1"/>
      <c r="TMP123" s="1"/>
      <c r="TMQ123" s="1"/>
      <c r="TMR123" s="1"/>
      <c r="TMS123" s="1"/>
      <c r="TMT123" s="1"/>
      <c r="TMU123" s="1"/>
      <c r="TMV123" s="1"/>
      <c r="TMW123" s="1"/>
      <c r="TMX123" s="1"/>
      <c r="TMY123" s="1"/>
      <c r="TMZ123" s="1"/>
      <c r="TNA123" s="1"/>
      <c r="TNB123" s="1"/>
      <c r="TNC123" s="1"/>
      <c r="TND123" s="1"/>
      <c r="TNE123" s="1"/>
      <c r="TNF123" s="1"/>
      <c r="TNG123" s="1"/>
      <c r="TNH123" s="1"/>
      <c r="TNI123" s="1"/>
      <c r="TNJ123" s="1"/>
      <c r="TNK123" s="1"/>
      <c r="TNL123" s="1"/>
      <c r="TNM123" s="1"/>
      <c r="TNN123" s="1"/>
      <c r="TNO123" s="1"/>
      <c r="TNP123" s="1"/>
      <c r="TNQ123" s="1"/>
      <c r="TNR123" s="1"/>
      <c r="TNS123" s="1"/>
      <c r="TNT123" s="1"/>
      <c r="TNU123" s="1"/>
      <c r="TNV123" s="1"/>
      <c r="TNW123" s="1"/>
      <c r="TNX123" s="1"/>
      <c r="TNY123" s="1"/>
      <c r="TNZ123" s="1"/>
      <c r="TOA123" s="1"/>
      <c r="TOB123" s="1"/>
      <c r="TOC123" s="1"/>
      <c r="TOD123" s="1"/>
      <c r="TOE123" s="1"/>
      <c r="TOF123" s="1"/>
      <c r="TOG123" s="1"/>
      <c r="TOH123" s="1"/>
      <c r="TOI123" s="1"/>
      <c r="TOJ123" s="1"/>
      <c r="TOK123" s="1"/>
      <c r="TOL123" s="1"/>
      <c r="TOM123" s="1"/>
      <c r="TON123" s="1"/>
      <c r="TOO123" s="1"/>
      <c r="TOP123" s="1"/>
      <c r="TOQ123" s="1"/>
      <c r="TOR123" s="1"/>
      <c r="TOS123" s="1"/>
      <c r="TOT123" s="1"/>
      <c r="TOU123" s="1"/>
      <c r="TOV123" s="1"/>
      <c r="TOW123" s="1"/>
      <c r="TOX123" s="1"/>
      <c r="TOY123" s="1"/>
      <c r="TOZ123" s="1"/>
      <c r="TPA123" s="1"/>
      <c r="TPB123" s="1"/>
      <c r="TPC123" s="1"/>
      <c r="TPD123" s="1"/>
      <c r="TPE123" s="1"/>
      <c r="TPF123" s="1"/>
      <c r="TPG123" s="1"/>
      <c r="TPH123" s="1"/>
      <c r="TPI123" s="1"/>
      <c r="TPJ123" s="1"/>
      <c r="TPK123" s="1"/>
      <c r="TPL123" s="1"/>
      <c r="TPM123" s="1"/>
      <c r="TPN123" s="1"/>
      <c r="TPO123" s="1"/>
      <c r="TPP123" s="1"/>
      <c r="TPQ123" s="1"/>
      <c r="TPR123" s="1"/>
      <c r="TPS123" s="1"/>
      <c r="TPT123" s="1"/>
      <c r="TPU123" s="1"/>
      <c r="TPV123" s="1"/>
      <c r="TPW123" s="1"/>
      <c r="TPX123" s="1"/>
      <c r="TPY123" s="1"/>
      <c r="TPZ123" s="1"/>
      <c r="TQA123" s="1"/>
      <c r="TQB123" s="1"/>
      <c r="TQC123" s="1"/>
      <c r="TQD123" s="1"/>
      <c r="TQE123" s="1"/>
      <c r="TQF123" s="1"/>
      <c r="TQG123" s="1"/>
      <c r="TQH123" s="1"/>
      <c r="TQI123" s="1"/>
      <c r="TQJ123" s="1"/>
      <c r="TQK123" s="1"/>
      <c r="TQL123" s="1"/>
      <c r="TQM123" s="1"/>
      <c r="TQN123" s="1"/>
      <c r="TQO123" s="1"/>
      <c r="TQP123" s="1"/>
      <c r="TQQ123" s="1"/>
      <c r="TQR123" s="1"/>
      <c r="TQS123" s="1"/>
      <c r="TQT123" s="1"/>
      <c r="TQU123" s="1"/>
      <c r="TQV123" s="1"/>
      <c r="TQW123" s="1"/>
      <c r="TQX123" s="1"/>
      <c r="TQY123" s="1"/>
      <c r="TQZ123" s="1"/>
      <c r="TRA123" s="1"/>
      <c r="TRB123" s="1"/>
      <c r="TRC123" s="1"/>
      <c r="TRD123" s="1"/>
      <c r="TRE123" s="1"/>
      <c r="TRF123" s="1"/>
      <c r="TRG123" s="1"/>
      <c r="TRH123" s="1"/>
      <c r="TRI123" s="1"/>
      <c r="TRJ123" s="1"/>
      <c r="TRK123" s="1"/>
      <c r="TRL123" s="1"/>
      <c r="TRM123" s="1"/>
      <c r="TRN123" s="1"/>
      <c r="TRO123" s="1"/>
      <c r="TRP123" s="1"/>
      <c r="TRQ123" s="1"/>
      <c r="TRR123" s="1"/>
      <c r="TRS123" s="1"/>
      <c r="TRT123" s="1"/>
      <c r="TRU123" s="1"/>
      <c r="TRV123" s="1"/>
      <c r="TRW123" s="1"/>
      <c r="TRX123" s="1"/>
      <c r="TRY123" s="1"/>
      <c r="TRZ123" s="1"/>
      <c r="TSA123" s="1"/>
      <c r="TSB123" s="1"/>
      <c r="TSC123" s="1"/>
      <c r="TSD123" s="1"/>
      <c r="TSE123" s="1"/>
      <c r="TSF123" s="1"/>
      <c r="TSG123" s="1"/>
      <c r="TSH123" s="1"/>
      <c r="TSI123" s="1"/>
      <c r="TSJ123" s="1"/>
      <c r="TSK123" s="1"/>
      <c r="TSL123" s="1"/>
      <c r="TSM123" s="1"/>
      <c r="TSN123" s="1"/>
      <c r="TSO123" s="1"/>
      <c r="TSP123" s="1"/>
      <c r="TSQ123" s="1"/>
      <c r="TSR123" s="1"/>
      <c r="TSS123" s="1"/>
      <c r="TST123" s="1"/>
      <c r="TSU123" s="1"/>
      <c r="TSV123" s="1"/>
      <c r="TSW123" s="1"/>
      <c r="TSX123" s="1"/>
      <c r="TSY123" s="1"/>
      <c r="TSZ123" s="1"/>
      <c r="TTA123" s="1"/>
      <c r="TTB123" s="1"/>
      <c r="TTC123" s="1"/>
      <c r="TTD123" s="1"/>
      <c r="TTE123" s="1"/>
      <c r="TTF123" s="1"/>
      <c r="TTG123" s="1"/>
      <c r="TTH123" s="1"/>
      <c r="TTI123" s="1"/>
      <c r="TTJ123" s="1"/>
      <c r="TTK123" s="1"/>
      <c r="TTL123" s="1"/>
      <c r="TTM123" s="1"/>
      <c r="TTN123" s="1"/>
      <c r="TTO123" s="1"/>
      <c r="TTP123" s="1"/>
      <c r="TTQ123" s="1"/>
      <c r="TTR123" s="1"/>
      <c r="TTS123" s="1"/>
      <c r="TTT123" s="1"/>
      <c r="TTU123" s="1"/>
      <c r="TTV123" s="1"/>
      <c r="TTW123" s="1"/>
      <c r="TTX123" s="1"/>
      <c r="TTY123" s="1"/>
      <c r="TTZ123" s="1"/>
      <c r="TUA123" s="1"/>
      <c r="TUB123" s="1"/>
      <c r="TUC123" s="1"/>
      <c r="TUD123" s="1"/>
      <c r="TUE123" s="1"/>
      <c r="TUF123" s="1"/>
      <c r="TUG123" s="1"/>
      <c r="TUH123" s="1"/>
      <c r="TUI123" s="1"/>
      <c r="TUJ123" s="1"/>
      <c r="TUK123" s="1"/>
      <c r="TUL123" s="1"/>
      <c r="TUM123" s="1"/>
      <c r="TUN123" s="1"/>
      <c r="TUO123" s="1"/>
      <c r="TUP123" s="1"/>
      <c r="TUQ123" s="1"/>
      <c r="TUR123" s="1"/>
      <c r="TUS123" s="1"/>
      <c r="TUT123" s="1"/>
      <c r="TUU123" s="1"/>
      <c r="TUV123" s="1"/>
      <c r="TUW123" s="1"/>
      <c r="TUX123" s="1"/>
      <c r="TUY123" s="1"/>
      <c r="TUZ123" s="1"/>
      <c r="TVA123" s="1"/>
      <c r="TVB123" s="1"/>
      <c r="TVC123" s="1"/>
      <c r="TVD123" s="1"/>
      <c r="TVE123" s="1"/>
      <c r="TVF123" s="1"/>
      <c r="TVG123" s="1"/>
      <c r="TVH123" s="1"/>
      <c r="TVI123" s="1"/>
      <c r="TVJ123" s="1"/>
      <c r="TVK123" s="1"/>
      <c r="TVL123" s="1"/>
      <c r="TVM123" s="1"/>
      <c r="TVN123" s="1"/>
      <c r="TVO123" s="1"/>
      <c r="TVP123" s="1"/>
      <c r="TVQ123" s="1"/>
      <c r="TVR123" s="1"/>
      <c r="TVS123" s="1"/>
      <c r="TVT123" s="1"/>
      <c r="TVU123" s="1"/>
      <c r="TVV123" s="1"/>
      <c r="TVW123" s="1"/>
      <c r="TVX123" s="1"/>
      <c r="TVY123" s="1"/>
      <c r="TVZ123" s="1"/>
      <c r="TWA123" s="1"/>
      <c r="TWB123" s="1"/>
      <c r="TWC123" s="1"/>
      <c r="TWD123" s="1"/>
      <c r="TWE123" s="1"/>
      <c r="TWF123" s="1"/>
      <c r="TWG123" s="1"/>
      <c r="TWH123" s="1"/>
      <c r="TWI123" s="1"/>
      <c r="TWJ123" s="1"/>
      <c r="TWK123" s="1"/>
      <c r="TWL123" s="1"/>
      <c r="TWM123" s="1"/>
      <c r="TWN123" s="1"/>
      <c r="TWO123" s="1"/>
      <c r="TWP123" s="1"/>
      <c r="TWQ123" s="1"/>
      <c r="TWR123" s="1"/>
      <c r="TWS123" s="1"/>
      <c r="TWT123" s="1"/>
      <c r="TWU123" s="1"/>
      <c r="TWV123" s="1"/>
      <c r="TWW123" s="1"/>
      <c r="TWX123" s="1"/>
      <c r="TWY123" s="1"/>
      <c r="TWZ123" s="1"/>
      <c r="TXA123" s="1"/>
      <c r="TXB123" s="1"/>
      <c r="TXC123" s="1"/>
      <c r="TXD123" s="1"/>
      <c r="TXE123" s="1"/>
      <c r="TXF123" s="1"/>
      <c r="TXG123" s="1"/>
      <c r="TXH123" s="1"/>
      <c r="TXI123" s="1"/>
      <c r="TXJ123" s="1"/>
      <c r="TXK123" s="1"/>
      <c r="TXL123" s="1"/>
      <c r="TXM123" s="1"/>
      <c r="TXN123" s="1"/>
      <c r="TXO123" s="1"/>
      <c r="TXP123" s="1"/>
      <c r="TXQ123" s="1"/>
      <c r="TXR123" s="1"/>
      <c r="TXS123" s="1"/>
      <c r="TXT123" s="1"/>
      <c r="TXU123" s="1"/>
      <c r="TXV123" s="1"/>
      <c r="TXW123" s="1"/>
      <c r="TXX123" s="1"/>
      <c r="TXY123" s="1"/>
      <c r="TXZ123" s="1"/>
      <c r="TYA123" s="1"/>
      <c r="TYB123" s="1"/>
      <c r="TYC123" s="1"/>
      <c r="TYD123" s="1"/>
      <c r="TYE123" s="1"/>
      <c r="TYF123" s="1"/>
      <c r="TYG123" s="1"/>
      <c r="TYH123" s="1"/>
      <c r="TYI123" s="1"/>
      <c r="TYJ123" s="1"/>
      <c r="TYK123" s="1"/>
      <c r="TYL123" s="1"/>
      <c r="TYM123" s="1"/>
      <c r="TYN123" s="1"/>
      <c r="TYO123" s="1"/>
      <c r="TYP123" s="1"/>
      <c r="TYQ123" s="1"/>
      <c r="TYR123" s="1"/>
      <c r="TYS123" s="1"/>
      <c r="TYT123" s="1"/>
      <c r="TYU123" s="1"/>
      <c r="TYV123" s="1"/>
      <c r="TYW123" s="1"/>
      <c r="TYX123" s="1"/>
      <c r="TYY123" s="1"/>
      <c r="TYZ123" s="1"/>
      <c r="TZA123" s="1"/>
      <c r="TZB123" s="1"/>
      <c r="TZC123" s="1"/>
      <c r="TZD123" s="1"/>
      <c r="TZE123" s="1"/>
      <c r="TZF123" s="1"/>
      <c r="TZG123" s="1"/>
      <c r="TZH123" s="1"/>
      <c r="TZI123" s="1"/>
      <c r="TZJ123" s="1"/>
      <c r="TZK123" s="1"/>
      <c r="TZL123" s="1"/>
      <c r="TZM123" s="1"/>
      <c r="TZN123" s="1"/>
      <c r="TZO123" s="1"/>
      <c r="TZP123" s="1"/>
      <c r="TZQ123" s="1"/>
      <c r="TZR123" s="1"/>
      <c r="TZS123" s="1"/>
      <c r="TZT123" s="1"/>
      <c r="TZU123" s="1"/>
      <c r="TZV123" s="1"/>
      <c r="TZW123" s="1"/>
      <c r="TZX123" s="1"/>
      <c r="TZY123" s="1"/>
      <c r="TZZ123" s="1"/>
      <c r="UAA123" s="1"/>
      <c r="UAB123" s="1"/>
      <c r="UAC123" s="1"/>
      <c r="UAD123" s="1"/>
      <c r="UAE123" s="1"/>
      <c r="UAF123" s="1"/>
      <c r="UAG123" s="1"/>
      <c r="UAH123" s="1"/>
      <c r="UAI123" s="1"/>
      <c r="UAJ123" s="1"/>
      <c r="UAK123" s="1"/>
      <c r="UAL123" s="1"/>
      <c r="UAM123" s="1"/>
      <c r="UAN123" s="1"/>
      <c r="UAO123" s="1"/>
      <c r="UAP123" s="1"/>
      <c r="UAQ123" s="1"/>
      <c r="UAR123" s="1"/>
      <c r="UAS123" s="1"/>
      <c r="UAT123" s="1"/>
      <c r="UAU123" s="1"/>
      <c r="UAV123" s="1"/>
      <c r="UAW123" s="1"/>
      <c r="UAX123" s="1"/>
      <c r="UAY123" s="1"/>
      <c r="UAZ123" s="1"/>
      <c r="UBA123" s="1"/>
      <c r="UBB123" s="1"/>
      <c r="UBC123" s="1"/>
      <c r="UBD123" s="1"/>
      <c r="UBE123" s="1"/>
      <c r="UBF123" s="1"/>
      <c r="UBG123" s="1"/>
      <c r="UBH123" s="1"/>
      <c r="UBI123" s="1"/>
      <c r="UBJ123" s="1"/>
      <c r="UBK123" s="1"/>
      <c r="UBL123" s="1"/>
      <c r="UBM123" s="1"/>
      <c r="UBN123" s="1"/>
      <c r="UBO123" s="1"/>
      <c r="UBP123" s="1"/>
      <c r="UBQ123" s="1"/>
      <c r="UBR123" s="1"/>
      <c r="UBS123" s="1"/>
      <c r="UBT123" s="1"/>
      <c r="UBU123" s="1"/>
      <c r="UBV123" s="1"/>
      <c r="UBW123" s="1"/>
      <c r="UBX123" s="1"/>
      <c r="UBY123" s="1"/>
      <c r="UBZ123" s="1"/>
      <c r="UCA123" s="1"/>
      <c r="UCB123" s="1"/>
      <c r="UCC123" s="1"/>
      <c r="UCD123" s="1"/>
      <c r="UCE123" s="1"/>
      <c r="UCF123" s="1"/>
      <c r="UCG123" s="1"/>
      <c r="UCH123" s="1"/>
      <c r="UCI123" s="1"/>
      <c r="UCJ123" s="1"/>
      <c r="UCK123" s="1"/>
      <c r="UCL123" s="1"/>
      <c r="UCM123" s="1"/>
      <c r="UCN123" s="1"/>
      <c r="UCO123" s="1"/>
      <c r="UCP123" s="1"/>
      <c r="UCQ123" s="1"/>
      <c r="UCR123" s="1"/>
      <c r="UCS123" s="1"/>
      <c r="UCT123" s="1"/>
      <c r="UCU123" s="1"/>
      <c r="UCV123" s="1"/>
      <c r="UCW123" s="1"/>
      <c r="UCX123" s="1"/>
      <c r="UCY123" s="1"/>
      <c r="UCZ123" s="1"/>
      <c r="UDA123" s="1"/>
      <c r="UDB123" s="1"/>
      <c r="UDC123" s="1"/>
      <c r="UDD123" s="1"/>
      <c r="UDE123" s="1"/>
      <c r="UDF123" s="1"/>
      <c r="UDG123" s="1"/>
      <c r="UDH123" s="1"/>
      <c r="UDI123" s="1"/>
      <c r="UDJ123" s="1"/>
      <c r="UDK123" s="1"/>
      <c r="UDL123" s="1"/>
      <c r="UDM123" s="1"/>
      <c r="UDN123" s="1"/>
      <c r="UDO123" s="1"/>
      <c r="UDP123" s="1"/>
      <c r="UDQ123" s="1"/>
      <c r="UDR123" s="1"/>
      <c r="UDS123" s="1"/>
      <c r="UDT123" s="1"/>
      <c r="UDU123" s="1"/>
      <c r="UDV123" s="1"/>
      <c r="UDW123" s="1"/>
      <c r="UDX123" s="1"/>
      <c r="UDY123" s="1"/>
      <c r="UDZ123" s="1"/>
      <c r="UEA123" s="1"/>
      <c r="UEB123" s="1"/>
      <c r="UEC123" s="1"/>
      <c r="UED123" s="1"/>
      <c r="UEE123" s="1"/>
      <c r="UEF123" s="1"/>
      <c r="UEG123" s="1"/>
      <c r="UEH123" s="1"/>
      <c r="UEI123" s="1"/>
      <c r="UEJ123" s="1"/>
      <c r="UEK123" s="1"/>
      <c r="UEL123" s="1"/>
      <c r="UEM123" s="1"/>
      <c r="UEN123" s="1"/>
      <c r="UEO123" s="1"/>
      <c r="UEP123" s="1"/>
      <c r="UEQ123" s="1"/>
      <c r="UER123" s="1"/>
      <c r="UES123" s="1"/>
      <c r="UET123" s="1"/>
      <c r="UEU123" s="1"/>
      <c r="UEV123" s="1"/>
      <c r="UEW123" s="1"/>
      <c r="UEX123" s="1"/>
      <c r="UEY123" s="1"/>
      <c r="UEZ123" s="1"/>
      <c r="UFA123" s="1"/>
      <c r="UFB123" s="1"/>
      <c r="UFC123" s="1"/>
      <c r="UFD123" s="1"/>
      <c r="UFE123" s="1"/>
      <c r="UFF123" s="1"/>
      <c r="UFG123" s="1"/>
      <c r="UFH123" s="1"/>
      <c r="UFI123" s="1"/>
      <c r="UFJ123" s="1"/>
      <c r="UFK123" s="1"/>
      <c r="UFL123" s="1"/>
      <c r="UFM123" s="1"/>
      <c r="UFN123" s="1"/>
      <c r="UFO123" s="1"/>
      <c r="UFP123" s="1"/>
      <c r="UFQ123" s="1"/>
      <c r="UFR123" s="1"/>
      <c r="UFS123" s="1"/>
      <c r="UFT123" s="1"/>
      <c r="UFU123" s="1"/>
      <c r="UFV123" s="1"/>
      <c r="UFW123" s="1"/>
      <c r="UFX123" s="1"/>
      <c r="UFY123" s="1"/>
      <c r="UFZ123" s="1"/>
      <c r="UGA123" s="1"/>
      <c r="UGB123" s="1"/>
      <c r="UGC123" s="1"/>
      <c r="UGD123" s="1"/>
      <c r="UGE123" s="1"/>
      <c r="UGF123" s="1"/>
      <c r="UGG123" s="1"/>
      <c r="UGH123" s="1"/>
      <c r="UGI123" s="1"/>
      <c r="UGJ123" s="1"/>
      <c r="UGK123" s="1"/>
      <c r="UGL123" s="1"/>
      <c r="UGM123" s="1"/>
      <c r="UGN123" s="1"/>
      <c r="UGO123" s="1"/>
      <c r="UGP123" s="1"/>
      <c r="UGQ123" s="1"/>
      <c r="UGR123" s="1"/>
      <c r="UGS123" s="1"/>
      <c r="UGT123" s="1"/>
      <c r="UGU123" s="1"/>
      <c r="UGV123" s="1"/>
      <c r="UGW123" s="1"/>
      <c r="UGX123" s="1"/>
      <c r="UGY123" s="1"/>
      <c r="UGZ123" s="1"/>
      <c r="UHA123" s="1"/>
      <c r="UHB123" s="1"/>
      <c r="UHC123" s="1"/>
      <c r="UHD123" s="1"/>
      <c r="UHE123" s="1"/>
      <c r="UHF123" s="1"/>
      <c r="UHG123" s="1"/>
      <c r="UHH123" s="1"/>
      <c r="UHI123" s="1"/>
      <c r="UHJ123" s="1"/>
      <c r="UHK123" s="1"/>
      <c r="UHL123" s="1"/>
      <c r="UHM123" s="1"/>
      <c r="UHN123" s="1"/>
      <c r="UHO123" s="1"/>
      <c r="UHP123" s="1"/>
      <c r="UHQ123" s="1"/>
      <c r="UHR123" s="1"/>
      <c r="UHS123" s="1"/>
      <c r="UHT123" s="1"/>
      <c r="UHU123" s="1"/>
      <c r="UHV123" s="1"/>
      <c r="UHW123" s="1"/>
      <c r="UHX123" s="1"/>
      <c r="UHY123" s="1"/>
      <c r="UHZ123" s="1"/>
      <c r="UIA123" s="1"/>
      <c r="UIB123" s="1"/>
      <c r="UIC123" s="1"/>
      <c r="UID123" s="1"/>
      <c r="UIE123" s="1"/>
      <c r="UIF123" s="1"/>
      <c r="UIG123" s="1"/>
      <c r="UIH123" s="1"/>
      <c r="UII123" s="1"/>
      <c r="UIJ123" s="1"/>
      <c r="UIK123" s="1"/>
      <c r="UIL123" s="1"/>
      <c r="UIM123" s="1"/>
      <c r="UIN123" s="1"/>
      <c r="UIO123" s="1"/>
      <c r="UIP123" s="1"/>
      <c r="UIQ123" s="1"/>
      <c r="UIR123" s="1"/>
      <c r="UIS123" s="1"/>
      <c r="UIT123" s="1"/>
      <c r="UIU123" s="1"/>
      <c r="UIV123" s="1"/>
      <c r="UIW123" s="1"/>
      <c r="UIX123" s="1"/>
      <c r="UIY123" s="1"/>
      <c r="UIZ123" s="1"/>
      <c r="UJA123" s="1"/>
      <c r="UJB123" s="1"/>
      <c r="UJC123" s="1"/>
      <c r="UJD123" s="1"/>
      <c r="UJE123" s="1"/>
      <c r="UJF123" s="1"/>
      <c r="UJG123" s="1"/>
      <c r="UJH123" s="1"/>
      <c r="UJI123" s="1"/>
      <c r="UJJ123" s="1"/>
      <c r="UJK123" s="1"/>
      <c r="UJL123" s="1"/>
      <c r="UJM123" s="1"/>
      <c r="UJN123" s="1"/>
      <c r="UJO123" s="1"/>
      <c r="UJP123" s="1"/>
      <c r="UJQ123" s="1"/>
      <c r="UJR123" s="1"/>
      <c r="UJS123" s="1"/>
      <c r="UJT123" s="1"/>
      <c r="UJU123" s="1"/>
      <c r="UJV123" s="1"/>
      <c r="UJW123" s="1"/>
      <c r="UJX123" s="1"/>
      <c r="UJY123" s="1"/>
      <c r="UJZ123" s="1"/>
      <c r="UKA123" s="1"/>
      <c r="UKB123" s="1"/>
      <c r="UKC123" s="1"/>
      <c r="UKD123" s="1"/>
      <c r="UKE123" s="1"/>
      <c r="UKF123" s="1"/>
      <c r="UKG123" s="1"/>
      <c r="UKH123" s="1"/>
      <c r="UKI123" s="1"/>
      <c r="UKJ123" s="1"/>
      <c r="UKK123" s="1"/>
      <c r="UKL123" s="1"/>
      <c r="UKM123" s="1"/>
      <c r="UKN123" s="1"/>
      <c r="UKO123" s="1"/>
      <c r="UKP123" s="1"/>
      <c r="UKQ123" s="1"/>
      <c r="UKR123" s="1"/>
      <c r="UKS123" s="1"/>
      <c r="UKT123" s="1"/>
      <c r="UKU123" s="1"/>
      <c r="UKV123" s="1"/>
      <c r="UKW123" s="1"/>
      <c r="UKX123" s="1"/>
      <c r="UKY123" s="1"/>
      <c r="UKZ123" s="1"/>
      <c r="ULA123" s="1"/>
      <c r="ULB123" s="1"/>
      <c r="ULC123" s="1"/>
      <c r="ULD123" s="1"/>
      <c r="ULE123" s="1"/>
      <c r="ULF123" s="1"/>
      <c r="ULG123" s="1"/>
      <c r="ULH123" s="1"/>
      <c r="ULI123" s="1"/>
      <c r="ULJ123" s="1"/>
      <c r="ULK123" s="1"/>
      <c r="ULL123" s="1"/>
      <c r="ULM123" s="1"/>
      <c r="ULN123" s="1"/>
      <c r="ULO123" s="1"/>
      <c r="ULP123" s="1"/>
      <c r="ULQ123" s="1"/>
      <c r="ULR123" s="1"/>
      <c r="ULS123" s="1"/>
      <c r="ULT123" s="1"/>
      <c r="ULU123" s="1"/>
      <c r="ULV123" s="1"/>
      <c r="ULW123" s="1"/>
      <c r="ULX123" s="1"/>
      <c r="ULY123" s="1"/>
      <c r="ULZ123" s="1"/>
      <c r="UMA123" s="1"/>
      <c r="UMB123" s="1"/>
      <c r="UMC123" s="1"/>
      <c r="UMD123" s="1"/>
      <c r="UME123" s="1"/>
      <c r="UMF123" s="1"/>
      <c r="UMG123" s="1"/>
      <c r="UMH123" s="1"/>
      <c r="UMI123" s="1"/>
      <c r="UMJ123" s="1"/>
      <c r="UMK123" s="1"/>
      <c r="UML123" s="1"/>
      <c r="UMM123" s="1"/>
      <c r="UMN123" s="1"/>
      <c r="UMO123" s="1"/>
      <c r="UMP123" s="1"/>
      <c r="UMQ123" s="1"/>
      <c r="UMR123" s="1"/>
      <c r="UMS123" s="1"/>
      <c r="UMT123" s="1"/>
      <c r="UMU123" s="1"/>
      <c r="UMV123" s="1"/>
      <c r="UMW123" s="1"/>
      <c r="UMX123" s="1"/>
      <c r="UMY123" s="1"/>
      <c r="UMZ123" s="1"/>
      <c r="UNA123" s="1"/>
      <c r="UNB123" s="1"/>
      <c r="UNC123" s="1"/>
      <c r="UND123" s="1"/>
      <c r="UNE123" s="1"/>
      <c r="UNF123" s="1"/>
      <c r="UNG123" s="1"/>
      <c r="UNH123" s="1"/>
      <c r="UNI123" s="1"/>
      <c r="UNJ123" s="1"/>
      <c r="UNK123" s="1"/>
      <c r="UNL123" s="1"/>
      <c r="UNM123" s="1"/>
      <c r="UNN123" s="1"/>
      <c r="UNO123" s="1"/>
      <c r="UNP123" s="1"/>
      <c r="UNQ123" s="1"/>
      <c r="UNR123" s="1"/>
      <c r="UNS123" s="1"/>
      <c r="UNT123" s="1"/>
      <c r="UNU123" s="1"/>
      <c r="UNV123" s="1"/>
      <c r="UNW123" s="1"/>
      <c r="UNX123" s="1"/>
      <c r="UNY123" s="1"/>
      <c r="UNZ123" s="1"/>
      <c r="UOA123" s="1"/>
      <c r="UOB123" s="1"/>
      <c r="UOC123" s="1"/>
      <c r="UOD123" s="1"/>
      <c r="UOE123" s="1"/>
      <c r="UOF123" s="1"/>
      <c r="UOG123" s="1"/>
      <c r="UOH123" s="1"/>
      <c r="UOI123" s="1"/>
      <c r="UOJ123" s="1"/>
      <c r="UOK123" s="1"/>
      <c r="UOL123" s="1"/>
      <c r="UOM123" s="1"/>
      <c r="UON123" s="1"/>
      <c r="UOO123" s="1"/>
      <c r="UOP123" s="1"/>
      <c r="UOQ123" s="1"/>
      <c r="UOR123" s="1"/>
      <c r="UOS123" s="1"/>
      <c r="UOT123" s="1"/>
      <c r="UOU123" s="1"/>
      <c r="UOV123" s="1"/>
      <c r="UOW123" s="1"/>
      <c r="UOX123" s="1"/>
      <c r="UOY123" s="1"/>
      <c r="UOZ123" s="1"/>
      <c r="UPA123" s="1"/>
      <c r="UPB123" s="1"/>
      <c r="UPC123" s="1"/>
      <c r="UPD123" s="1"/>
      <c r="UPE123" s="1"/>
      <c r="UPF123" s="1"/>
      <c r="UPG123" s="1"/>
      <c r="UPH123" s="1"/>
      <c r="UPI123" s="1"/>
      <c r="UPJ123" s="1"/>
      <c r="UPK123" s="1"/>
      <c r="UPL123" s="1"/>
      <c r="UPM123" s="1"/>
      <c r="UPN123" s="1"/>
      <c r="UPO123" s="1"/>
      <c r="UPP123" s="1"/>
      <c r="UPQ123" s="1"/>
      <c r="UPR123" s="1"/>
      <c r="UPS123" s="1"/>
      <c r="UPT123" s="1"/>
      <c r="UPU123" s="1"/>
      <c r="UPV123" s="1"/>
      <c r="UPW123" s="1"/>
      <c r="UPX123" s="1"/>
      <c r="UPY123" s="1"/>
      <c r="UPZ123" s="1"/>
      <c r="UQA123" s="1"/>
      <c r="UQB123" s="1"/>
      <c r="UQC123" s="1"/>
      <c r="UQD123" s="1"/>
      <c r="UQE123" s="1"/>
      <c r="UQF123" s="1"/>
      <c r="UQG123" s="1"/>
      <c r="UQH123" s="1"/>
      <c r="UQI123" s="1"/>
      <c r="UQJ123" s="1"/>
      <c r="UQK123" s="1"/>
      <c r="UQL123" s="1"/>
      <c r="UQM123" s="1"/>
      <c r="UQN123" s="1"/>
      <c r="UQO123" s="1"/>
      <c r="UQP123" s="1"/>
      <c r="UQQ123" s="1"/>
      <c r="UQR123" s="1"/>
      <c r="UQS123" s="1"/>
      <c r="UQT123" s="1"/>
      <c r="UQU123" s="1"/>
      <c r="UQV123" s="1"/>
      <c r="UQW123" s="1"/>
      <c r="UQX123" s="1"/>
      <c r="UQY123" s="1"/>
      <c r="UQZ123" s="1"/>
      <c r="URA123" s="1"/>
      <c r="URB123" s="1"/>
      <c r="URC123" s="1"/>
      <c r="URD123" s="1"/>
      <c r="URE123" s="1"/>
      <c r="URF123" s="1"/>
      <c r="URG123" s="1"/>
      <c r="URH123" s="1"/>
      <c r="URI123" s="1"/>
      <c r="URJ123" s="1"/>
      <c r="URK123" s="1"/>
      <c r="URL123" s="1"/>
      <c r="URM123" s="1"/>
      <c r="URN123" s="1"/>
      <c r="URO123" s="1"/>
      <c r="URP123" s="1"/>
      <c r="URQ123" s="1"/>
      <c r="URR123" s="1"/>
      <c r="URS123" s="1"/>
      <c r="URT123" s="1"/>
      <c r="URU123" s="1"/>
      <c r="URV123" s="1"/>
      <c r="URW123" s="1"/>
      <c r="URX123" s="1"/>
      <c r="URY123" s="1"/>
      <c r="URZ123" s="1"/>
      <c r="USA123" s="1"/>
      <c r="USB123" s="1"/>
      <c r="USC123" s="1"/>
      <c r="USD123" s="1"/>
      <c r="USE123" s="1"/>
      <c r="USF123" s="1"/>
      <c r="USG123" s="1"/>
      <c r="USH123" s="1"/>
      <c r="USI123" s="1"/>
      <c r="USJ123" s="1"/>
      <c r="USK123" s="1"/>
      <c r="USL123" s="1"/>
      <c r="USM123" s="1"/>
      <c r="USN123" s="1"/>
      <c r="USO123" s="1"/>
      <c r="USP123" s="1"/>
      <c r="USQ123" s="1"/>
      <c r="USR123" s="1"/>
      <c r="USS123" s="1"/>
      <c r="UST123" s="1"/>
      <c r="USU123" s="1"/>
      <c r="USV123" s="1"/>
      <c r="USW123" s="1"/>
      <c r="USX123" s="1"/>
      <c r="USY123" s="1"/>
      <c r="USZ123" s="1"/>
      <c r="UTA123" s="1"/>
      <c r="UTB123" s="1"/>
      <c r="UTC123" s="1"/>
      <c r="UTD123" s="1"/>
      <c r="UTE123" s="1"/>
      <c r="UTF123" s="1"/>
      <c r="UTG123" s="1"/>
      <c r="UTH123" s="1"/>
      <c r="UTI123" s="1"/>
      <c r="UTJ123" s="1"/>
      <c r="UTK123" s="1"/>
      <c r="UTL123" s="1"/>
      <c r="UTM123" s="1"/>
      <c r="UTN123" s="1"/>
      <c r="UTO123" s="1"/>
      <c r="UTP123" s="1"/>
      <c r="UTQ123" s="1"/>
      <c r="UTR123" s="1"/>
      <c r="UTS123" s="1"/>
      <c r="UTT123" s="1"/>
      <c r="UTU123" s="1"/>
      <c r="UTV123" s="1"/>
      <c r="UTW123" s="1"/>
      <c r="UTX123" s="1"/>
      <c r="UTY123" s="1"/>
      <c r="UTZ123" s="1"/>
      <c r="UUA123" s="1"/>
      <c r="UUB123" s="1"/>
      <c r="UUC123" s="1"/>
      <c r="UUD123" s="1"/>
      <c r="UUE123" s="1"/>
      <c r="UUF123" s="1"/>
      <c r="UUG123" s="1"/>
      <c r="UUH123" s="1"/>
      <c r="UUI123" s="1"/>
      <c r="UUJ123" s="1"/>
      <c r="UUK123" s="1"/>
      <c r="UUL123" s="1"/>
      <c r="UUM123" s="1"/>
      <c r="UUN123" s="1"/>
      <c r="UUO123" s="1"/>
      <c r="UUP123" s="1"/>
      <c r="UUQ123" s="1"/>
      <c r="UUR123" s="1"/>
      <c r="UUS123" s="1"/>
      <c r="UUT123" s="1"/>
      <c r="UUU123" s="1"/>
      <c r="UUV123" s="1"/>
      <c r="UUW123" s="1"/>
      <c r="UUX123" s="1"/>
      <c r="UUY123" s="1"/>
      <c r="UUZ123" s="1"/>
      <c r="UVA123" s="1"/>
      <c r="UVB123" s="1"/>
      <c r="UVC123" s="1"/>
      <c r="UVD123" s="1"/>
      <c r="UVE123" s="1"/>
      <c r="UVF123" s="1"/>
      <c r="UVG123" s="1"/>
      <c r="UVH123" s="1"/>
      <c r="UVI123" s="1"/>
      <c r="UVJ123" s="1"/>
      <c r="UVK123" s="1"/>
      <c r="UVL123" s="1"/>
      <c r="UVM123" s="1"/>
      <c r="UVN123" s="1"/>
      <c r="UVO123" s="1"/>
      <c r="UVP123" s="1"/>
      <c r="UVQ123" s="1"/>
      <c r="UVR123" s="1"/>
      <c r="UVS123" s="1"/>
      <c r="UVT123" s="1"/>
      <c r="UVU123" s="1"/>
      <c r="UVV123" s="1"/>
      <c r="UVW123" s="1"/>
      <c r="UVX123" s="1"/>
      <c r="UVY123" s="1"/>
      <c r="UVZ123" s="1"/>
      <c r="UWA123" s="1"/>
      <c r="UWB123" s="1"/>
      <c r="UWC123" s="1"/>
      <c r="UWD123" s="1"/>
      <c r="UWE123" s="1"/>
      <c r="UWF123" s="1"/>
      <c r="UWG123" s="1"/>
      <c r="UWH123" s="1"/>
      <c r="UWI123" s="1"/>
      <c r="UWJ123" s="1"/>
      <c r="UWK123" s="1"/>
      <c r="UWL123" s="1"/>
      <c r="UWM123" s="1"/>
      <c r="UWN123" s="1"/>
      <c r="UWO123" s="1"/>
      <c r="UWP123" s="1"/>
      <c r="UWQ123" s="1"/>
      <c r="UWR123" s="1"/>
      <c r="UWS123" s="1"/>
      <c r="UWT123" s="1"/>
      <c r="UWU123" s="1"/>
      <c r="UWV123" s="1"/>
      <c r="UWW123" s="1"/>
      <c r="UWX123" s="1"/>
      <c r="UWY123" s="1"/>
      <c r="UWZ123" s="1"/>
      <c r="UXA123" s="1"/>
      <c r="UXB123" s="1"/>
      <c r="UXC123" s="1"/>
      <c r="UXD123" s="1"/>
      <c r="UXE123" s="1"/>
      <c r="UXF123" s="1"/>
      <c r="UXG123" s="1"/>
      <c r="UXH123" s="1"/>
      <c r="UXI123" s="1"/>
      <c r="UXJ123" s="1"/>
      <c r="UXK123" s="1"/>
      <c r="UXL123" s="1"/>
      <c r="UXM123" s="1"/>
      <c r="UXN123" s="1"/>
      <c r="UXO123" s="1"/>
      <c r="UXP123" s="1"/>
      <c r="UXQ123" s="1"/>
      <c r="UXR123" s="1"/>
      <c r="UXS123" s="1"/>
      <c r="UXT123" s="1"/>
      <c r="UXU123" s="1"/>
      <c r="UXV123" s="1"/>
      <c r="UXW123" s="1"/>
      <c r="UXX123" s="1"/>
      <c r="UXY123" s="1"/>
      <c r="UXZ123" s="1"/>
      <c r="UYA123" s="1"/>
      <c r="UYB123" s="1"/>
      <c r="UYC123" s="1"/>
      <c r="UYD123" s="1"/>
      <c r="UYE123" s="1"/>
      <c r="UYF123" s="1"/>
      <c r="UYG123" s="1"/>
      <c r="UYH123" s="1"/>
      <c r="UYI123" s="1"/>
      <c r="UYJ123" s="1"/>
      <c r="UYK123" s="1"/>
      <c r="UYL123" s="1"/>
      <c r="UYM123" s="1"/>
      <c r="UYN123" s="1"/>
      <c r="UYO123" s="1"/>
      <c r="UYP123" s="1"/>
      <c r="UYQ123" s="1"/>
      <c r="UYR123" s="1"/>
      <c r="UYS123" s="1"/>
      <c r="UYT123" s="1"/>
      <c r="UYU123" s="1"/>
      <c r="UYV123" s="1"/>
      <c r="UYW123" s="1"/>
      <c r="UYX123" s="1"/>
      <c r="UYY123" s="1"/>
      <c r="UYZ123" s="1"/>
      <c r="UZA123" s="1"/>
      <c r="UZB123" s="1"/>
      <c r="UZC123" s="1"/>
      <c r="UZD123" s="1"/>
      <c r="UZE123" s="1"/>
      <c r="UZF123" s="1"/>
      <c r="UZG123" s="1"/>
      <c r="UZH123" s="1"/>
      <c r="UZI123" s="1"/>
      <c r="UZJ123" s="1"/>
      <c r="UZK123" s="1"/>
      <c r="UZL123" s="1"/>
      <c r="UZM123" s="1"/>
      <c r="UZN123" s="1"/>
      <c r="UZO123" s="1"/>
      <c r="UZP123" s="1"/>
      <c r="UZQ123" s="1"/>
      <c r="UZR123" s="1"/>
      <c r="UZS123" s="1"/>
      <c r="UZT123" s="1"/>
      <c r="UZU123" s="1"/>
      <c r="UZV123" s="1"/>
      <c r="UZW123" s="1"/>
      <c r="UZX123" s="1"/>
      <c r="UZY123" s="1"/>
      <c r="UZZ123" s="1"/>
      <c r="VAA123" s="1"/>
      <c r="VAB123" s="1"/>
      <c r="VAC123" s="1"/>
      <c r="VAD123" s="1"/>
      <c r="VAE123" s="1"/>
      <c r="VAF123" s="1"/>
      <c r="VAG123" s="1"/>
      <c r="VAH123" s="1"/>
      <c r="VAI123" s="1"/>
      <c r="VAJ123" s="1"/>
      <c r="VAK123" s="1"/>
      <c r="VAL123" s="1"/>
      <c r="VAM123" s="1"/>
      <c r="VAN123" s="1"/>
      <c r="VAO123" s="1"/>
      <c r="VAP123" s="1"/>
      <c r="VAQ123" s="1"/>
      <c r="VAR123" s="1"/>
      <c r="VAS123" s="1"/>
      <c r="VAT123" s="1"/>
      <c r="VAU123" s="1"/>
      <c r="VAV123" s="1"/>
      <c r="VAW123" s="1"/>
      <c r="VAX123" s="1"/>
      <c r="VAY123" s="1"/>
      <c r="VAZ123" s="1"/>
      <c r="VBA123" s="1"/>
      <c r="VBB123" s="1"/>
      <c r="VBC123" s="1"/>
      <c r="VBD123" s="1"/>
      <c r="VBE123" s="1"/>
      <c r="VBF123" s="1"/>
      <c r="VBG123" s="1"/>
      <c r="VBH123" s="1"/>
      <c r="VBI123" s="1"/>
      <c r="VBJ123" s="1"/>
      <c r="VBK123" s="1"/>
      <c r="VBL123" s="1"/>
      <c r="VBM123" s="1"/>
      <c r="VBN123" s="1"/>
      <c r="VBO123" s="1"/>
      <c r="VBP123" s="1"/>
      <c r="VBQ123" s="1"/>
      <c r="VBR123" s="1"/>
      <c r="VBS123" s="1"/>
      <c r="VBT123" s="1"/>
      <c r="VBU123" s="1"/>
      <c r="VBV123" s="1"/>
      <c r="VBW123" s="1"/>
      <c r="VBX123" s="1"/>
      <c r="VBY123" s="1"/>
      <c r="VBZ123" s="1"/>
      <c r="VCA123" s="1"/>
      <c r="VCB123" s="1"/>
      <c r="VCC123" s="1"/>
      <c r="VCD123" s="1"/>
      <c r="VCE123" s="1"/>
      <c r="VCF123" s="1"/>
      <c r="VCG123" s="1"/>
      <c r="VCH123" s="1"/>
      <c r="VCI123" s="1"/>
      <c r="VCJ123" s="1"/>
      <c r="VCK123" s="1"/>
      <c r="VCL123" s="1"/>
      <c r="VCM123" s="1"/>
      <c r="VCN123" s="1"/>
      <c r="VCO123" s="1"/>
      <c r="VCP123" s="1"/>
      <c r="VCQ123" s="1"/>
      <c r="VCR123" s="1"/>
      <c r="VCS123" s="1"/>
      <c r="VCT123" s="1"/>
      <c r="VCU123" s="1"/>
      <c r="VCV123" s="1"/>
      <c r="VCW123" s="1"/>
      <c r="VCX123" s="1"/>
      <c r="VCY123" s="1"/>
      <c r="VCZ123" s="1"/>
      <c r="VDA123" s="1"/>
      <c r="VDB123" s="1"/>
      <c r="VDC123" s="1"/>
      <c r="VDD123" s="1"/>
      <c r="VDE123" s="1"/>
      <c r="VDF123" s="1"/>
      <c r="VDG123" s="1"/>
      <c r="VDH123" s="1"/>
      <c r="VDI123" s="1"/>
      <c r="VDJ123" s="1"/>
      <c r="VDK123" s="1"/>
      <c r="VDL123" s="1"/>
      <c r="VDM123" s="1"/>
      <c r="VDN123" s="1"/>
      <c r="VDO123" s="1"/>
      <c r="VDP123" s="1"/>
      <c r="VDQ123" s="1"/>
      <c r="VDR123" s="1"/>
      <c r="VDS123" s="1"/>
      <c r="VDT123" s="1"/>
      <c r="VDU123" s="1"/>
      <c r="VDV123" s="1"/>
      <c r="VDW123" s="1"/>
      <c r="VDX123" s="1"/>
      <c r="VDY123" s="1"/>
      <c r="VDZ123" s="1"/>
      <c r="VEA123" s="1"/>
      <c r="VEB123" s="1"/>
      <c r="VEC123" s="1"/>
      <c r="VED123" s="1"/>
      <c r="VEE123" s="1"/>
      <c r="VEF123" s="1"/>
      <c r="VEG123" s="1"/>
      <c r="VEH123" s="1"/>
      <c r="VEI123" s="1"/>
      <c r="VEJ123" s="1"/>
      <c r="VEK123" s="1"/>
      <c r="VEL123" s="1"/>
      <c r="VEM123" s="1"/>
      <c r="VEN123" s="1"/>
      <c r="VEO123" s="1"/>
      <c r="VEP123" s="1"/>
      <c r="VEQ123" s="1"/>
      <c r="VER123" s="1"/>
      <c r="VES123" s="1"/>
      <c r="VET123" s="1"/>
      <c r="VEU123" s="1"/>
      <c r="VEV123" s="1"/>
      <c r="VEW123" s="1"/>
      <c r="VEX123" s="1"/>
      <c r="VEY123" s="1"/>
      <c r="VEZ123" s="1"/>
      <c r="VFA123" s="1"/>
      <c r="VFB123" s="1"/>
      <c r="VFC123" s="1"/>
      <c r="VFD123" s="1"/>
      <c r="VFE123" s="1"/>
      <c r="VFF123" s="1"/>
      <c r="VFG123" s="1"/>
      <c r="VFH123" s="1"/>
      <c r="VFI123" s="1"/>
      <c r="VFJ123" s="1"/>
      <c r="VFK123" s="1"/>
      <c r="VFL123" s="1"/>
      <c r="VFM123" s="1"/>
      <c r="VFN123" s="1"/>
      <c r="VFO123" s="1"/>
      <c r="VFP123" s="1"/>
      <c r="VFQ123" s="1"/>
      <c r="VFR123" s="1"/>
      <c r="VFS123" s="1"/>
      <c r="VFT123" s="1"/>
      <c r="VFU123" s="1"/>
      <c r="VFV123" s="1"/>
      <c r="VFW123" s="1"/>
      <c r="VFX123" s="1"/>
      <c r="VFY123" s="1"/>
      <c r="VFZ123" s="1"/>
      <c r="VGA123" s="1"/>
      <c r="VGB123" s="1"/>
      <c r="VGC123" s="1"/>
      <c r="VGD123" s="1"/>
      <c r="VGE123" s="1"/>
      <c r="VGF123" s="1"/>
      <c r="VGG123" s="1"/>
      <c r="VGH123" s="1"/>
      <c r="VGI123" s="1"/>
      <c r="VGJ123" s="1"/>
      <c r="VGK123" s="1"/>
      <c r="VGL123" s="1"/>
      <c r="VGM123" s="1"/>
      <c r="VGN123" s="1"/>
      <c r="VGO123" s="1"/>
      <c r="VGP123" s="1"/>
      <c r="VGQ123" s="1"/>
      <c r="VGR123" s="1"/>
      <c r="VGS123" s="1"/>
      <c r="VGT123" s="1"/>
      <c r="VGU123" s="1"/>
      <c r="VGV123" s="1"/>
      <c r="VGW123" s="1"/>
      <c r="VGX123" s="1"/>
      <c r="VGY123" s="1"/>
      <c r="VGZ123" s="1"/>
      <c r="VHA123" s="1"/>
      <c r="VHB123" s="1"/>
      <c r="VHC123" s="1"/>
      <c r="VHD123" s="1"/>
      <c r="VHE123" s="1"/>
      <c r="VHF123" s="1"/>
      <c r="VHG123" s="1"/>
      <c r="VHH123" s="1"/>
      <c r="VHI123" s="1"/>
      <c r="VHJ123" s="1"/>
      <c r="VHK123" s="1"/>
      <c r="VHL123" s="1"/>
      <c r="VHM123" s="1"/>
      <c r="VHN123" s="1"/>
      <c r="VHO123" s="1"/>
      <c r="VHP123" s="1"/>
      <c r="VHQ123" s="1"/>
      <c r="VHR123" s="1"/>
      <c r="VHS123" s="1"/>
      <c r="VHT123" s="1"/>
      <c r="VHU123" s="1"/>
      <c r="VHV123" s="1"/>
      <c r="VHW123" s="1"/>
      <c r="VHX123" s="1"/>
      <c r="VHY123" s="1"/>
      <c r="VHZ123" s="1"/>
      <c r="VIA123" s="1"/>
      <c r="VIB123" s="1"/>
      <c r="VIC123" s="1"/>
      <c r="VID123" s="1"/>
      <c r="VIE123" s="1"/>
      <c r="VIF123" s="1"/>
      <c r="VIG123" s="1"/>
      <c r="VIH123" s="1"/>
      <c r="VII123" s="1"/>
      <c r="VIJ123" s="1"/>
      <c r="VIK123" s="1"/>
      <c r="VIL123" s="1"/>
      <c r="VIM123" s="1"/>
      <c r="VIN123" s="1"/>
      <c r="VIO123" s="1"/>
      <c r="VIP123" s="1"/>
      <c r="VIQ123" s="1"/>
      <c r="VIR123" s="1"/>
      <c r="VIS123" s="1"/>
      <c r="VIT123" s="1"/>
      <c r="VIU123" s="1"/>
      <c r="VIV123" s="1"/>
      <c r="VIW123" s="1"/>
      <c r="VIX123" s="1"/>
      <c r="VIY123" s="1"/>
      <c r="VIZ123" s="1"/>
      <c r="VJA123" s="1"/>
      <c r="VJB123" s="1"/>
      <c r="VJC123" s="1"/>
      <c r="VJD123" s="1"/>
      <c r="VJE123" s="1"/>
      <c r="VJF123" s="1"/>
      <c r="VJG123" s="1"/>
      <c r="VJH123" s="1"/>
      <c r="VJI123" s="1"/>
      <c r="VJJ123" s="1"/>
      <c r="VJK123" s="1"/>
      <c r="VJL123" s="1"/>
      <c r="VJM123" s="1"/>
      <c r="VJN123" s="1"/>
      <c r="VJO123" s="1"/>
      <c r="VJP123" s="1"/>
      <c r="VJQ123" s="1"/>
      <c r="VJR123" s="1"/>
      <c r="VJS123" s="1"/>
      <c r="VJT123" s="1"/>
      <c r="VJU123" s="1"/>
      <c r="VJV123" s="1"/>
      <c r="VJW123" s="1"/>
      <c r="VJX123" s="1"/>
      <c r="VJY123" s="1"/>
      <c r="VJZ123" s="1"/>
      <c r="VKA123" s="1"/>
      <c r="VKB123" s="1"/>
      <c r="VKC123" s="1"/>
      <c r="VKD123" s="1"/>
      <c r="VKE123" s="1"/>
      <c r="VKF123" s="1"/>
      <c r="VKG123" s="1"/>
      <c r="VKH123" s="1"/>
      <c r="VKI123" s="1"/>
      <c r="VKJ123" s="1"/>
      <c r="VKK123" s="1"/>
      <c r="VKL123" s="1"/>
      <c r="VKM123" s="1"/>
      <c r="VKN123" s="1"/>
      <c r="VKO123" s="1"/>
      <c r="VKP123" s="1"/>
      <c r="VKQ123" s="1"/>
      <c r="VKR123" s="1"/>
      <c r="VKS123" s="1"/>
      <c r="VKT123" s="1"/>
      <c r="VKU123" s="1"/>
      <c r="VKV123" s="1"/>
      <c r="VKW123" s="1"/>
      <c r="VKX123" s="1"/>
      <c r="VKY123" s="1"/>
      <c r="VKZ123" s="1"/>
      <c r="VLA123" s="1"/>
      <c r="VLB123" s="1"/>
      <c r="VLC123" s="1"/>
      <c r="VLD123" s="1"/>
      <c r="VLE123" s="1"/>
      <c r="VLF123" s="1"/>
      <c r="VLG123" s="1"/>
      <c r="VLH123" s="1"/>
      <c r="VLI123" s="1"/>
      <c r="VLJ123" s="1"/>
      <c r="VLK123" s="1"/>
      <c r="VLL123" s="1"/>
      <c r="VLM123" s="1"/>
      <c r="VLN123" s="1"/>
      <c r="VLO123" s="1"/>
      <c r="VLP123" s="1"/>
      <c r="VLQ123" s="1"/>
      <c r="VLR123" s="1"/>
      <c r="VLS123" s="1"/>
      <c r="VLT123" s="1"/>
      <c r="VLU123" s="1"/>
      <c r="VLV123" s="1"/>
      <c r="VLW123" s="1"/>
      <c r="VLX123" s="1"/>
      <c r="VLY123" s="1"/>
      <c r="VLZ123" s="1"/>
      <c r="VMA123" s="1"/>
      <c r="VMB123" s="1"/>
      <c r="VMC123" s="1"/>
      <c r="VMD123" s="1"/>
      <c r="VME123" s="1"/>
      <c r="VMF123" s="1"/>
      <c r="VMG123" s="1"/>
      <c r="VMH123" s="1"/>
      <c r="VMI123" s="1"/>
      <c r="VMJ123" s="1"/>
      <c r="VMK123" s="1"/>
      <c r="VML123" s="1"/>
      <c r="VMM123" s="1"/>
      <c r="VMN123" s="1"/>
      <c r="VMO123" s="1"/>
      <c r="VMP123" s="1"/>
      <c r="VMQ123" s="1"/>
      <c r="VMR123" s="1"/>
      <c r="VMS123" s="1"/>
      <c r="VMT123" s="1"/>
      <c r="VMU123" s="1"/>
      <c r="VMV123" s="1"/>
      <c r="VMW123" s="1"/>
      <c r="VMX123" s="1"/>
      <c r="VMY123" s="1"/>
      <c r="VMZ123" s="1"/>
      <c r="VNA123" s="1"/>
      <c r="VNB123" s="1"/>
      <c r="VNC123" s="1"/>
      <c r="VND123" s="1"/>
      <c r="VNE123" s="1"/>
      <c r="VNF123" s="1"/>
      <c r="VNG123" s="1"/>
      <c r="VNH123" s="1"/>
      <c r="VNI123" s="1"/>
      <c r="VNJ123" s="1"/>
      <c r="VNK123" s="1"/>
      <c r="VNL123" s="1"/>
      <c r="VNM123" s="1"/>
      <c r="VNN123" s="1"/>
      <c r="VNO123" s="1"/>
      <c r="VNP123" s="1"/>
      <c r="VNQ123" s="1"/>
      <c r="VNR123" s="1"/>
      <c r="VNS123" s="1"/>
      <c r="VNT123" s="1"/>
      <c r="VNU123" s="1"/>
      <c r="VNV123" s="1"/>
      <c r="VNW123" s="1"/>
      <c r="VNX123" s="1"/>
      <c r="VNY123" s="1"/>
      <c r="VNZ123" s="1"/>
      <c r="VOA123" s="1"/>
      <c r="VOB123" s="1"/>
      <c r="VOC123" s="1"/>
      <c r="VOD123" s="1"/>
      <c r="VOE123" s="1"/>
      <c r="VOF123" s="1"/>
      <c r="VOG123" s="1"/>
      <c r="VOH123" s="1"/>
      <c r="VOI123" s="1"/>
      <c r="VOJ123" s="1"/>
      <c r="VOK123" s="1"/>
      <c r="VOL123" s="1"/>
      <c r="VOM123" s="1"/>
      <c r="VON123" s="1"/>
      <c r="VOO123" s="1"/>
      <c r="VOP123" s="1"/>
      <c r="VOQ123" s="1"/>
      <c r="VOR123" s="1"/>
      <c r="VOS123" s="1"/>
      <c r="VOT123" s="1"/>
      <c r="VOU123" s="1"/>
      <c r="VOV123" s="1"/>
      <c r="VOW123" s="1"/>
      <c r="VOX123" s="1"/>
      <c r="VOY123" s="1"/>
      <c r="VOZ123" s="1"/>
      <c r="VPA123" s="1"/>
      <c r="VPB123" s="1"/>
      <c r="VPC123" s="1"/>
      <c r="VPD123" s="1"/>
      <c r="VPE123" s="1"/>
      <c r="VPF123" s="1"/>
      <c r="VPG123" s="1"/>
      <c r="VPH123" s="1"/>
      <c r="VPI123" s="1"/>
      <c r="VPJ123" s="1"/>
      <c r="VPK123" s="1"/>
      <c r="VPL123" s="1"/>
      <c r="VPM123" s="1"/>
      <c r="VPN123" s="1"/>
      <c r="VPO123" s="1"/>
      <c r="VPP123" s="1"/>
      <c r="VPQ123" s="1"/>
      <c r="VPR123" s="1"/>
      <c r="VPS123" s="1"/>
      <c r="VPT123" s="1"/>
      <c r="VPU123" s="1"/>
      <c r="VPV123" s="1"/>
      <c r="VPW123" s="1"/>
      <c r="VPX123" s="1"/>
      <c r="VPY123" s="1"/>
      <c r="VPZ123" s="1"/>
      <c r="VQA123" s="1"/>
      <c r="VQB123" s="1"/>
      <c r="VQC123" s="1"/>
      <c r="VQD123" s="1"/>
      <c r="VQE123" s="1"/>
      <c r="VQF123" s="1"/>
      <c r="VQG123" s="1"/>
      <c r="VQH123" s="1"/>
      <c r="VQI123" s="1"/>
      <c r="VQJ123" s="1"/>
      <c r="VQK123" s="1"/>
      <c r="VQL123" s="1"/>
      <c r="VQM123" s="1"/>
      <c r="VQN123" s="1"/>
      <c r="VQO123" s="1"/>
      <c r="VQP123" s="1"/>
      <c r="VQQ123" s="1"/>
      <c r="VQR123" s="1"/>
      <c r="VQS123" s="1"/>
      <c r="VQT123" s="1"/>
      <c r="VQU123" s="1"/>
      <c r="VQV123" s="1"/>
      <c r="VQW123" s="1"/>
      <c r="VQX123" s="1"/>
      <c r="VQY123" s="1"/>
      <c r="VQZ123" s="1"/>
      <c r="VRA123" s="1"/>
      <c r="VRB123" s="1"/>
      <c r="VRC123" s="1"/>
      <c r="VRD123" s="1"/>
      <c r="VRE123" s="1"/>
      <c r="VRF123" s="1"/>
      <c r="VRG123" s="1"/>
      <c r="VRH123" s="1"/>
      <c r="VRI123" s="1"/>
      <c r="VRJ123" s="1"/>
      <c r="VRK123" s="1"/>
      <c r="VRL123" s="1"/>
      <c r="VRM123" s="1"/>
      <c r="VRN123" s="1"/>
      <c r="VRO123" s="1"/>
      <c r="VRP123" s="1"/>
      <c r="VRQ123" s="1"/>
      <c r="VRR123" s="1"/>
      <c r="VRS123" s="1"/>
      <c r="VRT123" s="1"/>
      <c r="VRU123" s="1"/>
      <c r="VRV123" s="1"/>
      <c r="VRW123" s="1"/>
      <c r="VRX123" s="1"/>
      <c r="VRY123" s="1"/>
      <c r="VRZ123" s="1"/>
      <c r="VSA123" s="1"/>
      <c r="VSB123" s="1"/>
      <c r="VSC123" s="1"/>
      <c r="VSD123" s="1"/>
      <c r="VSE123" s="1"/>
      <c r="VSF123" s="1"/>
      <c r="VSG123" s="1"/>
      <c r="VSH123" s="1"/>
      <c r="VSI123" s="1"/>
      <c r="VSJ123" s="1"/>
      <c r="VSK123" s="1"/>
      <c r="VSL123" s="1"/>
      <c r="VSM123" s="1"/>
      <c r="VSN123" s="1"/>
      <c r="VSO123" s="1"/>
      <c r="VSP123" s="1"/>
      <c r="VSQ123" s="1"/>
      <c r="VSR123" s="1"/>
      <c r="VSS123" s="1"/>
      <c r="VST123" s="1"/>
      <c r="VSU123" s="1"/>
      <c r="VSV123" s="1"/>
      <c r="VSW123" s="1"/>
      <c r="VSX123" s="1"/>
      <c r="VSY123" s="1"/>
      <c r="VSZ123" s="1"/>
      <c r="VTA123" s="1"/>
      <c r="VTB123" s="1"/>
      <c r="VTC123" s="1"/>
      <c r="VTD123" s="1"/>
      <c r="VTE123" s="1"/>
      <c r="VTF123" s="1"/>
      <c r="VTG123" s="1"/>
      <c r="VTH123" s="1"/>
      <c r="VTI123" s="1"/>
      <c r="VTJ123" s="1"/>
      <c r="VTK123" s="1"/>
      <c r="VTL123" s="1"/>
      <c r="VTM123" s="1"/>
      <c r="VTN123" s="1"/>
      <c r="VTO123" s="1"/>
      <c r="VTP123" s="1"/>
      <c r="VTQ123" s="1"/>
      <c r="VTR123" s="1"/>
      <c r="VTS123" s="1"/>
      <c r="VTT123" s="1"/>
      <c r="VTU123" s="1"/>
      <c r="VTV123" s="1"/>
      <c r="VTW123" s="1"/>
      <c r="VTX123" s="1"/>
      <c r="VTY123" s="1"/>
      <c r="VTZ123" s="1"/>
      <c r="VUA123" s="1"/>
      <c r="VUB123" s="1"/>
      <c r="VUC123" s="1"/>
      <c r="VUD123" s="1"/>
      <c r="VUE123" s="1"/>
      <c r="VUF123" s="1"/>
      <c r="VUG123" s="1"/>
      <c r="VUH123" s="1"/>
      <c r="VUI123" s="1"/>
      <c r="VUJ123" s="1"/>
      <c r="VUK123" s="1"/>
      <c r="VUL123" s="1"/>
      <c r="VUM123" s="1"/>
      <c r="VUN123" s="1"/>
      <c r="VUO123" s="1"/>
      <c r="VUP123" s="1"/>
      <c r="VUQ123" s="1"/>
      <c r="VUR123" s="1"/>
      <c r="VUS123" s="1"/>
      <c r="VUT123" s="1"/>
      <c r="VUU123" s="1"/>
      <c r="VUV123" s="1"/>
      <c r="VUW123" s="1"/>
      <c r="VUX123" s="1"/>
      <c r="VUY123" s="1"/>
      <c r="VUZ123" s="1"/>
      <c r="VVA123" s="1"/>
      <c r="VVB123" s="1"/>
      <c r="VVC123" s="1"/>
      <c r="VVD123" s="1"/>
      <c r="VVE123" s="1"/>
      <c r="VVF123" s="1"/>
      <c r="VVG123" s="1"/>
      <c r="VVH123" s="1"/>
      <c r="VVI123" s="1"/>
      <c r="VVJ123" s="1"/>
      <c r="VVK123" s="1"/>
      <c r="VVL123" s="1"/>
      <c r="VVM123" s="1"/>
      <c r="VVN123" s="1"/>
      <c r="VVO123" s="1"/>
      <c r="VVP123" s="1"/>
      <c r="VVQ123" s="1"/>
      <c r="VVR123" s="1"/>
      <c r="VVS123" s="1"/>
      <c r="VVT123" s="1"/>
      <c r="VVU123" s="1"/>
      <c r="VVV123" s="1"/>
      <c r="VVW123" s="1"/>
      <c r="VVX123" s="1"/>
      <c r="VVY123" s="1"/>
      <c r="VVZ123" s="1"/>
      <c r="VWA123" s="1"/>
      <c r="VWB123" s="1"/>
      <c r="VWC123" s="1"/>
      <c r="VWD123" s="1"/>
      <c r="VWE123" s="1"/>
      <c r="VWF123" s="1"/>
      <c r="VWG123" s="1"/>
      <c r="VWH123" s="1"/>
      <c r="VWI123" s="1"/>
      <c r="VWJ123" s="1"/>
      <c r="VWK123" s="1"/>
      <c r="VWL123" s="1"/>
      <c r="VWM123" s="1"/>
      <c r="VWN123" s="1"/>
      <c r="VWO123" s="1"/>
      <c r="VWP123" s="1"/>
      <c r="VWQ123" s="1"/>
      <c r="VWR123" s="1"/>
      <c r="VWS123" s="1"/>
      <c r="VWT123" s="1"/>
      <c r="VWU123" s="1"/>
      <c r="VWV123" s="1"/>
      <c r="VWW123" s="1"/>
      <c r="VWX123" s="1"/>
      <c r="VWY123" s="1"/>
      <c r="VWZ123" s="1"/>
      <c r="VXA123" s="1"/>
      <c r="VXB123" s="1"/>
      <c r="VXC123" s="1"/>
      <c r="VXD123" s="1"/>
      <c r="VXE123" s="1"/>
      <c r="VXF123" s="1"/>
      <c r="VXG123" s="1"/>
      <c r="VXH123" s="1"/>
      <c r="VXI123" s="1"/>
      <c r="VXJ123" s="1"/>
      <c r="VXK123" s="1"/>
      <c r="VXL123" s="1"/>
      <c r="VXM123" s="1"/>
      <c r="VXN123" s="1"/>
      <c r="VXO123" s="1"/>
      <c r="VXP123" s="1"/>
      <c r="VXQ123" s="1"/>
      <c r="VXR123" s="1"/>
      <c r="VXS123" s="1"/>
      <c r="VXT123" s="1"/>
      <c r="VXU123" s="1"/>
      <c r="VXV123" s="1"/>
      <c r="VXW123" s="1"/>
      <c r="VXX123" s="1"/>
      <c r="VXY123" s="1"/>
      <c r="VXZ123" s="1"/>
      <c r="VYA123" s="1"/>
      <c r="VYB123" s="1"/>
      <c r="VYC123" s="1"/>
      <c r="VYD123" s="1"/>
      <c r="VYE123" s="1"/>
      <c r="VYF123" s="1"/>
      <c r="VYG123" s="1"/>
      <c r="VYH123" s="1"/>
      <c r="VYI123" s="1"/>
      <c r="VYJ123" s="1"/>
      <c r="VYK123" s="1"/>
      <c r="VYL123" s="1"/>
      <c r="VYM123" s="1"/>
      <c r="VYN123" s="1"/>
      <c r="VYO123" s="1"/>
      <c r="VYP123" s="1"/>
      <c r="VYQ123" s="1"/>
      <c r="VYR123" s="1"/>
      <c r="VYS123" s="1"/>
      <c r="VYT123" s="1"/>
      <c r="VYU123" s="1"/>
      <c r="VYV123" s="1"/>
      <c r="VYW123" s="1"/>
      <c r="VYX123" s="1"/>
      <c r="VYY123" s="1"/>
      <c r="VYZ123" s="1"/>
      <c r="VZA123" s="1"/>
      <c r="VZB123" s="1"/>
      <c r="VZC123" s="1"/>
      <c r="VZD123" s="1"/>
      <c r="VZE123" s="1"/>
      <c r="VZF123" s="1"/>
      <c r="VZG123" s="1"/>
      <c r="VZH123" s="1"/>
      <c r="VZI123" s="1"/>
      <c r="VZJ123" s="1"/>
      <c r="VZK123" s="1"/>
      <c r="VZL123" s="1"/>
      <c r="VZM123" s="1"/>
      <c r="VZN123" s="1"/>
      <c r="VZO123" s="1"/>
      <c r="VZP123" s="1"/>
      <c r="VZQ123" s="1"/>
      <c r="VZR123" s="1"/>
      <c r="VZS123" s="1"/>
      <c r="VZT123" s="1"/>
      <c r="VZU123" s="1"/>
      <c r="VZV123" s="1"/>
      <c r="VZW123" s="1"/>
      <c r="VZX123" s="1"/>
      <c r="VZY123" s="1"/>
      <c r="VZZ123" s="1"/>
      <c r="WAA123" s="1"/>
      <c r="WAB123" s="1"/>
      <c r="WAC123" s="1"/>
      <c r="WAD123" s="1"/>
      <c r="WAE123" s="1"/>
      <c r="WAF123" s="1"/>
      <c r="WAG123" s="1"/>
      <c r="WAH123" s="1"/>
      <c r="WAI123" s="1"/>
      <c r="WAJ123" s="1"/>
      <c r="WAK123" s="1"/>
      <c r="WAL123" s="1"/>
      <c r="WAM123" s="1"/>
      <c r="WAN123" s="1"/>
      <c r="WAO123" s="1"/>
      <c r="WAP123" s="1"/>
      <c r="WAQ123" s="1"/>
      <c r="WAR123" s="1"/>
      <c r="WAS123" s="1"/>
      <c r="WAT123" s="1"/>
      <c r="WAU123" s="1"/>
      <c r="WAV123" s="1"/>
      <c r="WAW123" s="1"/>
      <c r="WAX123" s="1"/>
      <c r="WAY123" s="1"/>
      <c r="WAZ123" s="1"/>
      <c r="WBA123" s="1"/>
      <c r="WBB123" s="1"/>
      <c r="WBC123" s="1"/>
      <c r="WBD123" s="1"/>
      <c r="WBE123" s="1"/>
      <c r="WBF123" s="1"/>
      <c r="WBG123" s="1"/>
      <c r="WBH123" s="1"/>
      <c r="WBI123" s="1"/>
      <c r="WBJ123" s="1"/>
      <c r="WBK123" s="1"/>
      <c r="WBL123" s="1"/>
      <c r="WBM123" s="1"/>
      <c r="WBN123" s="1"/>
      <c r="WBO123" s="1"/>
      <c r="WBP123" s="1"/>
      <c r="WBQ123" s="1"/>
      <c r="WBR123" s="1"/>
      <c r="WBS123" s="1"/>
      <c r="WBT123" s="1"/>
      <c r="WBU123" s="1"/>
      <c r="WBV123" s="1"/>
      <c r="WBW123" s="1"/>
      <c r="WBX123" s="1"/>
      <c r="WBY123" s="1"/>
      <c r="WBZ123" s="1"/>
      <c r="WCA123" s="1"/>
      <c r="WCB123" s="1"/>
      <c r="WCC123" s="1"/>
      <c r="WCD123" s="1"/>
      <c r="WCE123" s="1"/>
      <c r="WCF123" s="1"/>
      <c r="WCG123" s="1"/>
      <c r="WCH123" s="1"/>
      <c r="WCI123" s="1"/>
      <c r="WCJ123" s="1"/>
      <c r="WCK123" s="1"/>
      <c r="WCL123" s="1"/>
      <c r="WCM123" s="1"/>
      <c r="WCN123" s="1"/>
      <c r="WCO123" s="1"/>
      <c r="WCP123" s="1"/>
      <c r="WCQ123" s="1"/>
      <c r="WCR123" s="1"/>
      <c r="WCS123" s="1"/>
      <c r="WCT123" s="1"/>
      <c r="WCU123" s="1"/>
      <c r="WCV123" s="1"/>
      <c r="WCW123" s="1"/>
      <c r="WCX123" s="1"/>
      <c r="WCY123" s="1"/>
      <c r="WCZ123" s="1"/>
      <c r="WDA123" s="1"/>
      <c r="WDB123" s="1"/>
      <c r="WDC123" s="1"/>
      <c r="WDD123" s="1"/>
      <c r="WDE123" s="1"/>
      <c r="WDF123" s="1"/>
      <c r="WDG123" s="1"/>
      <c r="WDH123" s="1"/>
      <c r="WDI123" s="1"/>
      <c r="WDJ123" s="1"/>
      <c r="WDK123" s="1"/>
      <c r="WDL123" s="1"/>
      <c r="WDM123" s="1"/>
      <c r="WDN123" s="1"/>
      <c r="WDO123" s="1"/>
      <c r="WDP123" s="1"/>
      <c r="WDQ123" s="1"/>
      <c r="WDR123" s="1"/>
      <c r="WDS123" s="1"/>
      <c r="WDT123" s="1"/>
      <c r="WDU123" s="1"/>
      <c r="WDV123" s="1"/>
      <c r="WDW123" s="1"/>
      <c r="WDX123" s="1"/>
      <c r="WDY123" s="1"/>
      <c r="WDZ123" s="1"/>
      <c r="WEA123" s="1"/>
      <c r="WEB123" s="1"/>
      <c r="WEC123" s="1"/>
      <c r="WED123" s="1"/>
      <c r="WEE123" s="1"/>
      <c r="WEF123" s="1"/>
      <c r="WEG123" s="1"/>
      <c r="WEH123" s="1"/>
      <c r="WEI123" s="1"/>
      <c r="WEJ123" s="1"/>
      <c r="WEK123" s="1"/>
      <c r="WEL123" s="1"/>
      <c r="WEM123" s="1"/>
      <c r="WEN123" s="1"/>
      <c r="WEO123" s="1"/>
      <c r="WEP123" s="1"/>
      <c r="WEQ123" s="1"/>
      <c r="WER123" s="1"/>
      <c r="WES123" s="1"/>
      <c r="WET123" s="1"/>
      <c r="WEU123" s="1"/>
      <c r="WEV123" s="1"/>
      <c r="WEW123" s="1"/>
      <c r="WEX123" s="1"/>
      <c r="WEY123" s="1"/>
      <c r="WEZ123" s="1"/>
      <c r="WFA123" s="1"/>
      <c r="WFB123" s="1"/>
      <c r="WFC123" s="1"/>
      <c r="WFD123" s="1"/>
      <c r="WFE123" s="1"/>
      <c r="WFF123" s="1"/>
      <c r="WFG123" s="1"/>
      <c r="WFH123" s="1"/>
      <c r="WFI123" s="1"/>
      <c r="WFJ123" s="1"/>
      <c r="WFK123" s="1"/>
      <c r="WFL123" s="1"/>
      <c r="WFM123" s="1"/>
      <c r="WFN123" s="1"/>
      <c r="WFO123" s="1"/>
      <c r="WFP123" s="1"/>
      <c r="WFQ123" s="1"/>
      <c r="WFR123" s="1"/>
      <c r="WFS123" s="1"/>
      <c r="WFT123" s="1"/>
      <c r="WFU123" s="1"/>
      <c r="WFV123" s="1"/>
      <c r="WFW123" s="1"/>
      <c r="WFX123" s="1"/>
      <c r="WFY123" s="1"/>
      <c r="WFZ123" s="1"/>
      <c r="WGA123" s="1"/>
      <c r="WGB123" s="1"/>
      <c r="WGC123" s="1"/>
      <c r="WGD123" s="1"/>
      <c r="WGE123" s="1"/>
      <c r="WGF123" s="1"/>
      <c r="WGG123" s="1"/>
      <c r="WGH123" s="1"/>
      <c r="WGI123" s="1"/>
      <c r="WGJ123" s="1"/>
      <c r="WGK123" s="1"/>
      <c r="WGL123" s="1"/>
      <c r="WGM123" s="1"/>
      <c r="WGN123" s="1"/>
      <c r="WGO123" s="1"/>
      <c r="WGP123" s="1"/>
      <c r="WGQ123" s="1"/>
      <c r="WGR123" s="1"/>
      <c r="WGS123" s="1"/>
      <c r="WGT123" s="1"/>
      <c r="WGU123" s="1"/>
      <c r="WGV123" s="1"/>
      <c r="WGW123" s="1"/>
      <c r="WGX123" s="1"/>
      <c r="WGY123" s="1"/>
      <c r="WGZ123" s="1"/>
      <c r="WHA123" s="1"/>
      <c r="WHB123" s="1"/>
      <c r="WHC123" s="1"/>
      <c r="WHD123" s="1"/>
      <c r="WHE123" s="1"/>
      <c r="WHF123" s="1"/>
      <c r="WHG123" s="1"/>
      <c r="WHH123" s="1"/>
      <c r="WHI123" s="1"/>
      <c r="WHJ123" s="1"/>
      <c r="WHK123" s="1"/>
      <c r="WHL123" s="1"/>
      <c r="WHM123" s="1"/>
      <c r="WHN123" s="1"/>
      <c r="WHO123" s="1"/>
      <c r="WHP123" s="1"/>
      <c r="WHQ123" s="1"/>
      <c r="WHR123" s="1"/>
      <c r="WHS123" s="1"/>
      <c r="WHT123" s="1"/>
      <c r="WHU123" s="1"/>
      <c r="WHV123" s="1"/>
      <c r="WHW123" s="1"/>
      <c r="WHX123" s="1"/>
      <c r="WHY123" s="1"/>
      <c r="WHZ123" s="1"/>
      <c r="WIA123" s="1"/>
      <c r="WIB123" s="1"/>
      <c r="WIC123" s="1"/>
      <c r="WID123" s="1"/>
      <c r="WIE123" s="1"/>
      <c r="WIF123" s="1"/>
      <c r="WIG123" s="1"/>
      <c r="WIH123" s="1"/>
      <c r="WII123" s="1"/>
      <c r="WIJ123" s="1"/>
      <c r="WIK123" s="1"/>
      <c r="WIL123" s="1"/>
      <c r="WIM123" s="1"/>
      <c r="WIN123" s="1"/>
      <c r="WIO123" s="1"/>
      <c r="WIP123" s="1"/>
      <c r="WIQ123" s="1"/>
      <c r="WIR123" s="1"/>
      <c r="WIS123" s="1"/>
      <c r="WIT123" s="1"/>
      <c r="WIU123" s="1"/>
      <c r="WIV123" s="1"/>
      <c r="WIW123" s="1"/>
      <c r="WIX123" s="1"/>
      <c r="WIY123" s="1"/>
      <c r="WIZ123" s="1"/>
      <c r="WJA123" s="1"/>
      <c r="WJB123" s="1"/>
      <c r="WJC123" s="1"/>
      <c r="WJD123" s="1"/>
      <c r="WJE123" s="1"/>
      <c r="WJF123" s="1"/>
      <c r="WJG123" s="1"/>
      <c r="WJH123" s="1"/>
      <c r="WJI123" s="1"/>
      <c r="WJJ123" s="1"/>
      <c r="WJK123" s="1"/>
      <c r="WJL123" s="1"/>
      <c r="WJM123" s="1"/>
      <c r="WJN123" s="1"/>
      <c r="WJO123" s="1"/>
      <c r="WJP123" s="1"/>
      <c r="WJQ123" s="1"/>
      <c r="WJR123" s="1"/>
      <c r="WJS123" s="1"/>
      <c r="WJT123" s="1"/>
      <c r="WJU123" s="1"/>
      <c r="WJV123" s="1"/>
      <c r="WJW123" s="1"/>
      <c r="WJX123" s="1"/>
      <c r="WJY123" s="1"/>
      <c r="WJZ123" s="1"/>
      <c r="WKA123" s="1"/>
      <c r="WKB123" s="1"/>
      <c r="WKC123" s="1"/>
      <c r="WKD123" s="1"/>
      <c r="WKE123" s="1"/>
      <c r="WKF123" s="1"/>
      <c r="WKG123" s="1"/>
      <c r="WKH123" s="1"/>
      <c r="WKI123" s="1"/>
      <c r="WKJ123" s="1"/>
      <c r="WKK123" s="1"/>
      <c r="WKL123" s="1"/>
      <c r="WKM123" s="1"/>
      <c r="WKN123" s="1"/>
      <c r="WKO123" s="1"/>
      <c r="WKP123" s="1"/>
      <c r="WKQ123" s="1"/>
      <c r="WKR123" s="1"/>
      <c r="WKS123" s="1"/>
      <c r="WKT123" s="1"/>
      <c r="WKU123" s="1"/>
      <c r="WKV123" s="1"/>
      <c r="WKW123" s="1"/>
      <c r="WKX123" s="1"/>
      <c r="WKY123" s="1"/>
      <c r="WKZ123" s="1"/>
      <c r="WLA123" s="1"/>
      <c r="WLB123" s="1"/>
      <c r="WLC123" s="1"/>
      <c r="WLD123" s="1"/>
      <c r="WLE123" s="1"/>
      <c r="WLF123" s="1"/>
      <c r="WLG123" s="1"/>
      <c r="WLH123" s="1"/>
      <c r="WLI123" s="1"/>
      <c r="WLJ123" s="1"/>
      <c r="WLK123" s="1"/>
      <c r="WLL123" s="1"/>
      <c r="WLM123" s="1"/>
      <c r="WLN123" s="1"/>
      <c r="WLO123" s="1"/>
      <c r="WLP123" s="1"/>
      <c r="WLQ123" s="1"/>
      <c r="WLR123" s="1"/>
      <c r="WLS123" s="1"/>
      <c r="WLT123" s="1"/>
      <c r="WLU123" s="1"/>
      <c r="WLV123" s="1"/>
      <c r="WLW123" s="1"/>
      <c r="WLX123" s="1"/>
      <c r="WLY123" s="1"/>
      <c r="WLZ123" s="1"/>
      <c r="WMA123" s="1"/>
      <c r="WMB123" s="1"/>
      <c r="WMC123" s="1"/>
      <c r="WMD123" s="1"/>
      <c r="WME123" s="1"/>
      <c r="WMF123" s="1"/>
      <c r="WMG123" s="1"/>
      <c r="WMH123" s="1"/>
      <c r="WMI123" s="1"/>
      <c r="WMJ123" s="1"/>
      <c r="WMK123" s="1"/>
      <c r="WML123" s="1"/>
      <c r="WMM123" s="1"/>
      <c r="WMN123" s="1"/>
      <c r="WMO123" s="1"/>
      <c r="WMP123" s="1"/>
      <c r="WMQ123" s="1"/>
      <c r="WMR123" s="1"/>
      <c r="WMS123" s="1"/>
      <c r="WMT123" s="1"/>
      <c r="WMU123" s="1"/>
      <c r="WMV123" s="1"/>
      <c r="WMW123" s="1"/>
      <c r="WMX123" s="1"/>
      <c r="WMY123" s="1"/>
      <c r="WMZ123" s="1"/>
      <c r="WNA123" s="1"/>
      <c r="WNB123" s="1"/>
      <c r="WNC123" s="1"/>
      <c r="WND123" s="1"/>
      <c r="WNE123" s="1"/>
      <c r="WNF123" s="1"/>
      <c r="WNG123" s="1"/>
      <c r="WNH123" s="1"/>
      <c r="WNI123" s="1"/>
      <c r="WNJ123" s="1"/>
      <c r="WNK123" s="1"/>
      <c r="WNL123" s="1"/>
      <c r="WNM123" s="1"/>
      <c r="WNN123" s="1"/>
      <c r="WNO123" s="1"/>
      <c r="WNP123" s="1"/>
      <c r="WNQ123" s="1"/>
      <c r="WNR123" s="1"/>
      <c r="WNS123" s="1"/>
      <c r="WNT123" s="1"/>
      <c r="WNU123" s="1"/>
      <c r="WNV123" s="1"/>
      <c r="WNW123" s="1"/>
      <c r="WNX123" s="1"/>
      <c r="WNY123" s="1"/>
      <c r="WNZ123" s="1"/>
      <c r="WOA123" s="1"/>
      <c r="WOB123" s="1"/>
      <c r="WOC123" s="1"/>
      <c r="WOD123" s="1"/>
      <c r="WOE123" s="1"/>
      <c r="WOF123" s="1"/>
      <c r="WOG123" s="1"/>
      <c r="WOH123" s="1"/>
      <c r="WOI123" s="1"/>
      <c r="WOJ123" s="1"/>
      <c r="WOK123" s="1"/>
      <c r="WOL123" s="1"/>
      <c r="WOM123" s="1"/>
      <c r="WON123" s="1"/>
      <c r="WOO123" s="1"/>
      <c r="WOP123" s="1"/>
      <c r="WOQ123" s="1"/>
      <c r="WOR123" s="1"/>
      <c r="WOS123" s="1"/>
      <c r="WOT123" s="1"/>
      <c r="WOU123" s="1"/>
      <c r="WOV123" s="1"/>
      <c r="WOW123" s="1"/>
      <c r="WOX123" s="1"/>
      <c r="WOY123" s="1"/>
      <c r="WOZ123" s="1"/>
      <c r="WPA123" s="1"/>
      <c r="WPB123" s="1"/>
      <c r="WPC123" s="1"/>
      <c r="WPD123" s="1"/>
      <c r="WPE123" s="1"/>
      <c r="WPF123" s="1"/>
      <c r="WPG123" s="1"/>
      <c r="WPH123" s="1"/>
      <c r="WPI123" s="1"/>
      <c r="WPJ123" s="1"/>
      <c r="WPK123" s="1"/>
      <c r="WPL123" s="1"/>
      <c r="WPM123" s="1"/>
      <c r="WPN123" s="1"/>
      <c r="WPO123" s="1"/>
      <c r="WPP123" s="1"/>
      <c r="WPQ123" s="1"/>
      <c r="WPR123" s="1"/>
      <c r="WPS123" s="1"/>
      <c r="WPT123" s="1"/>
      <c r="WPU123" s="1"/>
      <c r="WPV123" s="1"/>
      <c r="WPW123" s="1"/>
      <c r="WPX123" s="1"/>
      <c r="WPY123" s="1"/>
      <c r="WPZ123" s="1"/>
      <c r="WQA123" s="1"/>
      <c r="WQB123" s="1"/>
      <c r="WQC123" s="1"/>
      <c r="WQD123" s="1"/>
      <c r="WQE123" s="1"/>
      <c r="WQF123" s="1"/>
      <c r="WQG123" s="1"/>
      <c r="WQH123" s="1"/>
      <c r="WQI123" s="1"/>
      <c r="WQJ123" s="1"/>
      <c r="WQK123" s="1"/>
      <c r="WQL123" s="1"/>
      <c r="WQM123" s="1"/>
      <c r="WQN123" s="1"/>
      <c r="WQO123" s="1"/>
      <c r="WQP123" s="1"/>
      <c r="WQQ123" s="1"/>
      <c r="WQR123" s="1"/>
      <c r="WQS123" s="1"/>
      <c r="WQT123" s="1"/>
      <c r="WQU123" s="1"/>
      <c r="WQV123" s="1"/>
      <c r="WQW123" s="1"/>
      <c r="WQX123" s="1"/>
      <c r="WQY123" s="1"/>
      <c r="WQZ123" s="1"/>
      <c r="WRA123" s="1"/>
      <c r="WRB123" s="1"/>
      <c r="WRC123" s="1"/>
      <c r="WRD123" s="1"/>
      <c r="WRE123" s="1"/>
      <c r="WRF123" s="1"/>
      <c r="WRG123" s="1"/>
      <c r="WRH123" s="1"/>
      <c r="WRI123" s="1"/>
      <c r="WRJ123" s="1"/>
      <c r="WRK123" s="1"/>
      <c r="WRL123" s="1"/>
      <c r="WRM123" s="1"/>
      <c r="WRN123" s="1"/>
      <c r="WRO123" s="1"/>
      <c r="WRP123" s="1"/>
      <c r="WRQ123" s="1"/>
      <c r="WRR123" s="1"/>
      <c r="WRS123" s="1"/>
      <c r="WRT123" s="1"/>
      <c r="WRU123" s="1"/>
      <c r="WRV123" s="1"/>
      <c r="WRW123" s="1"/>
      <c r="WRX123" s="1"/>
      <c r="WRY123" s="1"/>
      <c r="WRZ123" s="1"/>
      <c r="WSA123" s="1"/>
      <c r="WSB123" s="1"/>
      <c r="WSC123" s="1"/>
      <c r="WSD123" s="1"/>
      <c r="WSE123" s="1"/>
      <c r="WSF123" s="1"/>
      <c r="WSG123" s="1"/>
      <c r="WSH123" s="1"/>
      <c r="WSI123" s="1"/>
      <c r="WSJ123" s="1"/>
      <c r="WSK123" s="1"/>
      <c r="WSL123" s="1"/>
      <c r="WSM123" s="1"/>
      <c r="WSN123" s="1"/>
      <c r="WSO123" s="1"/>
      <c r="WSP123" s="1"/>
      <c r="WSQ123" s="1"/>
      <c r="WSR123" s="1"/>
      <c r="WSS123" s="1"/>
      <c r="WST123" s="1"/>
      <c r="WSU123" s="1"/>
      <c r="WSV123" s="1"/>
      <c r="WSW123" s="1"/>
      <c r="WSX123" s="1"/>
      <c r="WSY123" s="1"/>
      <c r="WSZ123" s="1"/>
      <c r="WTA123" s="1"/>
      <c r="WTB123" s="1"/>
      <c r="WTC123" s="1"/>
      <c r="WTD123" s="1"/>
      <c r="WTE123" s="1"/>
      <c r="WTF123" s="1"/>
      <c r="WTG123" s="1"/>
      <c r="WTH123" s="1"/>
      <c r="WTI123" s="1"/>
      <c r="WTJ123" s="1"/>
      <c r="WTK123" s="1"/>
      <c r="WTL123" s="1"/>
      <c r="WTM123" s="1"/>
      <c r="WTN123" s="1"/>
      <c r="WTO123" s="1"/>
      <c r="WTP123" s="1"/>
      <c r="WTQ123" s="1"/>
      <c r="WTR123" s="1"/>
      <c r="WTS123" s="1"/>
      <c r="WTT123" s="1"/>
      <c r="WTU123" s="1"/>
      <c r="WTV123" s="1"/>
      <c r="WTW123" s="1"/>
      <c r="WTX123" s="1"/>
      <c r="WTY123" s="1"/>
      <c r="WTZ123" s="1"/>
      <c r="WUA123" s="1"/>
      <c r="WUB123" s="1"/>
      <c r="WUC123" s="1"/>
      <c r="WUD123" s="1"/>
      <c r="WUE123" s="1"/>
      <c r="WUF123" s="1"/>
      <c r="WUG123" s="1"/>
      <c r="WUH123" s="1"/>
      <c r="WUI123" s="1"/>
      <c r="WUJ123" s="1"/>
      <c r="WUK123" s="1"/>
      <c r="WUL123" s="1"/>
      <c r="WUM123" s="1"/>
      <c r="WUN123" s="1"/>
      <c r="WUO123" s="1"/>
      <c r="WUP123" s="1"/>
      <c r="WUQ123" s="1"/>
      <c r="WUR123" s="1"/>
      <c r="WUS123" s="1"/>
      <c r="WUT123" s="1"/>
      <c r="WUU123" s="1"/>
      <c r="WUV123" s="1"/>
      <c r="WUW123" s="1"/>
      <c r="WUX123" s="1"/>
      <c r="WUY123" s="1"/>
      <c r="WUZ123" s="1"/>
      <c r="WVA123" s="1"/>
      <c r="WVB123" s="1"/>
      <c r="WVC123" s="1"/>
      <c r="WVD123" s="1"/>
      <c r="WVE123" s="1"/>
      <c r="WVF123" s="1"/>
      <c r="WVG123" s="1"/>
      <c r="WVH123" s="1"/>
      <c r="WVI123" s="1"/>
      <c r="WVJ123" s="1"/>
      <c r="WVK123" s="1"/>
      <c r="WVL123" s="1"/>
      <c r="WVM123" s="1"/>
      <c r="WVN123" s="1"/>
      <c r="WVO123" s="1"/>
      <c r="WVP123" s="1"/>
      <c r="WVQ123" s="1"/>
      <c r="WVR123" s="1"/>
      <c r="WVS123" s="1"/>
      <c r="WVT123" s="1"/>
      <c r="WVU123" s="1"/>
      <c r="WVV123" s="1"/>
      <c r="WVW123" s="1"/>
      <c r="WVX123" s="1"/>
      <c r="WVY123" s="1"/>
      <c r="WVZ123" s="1"/>
      <c r="WWA123" s="1"/>
      <c r="WWB123" s="1"/>
      <c r="WWC123" s="1"/>
      <c r="WWD123" s="1"/>
      <c r="WWE123" s="1"/>
      <c r="WWF123" s="1"/>
      <c r="WWG123" s="1"/>
      <c r="WWH123" s="1"/>
      <c r="WWI123" s="1"/>
      <c r="WWJ123" s="1"/>
      <c r="WWK123" s="1"/>
      <c r="WWL123" s="1"/>
      <c r="WWM123" s="1"/>
      <c r="WWN123" s="1"/>
      <c r="WWO123" s="1"/>
      <c r="WWP123" s="1"/>
      <c r="WWQ123" s="1"/>
      <c r="WWR123" s="1"/>
      <c r="WWS123" s="1"/>
      <c r="WWT123" s="1"/>
      <c r="WWU123" s="1"/>
      <c r="WWV123" s="1"/>
      <c r="WWW123" s="1"/>
      <c r="WWX123" s="1"/>
      <c r="WWY123" s="1"/>
      <c r="WWZ123" s="1"/>
      <c r="WXA123" s="1"/>
      <c r="WXB123" s="1"/>
      <c r="WXC123" s="1"/>
      <c r="WXD123" s="1"/>
      <c r="WXE123" s="1"/>
      <c r="WXF123" s="1"/>
      <c r="WXG123" s="1"/>
      <c r="WXH123" s="1"/>
      <c r="WXI123" s="1"/>
      <c r="WXJ123" s="1"/>
      <c r="WXK123" s="1"/>
      <c r="WXL123" s="1"/>
      <c r="WXM123" s="1"/>
      <c r="WXN123" s="1"/>
      <c r="WXO123" s="1"/>
      <c r="WXP123" s="1"/>
      <c r="WXQ123" s="1"/>
      <c r="WXR123" s="1"/>
      <c r="WXS123" s="1"/>
      <c r="WXT123" s="1"/>
      <c r="WXU123" s="1"/>
      <c r="WXV123" s="1"/>
      <c r="WXW123" s="1"/>
      <c r="WXX123" s="1"/>
      <c r="WXY123" s="1"/>
      <c r="WXZ123" s="1"/>
      <c r="WYA123" s="1"/>
      <c r="WYB123" s="1"/>
      <c r="WYC123" s="1"/>
      <c r="WYD123" s="1"/>
      <c r="WYE123" s="1"/>
      <c r="WYF123" s="1"/>
      <c r="WYG123" s="1"/>
      <c r="WYH123" s="1"/>
      <c r="WYI123" s="1"/>
      <c r="WYJ123" s="1"/>
      <c r="WYK123" s="1"/>
      <c r="WYL123" s="1"/>
      <c r="WYM123" s="1"/>
      <c r="WYN123" s="1"/>
      <c r="WYO123" s="1"/>
      <c r="WYP123" s="1"/>
      <c r="WYQ123" s="1"/>
      <c r="WYR123" s="1"/>
      <c r="WYS123" s="1"/>
      <c r="WYT123" s="1"/>
      <c r="WYU123" s="1"/>
      <c r="WYV123" s="1"/>
      <c r="WYW123" s="1"/>
      <c r="WYX123" s="1"/>
      <c r="WYY123" s="1"/>
      <c r="WYZ123" s="1"/>
      <c r="WZA123" s="1"/>
      <c r="WZB123" s="1"/>
      <c r="WZC123" s="1"/>
      <c r="WZD123" s="1"/>
      <c r="WZE123" s="1"/>
      <c r="WZF123" s="1"/>
      <c r="WZG123" s="1"/>
      <c r="WZH123" s="1"/>
      <c r="WZI123" s="1"/>
      <c r="WZJ123" s="1"/>
      <c r="WZK123" s="1"/>
      <c r="WZL123" s="1"/>
      <c r="WZM123" s="1"/>
      <c r="WZN123" s="1"/>
      <c r="WZO123" s="1"/>
      <c r="WZP123" s="1"/>
      <c r="WZQ123" s="1"/>
      <c r="WZR123" s="1"/>
      <c r="WZS123" s="1"/>
      <c r="WZT123" s="1"/>
      <c r="WZU123" s="1"/>
      <c r="WZV123" s="1"/>
      <c r="WZW123" s="1"/>
      <c r="WZX123" s="1"/>
      <c r="WZY123" s="1"/>
      <c r="WZZ123" s="1"/>
      <c r="XAA123" s="1"/>
      <c r="XAB123" s="1"/>
      <c r="XAC123" s="1"/>
      <c r="XAD123" s="1"/>
      <c r="XAE123" s="1"/>
      <c r="XAF123" s="1"/>
      <c r="XAG123" s="1"/>
      <c r="XAH123" s="1"/>
      <c r="XAI123" s="1"/>
      <c r="XAJ123" s="1"/>
      <c r="XAK123" s="1"/>
      <c r="XAL123" s="1"/>
      <c r="XAM123" s="1"/>
      <c r="XAN123" s="1"/>
      <c r="XAO123" s="1"/>
      <c r="XAP123" s="1"/>
      <c r="XAQ123" s="1"/>
      <c r="XAR123" s="1"/>
      <c r="XAS123" s="1"/>
      <c r="XAT123" s="1"/>
      <c r="XAU123" s="1"/>
      <c r="XAV123" s="1"/>
      <c r="XAW123" s="1"/>
      <c r="XAX123" s="1"/>
      <c r="XAY123" s="1"/>
      <c r="XAZ123" s="1"/>
      <c r="XBA123" s="1"/>
      <c r="XBB123" s="1"/>
      <c r="XBC123" s="1"/>
      <c r="XBD123" s="1"/>
      <c r="XBE123" s="1"/>
      <c r="XBF123" s="1"/>
      <c r="XBG123" s="1"/>
      <c r="XBH123" s="1"/>
      <c r="XBI123" s="1"/>
      <c r="XBJ123" s="1"/>
      <c r="XBK123" s="1"/>
      <c r="XBL123" s="1"/>
      <c r="XBM123" s="1"/>
      <c r="XBN123" s="1"/>
      <c r="XBO123" s="1"/>
      <c r="XBP123" s="1"/>
      <c r="XBQ123" s="1"/>
      <c r="XBR123" s="1"/>
      <c r="XBS123" s="1"/>
      <c r="XBT123" s="1"/>
      <c r="XBU123" s="1"/>
      <c r="XBV123" s="1"/>
      <c r="XBW123" s="1"/>
      <c r="XBX123" s="1"/>
      <c r="XBY123" s="1"/>
      <c r="XBZ123" s="1"/>
      <c r="XCA123" s="1"/>
      <c r="XCB123" s="1"/>
      <c r="XCC123" s="1"/>
      <c r="XCD123" s="1"/>
      <c r="XCE123" s="1"/>
      <c r="XCF123" s="1"/>
      <c r="XCG123" s="1"/>
      <c r="XCH123" s="1"/>
      <c r="XCI123" s="1"/>
      <c r="XCJ123" s="1"/>
      <c r="XCK123" s="1"/>
      <c r="XCL123" s="1"/>
      <c r="XCM123" s="1"/>
      <c r="XCN123" s="1"/>
      <c r="XCO123" s="1"/>
      <c r="XCP123" s="1"/>
      <c r="XCQ123" s="1"/>
      <c r="XCR123" s="1"/>
      <c r="XCS123" s="1"/>
      <c r="XCT123" s="1"/>
      <c r="XCU123" s="1"/>
      <c r="XCV123" s="1"/>
      <c r="XCW123" s="1"/>
      <c r="XCX123" s="1"/>
      <c r="XCY123" s="1"/>
      <c r="XCZ123" s="1"/>
      <c r="XDA123" s="1"/>
      <c r="XDB123" s="1"/>
      <c r="XDC123" s="1"/>
      <c r="XDD123" s="1"/>
      <c r="XDE123" s="1"/>
      <c r="XDF123" s="1"/>
      <c r="XDG123" s="1"/>
      <c r="XDH123" s="1"/>
      <c r="XDI123" s="1"/>
      <c r="XDJ123" s="1"/>
      <c r="XDK123" s="1"/>
      <c r="XDL123" s="1"/>
      <c r="XDM123" s="1"/>
      <c r="XDN123" s="1"/>
      <c r="XDO123" s="1"/>
      <c r="XDP123" s="1"/>
      <c r="XDQ123" s="1"/>
      <c r="XDR123" s="1"/>
      <c r="XDS123" s="1"/>
      <c r="XDT123" s="1"/>
      <c r="XDU123" s="1"/>
      <c r="XDV123" s="1"/>
      <c r="XDW123" s="1"/>
      <c r="XDX123" s="1"/>
      <c r="XDY123" s="1"/>
      <c r="XDZ123" s="1"/>
      <c r="XEA123" s="1"/>
      <c r="XEB123" s="1"/>
      <c r="XEC123" s="1"/>
      <c r="XED123" s="1"/>
      <c r="XEE123" s="1"/>
      <c r="XEF123" s="1"/>
      <c r="XEG123" s="1"/>
      <c r="XEH123" s="1"/>
      <c r="XEI123" s="1"/>
      <c r="XEJ123" s="1"/>
      <c r="XEK123" s="1"/>
      <c r="XEL123" s="1"/>
      <c r="XEM123" s="1"/>
      <c r="XEN123" s="1"/>
      <c r="XEO123" s="1"/>
      <c r="XEP123" s="1"/>
      <c r="XEQ123" s="1"/>
      <c r="XER123" s="1"/>
      <c r="XES123" s="1"/>
      <c r="XET123" s="1"/>
      <c r="XEU123" s="1"/>
      <c r="XEV123" s="1"/>
      <c r="XEW123" s="1"/>
      <c r="XEX123" s="1"/>
      <c r="XEY123" s="1"/>
      <c r="XEZ123" s="1"/>
      <c r="XFA123" s="1"/>
      <c r="XFB123" s="1"/>
      <c r="XFC123" s="1"/>
      <c r="XFD123" s="1"/>
    </row>
    <row r="124" spans="2:16384" x14ac:dyDescent="0.25"/>
    <row r="125" spans="2:16384" x14ac:dyDescent="0.25"/>
  </sheetData>
  <sheetProtection formatCells="0" selectLockedCells="1"/>
  <mergeCells count="321">
    <mergeCell ref="J116:L116"/>
    <mergeCell ref="J117:L117"/>
    <mergeCell ref="AI109:AJ109"/>
    <mergeCell ref="AI110:AJ110"/>
    <mergeCell ref="AI115:AJ115"/>
    <mergeCell ref="AI116:AJ116"/>
    <mergeCell ref="AI117:AJ117"/>
    <mergeCell ref="AI118:AJ118"/>
    <mergeCell ref="AI119:AJ119"/>
    <mergeCell ref="AE116:AF116"/>
    <mergeCell ref="AG116:AH116"/>
    <mergeCell ref="U115:V115"/>
    <mergeCell ref="M116:N116"/>
    <mergeCell ref="O116:P116"/>
    <mergeCell ref="Q116:R116"/>
    <mergeCell ref="S116:T116"/>
    <mergeCell ref="M118:N118"/>
    <mergeCell ref="O118:P118"/>
    <mergeCell ref="Q118:R118"/>
    <mergeCell ref="S118:T118"/>
    <mergeCell ref="U118:V118"/>
    <mergeCell ref="U116:V116"/>
    <mergeCell ref="M117:N117"/>
    <mergeCell ref="O117:P117"/>
    <mergeCell ref="C20:G20"/>
    <mergeCell ref="C21:G21"/>
    <mergeCell ref="H21:I21"/>
    <mergeCell ref="H22:I22"/>
    <mergeCell ref="AI90:AJ90"/>
    <mergeCell ref="AI95:AJ95"/>
    <mergeCell ref="AI97:AJ97"/>
    <mergeCell ref="AI100:AJ100"/>
    <mergeCell ref="AI102:AJ102"/>
    <mergeCell ref="C64:G64"/>
    <mergeCell ref="C65:G65"/>
    <mergeCell ref="C69:G69"/>
    <mergeCell ref="J62:N69"/>
    <mergeCell ref="S76:T76"/>
    <mergeCell ref="U76:V76"/>
    <mergeCell ref="H62:I62"/>
    <mergeCell ref="H63:I63"/>
    <mergeCell ref="H64:I64"/>
    <mergeCell ref="H65:I65"/>
    <mergeCell ref="H66:I66"/>
    <mergeCell ref="H67:I67"/>
    <mergeCell ref="C68:G68"/>
    <mergeCell ref="C67:G67"/>
    <mergeCell ref="C77:G77"/>
    <mergeCell ref="AI78:AJ78"/>
    <mergeCell ref="AI82:AJ82"/>
    <mergeCell ref="AI85:AJ85"/>
    <mergeCell ref="H83:L83"/>
    <mergeCell ref="U19:V19"/>
    <mergeCell ref="S19:T19"/>
    <mergeCell ref="Q19:R19"/>
    <mergeCell ref="O19:P19"/>
    <mergeCell ref="M19:N19"/>
    <mergeCell ref="K19:L19"/>
    <mergeCell ref="Q21:R21"/>
    <mergeCell ref="S21:T21"/>
    <mergeCell ref="U21:V21"/>
    <mergeCell ref="K20:L20"/>
    <mergeCell ref="M20:N20"/>
    <mergeCell ref="O20:P20"/>
    <mergeCell ref="Q20:R20"/>
    <mergeCell ref="S20:T20"/>
    <mergeCell ref="U20:V20"/>
    <mergeCell ref="H77:I77"/>
    <mergeCell ref="M76:N76"/>
    <mergeCell ref="O76:P76"/>
    <mergeCell ref="Q76:R76"/>
    <mergeCell ref="K22:L22"/>
    <mergeCell ref="H20:I20"/>
    <mergeCell ref="K21:L21"/>
    <mergeCell ref="M21:N21"/>
    <mergeCell ref="O21:P21"/>
    <mergeCell ref="Q28:R28"/>
    <mergeCell ref="S28:T28"/>
    <mergeCell ref="U28:V28"/>
    <mergeCell ref="H29:I29"/>
    <mergeCell ref="H30:I30"/>
    <mergeCell ref="H33:I33"/>
    <mergeCell ref="H25:I25"/>
    <mergeCell ref="H26:I26"/>
    <mergeCell ref="H27:I27"/>
    <mergeCell ref="H28:I28"/>
    <mergeCell ref="M28:N28"/>
    <mergeCell ref="O28:P28"/>
    <mergeCell ref="S39:T39"/>
    <mergeCell ref="U39:V39"/>
    <mergeCell ref="M40:N40"/>
    <mergeCell ref="O40:P40"/>
    <mergeCell ref="Q40:R40"/>
    <mergeCell ref="S40:T40"/>
    <mergeCell ref="U40:V40"/>
    <mergeCell ref="H36:I36"/>
    <mergeCell ref="H39:I39"/>
    <mergeCell ref="K39:L39"/>
    <mergeCell ref="M39:N39"/>
    <mergeCell ref="O39:P39"/>
    <mergeCell ref="Q39:R39"/>
    <mergeCell ref="Q45:R45"/>
    <mergeCell ref="S45:T45"/>
    <mergeCell ref="U45:V45"/>
    <mergeCell ref="K44:L44"/>
    <mergeCell ref="M44:N44"/>
    <mergeCell ref="O44:P44"/>
    <mergeCell ref="Q44:R44"/>
    <mergeCell ref="S44:T44"/>
    <mergeCell ref="U44:V44"/>
    <mergeCell ref="Q47:R47"/>
    <mergeCell ref="S47:T47"/>
    <mergeCell ref="U47:V47"/>
    <mergeCell ref="K46:L46"/>
    <mergeCell ref="M46:N46"/>
    <mergeCell ref="O46:P46"/>
    <mergeCell ref="Q46:R46"/>
    <mergeCell ref="S46:T46"/>
    <mergeCell ref="U46:V46"/>
    <mergeCell ref="G44:J47"/>
    <mergeCell ref="H50:I50"/>
    <mergeCell ref="H51:I51"/>
    <mergeCell ref="H52:I52"/>
    <mergeCell ref="H58:I58"/>
    <mergeCell ref="H60:I60"/>
    <mergeCell ref="K47:L47"/>
    <mergeCell ref="M47:N47"/>
    <mergeCell ref="O47:P47"/>
    <mergeCell ref="K45:L45"/>
    <mergeCell ref="M45:N45"/>
    <mergeCell ref="O45:P45"/>
    <mergeCell ref="H59:I59"/>
    <mergeCell ref="C60:G60"/>
    <mergeCell ref="AE78:AF78"/>
    <mergeCell ref="M79:N79"/>
    <mergeCell ref="O79:P79"/>
    <mergeCell ref="Q79:R79"/>
    <mergeCell ref="S79:T79"/>
    <mergeCell ref="U79:V79"/>
    <mergeCell ref="U60:V60"/>
    <mergeCell ref="H68:I68"/>
    <mergeCell ref="H69:I69"/>
    <mergeCell ref="K61:L61"/>
    <mergeCell ref="M61:N61"/>
    <mergeCell ref="O61:P61"/>
    <mergeCell ref="Q61:R61"/>
    <mergeCell ref="S61:T61"/>
    <mergeCell ref="U61:V61"/>
    <mergeCell ref="H61:I61"/>
    <mergeCell ref="K60:L60"/>
    <mergeCell ref="M60:N60"/>
    <mergeCell ref="O60:P60"/>
    <mergeCell ref="Q60:R60"/>
    <mergeCell ref="S60:T60"/>
    <mergeCell ref="AG78:AH78"/>
    <mergeCell ref="Y82:Z82"/>
    <mergeCell ref="AA82:AB82"/>
    <mergeCell ref="AC82:AD82"/>
    <mergeCell ref="AE82:AF82"/>
    <mergeCell ref="AG82:AH82"/>
    <mergeCell ref="Y78:Z78"/>
    <mergeCell ref="M80:N80"/>
    <mergeCell ref="O80:P80"/>
    <mergeCell ref="Q80:R80"/>
    <mergeCell ref="S80:T80"/>
    <mergeCell ref="U80:V80"/>
    <mergeCell ref="M82:N82"/>
    <mergeCell ref="O82:P82"/>
    <mergeCell ref="Q82:R82"/>
    <mergeCell ref="S82:T82"/>
    <mergeCell ref="U82:V82"/>
    <mergeCell ref="M78:N78"/>
    <mergeCell ref="O78:P78"/>
    <mergeCell ref="Q78:R78"/>
    <mergeCell ref="S78:T78"/>
    <mergeCell ref="U78:V78"/>
    <mergeCell ref="AA78:AB78"/>
    <mergeCell ref="AC78:AD78"/>
    <mergeCell ref="M83:N83"/>
    <mergeCell ref="O83:P83"/>
    <mergeCell ref="Q83:R83"/>
    <mergeCell ref="S83:T83"/>
    <mergeCell ref="U83:V83"/>
    <mergeCell ref="M90:N90"/>
    <mergeCell ref="O90:P90"/>
    <mergeCell ref="Q90:R90"/>
    <mergeCell ref="S90:T90"/>
    <mergeCell ref="U90:V90"/>
    <mergeCell ref="M85:N85"/>
    <mergeCell ref="O85:P85"/>
    <mergeCell ref="Q85:R85"/>
    <mergeCell ref="S85:T85"/>
    <mergeCell ref="U85:V85"/>
    <mergeCell ref="M86:N86"/>
    <mergeCell ref="O86:P86"/>
    <mergeCell ref="Q86:R86"/>
    <mergeCell ref="S86:T86"/>
    <mergeCell ref="U86:V86"/>
    <mergeCell ref="I86:L86"/>
    <mergeCell ref="M88:P88"/>
    <mergeCell ref="Y85:Z85"/>
    <mergeCell ref="AA85:AB85"/>
    <mergeCell ref="AC85:AD85"/>
    <mergeCell ref="AE85:AF85"/>
    <mergeCell ref="AG85:AH85"/>
    <mergeCell ref="Y90:Z90"/>
    <mergeCell ref="AA90:AB90"/>
    <mergeCell ref="AC90:AD90"/>
    <mergeCell ref="AE90:AF90"/>
    <mergeCell ref="AG90:AH90"/>
    <mergeCell ref="M97:N97"/>
    <mergeCell ref="O97:P97"/>
    <mergeCell ref="Q97:R97"/>
    <mergeCell ref="S97:T97"/>
    <mergeCell ref="U97:V97"/>
    <mergeCell ref="Y95:Z95"/>
    <mergeCell ref="M94:N94"/>
    <mergeCell ref="O94:P94"/>
    <mergeCell ref="Q94:R94"/>
    <mergeCell ref="S94:T94"/>
    <mergeCell ref="U94:V94"/>
    <mergeCell ref="M95:N95"/>
    <mergeCell ref="O95:P95"/>
    <mergeCell ref="Q95:R95"/>
    <mergeCell ref="S95:T95"/>
    <mergeCell ref="U95:V95"/>
    <mergeCell ref="AA95:AB95"/>
    <mergeCell ref="AC95:AD95"/>
    <mergeCell ref="AE95:AF95"/>
    <mergeCell ref="AG95:AH95"/>
    <mergeCell ref="Y97:Z97"/>
    <mergeCell ref="AA97:AB97"/>
    <mergeCell ref="AC97:AD97"/>
    <mergeCell ref="AE97:AF97"/>
    <mergeCell ref="AG97:AH97"/>
    <mergeCell ref="M102:N102"/>
    <mergeCell ref="O102:P102"/>
    <mergeCell ref="Q102:R102"/>
    <mergeCell ref="S102:T102"/>
    <mergeCell ref="U102:V102"/>
    <mergeCell ref="Y100:Z100"/>
    <mergeCell ref="M99:N99"/>
    <mergeCell ref="O99:P99"/>
    <mergeCell ref="Q99:R99"/>
    <mergeCell ref="S99:T99"/>
    <mergeCell ref="U99:V99"/>
    <mergeCell ref="M100:N100"/>
    <mergeCell ref="O100:P100"/>
    <mergeCell ref="Q100:R100"/>
    <mergeCell ref="S100:T100"/>
    <mergeCell ref="U100:V100"/>
    <mergeCell ref="U109:V109"/>
    <mergeCell ref="AA100:AB100"/>
    <mergeCell ref="AC100:AD100"/>
    <mergeCell ref="AE100:AF100"/>
    <mergeCell ref="AG100:AH100"/>
    <mergeCell ref="Y102:Z102"/>
    <mergeCell ref="AA102:AB102"/>
    <mergeCell ref="AC102:AD102"/>
    <mergeCell ref="AE102:AF102"/>
    <mergeCell ref="AG102:AH102"/>
    <mergeCell ref="AE115:AF115"/>
    <mergeCell ref="AG115:AH115"/>
    <mergeCell ref="H114:I114"/>
    <mergeCell ref="C115:G115"/>
    <mergeCell ref="H115:I115"/>
    <mergeCell ref="H116:I116"/>
    <mergeCell ref="H117:I117"/>
    <mergeCell ref="AA109:AB109"/>
    <mergeCell ref="AC109:AD109"/>
    <mergeCell ref="AE109:AF109"/>
    <mergeCell ref="AG109:AH109"/>
    <mergeCell ref="Y110:Z110"/>
    <mergeCell ref="AA110:AB110"/>
    <mergeCell ref="AC110:AD110"/>
    <mergeCell ref="AE110:AF110"/>
    <mergeCell ref="AG110:AH110"/>
    <mergeCell ref="M110:N110"/>
    <mergeCell ref="O110:P110"/>
    <mergeCell ref="Q110:R110"/>
    <mergeCell ref="S110:T110"/>
    <mergeCell ref="U110:V110"/>
    <mergeCell ref="Y109:Z109"/>
    <mergeCell ref="M115:N115"/>
    <mergeCell ref="O115:P115"/>
    <mergeCell ref="AE119:AF119"/>
    <mergeCell ref="AG119:AH119"/>
    <mergeCell ref="Y117:Z117"/>
    <mergeCell ref="AA117:AB117"/>
    <mergeCell ref="AC117:AD117"/>
    <mergeCell ref="AE117:AF117"/>
    <mergeCell ref="AG117:AH117"/>
    <mergeCell ref="Y118:Z118"/>
    <mergeCell ref="AA118:AB118"/>
    <mergeCell ref="AC118:AD118"/>
    <mergeCell ref="AE118:AF118"/>
    <mergeCell ref="AG118:AH118"/>
    <mergeCell ref="Y116:Z116"/>
    <mergeCell ref="AA116:AB116"/>
    <mergeCell ref="AC116:AD116"/>
    <mergeCell ref="Q117:R117"/>
    <mergeCell ref="S117:T117"/>
    <mergeCell ref="U117:V117"/>
    <mergeCell ref="B6:F13"/>
    <mergeCell ref="Y119:Z119"/>
    <mergeCell ref="AA119:AB119"/>
    <mergeCell ref="AC119:AD119"/>
    <mergeCell ref="Y115:Z115"/>
    <mergeCell ref="AA115:AB115"/>
    <mergeCell ref="AC115:AD115"/>
    <mergeCell ref="Q115:R115"/>
    <mergeCell ref="S115:T115"/>
    <mergeCell ref="M104:N104"/>
    <mergeCell ref="O104:P104"/>
    <mergeCell ref="Q104:R104"/>
    <mergeCell ref="S104:T104"/>
    <mergeCell ref="U104:V104"/>
    <mergeCell ref="M109:N109"/>
    <mergeCell ref="O109:P109"/>
    <mergeCell ref="Q109:R109"/>
    <mergeCell ref="S109:T109"/>
  </mergeCells>
  <conditionalFormatting sqref="C62:C63">
    <cfRule type="expression" dxfId="11" priority="14">
      <formula>IF($H$58="Expert",TRUE,FALSE)</formula>
    </cfRule>
  </conditionalFormatting>
  <conditionalFormatting sqref="C64:G64">
    <cfRule type="expression" dxfId="10" priority="13">
      <formula>IF(AND($H$60="Rule of Thumb",$H$58="Macro"),FALSE, TRUE)</formula>
    </cfRule>
  </conditionalFormatting>
  <conditionalFormatting sqref="C65:G65">
    <cfRule type="expression" dxfId="9" priority="11">
      <formula>IF(AND($H$58="Macro",$H$60="Satellite Model"),FALSE,TRUE)</formula>
    </cfRule>
    <cfRule type="expression" dxfId="8" priority="12">
      <formula>IF(AND($H$60="Satellite Model",$H$58="Macro"),FALSE, TRUE)</formula>
    </cfRule>
  </conditionalFormatting>
  <conditionalFormatting sqref="C66">
    <cfRule type="expression" dxfId="7" priority="10">
      <formula>IF($H$58="Expert",TRUE,FALSE)</formula>
    </cfRule>
  </conditionalFormatting>
  <conditionalFormatting sqref="C67:G69">
    <cfRule type="expression" dxfId="6" priority="8">
      <formula>IF(AND($H$58="Macro",$H$60="Satellite Model"),FALSE,TRUE)</formula>
    </cfRule>
  </conditionalFormatting>
  <conditionalFormatting sqref="C77:G77">
    <cfRule type="expression" dxfId="5" priority="7">
      <formula>IF(AND($H$58="Macro",$H$62="Yes"),TRUE,FALSE)</formula>
    </cfRule>
  </conditionalFormatting>
  <conditionalFormatting sqref="C60:G61">
    <cfRule type="expression" dxfId="4" priority="6">
      <formula>IF($H$58="Expert",TRUE,FALSE)</formula>
    </cfRule>
  </conditionalFormatting>
  <conditionalFormatting sqref="C85">
    <cfRule type="expression" dxfId="3" priority="2">
      <formula>IF(AND($H$58="Macro",$H$60="Rule of Thumb"),TRUE,FALSE)</formula>
    </cfRule>
  </conditionalFormatting>
  <conditionalFormatting sqref="C90">
    <cfRule type="expression" dxfId="2" priority="1">
      <formula>IF(AND(H58="Macro",H60="Satellite Model",H65="Yes"),TRUE,FALSE)</formula>
    </cfRule>
  </conditionalFormatting>
  <pageMargins left="0.7" right="0.7" top="0.75" bottom="0.75" header="0.3" footer="0.3"/>
  <pageSetup orientation="portrait" horizontalDpi="4294967292" verticalDpi="4294967292"/>
  <drawing r:id="rId1"/>
  <extLst>
    <ext xmlns:x14="http://schemas.microsoft.com/office/spreadsheetml/2009/9/main" uri="{78C0D931-6437-407d-A8EE-F0AAD7539E65}">
      <x14:conditionalFormattings>
        <x14:conditionalFormatting xmlns:xm="http://schemas.microsoft.com/office/excel/2006/main">
          <x14:cfRule type="expression" priority="3" id="{58C098F3-4BF6-479F-A8D7-C9843A23D189}">
            <xm:f>IF(OR(Setup!$B$7="Losses/Provisions",AND($H$58="Macro",$H$63="Yes")),TRUE,FALSE)</xm:f>
            <x14:dxf>
              <font>
                <color rgb="FFFF0000"/>
              </font>
            </x14:dxf>
          </x14:cfRule>
          <xm:sqref>C82</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14:formula1>
            <xm:f>Variables!$AO$2:$AO$6</xm:f>
          </x14:formula1>
          <xm:sqref>H20</xm:sqref>
        </x14:dataValidation>
        <x14:dataValidation type="list" allowBlank="1" showInputMessage="1" showErrorMessage="1">
          <x14:formula1>
            <xm:f>Variables!$O$2:$O$3</xm:f>
          </x14:formula1>
          <xm:sqref>H21:I22 H30:I30 H36:I36 H39:I39 H62:I69 M104:V104 H115:I117</xm:sqref>
        </x14:dataValidation>
        <x14:dataValidation type="list" allowBlank="1" showInputMessage="1" showErrorMessage="1">
          <x14:formula1>
            <xm:f>Variables!$Q$2:$Q$4</xm:f>
          </x14:formula1>
          <xm:sqref>H26:I26</xm:sqref>
        </x14:dataValidation>
        <x14:dataValidation type="list" allowBlank="1" showInputMessage="1" showErrorMessage="1">
          <x14:formula1>
            <xm:f>Variables!$AF$2:$AF$3</xm:f>
          </x14:formula1>
          <xm:sqref>H27:I27 H33:I33</xm:sqref>
        </x14:dataValidation>
        <x14:dataValidation type="list" allowBlank="1" showInputMessage="1" showErrorMessage="1">
          <x14:formula1>
            <xm:f>Variables!$AC$2:$AC$3</xm:f>
          </x14:formula1>
          <xm:sqref>H60:I60</xm:sqref>
        </x14:dataValidation>
        <x14:dataValidation type="list" allowBlank="1" showInputMessage="1" showErrorMessage="1">
          <x14:formula1>
            <xm:f>Variables!$AD$2:$AD$3</xm:f>
          </x14:formula1>
          <xm:sqref>H59:I59</xm:sqref>
        </x14:dataValidation>
        <x14:dataValidation type="list" allowBlank="1" showInputMessage="1" showErrorMessage="1">
          <x14:formula1>
            <xm:f>Variables!$X$2:$X$3</xm:f>
          </x14:formula1>
          <xm:sqref>H77:I77</xm:sqref>
        </x14:dataValidation>
        <x14:dataValidation type="list" allowBlank="1" showInputMessage="1" showErrorMessage="1">
          <x14:formula1>
            <xm:f>Variables!$S$6:$S$11</xm:f>
          </x14:formula1>
          <xm:sqref>M88</xm:sqref>
        </x14:dataValidation>
        <x14:dataValidation type="list" allowBlank="1" showInputMessage="1" showErrorMessage="1">
          <x14:formula1>
            <xm:f>Variables!$AG$2:$AG$10</xm:f>
          </x14:formula1>
          <xm:sqref>M99:V99</xm:sqref>
        </x14:dataValidation>
        <x14:dataValidation type="list" allowBlank="1" showInputMessage="1" showErrorMessage="1">
          <x14:formula1>
            <xm:f>Variables!$M$2:$M$4</xm:f>
          </x14:formula1>
          <xm:sqref>M78:V78 M85:V85</xm:sqref>
        </x14:dataValidation>
        <x14:dataValidation type="list" allowBlank="1" showInputMessage="1" showErrorMessage="1">
          <x14:formula1>
            <xm:f>Variables!$L$2:$L$5</xm:f>
          </x14:formula1>
          <xm:sqref>M82:V82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330"/>
  <sheetViews>
    <sheetView showGridLines="0" topLeftCell="A103" workbookViewId="0">
      <selection activeCell="N112" sqref="N112:O112"/>
    </sheetView>
  </sheetViews>
  <sheetFormatPr defaultColWidth="0" defaultRowHeight="15" zeroHeight="1" x14ac:dyDescent="0.25"/>
  <cols>
    <col min="1" max="1" width="2.85546875" style="21" customWidth="1"/>
    <col min="2" max="2" width="9.140625" style="21" customWidth="1"/>
    <col min="3" max="22" width="8.85546875" customWidth="1"/>
    <col min="23" max="23" width="2.7109375" style="21" customWidth="1"/>
    <col min="24" max="34" width="0" style="1" hidden="1" customWidth="1"/>
    <col min="35" max="16384" width="8.85546875" style="1" hidden="1"/>
  </cols>
  <sheetData>
    <row r="1" spans="1:23" x14ac:dyDescent="0.25">
      <c r="C1" s="233"/>
      <c r="D1" s="233"/>
      <c r="E1" s="233"/>
      <c r="F1" s="233"/>
      <c r="G1" s="233"/>
      <c r="H1" s="233"/>
      <c r="I1" s="233"/>
      <c r="J1" s="233"/>
      <c r="K1" s="233"/>
      <c r="L1" s="233"/>
      <c r="M1" s="233"/>
      <c r="N1" s="233"/>
      <c r="O1" s="233"/>
      <c r="P1" s="233"/>
      <c r="Q1" s="233"/>
      <c r="R1" s="233"/>
      <c r="S1" s="233"/>
      <c r="T1" s="233"/>
      <c r="U1" s="233"/>
      <c r="V1" s="233"/>
    </row>
    <row r="2" spans="1:23" x14ac:dyDescent="0.25">
      <c r="C2" s="233"/>
      <c r="D2" s="233"/>
      <c r="E2" s="233"/>
      <c r="F2" s="233"/>
      <c r="G2" s="233"/>
      <c r="H2" s="233"/>
      <c r="I2" s="233"/>
      <c r="J2" s="233"/>
      <c r="K2" s="233"/>
      <c r="L2" s="233"/>
      <c r="M2" s="233"/>
      <c r="N2" s="233"/>
      <c r="O2" s="233"/>
      <c r="P2" s="233"/>
      <c r="Q2" s="233"/>
      <c r="R2" s="233"/>
      <c r="S2" s="233"/>
      <c r="T2" s="233"/>
      <c r="U2" s="233"/>
      <c r="V2" s="233"/>
    </row>
    <row r="3" spans="1:23" x14ac:dyDescent="0.25">
      <c r="C3" s="233"/>
      <c r="D3" s="233"/>
      <c r="E3" s="233"/>
      <c r="F3" s="233"/>
      <c r="G3" s="233"/>
      <c r="H3" s="233"/>
      <c r="I3" s="233"/>
      <c r="J3" s="233"/>
      <c r="K3" s="233"/>
      <c r="L3" s="233"/>
      <c r="M3" s="233"/>
      <c r="N3" s="233"/>
      <c r="O3" s="233"/>
      <c r="P3" s="233"/>
      <c r="Q3" s="233"/>
      <c r="R3" s="233"/>
      <c r="S3" s="233"/>
      <c r="T3" s="233"/>
      <c r="U3" s="233"/>
      <c r="V3" s="233"/>
    </row>
    <row r="4" spans="1:23" x14ac:dyDescent="0.25">
      <c r="C4" s="233"/>
      <c r="D4" s="233"/>
      <c r="E4" s="233"/>
      <c r="F4" s="233"/>
      <c r="G4" s="233"/>
      <c r="H4" s="233"/>
      <c r="I4" s="233"/>
      <c r="J4" s="233"/>
      <c r="K4" s="233"/>
      <c r="L4" s="233"/>
      <c r="M4" s="233"/>
      <c r="N4" s="233"/>
      <c r="O4" s="233"/>
      <c r="P4" s="233"/>
      <c r="Q4" s="233"/>
      <c r="R4" s="233"/>
      <c r="S4" s="233"/>
      <c r="T4" s="233"/>
      <c r="U4" s="233"/>
      <c r="V4" s="233"/>
    </row>
    <row r="5" spans="1:23" s="24" customFormat="1" ht="15.75" thickBot="1" x14ac:dyDescent="0.3">
      <c r="A5" s="21"/>
      <c r="B5" s="22"/>
      <c r="C5" s="22"/>
      <c r="D5" s="22"/>
      <c r="E5" s="22"/>
      <c r="F5" s="22"/>
      <c r="G5" s="22"/>
      <c r="H5" s="22"/>
      <c r="I5" s="231"/>
      <c r="J5" s="231"/>
      <c r="K5" s="22"/>
      <c r="L5" s="22"/>
      <c r="M5" s="22"/>
      <c r="N5" s="22"/>
      <c r="O5" s="22"/>
      <c r="P5" s="22"/>
      <c r="Q5" s="21"/>
      <c r="R5" s="21"/>
      <c r="S5" s="21"/>
      <c r="T5" s="21"/>
      <c r="U5" s="21"/>
      <c r="V5" s="21"/>
      <c r="W5" s="21"/>
    </row>
    <row r="6" spans="1:23" s="233" customFormat="1" ht="15" customHeight="1" x14ac:dyDescent="0.25">
      <c r="A6" s="21"/>
      <c r="B6" s="878" t="s">
        <v>1388</v>
      </c>
      <c r="C6" s="879"/>
      <c r="D6" s="879"/>
      <c r="E6" s="879"/>
      <c r="F6" s="880"/>
      <c r="G6" s="276"/>
      <c r="H6" s="277"/>
      <c r="I6" s="277"/>
      <c r="J6" s="277"/>
      <c r="K6" s="277"/>
      <c r="L6" s="277"/>
      <c r="M6" s="277"/>
      <c r="N6" s="277"/>
      <c r="O6" s="277"/>
      <c r="P6" s="277"/>
      <c r="Q6" s="278"/>
      <c r="R6" s="278"/>
      <c r="S6" s="278"/>
      <c r="T6" s="278"/>
      <c r="U6" s="278"/>
      <c r="V6" s="279"/>
      <c r="W6" s="21"/>
    </row>
    <row r="7" spans="1:23" s="233" customFormat="1" ht="15" customHeight="1" x14ac:dyDescent="0.25">
      <c r="A7" s="21"/>
      <c r="B7" s="881"/>
      <c r="C7" s="882"/>
      <c r="D7" s="882"/>
      <c r="E7" s="882"/>
      <c r="F7" s="883"/>
      <c r="G7" s="280"/>
      <c r="H7" s="231"/>
      <c r="I7" s="231"/>
      <c r="J7" s="231"/>
      <c r="K7" s="231"/>
      <c r="L7" s="231"/>
      <c r="M7" s="231"/>
      <c r="N7" s="231"/>
      <c r="O7" s="231"/>
      <c r="P7" s="231"/>
      <c r="Q7" s="229"/>
      <c r="R7" s="229"/>
      <c r="S7" s="229"/>
      <c r="T7" s="229"/>
      <c r="U7" s="229"/>
      <c r="V7" s="281"/>
      <c r="W7" s="21"/>
    </row>
    <row r="8" spans="1:23" s="233" customFormat="1" ht="15" customHeight="1" x14ac:dyDescent="0.25">
      <c r="A8" s="21"/>
      <c r="B8" s="881"/>
      <c r="C8" s="882"/>
      <c r="D8" s="882"/>
      <c r="E8" s="882"/>
      <c r="F8" s="883"/>
      <c r="G8" s="280"/>
      <c r="H8" s="231"/>
      <c r="I8" s="231"/>
      <c r="J8" s="231"/>
      <c r="K8" s="231"/>
      <c r="L8" s="231"/>
      <c r="M8" s="231"/>
      <c r="N8" s="231"/>
      <c r="O8" s="231"/>
      <c r="P8" s="231"/>
      <c r="Q8" s="229"/>
      <c r="R8" s="229"/>
      <c r="S8" s="229"/>
      <c r="T8" s="229"/>
      <c r="U8" s="229"/>
      <c r="V8" s="281"/>
      <c r="W8" s="21"/>
    </row>
    <row r="9" spans="1:23" s="233" customFormat="1" ht="15" customHeight="1" x14ac:dyDescent="0.25">
      <c r="A9" s="21"/>
      <c r="B9" s="881"/>
      <c r="C9" s="882"/>
      <c r="D9" s="882"/>
      <c r="E9" s="882"/>
      <c r="F9" s="883"/>
      <c r="G9" s="280"/>
      <c r="H9" s="231"/>
      <c r="I9" s="231"/>
      <c r="J9" s="231"/>
      <c r="K9" s="231"/>
      <c r="L9" s="231"/>
      <c r="M9" s="231"/>
      <c r="N9" s="231"/>
      <c r="O9" s="231"/>
      <c r="P9" s="231"/>
      <c r="Q9" s="229"/>
      <c r="R9" s="229"/>
      <c r="S9" s="229"/>
      <c r="T9" s="229"/>
      <c r="U9" s="229"/>
      <c r="V9" s="281"/>
      <c r="W9" s="21"/>
    </row>
    <row r="10" spans="1:23" s="233" customFormat="1" ht="15" customHeight="1" x14ac:dyDescent="0.25">
      <c r="A10" s="21"/>
      <c r="B10" s="881"/>
      <c r="C10" s="882"/>
      <c r="D10" s="882"/>
      <c r="E10" s="882"/>
      <c r="F10" s="883"/>
      <c r="G10" s="280"/>
      <c r="H10" s="231"/>
      <c r="I10" s="231"/>
      <c r="J10" s="231"/>
      <c r="K10" s="231"/>
      <c r="L10" s="231"/>
      <c r="M10" s="231"/>
      <c r="N10" s="231"/>
      <c r="O10" s="231"/>
      <c r="P10" s="231"/>
      <c r="Q10" s="229"/>
      <c r="R10" s="229"/>
      <c r="S10" s="229"/>
      <c r="T10" s="229"/>
      <c r="U10" s="229"/>
      <c r="V10" s="281"/>
      <c r="W10" s="21"/>
    </row>
    <row r="11" spans="1:23" s="233" customFormat="1" ht="15" customHeight="1" x14ac:dyDescent="0.25">
      <c r="A11" s="21"/>
      <c r="B11" s="881"/>
      <c r="C11" s="882"/>
      <c r="D11" s="882"/>
      <c r="E11" s="882"/>
      <c r="F11" s="883"/>
      <c r="G11" s="280"/>
      <c r="H11" s="231"/>
      <c r="I11" s="231"/>
      <c r="J11" s="231"/>
      <c r="K11" s="231"/>
      <c r="L11" s="231"/>
      <c r="M11" s="231"/>
      <c r="N11" s="231"/>
      <c r="O11" s="231"/>
      <c r="P11" s="231"/>
      <c r="Q11" s="229"/>
      <c r="R11" s="229"/>
      <c r="S11" s="229"/>
      <c r="T11" s="229"/>
      <c r="U11" s="229"/>
      <c r="V11" s="281"/>
      <c r="W11" s="21"/>
    </row>
    <row r="12" spans="1:23" s="233" customFormat="1" ht="15" customHeight="1" x14ac:dyDescent="0.25">
      <c r="A12" s="21"/>
      <c r="B12" s="881"/>
      <c r="C12" s="882"/>
      <c r="D12" s="882"/>
      <c r="E12" s="882"/>
      <c r="F12" s="883"/>
      <c r="G12" s="280"/>
      <c r="H12" s="231"/>
      <c r="I12" s="231"/>
      <c r="J12" s="231"/>
      <c r="K12" s="231"/>
      <c r="L12" s="231"/>
      <c r="M12" s="231"/>
      <c r="N12" s="231"/>
      <c r="O12" s="231"/>
      <c r="P12" s="231"/>
      <c r="Q12" s="229"/>
      <c r="R12" s="229"/>
      <c r="S12" s="229"/>
      <c r="T12" s="229"/>
      <c r="U12" s="229"/>
      <c r="V12" s="281"/>
      <c r="W12" s="21"/>
    </row>
    <row r="13" spans="1:23" s="233" customFormat="1" ht="15" customHeight="1" thickBot="1" x14ac:dyDescent="0.3">
      <c r="A13" s="21"/>
      <c r="B13" s="884"/>
      <c r="C13" s="885"/>
      <c r="D13" s="885"/>
      <c r="E13" s="885"/>
      <c r="F13" s="886"/>
      <c r="G13" s="282"/>
      <c r="H13" s="283"/>
      <c r="I13" s="283"/>
      <c r="J13" s="283"/>
      <c r="K13" s="283"/>
      <c r="L13" s="283"/>
      <c r="M13" s="283"/>
      <c r="N13" s="283"/>
      <c r="O13" s="283"/>
      <c r="P13" s="283"/>
      <c r="Q13" s="284"/>
      <c r="R13" s="284"/>
      <c r="S13" s="284"/>
      <c r="T13" s="284"/>
      <c r="U13" s="284"/>
      <c r="V13" s="285"/>
      <c r="W13" s="21"/>
    </row>
    <row r="14" spans="1:23" s="233" customFormat="1" x14ac:dyDescent="0.25">
      <c r="A14" s="21"/>
      <c r="B14" s="22"/>
      <c r="C14" s="22"/>
      <c r="D14" s="22"/>
      <c r="E14" s="22"/>
      <c r="F14" s="22"/>
      <c r="G14" s="22"/>
      <c r="H14" s="22"/>
      <c r="I14" s="231"/>
      <c r="J14" s="231"/>
      <c r="K14" s="22"/>
      <c r="L14" s="22"/>
      <c r="M14" s="22"/>
      <c r="N14" s="22"/>
      <c r="O14" s="22"/>
      <c r="P14" s="22"/>
      <c r="Q14" s="21"/>
      <c r="R14" s="21"/>
      <c r="S14" s="21"/>
      <c r="T14" s="21"/>
      <c r="U14" s="21"/>
      <c r="V14" s="21"/>
      <c r="W14" s="21"/>
    </row>
    <row r="15" spans="1:23" x14ac:dyDescent="0.25"/>
    <row r="16" spans="1:23" s="233" customFormat="1" ht="18.75" x14ac:dyDescent="0.25">
      <c r="A16" s="21"/>
      <c r="B16" s="252" t="s">
        <v>972</v>
      </c>
      <c r="C16" s="199"/>
      <c r="D16" s="199"/>
      <c r="E16" s="199"/>
      <c r="F16" s="199"/>
      <c r="G16" s="199"/>
      <c r="H16" s="199"/>
      <c r="I16" s="200"/>
      <c r="J16" s="200"/>
      <c r="K16" s="199"/>
      <c r="L16" s="199"/>
      <c r="M16" s="199"/>
      <c r="N16" s="199"/>
      <c r="O16" s="199"/>
      <c r="P16" s="199"/>
      <c r="Q16" s="199"/>
      <c r="R16" s="199"/>
      <c r="S16" s="199"/>
      <c r="T16" s="199"/>
      <c r="U16" s="199"/>
      <c r="V16" s="199"/>
      <c r="W16" s="21"/>
    </row>
    <row r="17" spans="2:22" x14ac:dyDescent="0.25">
      <c r="B17" s="192"/>
      <c r="C17" s="232"/>
      <c r="D17" s="232"/>
      <c r="E17" s="232"/>
      <c r="F17" s="232"/>
      <c r="G17" s="232"/>
      <c r="H17" s="232"/>
      <c r="I17" s="232"/>
      <c r="J17" s="232"/>
      <c r="K17" s="232"/>
      <c r="L17" s="232"/>
      <c r="M17" s="232"/>
      <c r="N17" s="232"/>
      <c r="O17" s="232"/>
      <c r="P17" s="232"/>
      <c r="Q17" s="232"/>
      <c r="R17" s="232"/>
      <c r="S17" s="232"/>
      <c r="T17" s="232"/>
      <c r="U17" s="232"/>
      <c r="V17" s="232"/>
    </row>
    <row r="18" spans="2:22" ht="18.75" x14ac:dyDescent="0.3">
      <c r="B18" s="239" t="s">
        <v>75</v>
      </c>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3">
      <c r="B19" s="192"/>
      <c r="C19" s="232"/>
      <c r="D19" s="225"/>
      <c r="E19" s="232"/>
      <c r="F19" s="232"/>
      <c r="G19" s="232"/>
      <c r="H19" s="232"/>
      <c r="I19" s="232"/>
      <c r="J19" s="232"/>
      <c r="K19" s="232"/>
      <c r="L19" s="232"/>
      <c r="M19" s="232"/>
      <c r="N19" s="232"/>
      <c r="O19" s="232"/>
      <c r="P19" s="232"/>
      <c r="Q19" s="232"/>
      <c r="R19" s="232"/>
      <c r="S19" s="232"/>
      <c r="T19" s="232"/>
      <c r="U19" s="232"/>
      <c r="V19" s="232"/>
    </row>
    <row r="20" spans="2:22" ht="18.75" x14ac:dyDescent="0.3">
      <c r="B20" s="192"/>
      <c r="C20" s="232"/>
      <c r="D20" s="225"/>
      <c r="E20" s="1124" t="s">
        <v>914</v>
      </c>
      <c r="F20" s="1125"/>
      <c r="G20" s="1219" t="str">
        <f>IF(AND(Assumptions!H58="Macro",Assumptions!$C$53="Yes"),"Macro",Assumptions!H58)</f>
        <v>Expert</v>
      </c>
      <c r="H20" s="1220"/>
      <c r="I20" s="232"/>
      <c r="J20" s="232"/>
      <c r="K20" s="232"/>
      <c r="L20" s="232"/>
      <c r="M20" s="232"/>
      <c r="N20" s="232"/>
      <c r="O20" s="232"/>
      <c r="P20" s="232"/>
      <c r="Q20" s="232"/>
      <c r="R20" s="232"/>
      <c r="S20" s="232"/>
      <c r="T20" s="232"/>
      <c r="U20" s="232"/>
      <c r="V20" s="232"/>
    </row>
    <row r="21" spans="2:22" x14ac:dyDescent="0.25">
      <c r="B21" s="192"/>
      <c r="C21" s="232"/>
      <c r="D21" s="232"/>
      <c r="E21" s="232"/>
      <c r="F21" s="232"/>
      <c r="G21" s="232"/>
      <c r="H21" s="232"/>
      <c r="I21" s="232"/>
      <c r="J21" s="232"/>
      <c r="K21" s="232"/>
      <c r="L21" s="232"/>
      <c r="M21" s="232"/>
      <c r="N21" s="232"/>
      <c r="O21" s="232"/>
      <c r="P21" s="232"/>
      <c r="Q21" s="232"/>
      <c r="R21" s="232"/>
      <c r="S21" s="232"/>
      <c r="T21" s="232"/>
      <c r="U21" s="232"/>
      <c r="V21" s="232"/>
    </row>
    <row r="22" spans="2:22" ht="30" customHeight="1" x14ac:dyDescent="0.25">
      <c r="B22" s="192"/>
      <c r="C22" s="232"/>
      <c r="D22" s="232"/>
      <c r="E22" s="1209" t="s">
        <v>959</v>
      </c>
      <c r="F22" s="1210"/>
      <c r="G22" s="1210"/>
      <c r="H22" s="1210"/>
      <c r="I22" s="1211"/>
      <c r="J22" s="1124" t="s">
        <v>944</v>
      </c>
      <c r="K22" s="1125"/>
      <c r="L22" s="1124" t="s">
        <v>763</v>
      </c>
      <c r="M22" s="1125"/>
      <c r="N22" s="1124" t="s">
        <v>764</v>
      </c>
      <c r="O22" s="1125"/>
      <c r="P22" s="1124" t="s">
        <v>765</v>
      </c>
      <c r="Q22" s="1125"/>
      <c r="R22" s="1124" t="s">
        <v>766</v>
      </c>
      <c r="S22" s="1125"/>
      <c r="T22" s="1124" t="s">
        <v>767</v>
      </c>
      <c r="U22" s="1125"/>
      <c r="V22" s="232"/>
    </row>
    <row r="23" spans="2:22" ht="15" customHeight="1" x14ac:dyDescent="0.25">
      <c r="B23" s="192"/>
      <c r="C23" s="232"/>
      <c r="D23" s="232"/>
      <c r="E23" s="11" t="s">
        <v>961</v>
      </c>
      <c r="F23" s="2"/>
      <c r="G23" s="2"/>
      <c r="H23" s="2"/>
      <c r="I23" s="3"/>
      <c r="J23" s="264"/>
      <c r="K23" s="264"/>
      <c r="L23" s="849">
        <f>L26</f>
        <v>2816.7113636363638</v>
      </c>
      <c r="M23" s="850"/>
      <c r="N23" s="232"/>
      <c r="O23" s="232"/>
      <c r="P23" s="232"/>
      <c r="Q23" s="232"/>
      <c r="R23" s="232"/>
      <c r="S23" s="232"/>
      <c r="T23" s="232"/>
      <c r="U23" s="232"/>
      <c r="V23" s="232"/>
    </row>
    <row r="24" spans="2:22" ht="15" customHeight="1" x14ac:dyDescent="0.25">
      <c r="B24" s="192"/>
      <c r="C24" s="232"/>
      <c r="D24" s="232"/>
      <c r="E24" s="13" t="s">
        <v>962</v>
      </c>
      <c r="F24" s="6"/>
      <c r="G24" s="6"/>
      <c r="H24" s="6"/>
      <c r="I24" s="7"/>
      <c r="J24" s="264"/>
      <c r="K24" s="264"/>
      <c r="L24" s="847">
        <f>L23/'Summary of Input Data'!$I$17</f>
        <v>1.4777194992685045</v>
      </c>
      <c r="M24" s="848"/>
      <c r="N24" s="232"/>
      <c r="O24" s="232"/>
      <c r="P24" s="232"/>
      <c r="Q24" s="232"/>
      <c r="R24" s="232"/>
      <c r="S24" s="232"/>
      <c r="T24" s="232"/>
      <c r="U24" s="232"/>
      <c r="V24" s="486"/>
    </row>
    <row r="25" spans="2:22" ht="15" customHeight="1" x14ac:dyDescent="0.25">
      <c r="B25" s="192"/>
      <c r="C25" s="232"/>
      <c r="D25" s="232"/>
      <c r="E25" s="232"/>
      <c r="F25" s="232"/>
      <c r="G25" s="232"/>
      <c r="H25" s="232"/>
      <c r="I25" s="232"/>
      <c r="J25" s="232"/>
      <c r="K25" s="232"/>
      <c r="L25" s="232"/>
      <c r="M25" s="232"/>
      <c r="N25" s="232"/>
      <c r="O25" s="232"/>
      <c r="P25" s="232"/>
      <c r="Q25" s="232"/>
      <c r="R25" s="232"/>
      <c r="S25" s="488"/>
      <c r="T25" s="486"/>
      <c r="U25" s="489"/>
      <c r="V25" s="232"/>
    </row>
    <row r="26" spans="2:22" x14ac:dyDescent="0.25">
      <c r="B26" s="192"/>
      <c r="C26" s="232"/>
      <c r="D26" s="232"/>
      <c r="E26" s="313" t="s">
        <v>960</v>
      </c>
      <c r="F26" s="15"/>
      <c r="G26" s="15"/>
      <c r="H26" s="15"/>
      <c r="I26" s="16"/>
      <c r="J26" s="264"/>
      <c r="K26" s="264"/>
      <c r="L26" s="849">
        <f>IF(AND(ISNUMBER('Summary of Input Data'!$I$16),SUM(L27:M46)=0),'Summary of Input Data'!$I$16,IF(ISNUMBER(IF(Assumptions!$H$26="Broad sectors (Basel II)",SUM(L27:M36),SUM(L27:M46)))=FALSE,"N/A",IF(Assumptions!$H$26="Broad sectors (Basel II)",SUM(L27:M36),SUM(L27:M46))))</f>
        <v>2816.7113636363638</v>
      </c>
      <c r="M26" s="850"/>
      <c r="N26" s="849">
        <f>IF(AND(ISNUMBER('Summary of Input Data'!$I$16),SUM(N27:O46)=0),'Summary of Input Data'!$I$16,IF(ISNUMBER(IF(Assumptions!$H$26="Broad sectors (Basel II)",SUM(N27:O36),SUM(N27:O46)))=FALSE,"N/A",IF(Assumptions!$H$26="Broad sectors (Basel II)",SUM(N27:O36),SUM(N27:O46))))</f>
        <v>2705.8011681457983</v>
      </c>
      <c r="O26" s="850"/>
      <c r="P26" s="849">
        <f>IF(AND(ISNUMBER('Summary of Input Data'!$I$16),SUM(P27:Q46)=0),'Summary of Input Data'!$I$16,IF(ISNUMBER(IF(Assumptions!$H$26="Broad sectors (Basel II)",SUM(P27:Q36),SUM(P27:Q46)))=FALSE,"N/A",IF(Assumptions!$H$26="Broad sectors (Basel II)",SUM(P27:Q36),SUM(P27:Q46))))</f>
        <v>2583.6375836793704</v>
      </c>
      <c r="Q26" s="850"/>
      <c r="R26" s="849">
        <f>IF(AND(ISNUMBER('Summary of Input Data'!$I$16),SUM(R27:S46)=0),'Summary of Input Data'!$I$16,IF(ISNUMBER(IF(Assumptions!$H$26="Broad sectors (Basel II)",SUM(R27:S36),SUM(R27:S46)))=FALSE,"N/A",IF(Assumptions!$H$26="Broad sectors (Basel II)",SUM(R27:S36),SUM(R27:S46))))</f>
        <v>2449.9618664050572</v>
      </c>
      <c r="S26" s="850"/>
      <c r="T26" s="849">
        <f>IF(AND(ISNUMBER('Summary of Input Data'!$I$16),SUM(T27:U46)=0),'Summary of Input Data'!$I$16,IF(ISNUMBER(IF(Assumptions!$H$26="Broad sectors (Basel II)",SUM(T27:U36),SUM(T27:U46)))=FALSE,"N/A",IF(Assumptions!$H$26="Broad sectors (Basel II)",SUM(T27:U36),SUM(T27:U46))))</f>
        <v>2304.7978230551362</v>
      </c>
      <c r="U26" s="850"/>
      <c r="V26" s="232"/>
    </row>
    <row r="27" spans="2:22" x14ac:dyDescent="0.25">
      <c r="B27" s="192"/>
      <c r="C27" s="232"/>
      <c r="D27" s="232"/>
      <c r="E27" s="299" t="str">
        <f>IF(ISTEXT(IF(Assumptions!$H$26="Fine-granular sectors",Setup!G13,IF(Assumptions!$H$26="Broad sectors (Basel II)",Setup!C13,IF(Assumptions!$H$26="Geographical sectors",Setup!K13,"Please check")))),IF(Assumptions!$H$26="Fine-granular sectors",Setup!G13,IF(Assumptions!$H$26="Broad sectors (Basel II)",Setup!C13,IF(Assumptions!$H$26="Geographical sectors",Setup!K13,"Please check"))),"")</f>
        <v>Sovereign</v>
      </c>
      <c r="F27" s="300"/>
      <c r="G27" s="300"/>
      <c r="H27" s="300"/>
      <c r="I27" s="301"/>
      <c r="J27" s="487"/>
      <c r="K27" s="264"/>
      <c r="L27" s="849">
        <f>IF(ISNUMBER(IF(Assumptions!$H$26="Fine-granular sectors",Input!G148,IF(Assumptions!$H$26="Broad sectors (Basel II)",Input!G160,IF(Assumptions!$H$26="Geographical sectors",Input!G175))))=FALSE,"N/A",IF(Assumptions!$H$26="Fine-granular sectors",Input!G148,IF(Assumptions!$H$26="Broad sectors (Basel II)",Input!G160,IF(Assumptions!$H$26="Geographical sectors",Input!G175))))</f>
        <v>273.27272727272731</v>
      </c>
      <c r="M27" s="850"/>
      <c r="N27" s="849">
        <f>IF($E27="","",IF(ISNUMBER(L27*((1+Assumptions!Y$90)*(1-L54)))=FALSE,"N/A",L27*((1+Assumptions!Y$90)*(1-L54))))</f>
        <v>270.13009090909094</v>
      </c>
      <c r="O27" s="850"/>
      <c r="P27" s="849">
        <f>IF($E27="","",IF(ISNUMBER(N27*((1+Assumptions!AA$90)*(1-N54)))=FALSE,"N/A",N27*((1+Assumptions!AA$90)*(1-N54))))</f>
        <v>266.5576204568182</v>
      </c>
      <c r="Q27" s="850"/>
      <c r="R27" s="849">
        <f>IF($E27="","",IF(ISNUMBER(P27*((1+Assumptions!AC$90)*(1-P54)))=FALSE,"N/A",P27*((1+Assumptions!AC$90)*(1-P54))))</f>
        <v>262.50361224669558</v>
      </c>
      <c r="S27" s="850"/>
      <c r="T27" s="849">
        <f>IF($E27="","",IF(ISNUMBER(R27*((1+Assumptions!AE$90)*(1-R54)))=FALSE,"N/A",R27*((1+Assumptions!AE$90)*(1-R54))))</f>
        <v>257.91240766202515</v>
      </c>
      <c r="U27" s="850"/>
      <c r="V27" s="232"/>
    </row>
    <row r="28" spans="2:22" x14ac:dyDescent="0.25">
      <c r="B28" s="192"/>
      <c r="C28" s="232"/>
      <c r="D28" s="232"/>
      <c r="E28" s="302" t="str">
        <f>IF(ISTEXT(IF(Assumptions!$H$26="Fine-granular sectors",Setup!G14,IF(Assumptions!$H$26="Broad sectors (Basel II)",Setup!C14,IF(Assumptions!$H$26="Geographical sectors",Setup!K14,"Please check")))),IF(Assumptions!$H$26="Fine-granular sectors",Setup!G14,IF(Assumptions!$H$26="Broad sectors (Basel II)",Setup!C14,IF(Assumptions!$H$26="Geographical sectors",Setup!K14,"Please check"))),"")</f>
        <v>Non-sovereign public sector entities</v>
      </c>
      <c r="F28" s="303"/>
      <c r="G28" s="303"/>
      <c r="H28" s="303"/>
      <c r="I28" s="304"/>
      <c r="J28" s="487"/>
      <c r="K28" s="264"/>
      <c r="L28" s="849">
        <f>IF(ISNUMBER(IF(Assumptions!$H$26="Fine-granular sectors",Input!G149,IF(Assumptions!$H$26="Broad sectors (Basel II)",Input!G161,IF(Assumptions!$H$26="Geographical sectors",Input!G176))))=FALSE,"N/A",IF(Assumptions!$H$26="Fine-granular sectors",Input!G149,IF(Assumptions!$H$26="Broad sectors (Basel II)",Input!G161,IF(Assumptions!$H$26="Geographical sectors",Input!G176))))</f>
        <v>0</v>
      </c>
      <c r="M28" s="850"/>
      <c r="N28" s="849">
        <f>IF($E28="","",IF(ISNUMBER(L28*((1+Assumptions!Y$90)*(1-L55)))=FALSE,"N/A",L28*((1+Assumptions!Y$90)*(1-L55))))</f>
        <v>0</v>
      </c>
      <c r="O28" s="850"/>
      <c r="P28" s="849">
        <f>IF($E28="","",IF(ISNUMBER(N28*((1+Assumptions!AA$90)*(1-N55)))=FALSE,"N/A",N28*((1+Assumptions!AA$90)*(1-N55))))</f>
        <v>0</v>
      </c>
      <c r="Q28" s="850"/>
      <c r="R28" s="849">
        <f>IF($E28="","",IF(ISNUMBER(P28*((1+Assumptions!AC$90)*(1-P55)))=FALSE,"N/A",P28*((1+Assumptions!AC$90)*(1-P55))))</f>
        <v>0</v>
      </c>
      <c r="S28" s="850"/>
      <c r="T28" s="849">
        <f>IF($E28="","",IF(ISNUMBER(R28*((1+Assumptions!AE$90)*(1-R55)))=FALSE,"N/A",R28*((1+Assumptions!AE$90)*(1-R55))))</f>
        <v>0</v>
      </c>
      <c r="U28" s="850"/>
      <c r="V28" s="232"/>
    </row>
    <row r="29" spans="2:22" x14ac:dyDescent="0.25">
      <c r="B29" s="192"/>
      <c r="C29" s="232"/>
      <c r="D29" s="232"/>
      <c r="E29" s="302" t="str">
        <f>IF(ISTEXT(IF(Assumptions!$H$26="Fine-granular sectors",Setup!G15,IF(Assumptions!$H$26="Broad sectors (Basel II)",Setup!C15,IF(Assumptions!$H$26="Geographical sectors",Setup!K15,"Please check")))),IF(Assumptions!$H$26="Fine-granular sectors",Setup!G15,IF(Assumptions!$H$26="Broad sectors (Basel II)",Setup!C15,IF(Assumptions!$H$26="Geographical sectors",Setup!K15,"Please check"))),"")</f>
        <v>Banks/Institutions</v>
      </c>
      <c r="F29" s="303"/>
      <c r="G29" s="303"/>
      <c r="H29" s="303"/>
      <c r="I29" s="304"/>
      <c r="J29" s="487"/>
      <c r="K29" s="264"/>
      <c r="L29" s="849">
        <f>IF(ISNUMBER(IF(Assumptions!$H$26="Fine-granular sectors",Input!G150,IF(Assumptions!$H$26="Broad sectors (Basel II)",Input!G162,IF(Assumptions!$H$26="Geographical sectors",Input!G177))))=FALSE,"N/A",IF(Assumptions!$H$26="Fine-granular sectors",Input!G150,IF(Assumptions!$H$26="Broad sectors (Basel II)",Input!G162,IF(Assumptions!$H$26="Geographical sectors",Input!G177))))</f>
        <v>92.836363636363643</v>
      </c>
      <c r="M29" s="850"/>
      <c r="N29" s="849">
        <f>IF($E29="","",IF(ISNUMBER(L29*((1+Assumptions!Y$90)*(1-L56)))=FALSE,"N/A",L29*((1+Assumptions!Y$90)*(1-L56))))</f>
        <v>91.55522181818182</v>
      </c>
      <c r="O29" s="850"/>
      <c r="P29" s="849">
        <f>IF($E29="","",IF(ISNUMBER(N29*((1+Assumptions!AA$90)*(1-N56)))=FALSE,"N/A",N29*((1+Assumptions!AA$90)*(1-N56))))</f>
        <v>90.102240447927272</v>
      </c>
      <c r="Q29" s="850"/>
      <c r="R29" s="849">
        <f>IF($E29="","",IF(ISNUMBER(P29*((1+Assumptions!AC$90)*(1-P56)))=FALSE,"N/A",P29*((1+Assumptions!AC$90)*(1-P56))))</f>
        <v>88.457829508632386</v>
      </c>
      <c r="S29" s="850"/>
      <c r="T29" s="849">
        <f>IF($E29="","",IF(ISNUMBER(R29*((1+Assumptions!AE$90)*(1-R56)))=FALSE,"N/A",R29*((1+Assumptions!AE$90)*(1-R56))))</f>
        <v>86.601269948568003</v>
      </c>
      <c r="U29" s="850"/>
      <c r="V29" s="232"/>
    </row>
    <row r="30" spans="2:22" x14ac:dyDescent="0.25">
      <c r="B30" s="192"/>
      <c r="C30" s="232"/>
      <c r="D30" s="232"/>
      <c r="E30" s="302" t="str">
        <f>IF(ISTEXT(IF(Assumptions!$H$26="Fine-granular sectors",Setup!G16,IF(Assumptions!$H$26="Broad sectors (Basel II)",Setup!C16,IF(Assumptions!$H$26="Geographical sectors",Setup!K16,"Please check")))),IF(Assumptions!$H$26="Fine-granular sectors",Setup!G16,IF(Assumptions!$H$26="Broad sectors (Basel II)",Setup!C16,IF(Assumptions!$H$26="Geographical sectors",Setup!K16,"Please check"))),"")</f>
        <v>Corporates</v>
      </c>
      <c r="F30" s="303"/>
      <c r="G30" s="303"/>
      <c r="H30" s="303"/>
      <c r="I30" s="304"/>
      <c r="J30" s="487"/>
      <c r="K30" s="264"/>
      <c r="L30" s="849">
        <f>IF(ISNUMBER(IF(Assumptions!$H$26="Fine-granular sectors",Input!G151,IF(Assumptions!$H$26="Broad sectors (Basel II)",Input!G163,IF(Assumptions!$H$26="Geographical sectors",Input!G178))))=FALSE,"N/A",IF(Assumptions!$H$26="Fine-granular sectors",Input!G151,IF(Assumptions!$H$26="Broad sectors (Basel II)",Input!G163,IF(Assumptions!$H$26="Geographical sectors",Input!G178))))</f>
        <v>706.40909090909076</v>
      </c>
      <c r="M30" s="850"/>
      <c r="N30" s="849">
        <f>IF($E30="","",IF(ISNUMBER(L30*((1+Assumptions!Y$90)*(1-L57)))=FALSE,"N/A",L30*((1+Assumptions!Y$90)*(1-L57))))</f>
        <v>675.71338231435311</v>
      </c>
      <c r="O30" s="850"/>
      <c r="P30" s="849">
        <f>IF($E30="","",IF(ISNUMBER(N30*((1+Assumptions!AA$90)*(1-N57)))=FALSE,"N/A",N30*((1+Assumptions!AA$90)*(1-N57))))</f>
        <v>641.94721686487912</v>
      </c>
      <c r="Q30" s="850"/>
      <c r="R30" s="849">
        <f>IF($E30="","",IF(ISNUMBER(P30*((1+Assumptions!AC$90)*(1-P57)))=FALSE,"N/A",P30*((1+Assumptions!AC$90)*(1-P57))))</f>
        <v>605.0565602979126</v>
      </c>
      <c r="S30" s="850"/>
      <c r="T30" s="849">
        <f>IF($E30="","",IF(ISNUMBER(R30*((1+Assumptions!AE$90)*(1-R57)))=FALSE,"N/A",R30*((1+Assumptions!AE$90)*(1-R57))))</f>
        <v>565.07029170665169</v>
      </c>
      <c r="U30" s="850"/>
      <c r="V30" s="232"/>
    </row>
    <row r="31" spans="2:22" x14ac:dyDescent="0.25">
      <c r="B31" s="192"/>
      <c r="C31" s="232"/>
      <c r="D31" s="232"/>
      <c r="E31" s="302" t="str">
        <f>IF(ISTEXT(IF(Assumptions!$H$26="Fine-granular sectors",Setup!G17,IF(Assumptions!$H$26="Broad sectors (Basel II)",Setup!C17,IF(Assumptions!$H$26="Geographical sectors",Setup!K17,"Please check")))),IF(Assumptions!$H$26="Fine-granular sectors",Setup!G17,IF(Assumptions!$H$26="Broad sectors (Basel II)",Setup!C17,IF(Assumptions!$H$26="Geographical sectors",Setup!K17,"Please check"))),"")</f>
        <v>SME</v>
      </c>
      <c r="F31" s="303"/>
      <c r="G31" s="303"/>
      <c r="H31" s="303"/>
      <c r="I31" s="304"/>
      <c r="J31" s="487"/>
      <c r="K31" s="264"/>
      <c r="L31" s="849">
        <f>IF(ISNUMBER(IF(Assumptions!$H$26="Fine-granular sectors",Input!G152,IF(Assumptions!$H$26="Broad sectors (Basel II)",Input!G164,IF(Assumptions!$H$26="Geographical sectors",Input!G179))))=FALSE,"N/A",IF(Assumptions!$H$26="Fine-granular sectors",Input!G152,IF(Assumptions!$H$26="Broad sectors (Basel II)",Input!G164,IF(Assumptions!$H$26="Geographical sectors",Input!G179))))</f>
        <v>500.15454545454543</v>
      </c>
      <c r="M31" s="850"/>
      <c r="N31" s="849">
        <f>IF($E31="","",IF(ISNUMBER(L31*((1+Assumptions!Y$90)*(1-L58)))=FALSE,"N/A",L31*((1+Assumptions!Y$90)*(1-L58))))</f>
        <v>478.4212490160063</v>
      </c>
      <c r="O31" s="850"/>
      <c r="P31" s="849">
        <f>IF($E31="","",IF(ISNUMBER(N31*((1+Assumptions!AA$90)*(1-N58)))=FALSE,"N/A",N31*((1+Assumptions!AA$90)*(1-N58))))</f>
        <v>454.51399562775958</v>
      </c>
      <c r="Q31" s="850"/>
      <c r="R31" s="849">
        <f>IF($E31="","",IF(ISNUMBER(P31*((1+Assumptions!AC$90)*(1-P58)))=FALSE,"N/A",P31*((1+Assumptions!AC$90)*(1-P58))))</f>
        <v>428.3945277383728</v>
      </c>
      <c r="S31" s="850"/>
      <c r="T31" s="849">
        <f>IF($E31="","",IF(ISNUMBER(R31*((1+Assumptions!AE$90)*(1-R58)))=FALSE,"N/A",R31*((1+Assumptions!AE$90)*(1-R58))))</f>
        <v>400.08329243710006</v>
      </c>
      <c r="U31" s="850"/>
      <c r="V31" s="232"/>
    </row>
    <row r="32" spans="2:22" x14ac:dyDescent="0.25">
      <c r="B32" s="192"/>
      <c r="C32" s="232"/>
      <c r="D32" s="232"/>
      <c r="E32" s="302" t="str">
        <f>IF(ISTEXT(IF(Assumptions!$H$26="Fine-granular sectors",Setup!G18,IF(Assumptions!$H$26="Broad sectors (Basel II)",Setup!C18,IF(Assumptions!$H$26="Geographical sectors",Setup!K18,"Please check")))),IF(Assumptions!$H$26="Fine-granular sectors",Setup!G18,IF(Assumptions!$H$26="Broad sectors (Basel II)",Setup!C18,IF(Assumptions!$H$26="Geographical sectors",Setup!K18,"Please check"))),"")</f>
        <v>Retail</v>
      </c>
      <c r="F32" s="303"/>
      <c r="G32" s="303"/>
      <c r="H32" s="303"/>
      <c r="I32" s="304"/>
      <c r="J32" s="487"/>
      <c r="K32" s="264"/>
      <c r="L32" s="849">
        <f>IF(ISNUMBER(IF(Assumptions!$H$26="Fine-granular sectors",Input!G153,IF(Assumptions!$H$26="Broad sectors (Basel II)",Input!G165,IF(Assumptions!$H$26="Geographical sectors",Input!G180))))=FALSE,"N/A",IF(Assumptions!$H$26="Fine-granular sectors",Input!G153,IF(Assumptions!$H$26="Broad sectors (Basel II)",Input!G165,IF(Assumptions!$H$26="Geographical sectors",Input!G180))))</f>
        <v>317.75454545454545</v>
      </c>
      <c r="M32" s="850"/>
      <c r="N32" s="849">
        <f>IF($E32="","",IF(ISNUMBER(L32*((1+Assumptions!Y$90)*(1-L59)))=FALSE,"N/A",L32*((1+Assumptions!Y$90)*(1-L59))))</f>
        <v>303.94710574652322</v>
      </c>
      <c r="O32" s="850"/>
      <c r="P32" s="849">
        <f>IF($E32="","",IF(ISNUMBER(N32*((1+Assumptions!AA$90)*(1-N59)))=FALSE,"N/A",N32*((1+Assumptions!AA$90)*(1-N59))))</f>
        <v>288.75852353230965</v>
      </c>
      <c r="Q32" s="850"/>
      <c r="R32" s="849">
        <f>IF($E32="","",IF(ISNUMBER(P32*((1+Assumptions!AC$90)*(1-P59)))=FALSE,"N/A",P32*((1+Assumptions!AC$90)*(1-P59))))</f>
        <v>272.16449330278539</v>
      </c>
      <c r="S32" s="850"/>
      <c r="T32" s="849">
        <f>IF($E32="","",IF(ISNUMBER(R32*((1+Assumptions!AE$90)*(1-R59)))=FALSE,"N/A",R32*((1+Assumptions!AE$90)*(1-R59))))</f>
        <v>254.17800535387164</v>
      </c>
      <c r="U32" s="850"/>
      <c r="V32" s="232"/>
    </row>
    <row r="33" spans="2:22" x14ac:dyDescent="0.25">
      <c r="B33" s="192"/>
      <c r="C33" s="232"/>
      <c r="D33" s="232"/>
      <c r="E33" s="302" t="str">
        <f>IF(ISTEXT(IF(Assumptions!$H$26="Fine-granular sectors",Setup!G19,IF(Assumptions!$H$26="Broad sectors (Basel II)",Setup!C19,IF(Assumptions!$H$26="Geographical sectors",Setup!K19,"Please check")))),IF(Assumptions!$H$26="Fine-granular sectors",Setup!G19,IF(Assumptions!$H$26="Broad sectors (Basel II)",Setup!C19,IF(Assumptions!$H$26="Geographical sectors",Setup!K19,"Please check"))),"")</f>
        <v>Residential mortgages</v>
      </c>
      <c r="F33" s="303"/>
      <c r="G33" s="303"/>
      <c r="H33" s="303"/>
      <c r="I33" s="304"/>
      <c r="J33" s="487"/>
      <c r="K33" s="264"/>
      <c r="L33" s="849">
        <f>IF(ISNUMBER(IF(Assumptions!$H$26="Fine-granular sectors",Input!G154,IF(Assumptions!$H$26="Broad sectors (Basel II)",Input!G166,IF(Assumptions!$H$26="Geographical sectors",Input!G181))))=FALSE,"N/A",IF(Assumptions!$H$26="Fine-granular sectors",Input!G154,IF(Assumptions!$H$26="Broad sectors (Basel II)",Input!G166,IF(Assumptions!$H$26="Geographical sectors",Input!G181))))</f>
        <v>0</v>
      </c>
      <c r="M33" s="850"/>
      <c r="N33" s="849">
        <f>IF($E33="","",IF(ISNUMBER(L33*((1+Assumptions!Y$90)*(1-L60)))=FALSE,"N/A",L33*((1+Assumptions!Y$90)*(1-L60))))</f>
        <v>0</v>
      </c>
      <c r="O33" s="850"/>
      <c r="P33" s="849">
        <f>IF($E33="","",IF(ISNUMBER(N33*((1+Assumptions!AA$90)*(1-N60)))=FALSE,"N/A",N33*((1+Assumptions!AA$90)*(1-N60))))</f>
        <v>0</v>
      </c>
      <c r="Q33" s="850"/>
      <c r="R33" s="849">
        <f>IF($E33="","",IF(ISNUMBER(P33*((1+Assumptions!AC$90)*(1-P60)))=FALSE,"N/A",P33*((1+Assumptions!AC$90)*(1-P60))))</f>
        <v>0</v>
      </c>
      <c r="S33" s="850"/>
      <c r="T33" s="849">
        <f>IF($E33="","",IF(ISNUMBER(R33*((1+Assumptions!AE$90)*(1-R60)))=FALSE,"N/A",R33*((1+Assumptions!AE$90)*(1-R60))))</f>
        <v>0</v>
      </c>
      <c r="U33" s="850"/>
      <c r="V33" s="232"/>
    </row>
    <row r="34" spans="2:22" x14ac:dyDescent="0.25">
      <c r="B34" s="192"/>
      <c r="C34" s="232"/>
      <c r="D34" s="232"/>
      <c r="E34" s="302" t="str">
        <f>IF(ISTEXT(IF(Assumptions!$H$26="Fine-granular sectors",Setup!G20,IF(Assumptions!$H$26="Broad sectors (Basel II)",Setup!C20,IF(Assumptions!$H$26="Geographical sectors",Setup!K20,"Please check")))),IF(Assumptions!$H$26="Fine-granular sectors",Setup!G20,IF(Assumptions!$H$26="Broad sectors (Basel II)",Setup!C20,IF(Assumptions!$H$26="Geographical sectors",Setup!K20,"Please check"))),"")</f>
        <v>Securitization</v>
      </c>
      <c r="F34" s="303"/>
      <c r="G34" s="303"/>
      <c r="H34" s="303"/>
      <c r="I34" s="304"/>
      <c r="J34" s="487"/>
      <c r="K34" s="264"/>
      <c r="L34" s="849" t="str">
        <f>IF(ISNUMBER(IF(Assumptions!$H$26="Fine-granular sectors",Input!O148,IF(Assumptions!$H$26="Broad sectors (Basel II)",Input!G167,IF(Assumptions!$H$26="Geographical sectors",Input!G182))))=FALSE,"N/A",IF(Assumptions!$H$26="Fine-granular sectors",Input!O148,IF(Assumptions!$H$26="Broad sectors (Basel II)",Input!G167,IF(Assumptions!$H$26="Geographical sectors",Input!G182))))</f>
        <v>N/A</v>
      </c>
      <c r="M34" s="850"/>
      <c r="N34" s="849" t="str">
        <f>IF($E34="","",IF(ISNUMBER(L34*((1+Assumptions!Y$90)*(1-L61)))=FALSE,"N/A",L34*((1+Assumptions!Y$90)*(1-L61))))</f>
        <v>N/A</v>
      </c>
      <c r="O34" s="850"/>
      <c r="P34" s="849" t="str">
        <f>IF($E34="","",IF(ISNUMBER(N34*((1+Assumptions!AA$90)*(1-N61)))=FALSE,"N/A",N34*((1+Assumptions!AA$90)*(1-N61))))</f>
        <v>N/A</v>
      </c>
      <c r="Q34" s="850"/>
      <c r="R34" s="849" t="str">
        <f>IF($E34="","",IF(ISNUMBER(P34*((1+Assumptions!AC$90)*(1-P61)))=FALSE,"N/A",P34*((1+Assumptions!AC$90)*(1-P61))))</f>
        <v>N/A</v>
      </c>
      <c r="S34" s="850"/>
      <c r="T34" s="849" t="str">
        <f>IF($E34="","",IF(ISNUMBER(R34*((1+Assumptions!AE$90)*(1-R61)))=FALSE,"N/A",R34*((1+Assumptions!AE$90)*(1-R61))))</f>
        <v>N/A</v>
      </c>
      <c r="U34" s="850"/>
      <c r="V34" s="232"/>
    </row>
    <row r="35" spans="2:22" x14ac:dyDescent="0.25">
      <c r="B35" s="192"/>
      <c r="C35" s="232"/>
      <c r="D35" s="232"/>
      <c r="E35" s="302" t="str">
        <f>IF(ISTEXT(IF(Assumptions!$H$26="Fine-granular sectors",Setup!G21,IF(Assumptions!$H$26="Broad sectors (Basel II)",Setup!C21,IF(Assumptions!$H$26="Geographical sectors",Setup!K21,"Please check")))),IF(Assumptions!$H$26="Fine-granular sectors",Setup!G21,IF(Assumptions!$H$26="Broad sectors (Basel II)",Setup!C21,IF(Assumptions!$H$26="Geographical sectors",Setup!K21,"Please check"))),"")</f>
        <v>Derivatives</v>
      </c>
      <c r="F35" s="303"/>
      <c r="G35" s="303"/>
      <c r="H35" s="303"/>
      <c r="I35" s="304"/>
      <c r="J35" s="487"/>
      <c r="K35" s="264"/>
      <c r="L35" s="849" t="str">
        <f>IF(ISNUMBER(IF(Assumptions!$H$26="Fine-granular sectors",Input!O149,IF(Assumptions!$H$26="Broad sectors (Basel II)",Input!G168,IF(Assumptions!$H$26="Geographical sectors",Input!G183))))=FALSE,"N/A",IF(Assumptions!$H$26="Fine-granular sectors",Input!O149,IF(Assumptions!$H$26="Broad sectors (Basel II)",Input!G168,IF(Assumptions!$H$26="Geographical sectors",Input!G183))))</f>
        <v>N/A</v>
      </c>
      <c r="M35" s="850"/>
      <c r="N35" s="849" t="str">
        <f>IF($E35="","",IF(ISNUMBER(L35*((1+Assumptions!Y$90)*(1-L62)))=FALSE,"N/A",L35*((1+Assumptions!Y$90)*(1-L62))))</f>
        <v>N/A</v>
      </c>
      <c r="O35" s="850"/>
      <c r="P35" s="849" t="str">
        <f>IF($E35="","",IF(ISNUMBER(N35*((1+Assumptions!AA$90)*(1-N62)))=FALSE,"N/A",N35*((1+Assumptions!AA$90)*(1-N62))))</f>
        <v>N/A</v>
      </c>
      <c r="Q35" s="850"/>
      <c r="R35" s="849" t="str">
        <f>IF($E35="","",IF(ISNUMBER(P35*((1+Assumptions!AC$90)*(1-P62)))=FALSE,"N/A",P35*((1+Assumptions!AC$90)*(1-P62))))</f>
        <v>N/A</v>
      </c>
      <c r="S35" s="850"/>
      <c r="T35" s="849" t="str">
        <f>IF($E35="","",IF(ISNUMBER(R35*((1+Assumptions!AE$90)*(1-R62)))=FALSE,"N/A",R35*((1+Assumptions!AE$90)*(1-R62))))</f>
        <v>N/A</v>
      </c>
      <c r="U35" s="850"/>
      <c r="V35" s="232"/>
    </row>
    <row r="36" spans="2:22" x14ac:dyDescent="0.25">
      <c r="B36" s="192"/>
      <c r="C36" s="232"/>
      <c r="D36" s="232"/>
      <c r="E36" s="302" t="str">
        <f>IF(ISTEXT(IF(Assumptions!$H$26="Fine-granular sectors",Setup!G22,IF(Assumptions!$H$26="Broad sectors (Basel II)",Setup!C22,IF(Assumptions!$H$26="Geographical sectors",Setup!K22,"Please check")))),IF(Assumptions!$H$26="Fine-granular sectors",Setup!G22,IF(Assumptions!$H$26="Broad sectors (Basel II)",Setup!C22,IF(Assumptions!$H$26="Geographical sectors",Setup!K22,"Please check"))),"")</f>
        <v>Off-balance sheet credit</v>
      </c>
      <c r="F36" s="303"/>
      <c r="G36" s="303"/>
      <c r="H36" s="303"/>
      <c r="I36" s="304"/>
      <c r="J36" s="487"/>
      <c r="K36" s="264"/>
      <c r="L36" s="849">
        <f>IF(ISNUMBER(IF(Assumptions!$H$26="Fine-granular sectors",Input!O150,IF(Assumptions!$H$26="Broad sectors (Basel II)",Input!G169,IF(Assumptions!$H$26="Geographical sectors",Input!G184))))=FALSE,"N/A",IF(Assumptions!$H$26="Fine-granular sectors",Input!O150,IF(Assumptions!$H$26="Broad sectors (Basel II)",Input!G169,IF(Assumptions!$H$26="Geographical sectors",Input!G184))))</f>
        <v>926.28409090909099</v>
      </c>
      <c r="M36" s="850"/>
      <c r="N36" s="849">
        <f>IF($E36="","",IF(ISNUMBER(L36*((1+Assumptions!Y$90)*(1-L63)))=FALSE,"N/A",L36*((1+Assumptions!Y$90)*(1-L63))))</f>
        <v>886.03411834164274</v>
      </c>
      <c r="O36" s="850"/>
      <c r="P36" s="849">
        <f>IF($E36="","",IF(ISNUMBER(N36*((1+Assumptions!AA$90)*(1-N63)))=FALSE,"N/A",N36*((1+Assumptions!AA$90)*(1-N63))))</f>
        <v>841.75798674967677</v>
      </c>
      <c r="Q36" s="850"/>
      <c r="R36" s="849">
        <f>IF($E36="","",IF(ISNUMBER(P36*((1+Assumptions!AC$90)*(1-P63)))=FALSE,"N/A",P36*((1+Assumptions!AC$90)*(1-P63))))</f>
        <v>793.38484331065831</v>
      </c>
      <c r="S36" s="850"/>
      <c r="T36" s="849">
        <f>IF($E36="","",IF(ISNUMBER(R36*((1+Assumptions!AE$90)*(1-R63)))=FALSE,"N/A",R36*((1+Assumptions!AE$90)*(1-R63))))</f>
        <v>740.95255594691969</v>
      </c>
      <c r="U36" s="850"/>
      <c r="V36" s="232"/>
    </row>
    <row r="37" spans="2:22" x14ac:dyDescent="0.25">
      <c r="B37" s="192"/>
      <c r="C37" s="232"/>
      <c r="D37" s="232"/>
      <c r="E37" s="302" t="str">
        <f>IF(ISTEXT(IF(Assumptions!$H$26="Fine-granular sectors",Setup!G23,IF(Assumptions!$H$26="Broad sectors (Basel II)",Setup!C23,IF(Assumptions!$H$26="Geographical sectors",Setup!K23,"Please check")))),IF(Assumptions!$H$26="Fine-granular sectors",Setup!G23,IF(Assumptions!$H$26="Broad sectors (Basel II)",Setup!C23,IF(Assumptions!$H$26="Geographical sectors",Setup!K23,"Please check"))),"")</f>
        <v/>
      </c>
      <c r="F37" s="303"/>
      <c r="G37" s="303"/>
      <c r="H37" s="303"/>
      <c r="I37" s="304"/>
      <c r="J37" s="487"/>
      <c r="K37" s="264"/>
      <c r="L37" s="849" t="str">
        <f>IF(Assumptions!$H$26="Fine-granular sectors",Input!O151,IF(Assumptions!$H$26="Broad sectors (Basel II)","",IF(Assumptions!$H$26="Geographical sectors",Input!G185)))</f>
        <v/>
      </c>
      <c r="M37" s="850"/>
      <c r="N37" s="849" t="str">
        <f>IF($E37="","",IF(ISNUMBER(L37*((1+Assumptions!Y$90)*(1-L64)))=FALSE,"N/A",L37*((1+Assumptions!Y$90)*(1-L64))))</f>
        <v/>
      </c>
      <c r="O37" s="850"/>
      <c r="P37" s="849" t="str">
        <f>IF($E37="","",IF(ISNUMBER(N37*((1+Assumptions!AA$90)*(1-N64)))=FALSE,"N/A",N37*((1+Assumptions!AA$90)*(1-N64))))</f>
        <v/>
      </c>
      <c r="Q37" s="850"/>
      <c r="R37" s="849" t="str">
        <f>IF($E37="","",IF(ISNUMBER(P37*((1+Assumptions!AC$90)*(1-P64)))=FALSE,"N/A",P37*((1+Assumptions!AC$90)*(1-P64))))</f>
        <v/>
      </c>
      <c r="S37" s="850"/>
      <c r="T37" s="849" t="str">
        <f>IF($E37="","",IF(ISNUMBER(R37*((1+Assumptions!AE$90)*(1-R64)))=FALSE,"N/A",R37*((1+Assumptions!AE$90)*(1-R64))))</f>
        <v/>
      </c>
      <c r="U37" s="850"/>
      <c r="V37" s="232"/>
    </row>
    <row r="38" spans="2:22" x14ac:dyDescent="0.25">
      <c r="B38" s="192"/>
      <c r="C38" s="232"/>
      <c r="D38" s="232"/>
      <c r="E38" s="302" t="str">
        <f>IF(ISTEXT(IF(Assumptions!$H$26="Fine-granular sectors",Setup!G24,IF(Assumptions!$H$26="Broad sectors (Basel II)",Setup!C24,IF(Assumptions!$H$26="Geographical sectors",Setup!K24,"Please check")))),IF(Assumptions!$H$26="Fine-granular sectors",Setup!G24,IF(Assumptions!$H$26="Broad sectors (Basel II)",Setup!C24,IF(Assumptions!$H$26="Geographical sectors",Setup!K24,"Please check"))),"")</f>
        <v/>
      </c>
      <c r="F38" s="303"/>
      <c r="G38" s="303"/>
      <c r="H38" s="303"/>
      <c r="I38" s="304"/>
      <c r="J38" s="487"/>
      <c r="K38" s="264"/>
      <c r="L38" s="849" t="str">
        <f>IF(Assumptions!$H$26="Fine-granular sectors",Input!O152,IF(Assumptions!$H$26="Broad sectors (Basel II)","",IF(Assumptions!$H$26="Geographical sectors",Input!G186)))</f>
        <v/>
      </c>
      <c r="M38" s="850"/>
      <c r="N38" s="849" t="str">
        <f>IF($E38="","",IF(ISNUMBER(L38*((1+Assumptions!Y$90)*(1-L65)))=FALSE,"N/A",L38*((1+Assumptions!Y$90)*(1-L65))))</f>
        <v/>
      </c>
      <c r="O38" s="850"/>
      <c r="P38" s="849" t="str">
        <f>IF($E38="","",IF(ISNUMBER(N38*((1+Assumptions!AA$90)*(1-N65)))=FALSE,"N/A",N38*((1+Assumptions!AA$90)*(1-N65))))</f>
        <v/>
      </c>
      <c r="Q38" s="850"/>
      <c r="R38" s="849" t="str">
        <f>IF($E38="","",IF(ISNUMBER(P38*((1+Assumptions!AC$90)*(1-P65)))=FALSE,"N/A",P38*((1+Assumptions!AC$90)*(1-P65))))</f>
        <v/>
      </c>
      <c r="S38" s="850"/>
      <c r="T38" s="849" t="str">
        <f>IF($E38="","",IF(ISNUMBER(R38*((1+Assumptions!AE$90)*(1-R65)))=FALSE,"N/A",R38*((1+Assumptions!AE$90)*(1-R65))))</f>
        <v/>
      </c>
      <c r="U38" s="850"/>
      <c r="V38" s="232"/>
    </row>
    <row r="39" spans="2:22" x14ac:dyDescent="0.25">
      <c r="B39" s="192"/>
      <c r="C39" s="232"/>
      <c r="D39" s="232"/>
      <c r="E39" s="302" t="str">
        <f>IF(ISTEXT(IF(Assumptions!$H$26="Fine-granular sectors",Setup!G25,IF(Assumptions!$H$26="Broad sectors (Basel II)",Setup!C25,IF(Assumptions!$H$26="Geographical sectors",Setup!K25,"Please check")))),IF(Assumptions!$H$26="Fine-granular sectors",Setup!G25,IF(Assumptions!$H$26="Broad sectors (Basel II)",Setup!C25,IF(Assumptions!$H$26="Geographical sectors",Setup!K25,"Please check"))),"")</f>
        <v/>
      </c>
      <c r="F39" s="303"/>
      <c r="G39" s="303"/>
      <c r="H39" s="303"/>
      <c r="I39" s="304"/>
      <c r="J39" s="487"/>
      <c r="K39" s="264"/>
      <c r="L39" s="849" t="str">
        <f>IF(Assumptions!$H$26="Fine-granular sectors",Input!O153,IF(Assumptions!$H$26="Broad sectors (Basel II)","",IF(Assumptions!$H$26="Geographical sectors",Input!G187)))</f>
        <v/>
      </c>
      <c r="M39" s="850"/>
      <c r="N39" s="849" t="str">
        <f>IF($E39="","",IF(ISNUMBER(L39*((1+Assumptions!Y$90)*(1-L66)))=FALSE,"N/A",L39*((1+Assumptions!Y$90)*(1-L66))))</f>
        <v/>
      </c>
      <c r="O39" s="850"/>
      <c r="P39" s="849" t="str">
        <f>IF($E39="","",IF(ISNUMBER(N39*((1+Assumptions!AA$90)*(1-N66)))=FALSE,"N/A",N39*((1+Assumptions!AA$90)*(1-N66))))</f>
        <v/>
      </c>
      <c r="Q39" s="850"/>
      <c r="R39" s="849" t="str">
        <f>IF($E39="","",IF(ISNUMBER(P39*((1+Assumptions!AC$90)*(1-P66)))=FALSE,"N/A",P39*((1+Assumptions!AC$90)*(1-P66))))</f>
        <v/>
      </c>
      <c r="S39" s="850"/>
      <c r="T39" s="849" t="str">
        <f>IF($E39="","",IF(ISNUMBER(R39*((1+Assumptions!AE$90)*(1-R66)))=FALSE,"N/A",R39*((1+Assumptions!AE$90)*(1-R66))))</f>
        <v/>
      </c>
      <c r="U39" s="850"/>
      <c r="V39" s="232"/>
    </row>
    <row r="40" spans="2:22" x14ac:dyDescent="0.25">
      <c r="B40" s="192"/>
      <c r="C40" s="232"/>
      <c r="D40" s="232"/>
      <c r="E40" s="302" t="str">
        <f>IF(ISTEXT(IF(Assumptions!$H$26="Fine-granular sectors",Setup!G26,IF(Assumptions!$H$26="Broad sectors (Basel II)",Setup!C26,IF(Assumptions!$H$26="Geographical sectors",Setup!K26,"Please check")))),IF(Assumptions!$H$26="Fine-granular sectors",Setup!G26,IF(Assumptions!$H$26="Broad sectors (Basel II)",Setup!C26,IF(Assumptions!$H$26="Geographical sectors",Setup!K26,"Please check"))),"")</f>
        <v/>
      </c>
      <c r="F40" s="303"/>
      <c r="G40" s="303"/>
      <c r="H40" s="303"/>
      <c r="I40" s="304"/>
      <c r="J40" s="487"/>
      <c r="K40" s="264"/>
      <c r="L40" s="849" t="str">
        <f>IF(Assumptions!$H$26="Fine-granular sectors",Input!O154,IF(Assumptions!$H$26="Broad sectors (Basel II)","",IF(Assumptions!$H$26="Geographical sectors",Input!G188)))</f>
        <v/>
      </c>
      <c r="M40" s="850"/>
      <c r="N40" s="849" t="str">
        <f>IF($E40="","",IF(ISNUMBER(L40*((1+Assumptions!Y$90)*(1-L67)))=FALSE,"N/A",L40*((1+Assumptions!Y$90)*(1-L67))))</f>
        <v/>
      </c>
      <c r="O40" s="850"/>
      <c r="P40" s="849" t="str">
        <f>IF($E40="","",IF(ISNUMBER(N40*((1+Assumptions!AA$90)*(1-N67)))=FALSE,"N/A",N40*((1+Assumptions!AA$90)*(1-N67))))</f>
        <v/>
      </c>
      <c r="Q40" s="850"/>
      <c r="R40" s="849" t="str">
        <f>IF($E40="","",IF(ISNUMBER(P40*((1+Assumptions!AC$90)*(1-P67)))=FALSE,"N/A",P40*((1+Assumptions!AC$90)*(1-P67))))</f>
        <v/>
      </c>
      <c r="S40" s="850"/>
      <c r="T40" s="849" t="str">
        <f>IF($E40="","",IF(ISNUMBER(R40*((1+Assumptions!AE$90)*(1-R67)))=FALSE,"N/A",R40*((1+Assumptions!AE$90)*(1-R67))))</f>
        <v/>
      </c>
      <c r="U40" s="850"/>
      <c r="V40" s="232"/>
    </row>
    <row r="41" spans="2:22" x14ac:dyDescent="0.25">
      <c r="B41" s="192"/>
      <c r="C41" s="232"/>
      <c r="D41" s="232"/>
      <c r="E41" s="302" t="str">
        <f>IF(ISTEXT(IF(Assumptions!$H$26="Fine-granular sectors",Setup!G27,IF(Assumptions!$H$26="Broad sectors (Basel II)",Setup!C27,IF(Assumptions!$H$26="Geographical sectors",Setup!K27,"Please check")))),IF(Assumptions!$H$26="Fine-granular sectors",Setup!G27,IF(Assumptions!$H$26="Broad sectors (Basel II)",Setup!C27,IF(Assumptions!$H$26="Geographical sectors",Setup!K27,"Please check"))),"")</f>
        <v/>
      </c>
      <c r="F41" s="303"/>
      <c r="G41" s="303"/>
      <c r="H41" s="303"/>
      <c r="I41" s="304"/>
      <c r="J41" s="487"/>
      <c r="K41" s="264"/>
      <c r="L41" s="849" t="str">
        <f>IF(Assumptions!$H$26="Fine-granular sectors",Input!Y148,IF(Assumptions!$H$26="Broad sectors (Basel II)","",IF(Assumptions!$H$26="Geographical sectors",Input!G189)))</f>
        <v/>
      </c>
      <c r="M41" s="850"/>
      <c r="N41" s="849" t="str">
        <f>IF($E41="","",IF(ISNUMBER(L41*((1+Assumptions!Y$90)*(1-L68)))=FALSE,"N/A",L41*((1+Assumptions!Y$90)*(1-L68))))</f>
        <v/>
      </c>
      <c r="O41" s="850"/>
      <c r="P41" s="849" t="str">
        <f>IF($E41="","",IF(ISNUMBER(N41*((1+Assumptions!AA$90)*(1-N68)))=FALSE,"N/A",N41*((1+Assumptions!AA$90)*(1-N68))))</f>
        <v/>
      </c>
      <c r="Q41" s="850"/>
      <c r="R41" s="849" t="str">
        <f>IF($E41="","",IF(ISNUMBER(P41*((1+Assumptions!AC$90)*(1-P68)))=FALSE,"N/A",P41*((1+Assumptions!AC$90)*(1-P68))))</f>
        <v/>
      </c>
      <c r="S41" s="850"/>
      <c r="T41" s="849" t="str">
        <f>IF($E41="","",IF(ISNUMBER(R41*((1+Assumptions!AE$90)*(1-R68)))=FALSE,"N/A",R41*((1+Assumptions!AE$90)*(1-R68))))</f>
        <v/>
      </c>
      <c r="U41" s="850"/>
      <c r="V41" s="232"/>
    </row>
    <row r="42" spans="2:22" x14ac:dyDescent="0.25">
      <c r="B42" s="192"/>
      <c r="C42" s="232"/>
      <c r="D42" s="232"/>
      <c r="E42" s="302" t="str">
        <f>IF(ISTEXT(IF(Assumptions!$H$26="Fine-granular sectors",Setup!G28,IF(Assumptions!$H$26="Broad sectors (Basel II)",Setup!C28,IF(Assumptions!$H$26="Geographical sectors",Setup!K28,"Please check")))),IF(Assumptions!$H$26="Fine-granular sectors",Setup!G28,IF(Assumptions!$H$26="Broad sectors (Basel II)",Setup!C28,IF(Assumptions!$H$26="Geographical sectors",Setup!K28,"Please check"))),"")</f>
        <v/>
      </c>
      <c r="F42" s="303"/>
      <c r="G42" s="303"/>
      <c r="H42" s="303"/>
      <c r="I42" s="304"/>
      <c r="J42" s="487"/>
      <c r="K42" s="264"/>
      <c r="L42" s="849" t="str">
        <f>IF(Assumptions!$H$26="Fine-granular sectors",Input!Y149,IF(Assumptions!$H$26="Broad sectors (Basel II)","",IF(Assumptions!$H$26="Geographical sectors",Input!G190)))</f>
        <v/>
      </c>
      <c r="M42" s="850"/>
      <c r="N42" s="849" t="str">
        <f>IF($E42="","",IF(ISNUMBER(L42*((1+Assumptions!Y$90)*(1-L69)))=FALSE,"N/A",L42*((1+Assumptions!Y$90)*(1-L69))))</f>
        <v/>
      </c>
      <c r="O42" s="850"/>
      <c r="P42" s="849" t="str">
        <f>IF($E42="","",IF(ISNUMBER(N42*((1+Assumptions!AA$90)*(1-N69)))=FALSE,"N/A",N42*((1+Assumptions!AA$90)*(1-N69))))</f>
        <v/>
      </c>
      <c r="Q42" s="850"/>
      <c r="R42" s="849" t="str">
        <f>IF($E42="","",IF(ISNUMBER(P42*((1+Assumptions!AC$90)*(1-P69)))=FALSE,"N/A",P42*((1+Assumptions!AC$90)*(1-P69))))</f>
        <v/>
      </c>
      <c r="S42" s="850"/>
      <c r="T42" s="849" t="str">
        <f>IF($E42="","",IF(ISNUMBER(R42*((1+Assumptions!AE$90)*(1-R69)))=FALSE,"N/A",R42*((1+Assumptions!AE$90)*(1-R69))))</f>
        <v/>
      </c>
      <c r="U42" s="850"/>
      <c r="V42" s="232"/>
    </row>
    <row r="43" spans="2:22" x14ac:dyDescent="0.25">
      <c r="B43" s="192"/>
      <c r="C43" s="232"/>
      <c r="D43" s="232"/>
      <c r="E43" s="302" t="str">
        <f>IF(ISTEXT(IF(Assumptions!$H$26="Fine-granular sectors",Setup!G29,IF(Assumptions!$H$26="Broad sectors (Basel II)",Setup!C29,IF(Assumptions!$H$26="Geographical sectors",Setup!K29,"Please check")))),IF(Assumptions!$H$26="Fine-granular sectors",Setup!G29,IF(Assumptions!$H$26="Broad sectors (Basel II)",Setup!C29,IF(Assumptions!$H$26="Geographical sectors",Setup!K29,"Please check"))),"")</f>
        <v/>
      </c>
      <c r="F43" s="303"/>
      <c r="G43" s="303"/>
      <c r="H43" s="303"/>
      <c r="I43" s="304"/>
      <c r="J43" s="487"/>
      <c r="K43" s="264"/>
      <c r="L43" s="849" t="str">
        <f>IF(Assumptions!$H$26="Fine-granular sectors",Input!Y150,IF(Assumptions!$H$26="Broad sectors (Basel II)","",IF(Assumptions!$H$26="Geographical sectors",Input!G191)))</f>
        <v/>
      </c>
      <c r="M43" s="850"/>
      <c r="N43" s="849" t="str">
        <f>IF($E43="","",IF(ISNUMBER(L43*((1+Assumptions!Y$90)*(1-L70)))=FALSE,"N/A",L43*((1+Assumptions!Y$90)*(1-L70))))</f>
        <v/>
      </c>
      <c r="O43" s="850"/>
      <c r="P43" s="849" t="str">
        <f>IF($E43="","",IF(ISNUMBER(N43*((1+Assumptions!AA$90)*(1-N70)))=FALSE,"N/A",N43*((1+Assumptions!AA$90)*(1-N70))))</f>
        <v/>
      </c>
      <c r="Q43" s="850"/>
      <c r="R43" s="849" t="str">
        <f>IF($E43="","",IF(ISNUMBER(P43*((1+Assumptions!AC$90)*(1-P70)))=FALSE,"N/A",P43*((1+Assumptions!AC$90)*(1-P70))))</f>
        <v/>
      </c>
      <c r="S43" s="850"/>
      <c r="T43" s="849" t="str">
        <f>IF($E43="","",IF(ISNUMBER(R43*((1+Assumptions!AE$90)*(1-R70)))=FALSE,"N/A",R43*((1+Assumptions!AE$90)*(1-R70))))</f>
        <v/>
      </c>
      <c r="U43" s="850"/>
      <c r="V43" s="232"/>
    </row>
    <row r="44" spans="2:22" x14ac:dyDescent="0.25">
      <c r="B44" s="192"/>
      <c r="C44" s="232"/>
      <c r="D44" s="232"/>
      <c r="E44" s="302" t="str">
        <f>IF(ISTEXT(IF(Assumptions!$H$26="Fine-granular sectors",Setup!G30,IF(Assumptions!$H$26="Broad sectors (Basel II)",Setup!C30,IF(Assumptions!$H$26="Geographical sectors",Setup!K30,"Please check")))),IF(Assumptions!$H$26="Fine-granular sectors",Setup!G30,IF(Assumptions!$H$26="Broad sectors (Basel II)",Setup!C30,IF(Assumptions!$H$26="Geographical sectors",Setup!K30,"Please check"))),"")</f>
        <v/>
      </c>
      <c r="F44" s="303"/>
      <c r="G44" s="303"/>
      <c r="H44" s="303"/>
      <c r="I44" s="304"/>
      <c r="J44" s="487"/>
      <c r="K44" s="264"/>
      <c r="L44" s="849" t="str">
        <f>IF(Assumptions!$H$26="Fine-granular sectors",Input!Y151,IF(Assumptions!$H$26="Broad sectors (Basel II)","",IF(Assumptions!$H$26="Geographical sectors",Input!G192)))</f>
        <v/>
      </c>
      <c r="M44" s="850"/>
      <c r="N44" s="849" t="str">
        <f>IF($E44="","",IF(ISNUMBER(L44*((1+Assumptions!Y$90)*(1-L71)))=FALSE,"N/A",L44*((1+Assumptions!Y$90)*(1-L71))))</f>
        <v/>
      </c>
      <c r="O44" s="850"/>
      <c r="P44" s="849" t="str">
        <f>IF($E44="","",IF(ISNUMBER(N44*((1+Assumptions!AA$90)*(1-N71)))=FALSE,"N/A",N44*((1+Assumptions!AA$90)*(1-N71))))</f>
        <v/>
      </c>
      <c r="Q44" s="850"/>
      <c r="R44" s="849" t="str">
        <f>IF($E44="","",IF(ISNUMBER(P44*((1+Assumptions!AC$90)*(1-P71)))=FALSE,"N/A",P44*((1+Assumptions!AC$90)*(1-P71))))</f>
        <v/>
      </c>
      <c r="S44" s="850"/>
      <c r="T44" s="849" t="str">
        <f>IF($E44="","",IF(ISNUMBER(R44*((1+Assumptions!AE$90)*(1-R71)))=FALSE,"N/A",R44*((1+Assumptions!AE$90)*(1-R71))))</f>
        <v/>
      </c>
      <c r="U44" s="850"/>
      <c r="V44" s="232"/>
    </row>
    <row r="45" spans="2:22" x14ac:dyDescent="0.25">
      <c r="B45" s="192"/>
      <c r="C45" s="232"/>
      <c r="D45" s="232"/>
      <c r="E45" s="302" t="str">
        <f>IF(ISTEXT(IF(Assumptions!$H$26="Fine-granular sectors",Setup!G31,IF(Assumptions!$H$26="Broad sectors (Basel II)",Setup!C31,IF(Assumptions!$H$26="Geographical sectors",Setup!K31,"Please check")))),IF(Assumptions!$H$26="Fine-granular sectors",Setup!G31,IF(Assumptions!$H$26="Broad sectors (Basel II)",Setup!C31,IF(Assumptions!$H$26="Geographical sectors",Setup!K31,"Please check"))),"")</f>
        <v/>
      </c>
      <c r="F45" s="303"/>
      <c r="G45" s="303"/>
      <c r="H45" s="303"/>
      <c r="I45" s="304"/>
      <c r="J45" s="487"/>
      <c r="K45" s="264"/>
      <c r="L45" s="849" t="str">
        <f>IF(Assumptions!$H$26="Fine-granular sectors",Input!Y152,IF(Assumptions!$H$26="Broad sectors (Basel II)","",IF(Assumptions!$H$26="Geographical sectors",Input!G193)))</f>
        <v/>
      </c>
      <c r="M45" s="850"/>
      <c r="N45" s="849" t="str">
        <f>IF($E45="","",IF(ISNUMBER(L45*((1+Assumptions!Y$90)*(1-L72)))=FALSE,"N/A",L45*((1+Assumptions!Y$90)*(1-L72))))</f>
        <v/>
      </c>
      <c r="O45" s="850"/>
      <c r="P45" s="849" t="str">
        <f>IF($E45="","",IF(ISNUMBER(N45*((1+Assumptions!AA$90)*(1-N72)))=FALSE,"N/A",N45*((1+Assumptions!AA$90)*(1-N72))))</f>
        <v/>
      </c>
      <c r="Q45" s="850"/>
      <c r="R45" s="849" t="str">
        <f>IF($E45="","",IF(ISNUMBER(P45*((1+Assumptions!AC$90)*(1-P72)))=FALSE,"N/A",P45*((1+Assumptions!AC$90)*(1-P72))))</f>
        <v/>
      </c>
      <c r="S45" s="850"/>
      <c r="T45" s="849" t="str">
        <f>IF($E45="","",IF(ISNUMBER(R45*((1+Assumptions!AE$90)*(1-R72)))=FALSE,"N/A",R45*((1+Assumptions!AE$90)*(1-R72))))</f>
        <v/>
      </c>
      <c r="U45" s="850"/>
      <c r="V45" s="232"/>
    </row>
    <row r="46" spans="2:22" x14ac:dyDescent="0.25">
      <c r="B46" s="192"/>
      <c r="C46" s="232"/>
      <c r="D46" s="232"/>
      <c r="E46" s="305" t="str">
        <f>IF(ISTEXT(IF(Assumptions!$H$26="Fine-granular sectors",Setup!G32,IF(Assumptions!$H$26="Broad sectors (Basel II)",Setup!C32,IF(Assumptions!$H$26="Geographical sectors",Setup!K32,"Please check")))),IF(Assumptions!$H$26="Fine-granular sectors",Setup!G32,IF(Assumptions!$H$26="Broad sectors (Basel II)",Setup!C32,IF(Assumptions!$H$26="Geographical sectors",Setup!K32,"Please check"))),"")</f>
        <v/>
      </c>
      <c r="F46" s="306"/>
      <c r="G46" s="306"/>
      <c r="H46" s="306"/>
      <c r="I46" s="307"/>
      <c r="J46" s="487"/>
      <c r="K46" s="264"/>
      <c r="L46" s="849" t="str">
        <f>IF(Assumptions!$H$26="Fine-granular sectors",Input!Y153,IF(Assumptions!$H$26="Broad sectors (Basel II)","",IF(Assumptions!$H$26="Geographical sectors",Input!G194)))</f>
        <v/>
      </c>
      <c r="M46" s="850"/>
      <c r="N46" s="849" t="str">
        <f>IF($E46="","",IF(ISNUMBER(L46*((1+Assumptions!Y$90)*(1-L73)))=FALSE,"N/A",L46*((1+Assumptions!Y$90)*(1-L73))))</f>
        <v/>
      </c>
      <c r="O46" s="850"/>
      <c r="P46" s="849" t="str">
        <f>IF($E46="","",IF(ISNUMBER(N46*((1+Assumptions!AA$90)*(1-N73)))=FALSE,"N/A",N46*((1+Assumptions!AA$90)*(1-N73))))</f>
        <v/>
      </c>
      <c r="Q46" s="850"/>
      <c r="R46" s="849" t="str">
        <f>IF($E46="","",IF(ISNUMBER(P46*((1+Assumptions!AC$90)*(1-P73)))=FALSE,"N/A",P46*((1+Assumptions!AC$90)*(1-P73))))</f>
        <v/>
      </c>
      <c r="S46" s="850"/>
      <c r="T46" s="849" t="str">
        <f>IF($E46="","",IF(ISNUMBER(R46*((1+Assumptions!AE$90)*(1-R73)))=FALSE,"N/A",R46*((1+Assumptions!AE$90)*(1-R73))))</f>
        <v/>
      </c>
      <c r="U46" s="850"/>
      <c r="V46" s="232"/>
    </row>
    <row r="47" spans="2:22" x14ac:dyDescent="0.25">
      <c r="B47" s="192"/>
      <c r="C47" s="232"/>
      <c r="D47" s="232"/>
      <c r="E47" s="232"/>
      <c r="F47" s="232"/>
      <c r="G47" s="232"/>
      <c r="H47" s="232"/>
      <c r="I47" s="232"/>
      <c r="J47" s="232"/>
      <c r="K47" s="232"/>
      <c r="L47" s="232"/>
      <c r="M47" s="232"/>
      <c r="N47" s="232"/>
      <c r="O47" s="232"/>
      <c r="P47" s="232"/>
      <c r="Q47" s="232"/>
      <c r="R47" s="232"/>
      <c r="S47" s="232"/>
      <c r="T47" s="232"/>
      <c r="U47" s="232"/>
      <c r="V47" s="232"/>
    </row>
    <row r="48" spans="2:22" x14ac:dyDescent="0.25">
      <c r="B48" s="192"/>
      <c r="C48" s="232"/>
      <c r="D48" s="232"/>
      <c r="E48" s="232"/>
      <c r="F48" s="232"/>
      <c r="G48" s="232"/>
      <c r="H48" s="232"/>
      <c r="I48" s="232"/>
      <c r="J48" s="232"/>
      <c r="K48" s="232"/>
      <c r="L48" s="232"/>
      <c r="M48" s="232"/>
      <c r="N48" s="232"/>
      <c r="O48" s="232"/>
      <c r="P48" s="232"/>
      <c r="Q48" s="232"/>
      <c r="R48" s="232"/>
      <c r="S48" s="232"/>
      <c r="T48" s="232"/>
      <c r="U48" s="232"/>
      <c r="V48" s="232"/>
    </row>
    <row r="49" spans="2:22" x14ac:dyDescent="0.25">
      <c r="B49" s="192"/>
      <c r="C49" s="232"/>
      <c r="D49" s="232"/>
      <c r="E49" s="1209" t="str">
        <f>IF(Setup!B7="PD/LGD","Probability of Default (PD)","Credit Losses")</f>
        <v>Probability of Default (PD)</v>
      </c>
      <c r="F49" s="1210"/>
      <c r="G49" s="1210"/>
      <c r="H49" s="1210"/>
      <c r="I49" s="1211"/>
      <c r="J49" s="844" t="s">
        <v>944</v>
      </c>
      <c r="K49" s="846"/>
      <c r="L49" s="844" t="s">
        <v>763</v>
      </c>
      <c r="M49" s="846"/>
      <c r="N49" s="844" t="s">
        <v>764</v>
      </c>
      <c r="O49" s="846"/>
      <c r="P49" s="844" t="s">
        <v>765</v>
      </c>
      <c r="Q49" s="846"/>
      <c r="R49" s="844" t="s">
        <v>766</v>
      </c>
      <c r="S49" s="846"/>
      <c r="T49" s="844" t="s">
        <v>767</v>
      </c>
      <c r="U49" s="846"/>
      <c r="V49" s="232"/>
    </row>
    <row r="50" spans="2:22" x14ac:dyDescent="0.25">
      <c r="B50" s="192"/>
      <c r="C50" s="232"/>
      <c r="D50" s="232"/>
      <c r="E50" s="11" t="s">
        <v>963</v>
      </c>
      <c r="F50" s="2"/>
      <c r="G50" s="2"/>
      <c r="H50" s="2"/>
      <c r="I50" s="3"/>
      <c r="J50" s="264"/>
      <c r="K50" s="264"/>
      <c r="L50" s="849" t="str">
        <f>IF($G$20="Macro","Relative",Assumptions!M78)</f>
        <v>Relative</v>
      </c>
      <c r="M50" s="850"/>
      <c r="N50" s="849" t="str">
        <f>IF($G$20="Macro","Relative",Assumptions!O78)</f>
        <v>Relative</v>
      </c>
      <c r="O50" s="850"/>
      <c r="P50" s="849" t="str">
        <f>IF($G$20="Macro","Relative",Assumptions!Q78)</f>
        <v>Relative</v>
      </c>
      <c r="Q50" s="850"/>
      <c r="R50" s="849" t="str">
        <f>IF($G$20="Macro","Relative",Assumptions!S78)</f>
        <v>Relative</v>
      </c>
      <c r="S50" s="850"/>
      <c r="T50" s="849" t="str">
        <f>IF($G$20="Macro","Relative",Assumptions!U78)</f>
        <v>Relative</v>
      </c>
      <c r="U50" s="850"/>
      <c r="V50" s="232"/>
    </row>
    <row r="51" spans="2:22" x14ac:dyDescent="0.25">
      <c r="B51" s="192"/>
      <c r="C51" s="232"/>
      <c r="D51" s="232"/>
      <c r="E51" s="13" t="s">
        <v>950</v>
      </c>
      <c r="F51" s="6"/>
      <c r="G51" s="6"/>
      <c r="H51" s="6"/>
      <c r="I51" s="7"/>
      <c r="J51" s="264"/>
      <c r="K51" s="264"/>
      <c r="L51" s="847">
        <f>IF(AND(Assumptions!$H$58="Macro",Assumptions!$H$62="Yes"),IF(Assumptions!$H$60="Rule of Thumb",IF(Assumptions!$H$59="Advanced Country",Assumptions!M$61*IF(Assumptions!M$61&lt;0,1,0.5)*IF(Assumptions!$H$25="PD/LGD",(-0.0333*J$53*100*J$53*100+0.00167*J$53*100-0.05)/J$53,1/'Summary of Input Data'!$I$30*(-0.0333*J$53*100*J$53*100+0.00167*J$53*100-0.05)/J$53),Assumptions!M$61*IF(Assumptions!M$61&lt;0,1,0.5)*IF(Assumptions!$H$25="PD/LGD",(-0.0031*J$53*100*J$53*100-0.0377*J$53*100-0.0055)/J$53,1/'Summary of Input Data'!$I$30*(-0.0031*J$53*100*J$53*100-0.0377*J$53*100-0.0055)/J$53)),IF(Assumptions!$H$61=Variables!$Z$3,Satellite!$T$43,IF(Assumptions!$H$61=Variables!$Z$4,Satellite!$T$44,IF(Assumptions!$H$61=Variables!$Z$5,Satellite!$T$45,Satellite!$T$42)))),Assumptions!M$79)</f>
        <v>0.15</v>
      </c>
      <c r="M51" s="848"/>
      <c r="N51" s="847">
        <f>IF(AND(Assumptions!$H$58="Macro",Assumptions!$H$62="Yes"),IF(Assumptions!$H$60="Rule of Thumb",IF(Assumptions!$H$59="Advanced Country",Assumptions!O$61*IF(Assumptions!O$61&lt;0,1,0.5)*IF(Assumptions!$H$25="PD/LGD",(-0.0333*L$53*100*L$53*100+0.00167*L$53*100-0.05)/L$53,1/'Summary of Input Data'!$I$30*(-0.0333*L$53*100*L$53*100+0.00167*L$53*100-0.05)/L$53),Assumptions!O$61*IF(Assumptions!O$61&lt;0,1,0.5)*IF(Assumptions!$H$25="PD/LGD",(-0.0031*L$53*100*L$53*100-0.0377*L$53*100-0.0055)/L$53,1/'Summary of Input Data'!$I$30*(-0.0031*L$53*100*L$53*100-0.0377*L$53*100-0.0055)/L$53)),IF(Assumptions!$H$61=Variables!$Z$3,Satellite!$T$43,IF(Assumptions!$H$61=Variables!$Z$4,Satellite!$T$44,IF(Assumptions!$H$61=Variables!$Z$5,Satellite!$T$45,Satellite!$T$42)))),Assumptions!O$79)</f>
        <v>0.15</v>
      </c>
      <c r="O51" s="848"/>
      <c r="P51" s="847">
        <f>IF(AND(Assumptions!$H$58="Macro",Assumptions!$H$62="Yes"),IF(Assumptions!$H$60="Rule of Thumb",IF(Assumptions!$H$59="Advanced Country",Assumptions!Q$61*IF(Assumptions!Q$61&lt;0,1,0.5)*IF(Assumptions!$H$25="PD/LGD",(-0.0333*N$53*100*N$53*100+0.00167*N$53*100-0.05)/N$53,1/'Summary of Input Data'!$I$30*(-0.0333*N$53*100*N$53*100+0.00167*N$53*100-0.05)/N$53),Assumptions!Q$61*IF(Assumptions!Q$61&lt;0,1,0.5)*IF(Assumptions!$H$25="PD/LGD",(-0.0031*N$53*100*N$53*100-0.0377*N$53*100-0.0055)/N$53,1/'Summary of Input Data'!$I$30*(-0.0031*N$53*100*N$53*100-0.0377*N$53*100-0.0055)/N$53)),IF(Assumptions!$H$61=Variables!$Z$3,Satellite!$T$43,IF(Assumptions!$H$61=Variables!$Z$4,Satellite!$T$44,IF(Assumptions!$H$61=Variables!$Z$5,Satellite!$T$45,Satellite!$T$42)))),Assumptions!Q$79)</f>
        <v>0.15</v>
      </c>
      <c r="Q51" s="848"/>
      <c r="R51" s="847">
        <f>IF(AND(Assumptions!$H$58="Macro",Assumptions!$H$62="Yes"),IF(Assumptions!$H$60="Rule of Thumb",IF(Assumptions!$H$59="Advanced Country",Assumptions!S$61*IF(Assumptions!S$61&lt;0,1,0.5)*IF(Assumptions!$H$25="PD/LGD",(-0.0333*P$53*100*P$53*100+0.00167*P$53*100-0.05)/P$53,1/'Summary of Input Data'!$I$30*(-0.0333*P$53*100*P$53*100+0.00167*P$53*100-0.05)/P$53),Assumptions!S$61*IF(Assumptions!S$61&lt;0,1,0.5)*IF(Assumptions!$H$25="PD/LGD",(-0.0031*P$53*100*P$53*100-0.0377*P$53*100-0.0055)/P$53,1/'Summary of Input Data'!$I$30*(-0.0031*P$53*100*P$53*100-0.0377*P$53*100-0.0055)/P$53)),IF(Assumptions!$H$61=Variables!$Z$3,Satellite!$T$43,IF(Assumptions!$H$61=Variables!$Z$4,Satellite!$T$44,IF(Assumptions!$H$61=Variables!$Z$5,Satellite!$T$45,Satellite!$T$42)))),Assumptions!S$79)</f>
        <v>0.15</v>
      </c>
      <c r="S51" s="848"/>
      <c r="T51" s="847">
        <f>IF(AND(Assumptions!$H$58="Macro",Assumptions!$H$62="Yes"),IF(Assumptions!$H$60="Rule of Thumb",IF(Assumptions!$H$59="Advanced Country",Assumptions!U$61*IF(Assumptions!U$61&lt;0,1,0.5)*IF(Assumptions!$H$25="PD/LGD",(-0.0333*R$53*100*R$53*100+0.00167*R$53*100-0.05)/R$53,1/'Summary of Input Data'!$I$30*(-0.0333*R$53*100*R$53*100+0.00167*R$53*100-0.05)/R$53),Assumptions!U$61*IF(Assumptions!U$61&lt;0,1,0.5)*IF(Assumptions!$H$25="PD/LGD",(-0.0031*R$53*100*R$53*100-0.0377*R$53*100-0.0055)/R$53,1/'Summary of Input Data'!$I$30*(-0.0031*R$53*100*R$53*100-0.0377*R$53*100-0.0055)/R$53)),IF(Assumptions!$H$61=Variables!$Z$3,Satellite!$T$43,IF(Assumptions!$H$61=Variables!$Z$4,Satellite!$T$44,IF(Assumptions!$H$61=Variables!$Z$5,Satellite!$T$45,Satellite!$T$42)))),Assumptions!U$79)</f>
        <v>0.15</v>
      </c>
      <c r="U51" s="848"/>
      <c r="V51" s="232"/>
    </row>
    <row r="52" spans="2:22" x14ac:dyDescent="0.25">
      <c r="B52" s="192"/>
      <c r="C52" s="232"/>
      <c r="D52" s="232"/>
      <c r="E52" s="232"/>
      <c r="F52" s="232"/>
      <c r="G52" s="232"/>
      <c r="H52" s="232"/>
      <c r="I52" s="232"/>
      <c r="J52" s="232"/>
      <c r="K52" s="232"/>
      <c r="L52" s="232"/>
      <c r="M52" s="232"/>
      <c r="N52" s="232"/>
      <c r="O52" s="232"/>
      <c r="P52" s="232"/>
      <c r="Q52" s="232"/>
      <c r="R52" s="232"/>
      <c r="S52" s="232"/>
      <c r="T52" s="232"/>
      <c r="U52" s="232"/>
      <c r="V52" s="232"/>
    </row>
    <row r="53" spans="2:22" x14ac:dyDescent="0.25">
      <c r="B53" s="192"/>
      <c r="C53" s="232"/>
      <c r="D53" s="232"/>
      <c r="E53" s="313" t="s">
        <v>342</v>
      </c>
      <c r="F53" s="15"/>
      <c r="G53" s="15"/>
      <c r="H53" s="15"/>
      <c r="I53" s="16"/>
      <c r="J53" s="865">
        <f>IF(AND(ISNUMBER('Summary of Input Data'!I25),SUM(J54:K73)=0),'Summary of Input Data'!I25,IF(ISNUMBER(IF(Assumptions!$H$26="Broad sectors (Basel II)",SUMPRODUCT(J54:K63,L27:M36)/L26,SUMPRODUCT(J54:K73,L27:M46)/L26))=FALSE,IF(ISNUMBER('Summary of Input Data'!I25),'Summary of Input Data'!I25,"N/A"),IF(Assumptions!$H$26="Broad sectors (Basel II)",SUMPRODUCT(J54:K63,L27:M36)/L26,SUMPRODUCT(J54:K73,L27:M46)/L26)))</f>
        <v>3.4239805149277824E-2</v>
      </c>
      <c r="K53" s="848"/>
      <c r="L53" s="865">
        <f>IF(AND(L26&gt;0,SUM(L54:M73)=0),IF(IF(L$50="Relative",'Summary of Input Data'!$I$25*(1+L$51),IF(L$50="Absolute, by x %",'Summary of Input Data'!$I$25+L$51,L$51))&gt;1,1,IF(L$50="Relative",'Summary of Input Data'!$I$25*(1+L$51),IF(L$50="Absolute, by x %",'Summary of Input Data'!$I$25+L$51,L$51))),IF(ISNUMBER(IF(Assumptions!$H$26="Broad sectors (Basel II)",SUMPRODUCT(L54:M63,L27:M36)/L26,SUMPRODUCT(L54:M73,L27:M46)/L26))=FALSE,"N/A",IF(Assumptions!$H$26="Broad sectors (Basel II)",SUMPRODUCT(L54:M63,L27:M36)/L26,SUMPRODUCT(L54:M73,L27:M46)/L26)))</f>
        <v>3.9375775921669492E-2</v>
      </c>
      <c r="M53" s="848"/>
      <c r="N53" s="865">
        <f>IF(AND(N26&gt;0,SUM(N54:O73)=0),IF(IF(N$50="Relative",'Summary of Input Data'!$I$25*(1+N$51),IF(N$50="Absolute, by x %",'Summary of Input Data'!$I$25+N$51,N$51))&gt;1,1,IF(N$50="Relative",'Summary of Input Data'!$I$25*(1+N$51),IF(N$50="Absolute, by x %",'Summary of Input Data'!$I$25+N$51,N$51))),IF(ISNUMBER(IF(Assumptions!$H$26="Broad sectors (Basel II)",SUMPRODUCT(N54:O63,N27:O36)/N26,SUMPRODUCT(N54:O73,N27:O46)/N26))=FALSE,"N/A",IF(Assumptions!$H$26="Broad sectors (Basel II)",SUMPRODUCT(N54:O63,N27:O36)/N26,SUMPRODUCT(N54:O73,N27:O46)/N26)))</f>
        <v>4.5148766252526396E-2</v>
      </c>
      <c r="O53" s="848"/>
      <c r="P53" s="865">
        <f>IF(AND(P26&gt;0,SUM(P54:Q73)=0),IF(IF(P$50="Relative",'Summary of Input Data'!$I$25*(1+P$51),IF(P$50="Absolute, by x %",'Summary of Input Data'!$I$25+P$51,P$51))&gt;1,1,IF(P$50="Relative",'Summary of Input Data'!$I$25*(1+P$51),IF(P$50="Absolute, by x %",'Summary of Input Data'!$I$25+P$51,P$51))),IF(ISNUMBER(IF(Assumptions!$H$26="Broad sectors (Basel II)",SUMPRODUCT(P54:Q63,P27:Q36)/P26,SUMPRODUCT(P54:Q73,P27:Q46)/P26))=FALSE,"N/A",IF(Assumptions!$H$26="Broad sectors (Basel II)",SUMPRODUCT(P54:Q63,P27:Q36)/P26,SUMPRODUCT(P54:Q73,P27:Q46)/P26)))</f>
        <v>5.1739345378288518E-2</v>
      </c>
      <c r="Q53" s="848"/>
      <c r="R53" s="865">
        <f>IF(AND(R26&gt;0,SUM(R54:S73)=0),IF(IF(R$50="Relative",'Summary of Input Data'!$I$25*(1+R$51),IF(R$50="Absolute, by x %",'Summary of Input Data'!$I$25+R$51,R$51))&gt;1,1,IF(R$50="Relative",'Summary of Input Data'!$I$25*(1+R$51),IF(R$50="Absolute, by x %",'Summary of Input Data'!$I$25+R$51,R$51))),IF(ISNUMBER(IF(Assumptions!$H$26="Broad sectors (Basel II)",SUMPRODUCT(R54:S63,R27:S36)/R26,SUMPRODUCT(R54:S73,R27:S46)/R26))=FALSE,"N/A",IF(Assumptions!$H$26="Broad sectors (Basel II)",SUMPRODUCT(R54:S63,R27:S36)/R26,SUMPRODUCT(R54:S73,R27:S46)/R26)))</f>
        <v>5.9251552173310726E-2</v>
      </c>
      <c r="S53" s="848"/>
      <c r="T53" s="865">
        <f>IF(AND(T26&gt;0,SUM(T54:U73)=0),IF(IF(T$50="Relative",'Summary of Input Data'!$I$25*(1+T$51),IF(T$50="Absolute, by x %",'Summary of Input Data'!$I$25+T$51,T$51))&gt;1,1,IF(T$50="Relative",'Summary of Input Data'!$I$25*(1+T$51),IF(T$50="Absolute, by x %",'Summary of Input Data'!$I$25+T$51,T$51))),IF(ISNUMBER(IF(Assumptions!$H$26="Broad sectors (Basel II)",SUMPRODUCT(T54:U63,T27:U36)/T26,SUMPRODUCT(T54:U73,T27:U46)/T26))=FALSE,"N/A",IF(Assumptions!$H$26="Broad sectors (Basel II)",SUMPRODUCT(T54:U63,T27:U36)/T26,SUMPRODUCT(T54:U73,T27:U46)/T26)))</f>
        <v>6.7797303372443121E-2</v>
      </c>
      <c r="U53" s="848"/>
      <c r="V53" s="232"/>
    </row>
    <row r="54" spans="2:22" x14ac:dyDescent="0.25">
      <c r="B54" s="192"/>
      <c r="C54" s="268"/>
      <c r="D54" s="232"/>
      <c r="E54" s="299" t="str">
        <f>E27</f>
        <v>Sovereign</v>
      </c>
      <c r="F54" s="300"/>
      <c r="G54" s="300"/>
      <c r="H54" s="300"/>
      <c r="I54" s="301"/>
      <c r="J54" s="865">
        <f>IF(Assumptions!$H$26="Fine-granular sectors",IF(ISNUMBER(Input!G200)=FALSE,"N/A",(Input!G200)),IF(Assumptions!$H$26="Broad sectors (Basel II)",IF(ISNUMBER(Input!O200)=FALSE,"N/A",(Input!O200)),IF(Assumptions!$H$26="Geographical sectors",IF(ISNUMBER(Input!V200)=FALSE,"N/A",(Input!V200)),"Please check")))</f>
        <v>0.01</v>
      </c>
      <c r="K54" s="848"/>
      <c r="L54" s="847">
        <f t="shared" ref="L54:L73" si="0">IF(J54="","",IF(ISNUMBER(J54)=FALSE,"N/A",IF(IF(L$50="Relative",IF((J54*(1+L$51))&lt;0,0.1%,(J54*(1+L$51))),IF(L$50="Absolute, by x %",J54+L$51,L$51))&gt;1,1,IF(L$50="Relative",IF((J54*(1+L$51))&lt;0,0.1%,(J54*(1+L$51))),IF(L$50="Absolute, by x %",J54+L$51,IF(L$50="Absolute, to x %",L$51,"Please Enter"))))))</f>
        <v>1.15E-2</v>
      </c>
      <c r="M54" s="848"/>
      <c r="N54" s="847">
        <f t="shared" ref="N54:N73" si="1">IF(L54="","",IF(ISNUMBER(L54)=FALSE,"N/A",IF(IF(N$50="Relative",IF((L54*(1+N$51))&lt;0,0.1%,(L54*(1+N$51))),IF(N$50="Absolute, by x %",L54+N$51,N$51))&gt;1,1,IF(N$50="Relative",IF((L54*(1+N$51))&lt;0,0.1%,(L54*(1+N$51))),IF(N$50="Absolute, by x %",L54+N$51,IF(N$50="Absolute, to x %",N$51,"Please Enter"))))))</f>
        <v>1.3224999999999999E-2</v>
      </c>
      <c r="O54" s="848"/>
      <c r="P54" s="847">
        <f t="shared" ref="P54:P73" si="2">IF(N54="","",IF(ISNUMBER(N54)=FALSE,"N/A",IF(IF(P$50="Relative",IF((N54*(1+P$51))&lt;0,0.1%,(N54*(1+P$51))),IF(P$50="Absolute, by x %",N54+P$51,P$51))&gt;1,1,IF(P$50="Relative",IF((N54*(1+P$51))&lt;0,0.1%,(N54*(1+P$51))),IF(P$50="Absolute, by x %",N54+P$51,IF(P$50="Absolute, to x %",P$51,"Please Enter"))))))</f>
        <v>1.5208749999999998E-2</v>
      </c>
      <c r="Q54" s="848"/>
      <c r="R54" s="847">
        <f t="shared" ref="R54:R73" si="3">IF(P54="","",IF(ISNUMBER(P54)=FALSE,"N/A",IF(IF(R$50="Relative",IF((P54*(1+R$51))&lt;0,0.1%,(P54*(1+R$51))),IF(R$50="Absolute, by x %",P54+R$51,R$51))&gt;1,1,IF(R$50="Relative",IF((P54*(1+R$51))&lt;0,0.1%,(P54*(1+R$51))),IF(R$50="Absolute, by x %",P54+R$51,IF(R$50="Absolute, to x %",R$51,"Please Enter"))))))</f>
        <v>1.7490062499999997E-2</v>
      </c>
      <c r="S54" s="848"/>
      <c r="T54" s="847">
        <f t="shared" ref="T54:T73" si="4">IF(R54="","",IF(ISNUMBER(R54)=FALSE,"N/A",IF(IF(T$50="Relative",IF((R54*(1+T$51))&lt;0,0.1%,(R54*(1+T$51))),IF(T$50="Absolute, by x %",R54+T$51,T$51))&gt;1,1,IF(T$50="Relative",IF((R54*(1+T$51))&lt;0,0.1%,(R54*(1+T$51))),IF(T$50="Absolute, by x %",R54+T$51,IF(T$50="Absolute, to x %",T$51,"Please Enter"))))))</f>
        <v>2.0113571874999996E-2</v>
      </c>
      <c r="U54" s="848"/>
      <c r="V54" s="232"/>
    </row>
    <row r="55" spans="2:22" x14ac:dyDescent="0.25">
      <c r="B55" s="192"/>
      <c r="C55" s="268"/>
      <c r="D55" s="232"/>
      <c r="E55" s="302" t="str">
        <f t="shared" ref="E55:E73" si="5">E28</f>
        <v>Non-sovereign public sector entities</v>
      </c>
      <c r="F55" s="303"/>
      <c r="G55" s="303"/>
      <c r="H55" s="303"/>
      <c r="I55" s="304"/>
      <c r="J55" s="865">
        <f>IF(Assumptions!$H$26="Fine-granular sectors",IF(ISNUMBER(Input!G201)=FALSE,"N/A",(Input!G201)),IF(Assumptions!$H$26="Broad sectors (Basel II)",IF(ISNUMBER(Input!O201)=FALSE,"N/A",(Input!O201)),IF(Assumptions!$H$26="Geographical sectors",IF(ISNUMBER(Input!V201)=FALSE,"N/A",(Input!V201)),"Please check")))</f>
        <v>0.01</v>
      </c>
      <c r="K55" s="848"/>
      <c r="L55" s="847">
        <f t="shared" si="0"/>
        <v>1.15E-2</v>
      </c>
      <c r="M55" s="848"/>
      <c r="N55" s="847">
        <f t="shared" si="1"/>
        <v>1.3224999999999999E-2</v>
      </c>
      <c r="O55" s="848"/>
      <c r="P55" s="847">
        <f t="shared" si="2"/>
        <v>1.5208749999999998E-2</v>
      </c>
      <c r="Q55" s="848"/>
      <c r="R55" s="847">
        <f t="shared" si="3"/>
        <v>1.7490062499999997E-2</v>
      </c>
      <c r="S55" s="848"/>
      <c r="T55" s="847">
        <f t="shared" si="4"/>
        <v>2.0113571874999996E-2</v>
      </c>
      <c r="U55" s="848"/>
      <c r="V55" s="232"/>
    </row>
    <row r="56" spans="2:22" x14ac:dyDescent="0.25">
      <c r="B56" s="192"/>
      <c r="C56" s="268"/>
      <c r="D56" s="232"/>
      <c r="E56" s="302" t="str">
        <f t="shared" si="5"/>
        <v>Banks/Institutions</v>
      </c>
      <c r="F56" s="303"/>
      <c r="G56" s="303"/>
      <c r="H56" s="303"/>
      <c r="I56" s="304"/>
      <c r="J56" s="865">
        <f>IF(Assumptions!$H$26="Fine-granular sectors",IF(ISNUMBER(Input!G202)=FALSE,"N/A",(Input!G202)),IF(Assumptions!$H$26="Broad sectors (Basel II)",IF(ISNUMBER(Input!O202)=FALSE,"N/A",(Input!O202)),IF(Assumptions!$H$26="Geographical sectors",IF(ISNUMBER(Input!V202)=FALSE,"N/A",(Input!V202)),"Please check")))</f>
        <v>1.2E-2</v>
      </c>
      <c r="K56" s="848"/>
      <c r="L56" s="847">
        <f t="shared" si="0"/>
        <v>1.38E-2</v>
      </c>
      <c r="M56" s="848"/>
      <c r="N56" s="847">
        <f t="shared" si="1"/>
        <v>1.5869999999999999E-2</v>
      </c>
      <c r="O56" s="848"/>
      <c r="P56" s="847">
        <f t="shared" si="2"/>
        <v>1.8250499999999996E-2</v>
      </c>
      <c r="Q56" s="848"/>
      <c r="R56" s="847">
        <f t="shared" si="3"/>
        <v>2.0988074999999995E-2</v>
      </c>
      <c r="S56" s="848"/>
      <c r="T56" s="847">
        <f t="shared" si="4"/>
        <v>2.4136286249999993E-2</v>
      </c>
      <c r="U56" s="848"/>
      <c r="V56" s="232"/>
    </row>
    <row r="57" spans="2:22" x14ac:dyDescent="0.25">
      <c r="B57" s="192"/>
      <c r="C57" s="268"/>
      <c r="D57" s="232"/>
      <c r="E57" s="302" t="str">
        <f t="shared" si="5"/>
        <v>Corporates</v>
      </c>
      <c r="F57" s="303"/>
      <c r="G57" s="303"/>
      <c r="H57" s="303"/>
      <c r="I57" s="304"/>
      <c r="J57" s="865">
        <f>IF(Assumptions!$H$26="Fine-granular sectors",IF(ISNUMBER(Input!G203)=FALSE,"N/A",(Input!G203)),IF(Assumptions!$H$26="Broad sectors (Basel II)",IF(ISNUMBER(Input!O203)=FALSE,"N/A",(Input!O203)),IF(Assumptions!$H$26="Geographical sectors",IF(ISNUMBER(Input!V203)=FALSE,"N/A",(Input!V203)),"Please check")))</f>
        <v>3.7785358173707685E-2</v>
      </c>
      <c r="K57" s="848"/>
      <c r="L57" s="847">
        <f t="shared" si="0"/>
        <v>4.3453161899763837E-2</v>
      </c>
      <c r="M57" s="848"/>
      <c r="N57" s="847">
        <f t="shared" si="1"/>
        <v>4.9971136184728406E-2</v>
      </c>
      <c r="O57" s="848"/>
      <c r="P57" s="847">
        <f t="shared" si="2"/>
        <v>5.7466806612437665E-2</v>
      </c>
      <c r="Q57" s="848"/>
      <c r="R57" s="847">
        <f t="shared" si="3"/>
        <v>6.6086827604303316E-2</v>
      </c>
      <c r="S57" s="848"/>
      <c r="T57" s="847">
        <f t="shared" si="4"/>
        <v>7.5999851744948804E-2</v>
      </c>
      <c r="U57" s="848"/>
      <c r="V57" s="232"/>
    </row>
    <row r="58" spans="2:22" x14ac:dyDescent="0.25">
      <c r="B58" s="192"/>
      <c r="C58" s="268"/>
      <c r="D58" s="232"/>
      <c r="E58" s="302" t="str">
        <f t="shared" si="5"/>
        <v>SME</v>
      </c>
      <c r="F58" s="303"/>
      <c r="G58" s="303"/>
      <c r="H58" s="303"/>
      <c r="I58" s="304"/>
      <c r="J58" s="865">
        <f>IF(Assumptions!$H$26="Fine-granular sectors",IF(ISNUMBER(Input!G204)=FALSE,"N/A",(Input!G204)),IF(Assumptions!$H$26="Broad sectors (Basel II)",IF(ISNUMBER(Input!O204)=FALSE,"N/A",(Input!O204)),IF(Assumptions!$H$26="Geographical sectors",IF(ISNUMBER(Input!V204)=FALSE,"N/A",(Input!V204)),"Please check")))</f>
        <v>3.7785358173707685E-2</v>
      </c>
      <c r="K58" s="848"/>
      <c r="L58" s="847">
        <f t="shared" si="0"/>
        <v>4.3453161899763837E-2</v>
      </c>
      <c r="M58" s="848"/>
      <c r="N58" s="847">
        <f t="shared" si="1"/>
        <v>4.9971136184728406E-2</v>
      </c>
      <c r="O58" s="848"/>
      <c r="P58" s="847">
        <f t="shared" si="2"/>
        <v>5.7466806612437665E-2</v>
      </c>
      <c r="Q58" s="848"/>
      <c r="R58" s="847">
        <f t="shared" si="3"/>
        <v>6.6086827604303316E-2</v>
      </c>
      <c r="S58" s="848"/>
      <c r="T58" s="847">
        <f t="shared" si="4"/>
        <v>7.5999851744948804E-2</v>
      </c>
      <c r="U58" s="848"/>
      <c r="V58" s="232"/>
    </row>
    <row r="59" spans="2:22" x14ac:dyDescent="0.25">
      <c r="B59" s="192"/>
      <c r="C59" s="268"/>
      <c r="D59" s="232"/>
      <c r="E59" s="302" t="str">
        <f t="shared" si="5"/>
        <v>Retail</v>
      </c>
      <c r="F59" s="303"/>
      <c r="G59" s="303"/>
      <c r="H59" s="303"/>
      <c r="I59" s="304"/>
      <c r="J59" s="865">
        <f>IF(Assumptions!$H$26="Fine-granular sectors",IF(ISNUMBER(Input!G205)=FALSE,"N/A",(Input!G205)),IF(Assumptions!$H$26="Broad sectors (Basel II)",IF(ISNUMBER(Input!O205)=FALSE,"N/A",(Input!O205)),IF(Assumptions!$H$26="Geographical sectors",IF(ISNUMBER(Input!V205)=FALSE,"N/A",(Input!V205)),"Please check")))</f>
        <v>3.7785358173707685E-2</v>
      </c>
      <c r="K59" s="848"/>
      <c r="L59" s="847">
        <f t="shared" si="0"/>
        <v>4.3453161899763837E-2</v>
      </c>
      <c r="M59" s="848"/>
      <c r="N59" s="847">
        <f t="shared" si="1"/>
        <v>4.9971136184728406E-2</v>
      </c>
      <c r="O59" s="848"/>
      <c r="P59" s="847">
        <f t="shared" si="2"/>
        <v>5.7466806612437665E-2</v>
      </c>
      <c r="Q59" s="848"/>
      <c r="R59" s="847">
        <f t="shared" si="3"/>
        <v>6.6086827604303316E-2</v>
      </c>
      <c r="S59" s="848"/>
      <c r="T59" s="847">
        <f t="shared" si="4"/>
        <v>7.5999851744948804E-2</v>
      </c>
      <c r="U59" s="848"/>
      <c r="V59" s="232"/>
    </row>
    <row r="60" spans="2:22" x14ac:dyDescent="0.25">
      <c r="B60" s="192"/>
      <c r="C60" s="268"/>
      <c r="D60" s="232"/>
      <c r="E60" s="302" t="str">
        <f t="shared" si="5"/>
        <v>Residential mortgages</v>
      </c>
      <c r="F60" s="303"/>
      <c r="G60" s="303"/>
      <c r="H60" s="303"/>
      <c r="I60" s="304"/>
      <c r="J60" s="865">
        <f>IF(Assumptions!$H$26="Fine-granular sectors",IF(ISNUMBER(Input!G206)=FALSE,"N/A",(Input!G206)),IF(Assumptions!$H$26="Broad sectors (Basel II)",IF(ISNUMBER(Input!O206)=FALSE,"N/A",(Input!O206)),IF(Assumptions!$H$26="Geographical sectors",IF(ISNUMBER(Input!V206)=FALSE,"N/A",(Input!V206)),"Please check")))</f>
        <v>3.7785358173707685E-2</v>
      </c>
      <c r="K60" s="848"/>
      <c r="L60" s="847">
        <f t="shared" si="0"/>
        <v>4.3453161899763837E-2</v>
      </c>
      <c r="M60" s="848"/>
      <c r="N60" s="847">
        <f t="shared" si="1"/>
        <v>4.9971136184728406E-2</v>
      </c>
      <c r="O60" s="848"/>
      <c r="P60" s="847">
        <f t="shared" si="2"/>
        <v>5.7466806612437665E-2</v>
      </c>
      <c r="Q60" s="848"/>
      <c r="R60" s="847">
        <f t="shared" si="3"/>
        <v>6.6086827604303316E-2</v>
      </c>
      <c r="S60" s="848"/>
      <c r="T60" s="847">
        <f t="shared" si="4"/>
        <v>7.5999851744948804E-2</v>
      </c>
      <c r="U60" s="848"/>
      <c r="V60" s="232"/>
    </row>
    <row r="61" spans="2:22" x14ac:dyDescent="0.25">
      <c r="B61" s="192"/>
      <c r="C61" s="268"/>
      <c r="D61" s="232"/>
      <c r="E61" s="302" t="str">
        <f t="shared" si="5"/>
        <v>Securitization</v>
      </c>
      <c r="F61" s="303"/>
      <c r="G61" s="303"/>
      <c r="H61" s="303"/>
      <c r="I61" s="304"/>
      <c r="J61" s="865" t="str">
        <f>IF(Assumptions!$H$26="Fine-granular sectors",IF(ISNUMBER(Input!G207)=FALSE,"N/A",(Input!G207)),IF(Assumptions!$H$26="Broad sectors (Basel II)",IF(ISNUMBER(Input!O207)=FALSE,"N/A",(Input!O207)),IF(Assumptions!$H$26="Geographical sectors",IF(ISNUMBER(Input!V207)=FALSE,"N/A",(Input!V207)),"Please check")))</f>
        <v>N/A</v>
      </c>
      <c r="K61" s="848"/>
      <c r="L61" s="847" t="str">
        <f t="shared" si="0"/>
        <v>N/A</v>
      </c>
      <c r="M61" s="848"/>
      <c r="N61" s="847" t="str">
        <f t="shared" si="1"/>
        <v>N/A</v>
      </c>
      <c r="O61" s="848"/>
      <c r="P61" s="847" t="str">
        <f t="shared" si="2"/>
        <v>N/A</v>
      </c>
      <c r="Q61" s="848"/>
      <c r="R61" s="847" t="str">
        <f t="shared" si="3"/>
        <v>N/A</v>
      </c>
      <c r="S61" s="848"/>
      <c r="T61" s="847" t="str">
        <f t="shared" si="4"/>
        <v>N/A</v>
      </c>
      <c r="U61" s="848"/>
      <c r="V61" s="232"/>
    </row>
    <row r="62" spans="2:22" x14ac:dyDescent="0.25">
      <c r="B62" s="192"/>
      <c r="C62" s="268"/>
      <c r="D62" s="232"/>
      <c r="E62" s="302" t="str">
        <f t="shared" si="5"/>
        <v>Derivatives</v>
      </c>
      <c r="F62" s="303"/>
      <c r="G62" s="303"/>
      <c r="H62" s="303"/>
      <c r="I62" s="304"/>
      <c r="J62" s="865" t="str">
        <f>IF(Assumptions!$H$26="Fine-granular sectors",IF(ISNUMBER(Input!G208)=FALSE,"N/A",(Input!G208)),IF(Assumptions!$H$26="Broad sectors (Basel II)",IF(ISNUMBER(Input!O208)=FALSE,"N/A",(Input!O208)),IF(Assumptions!$H$26="Geographical sectors",IF(ISNUMBER(Input!V208)=FALSE,"N/A",(Input!V208)),"Please check")))</f>
        <v>N/A</v>
      </c>
      <c r="K62" s="848"/>
      <c r="L62" s="847" t="str">
        <f t="shared" si="0"/>
        <v>N/A</v>
      </c>
      <c r="M62" s="848"/>
      <c r="N62" s="847" t="str">
        <f t="shared" si="1"/>
        <v>N/A</v>
      </c>
      <c r="O62" s="848"/>
      <c r="P62" s="847" t="str">
        <f t="shared" si="2"/>
        <v>N/A</v>
      </c>
      <c r="Q62" s="848"/>
      <c r="R62" s="847" t="str">
        <f t="shared" si="3"/>
        <v>N/A</v>
      </c>
      <c r="S62" s="848"/>
      <c r="T62" s="847" t="str">
        <f t="shared" si="4"/>
        <v>N/A</v>
      </c>
      <c r="U62" s="848"/>
      <c r="V62" s="232"/>
    </row>
    <row r="63" spans="2:22" x14ac:dyDescent="0.25">
      <c r="B63" s="192"/>
      <c r="C63" s="268"/>
      <c r="D63" s="232"/>
      <c r="E63" s="302" t="str">
        <f t="shared" si="5"/>
        <v>Off-balance sheet credit</v>
      </c>
      <c r="F63" s="303"/>
      <c r="G63" s="303"/>
      <c r="H63" s="303"/>
      <c r="I63" s="304"/>
      <c r="J63" s="865">
        <f>IF(Assumptions!$H$26="Fine-granular sectors",IF(ISNUMBER(Input!G209)=FALSE,"N/A",(Input!G209)),IF(Assumptions!$H$26="Broad sectors (Basel II)",IF(ISNUMBER(Input!O209)=FALSE,"N/A",(Input!O209)),IF(Assumptions!$H$26="Geographical sectors",IF(ISNUMBER(Input!V209)=FALSE,"N/A",(Input!V209)),"Please check")))</f>
        <v>3.7785358173707685E-2</v>
      </c>
      <c r="K63" s="848"/>
      <c r="L63" s="847">
        <f t="shared" si="0"/>
        <v>4.3453161899763837E-2</v>
      </c>
      <c r="M63" s="848"/>
      <c r="N63" s="847">
        <f t="shared" si="1"/>
        <v>4.9971136184728406E-2</v>
      </c>
      <c r="O63" s="848"/>
      <c r="P63" s="847">
        <f t="shared" si="2"/>
        <v>5.7466806612437665E-2</v>
      </c>
      <c r="Q63" s="848"/>
      <c r="R63" s="847">
        <f t="shared" si="3"/>
        <v>6.6086827604303316E-2</v>
      </c>
      <c r="S63" s="848"/>
      <c r="T63" s="847">
        <f t="shared" si="4"/>
        <v>7.5999851744948804E-2</v>
      </c>
      <c r="U63" s="848"/>
      <c r="V63" s="232"/>
    </row>
    <row r="64" spans="2:22" x14ac:dyDescent="0.25">
      <c r="B64" s="192"/>
      <c r="C64" s="268"/>
      <c r="D64" s="232"/>
      <c r="E64" s="302" t="str">
        <f t="shared" si="5"/>
        <v/>
      </c>
      <c r="F64" s="303"/>
      <c r="G64" s="303"/>
      <c r="H64" s="303"/>
      <c r="I64" s="304"/>
      <c r="J64" s="865" t="str">
        <f>IF(Assumptions!$H$26="Fine-granular sectors",IF(ISNUMBER(Input!G210)=FALSE,"N/A",(Input!G210)),IF(Assumptions!$H$26="Broad sectors (Basel II)",IF(ISNUMBER(Input!O210)=FALSE,"",(Input!O210)),IF(Assumptions!$H$26="Geographical sectors",IF(ISNUMBER(Input!V210)=FALSE,"",(Input!V210)),"Please check")))</f>
        <v/>
      </c>
      <c r="K64" s="848"/>
      <c r="L64" s="847" t="str">
        <f t="shared" si="0"/>
        <v/>
      </c>
      <c r="M64" s="848"/>
      <c r="N64" s="847" t="str">
        <f t="shared" si="1"/>
        <v/>
      </c>
      <c r="O64" s="848"/>
      <c r="P64" s="847" t="str">
        <f t="shared" si="2"/>
        <v/>
      </c>
      <c r="Q64" s="848"/>
      <c r="R64" s="847" t="str">
        <f t="shared" si="3"/>
        <v/>
      </c>
      <c r="S64" s="848"/>
      <c r="T64" s="847" t="str">
        <f t="shared" si="4"/>
        <v/>
      </c>
      <c r="U64" s="848"/>
      <c r="V64" s="232"/>
    </row>
    <row r="65" spans="2:22" x14ac:dyDescent="0.25">
      <c r="B65" s="192"/>
      <c r="C65" s="268"/>
      <c r="D65" s="232"/>
      <c r="E65" s="302" t="str">
        <f t="shared" si="5"/>
        <v/>
      </c>
      <c r="F65" s="303"/>
      <c r="G65" s="303"/>
      <c r="H65" s="303"/>
      <c r="I65" s="304"/>
      <c r="J65" s="865" t="str">
        <f>IF(Assumptions!$H$26="Fine-granular sectors",IF(ISNUMBER(Input!G211)=FALSE,"N/A",(Input!G211)),IF(Assumptions!$H$26="Broad sectors (Basel II)",IF(ISNUMBER(Input!O211)=FALSE,"",(Input!O211)),IF(Assumptions!$H$26="Geographical sectors",IF(ISNUMBER(Input!V211)=FALSE,"",(Input!V211)),"Please check")))</f>
        <v/>
      </c>
      <c r="K65" s="848"/>
      <c r="L65" s="847" t="str">
        <f t="shared" si="0"/>
        <v/>
      </c>
      <c r="M65" s="848"/>
      <c r="N65" s="847" t="str">
        <f t="shared" si="1"/>
        <v/>
      </c>
      <c r="O65" s="848"/>
      <c r="P65" s="847" t="str">
        <f t="shared" si="2"/>
        <v/>
      </c>
      <c r="Q65" s="848"/>
      <c r="R65" s="847" t="str">
        <f t="shared" si="3"/>
        <v/>
      </c>
      <c r="S65" s="848"/>
      <c r="T65" s="847" t="str">
        <f t="shared" si="4"/>
        <v/>
      </c>
      <c r="U65" s="848"/>
      <c r="V65" s="232"/>
    </row>
    <row r="66" spans="2:22" x14ac:dyDescent="0.25">
      <c r="B66" s="192"/>
      <c r="C66" s="268"/>
      <c r="D66" s="232"/>
      <c r="E66" s="302" t="str">
        <f t="shared" si="5"/>
        <v/>
      </c>
      <c r="F66" s="303"/>
      <c r="G66" s="303"/>
      <c r="H66" s="303"/>
      <c r="I66" s="304"/>
      <c r="J66" s="865" t="str">
        <f>IF(Assumptions!$H$26="Fine-granular sectors",IF(ISNUMBER(Input!G212)=FALSE,"N/A",(Input!G212)),IF(Assumptions!$H$26="Broad sectors (Basel II)",IF(ISNUMBER(Input!O212)=FALSE,"",(Input!O212)),IF(Assumptions!$H$26="Geographical sectors",IF(ISNUMBER(Input!V212)=FALSE,"",(Input!V212)),"Please check")))</f>
        <v/>
      </c>
      <c r="K66" s="848"/>
      <c r="L66" s="847" t="str">
        <f t="shared" si="0"/>
        <v/>
      </c>
      <c r="M66" s="848"/>
      <c r="N66" s="847" t="str">
        <f t="shared" si="1"/>
        <v/>
      </c>
      <c r="O66" s="848"/>
      <c r="P66" s="847" t="str">
        <f t="shared" si="2"/>
        <v/>
      </c>
      <c r="Q66" s="848"/>
      <c r="R66" s="847" t="str">
        <f t="shared" si="3"/>
        <v/>
      </c>
      <c r="S66" s="848"/>
      <c r="T66" s="847" t="str">
        <f t="shared" si="4"/>
        <v/>
      </c>
      <c r="U66" s="848"/>
      <c r="V66" s="232"/>
    </row>
    <row r="67" spans="2:22" x14ac:dyDescent="0.25">
      <c r="B67" s="192"/>
      <c r="C67" s="268"/>
      <c r="D67" s="232"/>
      <c r="E67" s="302" t="str">
        <f t="shared" si="5"/>
        <v/>
      </c>
      <c r="F67" s="303"/>
      <c r="G67" s="303"/>
      <c r="H67" s="303"/>
      <c r="I67" s="304"/>
      <c r="J67" s="865" t="str">
        <f>IF(Assumptions!$H$26="Fine-granular sectors",IF(ISNUMBER(Input!G213)=FALSE,"N/A",(Input!G213)),IF(Assumptions!$H$26="Broad sectors (Basel II)",IF(ISNUMBER(Input!O213)=FALSE,"",(Input!O213)),IF(Assumptions!$H$26="Geographical sectors",IF(ISNUMBER(Input!V213)=FALSE,"",(Input!V213)),"Please check")))</f>
        <v/>
      </c>
      <c r="K67" s="848"/>
      <c r="L67" s="847" t="str">
        <f t="shared" si="0"/>
        <v/>
      </c>
      <c r="M67" s="848"/>
      <c r="N67" s="847" t="str">
        <f t="shared" si="1"/>
        <v/>
      </c>
      <c r="O67" s="848"/>
      <c r="P67" s="847" t="str">
        <f t="shared" si="2"/>
        <v/>
      </c>
      <c r="Q67" s="848"/>
      <c r="R67" s="847" t="str">
        <f t="shared" si="3"/>
        <v/>
      </c>
      <c r="S67" s="848"/>
      <c r="T67" s="847" t="str">
        <f t="shared" si="4"/>
        <v/>
      </c>
      <c r="U67" s="848"/>
      <c r="V67" s="232"/>
    </row>
    <row r="68" spans="2:22" x14ac:dyDescent="0.25">
      <c r="B68" s="192"/>
      <c r="C68" s="268"/>
      <c r="D68" s="232"/>
      <c r="E68" s="302" t="str">
        <f t="shared" si="5"/>
        <v/>
      </c>
      <c r="F68" s="303"/>
      <c r="G68" s="303"/>
      <c r="H68" s="303"/>
      <c r="I68" s="304"/>
      <c r="J68" s="865" t="str">
        <f>IF(Assumptions!$H$26="Fine-granular sectors",IF(ISNUMBER(Input!G214)=FALSE,"N/A",(Input!G214)),IF(Assumptions!$H$26="Broad sectors (Basel II)",IF(ISNUMBER(Input!O214)=FALSE,"",(Input!O214)),IF(Assumptions!$H$26="Geographical sectors",IF(ISNUMBER(Input!V214)=FALSE,"",(Input!V214)),"Please check")))</f>
        <v/>
      </c>
      <c r="K68" s="848"/>
      <c r="L68" s="847" t="str">
        <f t="shared" si="0"/>
        <v/>
      </c>
      <c r="M68" s="848"/>
      <c r="N68" s="847" t="str">
        <f t="shared" si="1"/>
        <v/>
      </c>
      <c r="O68" s="848"/>
      <c r="P68" s="847" t="str">
        <f t="shared" si="2"/>
        <v/>
      </c>
      <c r="Q68" s="848"/>
      <c r="R68" s="847" t="str">
        <f t="shared" si="3"/>
        <v/>
      </c>
      <c r="S68" s="848"/>
      <c r="T68" s="847" t="str">
        <f t="shared" si="4"/>
        <v/>
      </c>
      <c r="U68" s="848"/>
      <c r="V68" s="232"/>
    </row>
    <row r="69" spans="2:22" x14ac:dyDescent="0.25">
      <c r="B69" s="192"/>
      <c r="C69" s="268"/>
      <c r="D69" s="232"/>
      <c r="E69" s="302" t="str">
        <f t="shared" si="5"/>
        <v/>
      </c>
      <c r="F69" s="303"/>
      <c r="G69" s="303"/>
      <c r="H69" s="303"/>
      <c r="I69" s="304"/>
      <c r="J69" s="865" t="str">
        <f>IF(Assumptions!$H$26="Fine-granular sectors",IF(ISNUMBER(Input!G215)=FALSE,"N/A",(Input!G215)),IF(Assumptions!$H$26="Broad sectors (Basel II)",IF(ISNUMBER(Input!O215)=FALSE,"",(Input!O215)),IF(Assumptions!$H$26="Geographical sectors",IF(ISNUMBER(Input!V215)=FALSE,"",(Input!V215)),"Please check")))</f>
        <v/>
      </c>
      <c r="K69" s="848"/>
      <c r="L69" s="847" t="str">
        <f t="shared" si="0"/>
        <v/>
      </c>
      <c r="M69" s="848"/>
      <c r="N69" s="847" t="str">
        <f t="shared" si="1"/>
        <v/>
      </c>
      <c r="O69" s="848"/>
      <c r="P69" s="847" t="str">
        <f t="shared" si="2"/>
        <v/>
      </c>
      <c r="Q69" s="848"/>
      <c r="R69" s="847" t="str">
        <f t="shared" si="3"/>
        <v/>
      </c>
      <c r="S69" s="848"/>
      <c r="T69" s="847" t="str">
        <f t="shared" si="4"/>
        <v/>
      </c>
      <c r="U69" s="848"/>
      <c r="V69" s="232"/>
    </row>
    <row r="70" spans="2:22" x14ac:dyDescent="0.25">
      <c r="B70" s="192"/>
      <c r="C70" s="268"/>
      <c r="D70" s="232"/>
      <c r="E70" s="302" t="str">
        <f t="shared" si="5"/>
        <v/>
      </c>
      <c r="F70" s="303"/>
      <c r="G70" s="303"/>
      <c r="H70" s="303"/>
      <c r="I70" s="304"/>
      <c r="J70" s="865" t="str">
        <f>IF(Assumptions!$H$26="Fine-granular sectors",IF(ISNUMBER(Input!G216)=FALSE,"N/A",(Input!G216)),IF(Assumptions!$H$26="Broad sectors (Basel II)",IF(ISNUMBER(Input!O216)=FALSE,"",(Input!O216)),IF(Assumptions!$H$26="Geographical sectors",IF(ISNUMBER(Input!V216)=FALSE,"",(Input!V216)),"Please check")))</f>
        <v/>
      </c>
      <c r="K70" s="848"/>
      <c r="L70" s="847" t="str">
        <f t="shared" si="0"/>
        <v/>
      </c>
      <c r="M70" s="848"/>
      <c r="N70" s="847" t="str">
        <f t="shared" si="1"/>
        <v/>
      </c>
      <c r="O70" s="848"/>
      <c r="P70" s="847" t="str">
        <f t="shared" si="2"/>
        <v/>
      </c>
      <c r="Q70" s="848"/>
      <c r="R70" s="847" t="str">
        <f t="shared" si="3"/>
        <v/>
      </c>
      <c r="S70" s="848"/>
      <c r="T70" s="847" t="str">
        <f t="shared" si="4"/>
        <v/>
      </c>
      <c r="U70" s="848"/>
      <c r="V70" s="232"/>
    </row>
    <row r="71" spans="2:22" x14ac:dyDescent="0.25">
      <c r="B71" s="192"/>
      <c r="C71" s="268"/>
      <c r="D71" s="232"/>
      <c r="E71" s="302" t="str">
        <f t="shared" si="5"/>
        <v/>
      </c>
      <c r="F71" s="303"/>
      <c r="G71" s="303"/>
      <c r="H71" s="303"/>
      <c r="I71" s="304"/>
      <c r="J71" s="865" t="str">
        <f>IF(Assumptions!$H$26="Fine-granular sectors",IF(ISNUMBER(Input!G217)=FALSE,"N/A",(Input!G217)),IF(Assumptions!$H$26="Broad sectors (Basel II)",IF(ISNUMBER(Input!O217)=FALSE,"",(Input!O217)),IF(Assumptions!$H$26="Geographical sectors",IF(ISNUMBER(Input!V217)=FALSE,"",(Input!V217)),"Please check")))</f>
        <v/>
      </c>
      <c r="K71" s="848"/>
      <c r="L71" s="847" t="str">
        <f t="shared" si="0"/>
        <v/>
      </c>
      <c r="M71" s="848"/>
      <c r="N71" s="847" t="str">
        <f t="shared" si="1"/>
        <v/>
      </c>
      <c r="O71" s="848"/>
      <c r="P71" s="847" t="str">
        <f t="shared" si="2"/>
        <v/>
      </c>
      <c r="Q71" s="848"/>
      <c r="R71" s="847" t="str">
        <f t="shared" si="3"/>
        <v/>
      </c>
      <c r="S71" s="848"/>
      <c r="T71" s="847" t="str">
        <f t="shared" si="4"/>
        <v/>
      </c>
      <c r="U71" s="848"/>
      <c r="V71" s="232"/>
    </row>
    <row r="72" spans="2:22" x14ac:dyDescent="0.25">
      <c r="B72" s="192"/>
      <c r="C72" s="268"/>
      <c r="D72" s="232"/>
      <c r="E72" s="302" t="str">
        <f t="shared" si="5"/>
        <v/>
      </c>
      <c r="F72" s="303"/>
      <c r="G72" s="303"/>
      <c r="H72" s="303"/>
      <c r="I72" s="304"/>
      <c r="J72" s="865" t="str">
        <f>IF(Assumptions!$H$26="Fine-granular sectors",IF(ISNUMBER(Input!G218)=FALSE,"N/A",(Input!G218)),IF(Assumptions!$H$26="Broad sectors (Basel II)",IF(ISNUMBER(Input!O218)=FALSE,"",(Input!O218)),IF(Assumptions!$H$26="Geographical sectors",IF(ISNUMBER(Input!V218)=FALSE,"",(Input!V218)),"Please check")))</f>
        <v/>
      </c>
      <c r="K72" s="848"/>
      <c r="L72" s="847" t="str">
        <f t="shared" si="0"/>
        <v/>
      </c>
      <c r="M72" s="848"/>
      <c r="N72" s="847" t="str">
        <f t="shared" si="1"/>
        <v/>
      </c>
      <c r="O72" s="848"/>
      <c r="P72" s="847" t="str">
        <f t="shared" si="2"/>
        <v/>
      </c>
      <c r="Q72" s="848"/>
      <c r="R72" s="847" t="str">
        <f t="shared" si="3"/>
        <v/>
      </c>
      <c r="S72" s="848"/>
      <c r="T72" s="847" t="str">
        <f t="shared" si="4"/>
        <v/>
      </c>
      <c r="U72" s="848"/>
      <c r="V72" s="232"/>
    </row>
    <row r="73" spans="2:22" x14ac:dyDescent="0.25">
      <c r="B73" s="192"/>
      <c r="C73" s="268"/>
      <c r="D73" s="232"/>
      <c r="E73" s="305" t="str">
        <f t="shared" si="5"/>
        <v/>
      </c>
      <c r="F73" s="306"/>
      <c r="G73" s="306"/>
      <c r="H73" s="306"/>
      <c r="I73" s="307"/>
      <c r="J73" s="865" t="str">
        <f>IF(Assumptions!$H$26="Fine-granular sectors",IF(ISNUMBER(Input!G219)=FALSE,"N/A",(Input!G219)),IF(Assumptions!$H$26="Broad sectors (Basel II)",IF(ISNUMBER(Input!O219)=FALSE,"",(Input!O219)),IF(Assumptions!$H$26="Geographical sectors",IF(ISNUMBER(Input!V219)=FALSE,"",(Input!V219)),"Please check")))</f>
        <v/>
      </c>
      <c r="K73" s="848"/>
      <c r="L73" s="847" t="str">
        <f t="shared" si="0"/>
        <v/>
      </c>
      <c r="M73" s="848"/>
      <c r="N73" s="847" t="str">
        <f t="shared" si="1"/>
        <v/>
      </c>
      <c r="O73" s="848"/>
      <c r="P73" s="847" t="str">
        <f t="shared" si="2"/>
        <v/>
      </c>
      <c r="Q73" s="848"/>
      <c r="R73" s="847" t="str">
        <f t="shared" si="3"/>
        <v/>
      </c>
      <c r="S73" s="848"/>
      <c r="T73" s="847" t="str">
        <f t="shared" si="4"/>
        <v/>
      </c>
      <c r="U73" s="848"/>
      <c r="V73" s="232"/>
    </row>
    <row r="74" spans="2:22" x14ac:dyDescent="0.25">
      <c r="B74" s="192"/>
      <c r="C74" s="232"/>
      <c r="D74" s="232"/>
      <c r="E74" s="232"/>
      <c r="F74" s="232"/>
      <c r="G74" s="232"/>
      <c r="H74" s="232"/>
      <c r="I74" s="232"/>
      <c r="J74" s="232"/>
      <c r="K74" s="232"/>
      <c r="L74" s="232"/>
      <c r="M74" s="232"/>
      <c r="N74" s="232"/>
      <c r="O74" s="232"/>
      <c r="P74" s="232"/>
      <c r="Q74" s="232"/>
      <c r="R74" s="232"/>
      <c r="S74" s="232"/>
      <c r="T74" s="232"/>
      <c r="U74" s="232"/>
      <c r="V74" s="232"/>
    </row>
    <row r="75" spans="2:22" x14ac:dyDescent="0.25">
      <c r="B75" s="192"/>
      <c r="C75" s="232"/>
      <c r="D75" s="232"/>
      <c r="E75" s="232"/>
      <c r="F75" s="232"/>
      <c r="G75" s="232"/>
      <c r="H75" s="232"/>
      <c r="I75" s="232"/>
      <c r="J75" s="232"/>
      <c r="K75" s="232"/>
      <c r="L75" s="232"/>
      <c r="M75" s="232"/>
      <c r="N75" s="232"/>
      <c r="O75" s="232"/>
      <c r="P75" s="232"/>
      <c r="Q75" s="232"/>
      <c r="R75" s="232"/>
      <c r="S75" s="232"/>
      <c r="T75" s="232"/>
      <c r="U75" s="232"/>
      <c r="V75" s="232"/>
    </row>
    <row r="76" spans="2:22" ht="30" customHeight="1" x14ac:dyDescent="0.25">
      <c r="B76" s="192"/>
      <c r="C76" s="232"/>
      <c r="D76" s="232"/>
      <c r="E76" s="1206" t="str">
        <f>IF(Setup!B7="Losses/Provisions","Loss Given Default (LGD) (Note: LGD=100% in this setting)","Loss Given Default (LGD)")</f>
        <v>Loss Given Default (LGD)</v>
      </c>
      <c r="F76" s="1207"/>
      <c r="G76" s="1207"/>
      <c r="H76" s="1207"/>
      <c r="I76" s="1208"/>
      <c r="J76" s="844" t="s">
        <v>944</v>
      </c>
      <c r="K76" s="846"/>
      <c r="L76" s="844" t="s">
        <v>763</v>
      </c>
      <c r="M76" s="846"/>
      <c r="N76" s="844" t="s">
        <v>764</v>
      </c>
      <c r="O76" s="846"/>
      <c r="P76" s="844" t="s">
        <v>765</v>
      </c>
      <c r="Q76" s="846"/>
      <c r="R76" s="844" t="s">
        <v>766</v>
      </c>
      <c r="S76" s="846"/>
      <c r="T76" s="844" t="s">
        <v>767</v>
      </c>
      <c r="U76" s="846"/>
      <c r="V76" s="232"/>
    </row>
    <row r="77" spans="2:22" x14ac:dyDescent="0.25">
      <c r="B77" s="192"/>
      <c r="C77" s="234"/>
      <c r="D77" s="234"/>
      <c r="E77" s="11" t="s">
        <v>963</v>
      </c>
      <c r="F77" s="2"/>
      <c r="G77" s="2"/>
      <c r="H77" s="2"/>
      <c r="I77" s="3"/>
      <c r="J77" s="264"/>
      <c r="K77" s="264"/>
      <c r="L77" s="1212" t="str">
        <f>Assumptions!M$82</f>
        <v>Relative</v>
      </c>
      <c r="M77" s="850"/>
      <c r="N77" s="1212" t="str">
        <f>Assumptions!O$82</f>
        <v>Absolute, by x %</v>
      </c>
      <c r="O77" s="850"/>
      <c r="P77" s="1212" t="str">
        <f>Assumptions!Q$82</f>
        <v>Absolute, by x %</v>
      </c>
      <c r="Q77" s="850"/>
      <c r="R77" s="1212" t="str">
        <f>Assumptions!S$82</f>
        <v>Absolute, by x %</v>
      </c>
      <c r="S77" s="850"/>
      <c r="T77" s="1212" t="str">
        <f>Assumptions!U$82</f>
        <v>Absolute, by x %</v>
      </c>
      <c r="U77" s="850"/>
      <c r="V77" s="232"/>
    </row>
    <row r="78" spans="2:22" x14ac:dyDescent="0.25">
      <c r="B78" s="192"/>
      <c r="C78" s="234"/>
      <c r="D78" s="234"/>
      <c r="E78" s="258" t="s">
        <v>950</v>
      </c>
      <c r="F78" s="259"/>
      <c r="G78" s="259"/>
      <c r="H78" s="259"/>
      <c r="I78" s="260"/>
      <c r="J78" s="264"/>
      <c r="K78" s="264"/>
      <c r="L78" s="847">
        <f>IF(Assumptions!M$82="Empirical PD-LGD link","N/A",IF(Assumptions!$H$58="Macro",IF(Assumptions!$H$63="Yes",IF(Assumptions!$H$60="Rule of Thumb",IF(Assumptions!$H$59="Advanced Country",Assumptions!M$61*IF(J$80*100&lt;Parameters!$H$302,Parameters!$H$310/J$80,IF(J$80*100&lt;Parameters!$J$302,Parameters!$J$310/J$80,Parameters!$L$310/J$80)),IF(J$80*100&lt;Parameters!$P$302,Parameters!$P$310/J$80,IF(J$80*100&lt;Parameters!$R$302,Parameters!$R$310/J$80,Parameters!$T$310/J$80)))),Assumptions!M$83),Assumptions!M$83))</f>
        <v>0.6</v>
      </c>
      <c r="M78" s="848"/>
      <c r="N78" s="847">
        <f>IF(Assumptions!O$82="Empirical PD-LGD link","N/A",IF(Assumptions!$H$58="Macro",IF(Assumptions!$H$63="Yes",IF(Assumptions!$H$60="Rule of Thumb",IF(Assumptions!$H$59="Advanced Country",Assumptions!O$61*IF(L$80*100&lt;Parameters!$H$302,Parameters!$H$310/L$80,IF(L$80*100&lt;Parameters!$J$302,Parameters!$J$310/L$80,Parameters!$L$310/L$80)),IF(L$80*100&lt;Parameters!$P$302,Parameters!$P$310/L$80,IF(L$80*100&lt;Parameters!$R$302,Parameters!$R$310/L$80,Parameters!$T$310/L$80)))),Assumptions!O$83),Assumptions!O$83))</f>
        <v>0.6</v>
      </c>
      <c r="O78" s="848"/>
      <c r="P78" s="847">
        <f>IF(Assumptions!Q$82="Empirical PD-LGD link","N/A",IF(Assumptions!$H$58="Macro",IF(Assumptions!$H$63="Yes",IF(Assumptions!$H$60="Rule of Thumb",IF(Assumptions!$H$59="Advanced Country",Assumptions!Q$61*IF(N$80*100&lt;Parameters!$H$302,Parameters!$H$310/N$80,IF(N$80*100&lt;Parameters!$J$302,Parameters!$J$310/N$80,Parameters!$L$310/N$80)),IF(N$80*100&lt;Parameters!$P$302,Parameters!$P$310/N$80,IF(N$80*100&lt;Parameters!$R$302,Parameters!$R$310/N$80,Parameters!$T$310/N$80)))),Assumptions!Q$83),Assumptions!Q$83))</f>
        <v>0.6</v>
      </c>
      <c r="Q78" s="848"/>
      <c r="R78" s="847">
        <f>IF(Assumptions!S$82="Empirical PD-LGD link","N/A",IF(Assumptions!$H$58="Macro",IF(Assumptions!$H$63="Yes",IF(Assumptions!$H$60="Rule of Thumb",IF(Assumptions!$H$59="Advanced Country",Assumptions!S$61*IF(P$80*100&lt;Parameters!$H$302,Parameters!$H$310/P$80,IF(P$80*100&lt;Parameters!$J$302,Parameters!$J$310/P$80,Parameters!$L$310/P$80)),IF(P$80*100&lt;Parameters!$P$302,Parameters!$P$310/P$80,IF(P$80*100&lt;Parameters!$R$302,Parameters!$R$310/P$80,Parameters!$T$310/P$80)))),Assumptions!S$83),Assumptions!S$83))</f>
        <v>0.6</v>
      </c>
      <c r="S78" s="848"/>
      <c r="T78" s="847">
        <f>IF(Assumptions!U$82="Empirical PD-LGD link","N/A",IF(Assumptions!$H$58="Macro",IF(Assumptions!$H$63="Yes",IF(Assumptions!$H$60="Rule of Thumb",IF(Assumptions!$H$59="Advanced Country",Assumptions!U$61*IF(R$80*100&lt;Parameters!$H$302,Parameters!$H$310/R$80,IF(R$80*100&lt;Parameters!$J$302,Parameters!$J$310/R$80,Parameters!$L$310/R$80)),IF(R$80*100&lt;Parameters!$P$302,Parameters!$P$310/R$80,IF(R$80*100&lt;Parameters!$R$302,Parameters!$R$310/R$80,Parameters!$T$310/R$80)))),Assumptions!U$83),Assumptions!U$83))</f>
        <v>0.6</v>
      </c>
      <c r="U78" s="848"/>
      <c r="V78" s="232"/>
    </row>
    <row r="79" spans="2:22" x14ac:dyDescent="0.25">
      <c r="B79" s="192"/>
      <c r="C79" s="234"/>
      <c r="D79" s="234"/>
      <c r="E79" s="232"/>
      <c r="F79" s="232"/>
      <c r="G79" s="232"/>
      <c r="H79" s="232"/>
      <c r="I79" s="232"/>
      <c r="J79" s="232"/>
      <c r="K79" s="232"/>
      <c r="L79" s="232"/>
      <c r="M79" s="232"/>
      <c r="N79" s="232"/>
      <c r="O79" s="232"/>
      <c r="P79" s="232"/>
      <c r="Q79" s="232"/>
      <c r="R79" s="232"/>
      <c r="S79" s="232"/>
      <c r="T79" s="232"/>
      <c r="U79" s="232"/>
      <c r="V79" s="232"/>
    </row>
    <row r="80" spans="2:22" x14ac:dyDescent="0.25">
      <c r="B80" s="192"/>
      <c r="C80" s="234"/>
      <c r="D80" s="234"/>
      <c r="E80" s="313" t="s">
        <v>342</v>
      </c>
      <c r="F80" s="15"/>
      <c r="G80" s="15"/>
      <c r="H80" s="15"/>
      <c r="I80" s="16"/>
      <c r="J80" s="847">
        <f>IF(SUM(J81:K100)=0,IF(Setup!$B$7="Losses/Provisions",100%,'Summary of Input Data'!$I$30),IF(AND(ISNUMBER('Summary of Input Data'!$I$29),SUM(J81:K100)=0),'Summary of Input Data'!$I$29,IF(ISNUMBER(IF(Assumptions!$H$26="Broad sectors (Basel II)",SUMPRODUCT(J81:K90,L27:M36)/L26,SUMPRODUCT(J81:K100,L27:M46)/L26))=FALSE,"N/A",IF(Assumptions!$H$26="Broad sectors (Basel II)",SUMPRODUCT(J81:K90,L27:M36)/L26,SUMPRODUCT(J81:K100,L27:M46)/L26))))</f>
        <v>0.70824730645748213</v>
      </c>
      <c r="K80" s="848"/>
      <c r="L80" s="847">
        <f>IF(Setup!$B$7="Losses/Provisions",100%,IF(AND(L26&gt;0,SUM(L54:L73)=0),IF(IF($L$77="Relative",IF(ISNUMBER('Summary of Input Data'!I30),'Summary of Input Data'!I30,'Summary of Input Data'!I29)*(1+$L$78),IF($L$77="Absolute, by x %",IF(ISNUMBER('Summary of Input Data'!I30),'Summary of Input Data'!I30,'Summary of Input Data'!I29)+$L$78,IF($L$77="Empirical PD-LGD link",IF(L53="N/A","N/A",IF(L53="","",Parameters!$M$90+Parameters!$M$91*L53)),$L$78)))&gt;1,1,IF($L$77="Relative",IF(ISNUMBER('Summary of Input Data'!I30),'Summary of Input Data'!I30,'Summary of Input Data'!I29)*(1+$L$78),IF($L$77="Absolute, by x %",IF(ISNUMBER('Summary of Input Data'!I30),'Summary of Input Data'!I30,'Summary of Input Data'!I29)+$L$78,IF($L$77="Empirical PD-LGD link",IF(L53="N/A","N/A",IF(L53="","",Parameters!$M$90+Parameters!$M$91*L53)),$L$78)))),IF(ISNUMBER(IF(Assumptions!$H$26="Broad sectors (Basel II)",SUMPRODUCT(L81:L90,L27:L36)/L26,SUMPRODUCT(L81:L100,L27:L46)/L26))=FALSE,"N/A",IF(Assumptions!$H$26="Broad sectors (Basel II)",SUMPRODUCT(L81:L90,L27:L36)/L26,SUMPRODUCT(L81:L100,L27:L46)/L26))))</f>
        <v>0.94608848326505846</v>
      </c>
      <c r="M80" s="848"/>
      <c r="N80" s="847">
        <f>IF(Setup!$B$7="Losses/Provisions",100%,IF(AND(N26&gt;0,SUM(N54:N73)=0),IF(IF($L$77="Relative",IF(ISNUMBER('Summary of Input Data'!K30),'Summary of Input Data'!K30,'Summary of Input Data'!K29)*(1+$L$78),IF($L$77="Absolute, by x %",IF(ISNUMBER('Summary of Input Data'!K30),'Summary of Input Data'!K30,'Summary of Input Data'!K29)+$L$78,IF($L$77="Empirical PD-LGD link",IF(N53="N/A","N/A",IF(N53="","",Parameters!$M$90+Parameters!$M$91*N53)),$L$78)))&gt;1,1,IF($L$77="Relative",IF(ISNUMBER('Summary of Input Data'!K30),'Summary of Input Data'!K30,'Summary of Input Data'!K29)*(1+$L$78),IF($L$77="Absolute, by x %",IF(ISNUMBER('Summary of Input Data'!K30),'Summary of Input Data'!K30,'Summary of Input Data'!K29)+$L$78,IF($L$77="Empirical PD-LGD link",IF(N53="N/A","N/A",IF(N53="","",Parameters!$M$90+Parameters!$M$91*N53)),$L$78)))),IF(ISNUMBER(IF(Assumptions!$H$26="Broad sectors (Basel II)",SUMPRODUCT(N81:N90,N27:N36)/N26,SUMPRODUCT(N81:N100,N27:N46)/N26))=FALSE,"N/A",IF(Assumptions!$H$26="Broad sectors (Basel II)",SUMPRODUCT(N81:N90,N27:N36)/N26,SUMPRODUCT(N81:N100,N27:N46)/N26))))</f>
        <v>1</v>
      </c>
      <c r="O80" s="848"/>
      <c r="P80" s="847">
        <f>IF(Setup!$B$7="Losses/Provisions",100%,IF(AND(P26&gt;0,SUM(P54:P73)=0),IF(IF($L$77="Relative",IF(ISNUMBER('Summary of Input Data'!M30),'Summary of Input Data'!M30,'Summary of Input Data'!M29)*(1+$L$78),IF($L$77="Absolute, by x %",IF(ISNUMBER('Summary of Input Data'!M30),'Summary of Input Data'!M30,'Summary of Input Data'!M29)+$L$78,IF($L$77="Empirical PD-LGD link",IF(P53="N/A","N/A",IF(P53="","",Parameters!$M$90+Parameters!$M$91*P53)),$L$78)))&gt;1,1,IF($L$77="Relative",IF(ISNUMBER('Summary of Input Data'!M30),'Summary of Input Data'!M30,'Summary of Input Data'!M29)*(1+$L$78),IF($L$77="Absolute, by x %",IF(ISNUMBER('Summary of Input Data'!M30),'Summary of Input Data'!M30,'Summary of Input Data'!M29)+$L$78,IF($L$77="Empirical PD-LGD link",IF(P53="N/A","N/A",IF(P53="","",Parameters!$M$90+Parameters!$M$91*P53)),$L$78)))),IF(ISNUMBER(IF(Assumptions!$H$26="Broad sectors (Basel II)",SUMPRODUCT(P81:P90,P27:P36)/P26,SUMPRODUCT(P81:P100,P27:P46)/P26))=FALSE,"N/A",IF(Assumptions!$H$26="Broad sectors (Basel II)",SUMPRODUCT(P81:P90,P27:P36)/P26,SUMPRODUCT(P81:P100,P27:P46)/P26))))</f>
        <v>1</v>
      </c>
      <c r="Q80" s="848"/>
      <c r="R80" s="847">
        <f>IF(Setup!$B$7="Losses/Provisions",100%,IF(AND(R26&gt;0,SUM(R54:R73)=0),IF(IF($L$77="Relative",IF(ISNUMBER('Summary of Input Data'!O30),'Summary of Input Data'!O30,'Summary of Input Data'!O29)*(1+$L$78),IF($L$77="Absolute, by x %",IF(ISNUMBER('Summary of Input Data'!O30),'Summary of Input Data'!O30,'Summary of Input Data'!O29)+$L$78,IF($L$77="Empirical PD-LGD link",IF(R53="N/A","N/A",IF(R53="","",Parameters!$M$90+Parameters!$M$91*R53)),$L$78)))&gt;1,1,IF($L$77="Relative",IF(ISNUMBER('Summary of Input Data'!O30),'Summary of Input Data'!O30,'Summary of Input Data'!O29)*(1+$L$78),IF($L$77="Absolute, by x %",IF(ISNUMBER('Summary of Input Data'!O30),'Summary of Input Data'!O30,'Summary of Input Data'!O29)+$L$78,IF($L$77="Empirical PD-LGD link",IF(R53="N/A","N/A",IF(R53="","",Parameters!$M$90+Parameters!$M$91*R53)),$L$78)))),IF(ISNUMBER(IF(Assumptions!$H$26="Broad sectors (Basel II)",SUMPRODUCT(R81:R90,R27:R36)/R26,SUMPRODUCT(R81:R100,R27:R46)/R26))=FALSE,"N/A",IF(Assumptions!$H$26="Broad sectors (Basel II)",SUMPRODUCT(R81:R90,R27:R36)/R26,SUMPRODUCT(R81:R100,R27:R46)/R26))))</f>
        <v>1</v>
      </c>
      <c r="S80" s="848"/>
      <c r="T80" s="847">
        <f>IF(Setup!$B$7="Losses/Provisions",100%,IF(AND(T26&gt;0,SUM(T54:T73)=0),IF(IF($L$77="Relative",IF(ISNUMBER('Summary of Input Data'!Q30),'Summary of Input Data'!Q30,'Summary of Input Data'!Q29)*(1+$L$78),IF($L$77="Absolute, by x %",IF(ISNUMBER('Summary of Input Data'!Q30),'Summary of Input Data'!Q30,'Summary of Input Data'!Q29)+$L$78,IF($L$77="Empirical PD-LGD link",IF(T53="N/A","N/A",IF(T53="","",Parameters!$M$90+Parameters!$M$91*T53)),$L$78)))&gt;1,1,IF($L$77="Relative",IF(ISNUMBER('Summary of Input Data'!Q30),'Summary of Input Data'!Q30,'Summary of Input Data'!Q29)*(1+$L$78),IF($L$77="Absolute, by x %",IF(ISNUMBER('Summary of Input Data'!Q30),'Summary of Input Data'!Q30,'Summary of Input Data'!Q29)+$L$78,IF($L$77="Empirical PD-LGD link",IF(T53="N/A","N/A",IF(T53="","",Parameters!$M$90+Parameters!$M$91*T53)),$L$78)))),IF(ISNUMBER(IF(Assumptions!$H$26="Broad sectors (Basel II)",SUMPRODUCT(T81:T90,T27:T36)/T26,SUMPRODUCT(T81:T100,T27:T46)/T26))=FALSE,"N/A",IF(Assumptions!$H$26="Broad sectors (Basel II)",SUMPRODUCT(T81:T90,T27:T36)/T26,SUMPRODUCT(T81:T100,T27:T46)/T26))))</f>
        <v>1</v>
      </c>
      <c r="U80" s="848"/>
      <c r="V80" s="232"/>
    </row>
    <row r="81" spans="2:22" x14ac:dyDescent="0.25">
      <c r="B81" s="192"/>
      <c r="C81" s="234"/>
      <c r="D81" s="234"/>
      <c r="E81" s="299" t="str">
        <f>E27</f>
        <v>Sovereign</v>
      </c>
      <c r="F81" s="300"/>
      <c r="G81" s="300"/>
      <c r="H81" s="300"/>
      <c r="I81" s="301"/>
      <c r="J81" s="865">
        <f>IF(Setup!$B$7="Losses/Provisions",100%,IF(Assumptions!$H$26="Fine-granular sectors",IF(ISNUMBER(Input!G225)=FALSE,"N/A",(Input!G225)),IF(Assumptions!$H$26="Broad sectors (Basel II)",IF(ISNUMBER(Input!O225)=FALSE,"N/A",(Input!O225)),IF(Assumptions!$H$26="Geographical sectors",IF(ISNUMBER(Input!X225)=FALSE,"N/A",(Input!X225)),"Please check"))))</f>
        <v>0.4</v>
      </c>
      <c r="K81" s="848"/>
      <c r="L81" s="865">
        <f>IF(OR(J81="",L54="N/A"),"N/A",IF(Setup!$B$7="Losses/Provisions",1,IF(L$77="Empirical PD-LGD link",MIN(1,Parameters!$M$90+Parameters!$M$91*L54),IF(L$77="Relative",MIN(1,J81*(1+L$78)),IF(L$77="Absolute, by x %",MIN(1,J81+L$78),IF(L$77="Absolute, to x %",MIN(1,L$78),"Please Enter"))))))</f>
        <v>0.64000000000000012</v>
      </c>
      <c r="M81" s="848"/>
      <c r="N81" s="865">
        <f>IF(OR(L81="",N54="N/A"),"N/A",IF(Setup!$B$7="Losses/Provisions",1,IF(N$77="Empirical PD-LGD link",MIN(1,Parameters!$M$90+Parameters!$M$91*N54),IF(N$77="Relative",MIN(1,L81*(1+N$78)),IF(N$77="Absolute, by x %",MIN(1,L81+N$78),IF(N$77="Absolute, to x %",MIN(1,N$78),"Please Enter"))))))</f>
        <v>1</v>
      </c>
      <c r="O81" s="848"/>
      <c r="P81" s="865">
        <f>IF(OR(N81="",P54="N/A"),"N/A",IF(Setup!$B$7="Losses/Provisions",1,IF(P$77="Empirical PD-LGD link",MIN(1,Parameters!$M$90+Parameters!$M$91*P54),IF(P$77="Relative",MIN(1,N81*(1+P$78)),IF(P$77="Absolute, by x %",MIN(1,N81+P$78),IF(P$77="Absolute, to x %",MIN(1,P$78),"Please Enter"))))))</f>
        <v>1</v>
      </c>
      <c r="Q81" s="848"/>
      <c r="R81" s="865">
        <f>IF(OR(P81="",R54="N/A"),"N/A",IF(Setup!$B$7="Losses/Provisions",1,IF(R$77="Empirical PD-LGD link",MIN(1,Parameters!$M$90+Parameters!$M$91*R54),IF(R$77="Relative",MIN(1,P81*(1+R$78)),IF(R$77="Absolute, by x %",MIN(1,P81+R$78),IF(R$77="Absolute, to x %",MIN(1,R$78),"Please Enter"))))))</f>
        <v>1</v>
      </c>
      <c r="S81" s="848"/>
      <c r="T81" s="865">
        <f>IF(OR(R81="",T54="N/A"),"N/A",IF(Setup!$B$7="Losses/Provisions",1,IF(T$77="Empirical PD-LGD link",MIN(1,Parameters!$M$90+Parameters!$M$91*T54),IF(T$77="Relative",MIN(1,R81*(1+T$78)),IF(T$77="Absolute, by x %",MIN(1,R81+T$78),IF(T$77="Absolute, to x %",MIN(1,T$78),"Please Enter"))))))</f>
        <v>1</v>
      </c>
      <c r="U81" s="848"/>
      <c r="V81" s="232"/>
    </row>
    <row r="82" spans="2:22" x14ac:dyDescent="0.25">
      <c r="B82" s="192"/>
      <c r="C82" s="234"/>
      <c r="D82" s="234"/>
      <c r="E82" s="302" t="str">
        <f t="shared" ref="E82:E100" si="6">E28</f>
        <v>Non-sovereign public sector entities</v>
      </c>
      <c r="F82" s="303"/>
      <c r="G82" s="303"/>
      <c r="H82" s="303"/>
      <c r="I82" s="304"/>
      <c r="J82" s="865">
        <f>IF(Setup!$B$7="Losses/Provisions",100%,IF(Assumptions!$H$26="Fine-granular sectors",IF(ISNUMBER(Input!G226)=FALSE,"N/A",(Input!G226)),IF(Assumptions!$H$26="Broad sectors (Basel II)",IF(ISNUMBER(Input!O226)=FALSE,"N/A",(Input!O226)),IF(Assumptions!$H$26="Geographical sectors",IF(ISNUMBER(Input!X226)=FALSE,"N/A",(Input!X226)),"Please check"))))</f>
        <v>0.6</v>
      </c>
      <c r="K82" s="848"/>
      <c r="L82" s="865">
        <f>IF(OR(J82="",L55="N/A"),"N/A",IF(Setup!$B$7="Losses/Provisions",1,IF(L$77="Empirical PD-LGD link",MIN(1,Parameters!$M$90+Parameters!$M$91*L55),IF(L$77="Relative",MIN(1,J82*(1+L$78)),IF(L$77="Absolute, by x %",MIN(1,J82+L$78),IF(L$77="Absolute, to x %",MIN(1,L$78),"Please Enter"))))))</f>
        <v>0.96</v>
      </c>
      <c r="M82" s="848"/>
      <c r="N82" s="865">
        <f>IF(OR(L82="",N55="N/A"),"N/A",IF(Setup!$B$7="Losses/Provisions",1,IF(N$77="Empirical PD-LGD link",MIN(1,Parameters!$M$90+Parameters!$M$91*N55),IF(N$77="Relative",MIN(1,L82*(1+N$78)),IF(N$77="Absolute, by x %",MIN(1,L82+N$78),IF(N$77="Absolute, to x %",MIN(1,N$78),"Please Enter"))))))</f>
        <v>1</v>
      </c>
      <c r="O82" s="848"/>
      <c r="P82" s="865">
        <f>IF(OR(N82="",P55="N/A"),"N/A",IF(Setup!$B$7="Losses/Provisions",1,IF(P$77="Empirical PD-LGD link",MIN(1,Parameters!$M$90+Parameters!$M$91*P55),IF(P$77="Relative",MIN(1,N82*(1+P$78)),IF(P$77="Absolute, by x %",MIN(1,N82+P$78),IF(P$77="Absolute, to x %",MIN(1,P$78),"Please Enter"))))))</f>
        <v>1</v>
      </c>
      <c r="Q82" s="848"/>
      <c r="R82" s="865">
        <f>IF(OR(P82="",R55="N/A"),"N/A",IF(Setup!$B$7="Losses/Provisions",1,IF(R$77="Empirical PD-LGD link",MIN(1,Parameters!$M$90+Parameters!$M$91*R55),IF(R$77="Relative",MIN(1,P82*(1+R$78)),IF(R$77="Absolute, by x %",MIN(1,P82+R$78),IF(R$77="Absolute, to x %",MIN(1,R$78),"Please Enter"))))))</f>
        <v>1</v>
      </c>
      <c r="S82" s="848"/>
      <c r="T82" s="865">
        <f>IF(OR(R82="",T55="N/A"),"N/A",IF(Setup!$B$7="Losses/Provisions",1,IF(T$77="Empirical PD-LGD link",MIN(1,Parameters!$M$90+Parameters!$M$91*T55),IF(T$77="Relative",MIN(1,R82*(1+T$78)),IF(T$77="Absolute, by x %",MIN(1,R82+T$78),IF(T$77="Absolute, to x %",MIN(1,T$78),"Please Enter"))))))</f>
        <v>1</v>
      </c>
      <c r="U82" s="848"/>
      <c r="V82" s="232"/>
    </row>
    <row r="83" spans="2:22" x14ac:dyDescent="0.25">
      <c r="B83" s="192"/>
      <c r="C83" s="232"/>
      <c r="D83" s="232"/>
      <c r="E83" s="302" t="str">
        <f t="shared" si="6"/>
        <v>Banks/Institutions</v>
      </c>
      <c r="F83" s="303"/>
      <c r="G83" s="303"/>
      <c r="H83" s="303"/>
      <c r="I83" s="304"/>
      <c r="J83" s="865">
        <f>IF(Setup!$B$7="Losses/Provisions",100%,IF(Assumptions!$H$26="Fine-granular sectors",IF(ISNUMBER(Input!G227)=FALSE,"N/A",(Input!G227)),IF(Assumptions!$H$26="Broad sectors (Basel II)",IF(ISNUMBER(Input!O227)=FALSE,"N/A",(Input!O227)),IF(Assumptions!$H$26="Geographical sectors",IF(ISNUMBER(Input!X227)=FALSE,"N/A",(Input!X227)),"Please check"))))</f>
        <v>0.6</v>
      </c>
      <c r="K83" s="848"/>
      <c r="L83" s="865">
        <f>IF(OR(J83="",L56="N/A"),"N/A",IF(Setup!$B$7="Losses/Provisions",1,IF(L$77="Empirical PD-LGD link",MIN(1,Parameters!$M$90+Parameters!$M$91*L56),IF(L$77="Relative",MIN(1,J83*(1+L$78)),IF(L$77="Absolute, by x %",MIN(1,J83+L$78),IF(L$77="Absolute, to x %",MIN(1,L$78),"Please Enter"))))))</f>
        <v>0.96</v>
      </c>
      <c r="M83" s="848"/>
      <c r="N83" s="865">
        <f>IF(OR(L83="",N56="N/A"),"N/A",IF(Setup!$B$7="Losses/Provisions",1,IF(N$77="Empirical PD-LGD link",MIN(1,Parameters!$M$90+Parameters!$M$91*N56),IF(N$77="Relative",MIN(1,L83*(1+N$78)),IF(N$77="Absolute, by x %",MIN(1,L83+N$78),IF(N$77="Absolute, to x %",MIN(1,N$78),"Please Enter"))))))</f>
        <v>1</v>
      </c>
      <c r="O83" s="848"/>
      <c r="P83" s="865">
        <f>IF(OR(N83="",P56="N/A"),"N/A",IF(Setup!$B$7="Losses/Provisions",1,IF(P$77="Empirical PD-LGD link",MIN(1,Parameters!$M$90+Parameters!$M$91*P56),IF(P$77="Relative",MIN(1,N83*(1+P$78)),IF(P$77="Absolute, by x %",MIN(1,N83+P$78),IF(P$77="Absolute, to x %",MIN(1,P$78),"Please Enter"))))))</f>
        <v>1</v>
      </c>
      <c r="Q83" s="848"/>
      <c r="R83" s="865">
        <f>IF(OR(P83="",R56="N/A"),"N/A",IF(Setup!$B$7="Losses/Provisions",1,IF(R$77="Empirical PD-LGD link",MIN(1,Parameters!$M$90+Parameters!$M$91*R56),IF(R$77="Relative",MIN(1,P83*(1+R$78)),IF(R$77="Absolute, by x %",MIN(1,P83+R$78),IF(R$77="Absolute, to x %",MIN(1,R$78),"Please Enter"))))))</f>
        <v>1</v>
      </c>
      <c r="S83" s="848"/>
      <c r="T83" s="865">
        <f>IF(OR(R83="",T56="N/A"),"N/A",IF(Setup!$B$7="Losses/Provisions",1,IF(T$77="Empirical PD-LGD link",MIN(1,Parameters!$M$90+Parameters!$M$91*T56),IF(T$77="Relative",MIN(1,R83*(1+T$78)),IF(T$77="Absolute, by x %",MIN(1,R83+T$78),IF(T$77="Absolute, to x %",MIN(1,T$78),"Please Enter"))))))</f>
        <v>1</v>
      </c>
      <c r="U83" s="848"/>
      <c r="V83" s="232"/>
    </row>
    <row r="84" spans="2:22" x14ac:dyDescent="0.25">
      <c r="B84" s="192"/>
      <c r="C84" s="232"/>
      <c r="D84" s="232"/>
      <c r="E84" s="302" t="str">
        <f t="shared" si="6"/>
        <v>Corporates</v>
      </c>
      <c r="F84" s="303"/>
      <c r="G84" s="303"/>
      <c r="H84" s="303"/>
      <c r="I84" s="304"/>
      <c r="J84" s="865">
        <f>IF(Setup!$B$7="Losses/Provisions",100%,IF(Assumptions!$H$26="Fine-granular sectors",IF(ISNUMBER(Input!G228)=FALSE,"N/A",(Input!G228)),IF(Assumptions!$H$26="Broad sectors (Basel II)",IF(ISNUMBER(Input!O228)=FALSE,"N/A",(Input!O228)),IF(Assumptions!$H$26="Geographical sectors",IF(ISNUMBER(Input!X228)=FALSE,"N/A",(Input!X228)),"Please check"))))</f>
        <v>0.89800000000000002</v>
      </c>
      <c r="K84" s="848"/>
      <c r="L84" s="865">
        <f>IF(OR(J84="",L57="N/A"),"N/A",IF(Setup!$B$7="Losses/Provisions",1,IF(L$77="Empirical PD-LGD link",MIN(1,Parameters!$M$90+Parameters!$M$91*L57),IF(L$77="Relative",MIN(1,J84*(1+L$78)),IF(L$77="Absolute, by x %",MIN(1,J84+L$78),IF(L$77="Absolute, to x %",MIN(1,L$78),"Please Enter"))))))</f>
        <v>1</v>
      </c>
      <c r="M84" s="848"/>
      <c r="N84" s="865">
        <f>IF(OR(L84="",N57="N/A"),"N/A",IF(Setup!$B$7="Losses/Provisions",1,IF(N$77="Empirical PD-LGD link",MIN(1,Parameters!$M$90+Parameters!$M$91*N57),IF(N$77="Relative",MIN(1,L84*(1+N$78)),IF(N$77="Absolute, by x %",MIN(1,L84+N$78),IF(N$77="Absolute, to x %",MIN(1,N$78),"Please Enter"))))))</f>
        <v>1</v>
      </c>
      <c r="O84" s="848"/>
      <c r="P84" s="865">
        <f>IF(OR(N84="",P57="N/A"),"N/A",IF(Setup!$B$7="Losses/Provisions",1,IF(P$77="Empirical PD-LGD link",MIN(1,Parameters!$M$90+Parameters!$M$91*P57),IF(P$77="Relative",MIN(1,N84*(1+P$78)),IF(P$77="Absolute, by x %",MIN(1,N84+P$78),IF(P$77="Absolute, to x %",MIN(1,P$78),"Please Enter"))))))</f>
        <v>1</v>
      </c>
      <c r="Q84" s="848"/>
      <c r="R84" s="865">
        <f>IF(OR(P84="",R57="N/A"),"N/A",IF(Setup!$B$7="Losses/Provisions",1,IF(R$77="Empirical PD-LGD link",MIN(1,Parameters!$M$90+Parameters!$M$91*R57),IF(R$77="Relative",MIN(1,P84*(1+R$78)),IF(R$77="Absolute, by x %",MIN(1,P84+R$78),IF(R$77="Absolute, to x %",MIN(1,R$78),"Please Enter"))))))</f>
        <v>1</v>
      </c>
      <c r="S84" s="848"/>
      <c r="T84" s="865">
        <f>IF(OR(R84="",T57="N/A"),"N/A",IF(Setup!$B$7="Losses/Provisions",1,IF(T$77="Empirical PD-LGD link",MIN(1,Parameters!$M$90+Parameters!$M$91*T57),IF(T$77="Relative",MIN(1,R84*(1+T$78)),IF(T$77="Absolute, by x %",MIN(1,R84+T$78),IF(T$77="Absolute, to x %",MIN(1,T$78),"Please Enter"))))))</f>
        <v>1</v>
      </c>
      <c r="U84" s="848"/>
      <c r="V84" s="232"/>
    </row>
    <row r="85" spans="2:22" x14ac:dyDescent="0.25">
      <c r="B85" s="192"/>
      <c r="C85" s="232"/>
      <c r="D85" s="232"/>
      <c r="E85" s="302" t="str">
        <f t="shared" si="6"/>
        <v>SME</v>
      </c>
      <c r="F85" s="303"/>
      <c r="G85" s="303"/>
      <c r="H85" s="303"/>
      <c r="I85" s="304"/>
      <c r="J85" s="865">
        <f>IF(Setup!$B$7="Losses/Provisions",100%,IF(Assumptions!$H$26="Fine-granular sectors",IF(ISNUMBER(Input!G229)=FALSE,"N/A",(Input!G229)),IF(Assumptions!$H$26="Broad sectors (Basel II)",IF(ISNUMBER(Input!O229)=FALSE,"N/A",(Input!O229)),IF(Assumptions!$H$26="Geographical sectors",IF(ISNUMBER(Input!X229)=FALSE,"N/A",(Input!X229)),"Please check"))))</f>
        <v>0.89800000000000002</v>
      </c>
      <c r="K85" s="848"/>
      <c r="L85" s="865">
        <f>IF(OR(J85="",L58="N/A"),"N/A",IF(Setup!$B$7="Losses/Provisions",1,IF(L$77="Empirical PD-LGD link",MIN(1,Parameters!$M$90+Parameters!$M$91*L58),IF(L$77="Relative",MIN(1,J85*(1+L$78)),IF(L$77="Absolute, by x %",MIN(1,J85+L$78),IF(L$77="Absolute, to x %",MIN(1,L$78),"Please Enter"))))))</f>
        <v>1</v>
      </c>
      <c r="M85" s="848"/>
      <c r="N85" s="865">
        <f>IF(OR(L85="",N58="N/A"),"N/A",IF(Setup!$B$7="Losses/Provisions",1,IF(N$77="Empirical PD-LGD link",MIN(1,Parameters!$M$90+Parameters!$M$91*N58),IF(N$77="Relative",MIN(1,L85*(1+N$78)),IF(N$77="Absolute, by x %",MIN(1,L85+N$78),IF(N$77="Absolute, to x %",MIN(1,N$78),"Please Enter"))))))</f>
        <v>1</v>
      </c>
      <c r="O85" s="848"/>
      <c r="P85" s="865">
        <f>IF(OR(N85="",P58="N/A"),"N/A",IF(Setup!$B$7="Losses/Provisions",1,IF(P$77="Empirical PD-LGD link",MIN(1,Parameters!$M$90+Parameters!$M$91*P58),IF(P$77="Relative",MIN(1,N85*(1+P$78)),IF(P$77="Absolute, by x %",MIN(1,N85+P$78),IF(P$77="Absolute, to x %",MIN(1,P$78),"Please Enter"))))))</f>
        <v>1</v>
      </c>
      <c r="Q85" s="848"/>
      <c r="R85" s="865">
        <f>IF(OR(P85="",R58="N/A"),"N/A",IF(Setup!$B$7="Losses/Provisions",1,IF(R$77="Empirical PD-LGD link",MIN(1,Parameters!$M$90+Parameters!$M$91*R58),IF(R$77="Relative",MIN(1,P85*(1+R$78)),IF(R$77="Absolute, by x %",MIN(1,P85+R$78),IF(R$77="Absolute, to x %",MIN(1,R$78),"Please Enter"))))))</f>
        <v>1</v>
      </c>
      <c r="S85" s="848"/>
      <c r="T85" s="865">
        <f>IF(OR(R85="",T58="N/A"),"N/A",IF(Setup!$B$7="Losses/Provisions",1,IF(T$77="Empirical PD-LGD link",MIN(1,Parameters!$M$90+Parameters!$M$91*T58),IF(T$77="Relative",MIN(1,R85*(1+T$78)),IF(T$77="Absolute, by x %",MIN(1,R85+T$78),IF(T$77="Absolute, to x %",MIN(1,T$78),"Please Enter"))))))</f>
        <v>1</v>
      </c>
      <c r="U85" s="848"/>
      <c r="V85" s="232"/>
    </row>
    <row r="86" spans="2:22" x14ac:dyDescent="0.25">
      <c r="B86" s="192"/>
      <c r="C86" s="232"/>
      <c r="D86" s="232"/>
      <c r="E86" s="302" t="str">
        <f t="shared" si="6"/>
        <v>Retail</v>
      </c>
      <c r="F86" s="303"/>
      <c r="G86" s="303"/>
      <c r="H86" s="303"/>
      <c r="I86" s="304"/>
      <c r="J86" s="865">
        <f>IF(Setup!$B$7="Losses/Provisions",100%,IF(Assumptions!$H$26="Fine-granular sectors",IF(ISNUMBER(Input!G230)=FALSE,"N/A",(Input!G230)),IF(Assumptions!$H$26="Broad sectors (Basel II)",IF(ISNUMBER(Input!O230)=FALSE,"N/A",(Input!O230)),IF(Assumptions!$H$26="Geographical sectors",IF(ISNUMBER(Input!X230)=FALSE,"N/A",(Input!X230)),"Please check"))))</f>
        <v>0.6</v>
      </c>
      <c r="K86" s="848"/>
      <c r="L86" s="865">
        <f>IF(OR(J86="",L59="N/A"),"N/A",IF(Setup!$B$7="Losses/Provisions",1,IF(L$77="Empirical PD-LGD link",MIN(1,Parameters!$M$90+Parameters!$M$91*L59),IF(L$77="Relative",MIN(1,J86*(1+L$78)),IF(L$77="Absolute, by x %",MIN(1,J86+L$78),IF(L$77="Absolute, to x %",MIN(1,L$78),"Please Enter"))))))</f>
        <v>0.96</v>
      </c>
      <c r="M86" s="848"/>
      <c r="N86" s="865">
        <f>IF(OR(L86="",N59="N/A"),"N/A",IF(Setup!$B$7="Losses/Provisions",1,IF(N$77="Empirical PD-LGD link",MIN(1,Parameters!$M$90+Parameters!$M$91*N59),IF(N$77="Relative",MIN(1,L86*(1+N$78)),IF(N$77="Absolute, by x %",MIN(1,L86+N$78),IF(N$77="Absolute, to x %",MIN(1,N$78),"Please Enter"))))))</f>
        <v>1</v>
      </c>
      <c r="O86" s="848"/>
      <c r="P86" s="865">
        <f>IF(OR(N86="",P59="N/A"),"N/A",IF(Setup!$B$7="Losses/Provisions",1,IF(P$77="Empirical PD-LGD link",MIN(1,Parameters!$M$90+Parameters!$M$91*P59),IF(P$77="Relative",MIN(1,N86*(1+P$78)),IF(P$77="Absolute, by x %",MIN(1,N86+P$78),IF(P$77="Absolute, to x %",MIN(1,P$78),"Please Enter"))))))</f>
        <v>1</v>
      </c>
      <c r="Q86" s="848"/>
      <c r="R86" s="865">
        <f>IF(OR(P86="",R59="N/A"),"N/A",IF(Setup!$B$7="Losses/Provisions",1,IF(R$77="Empirical PD-LGD link",MIN(1,Parameters!$M$90+Parameters!$M$91*R59),IF(R$77="Relative",MIN(1,P86*(1+R$78)),IF(R$77="Absolute, by x %",MIN(1,P86+R$78),IF(R$77="Absolute, to x %",MIN(1,R$78),"Please Enter"))))))</f>
        <v>1</v>
      </c>
      <c r="S86" s="848"/>
      <c r="T86" s="865">
        <f>IF(OR(R86="",T59="N/A"),"N/A",IF(Setup!$B$7="Losses/Provisions",1,IF(T$77="Empirical PD-LGD link",MIN(1,Parameters!$M$90+Parameters!$M$91*T59),IF(T$77="Relative",MIN(1,R86*(1+T$78)),IF(T$77="Absolute, by x %",MIN(1,R86+T$78),IF(T$77="Absolute, to x %",MIN(1,T$78),"Please Enter"))))))</f>
        <v>1</v>
      </c>
      <c r="U86" s="848"/>
      <c r="V86" s="232"/>
    </row>
    <row r="87" spans="2:22" x14ac:dyDescent="0.25">
      <c r="B87" s="192"/>
      <c r="C87" s="232"/>
      <c r="D87" s="232"/>
      <c r="E87" s="302" t="str">
        <f t="shared" si="6"/>
        <v>Residential mortgages</v>
      </c>
      <c r="F87" s="303"/>
      <c r="G87" s="303"/>
      <c r="H87" s="303"/>
      <c r="I87" s="304"/>
      <c r="J87" s="865">
        <f>IF(Setup!$B$7="Losses/Provisions",100%,IF(Assumptions!$H$26="Fine-granular sectors",IF(ISNUMBER(Input!G231)=FALSE,"N/A",(Input!G231)),IF(Assumptions!$H$26="Broad sectors (Basel II)",IF(ISNUMBER(Input!O231)=FALSE,"N/A",(Input!O231)),IF(Assumptions!$H$26="Geographical sectors",IF(ISNUMBER(Input!X231)=FALSE,"N/A",(Input!X231)),"Please check"))))</f>
        <v>0.8</v>
      </c>
      <c r="K87" s="848"/>
      <c r="L87" s="865">
        <f>IF(OR(J87="",L60="N/A"),"N/A",IF(Setup!$B$7="Losses/Provisions",1,IF(L$77="Empirical PD-LGD link",MIN(1,Parameters!$M$90+Parameters!$M$91*L60),IF(L$77="Relative",MIN(1,J87*(1+L$78)),IF(L$77="Absolute, by x %",MIN(1,J87+L$78),IF(L$77="Absolute, to x %",MIN(1,L$78),"Please Enter"))))))</f>
        <v>1</v>
      </c>
      <c r="M87" s="848"/>
      <c r="N87" s="865">
        <f>IF(OR(L87="",N60="N/A"),"N/A",IF(Setup!$B$7="Losses/Provisions",1,IF(N$77="Empirical PD-LGD link",MIN(1,Parameters!$M$90+Parameters!$M$91*N60),IF(N$77="Relative",MIN(1,L87*(1+N$78)),IF(N$77="Absolute, by x %",MIN(1,L87+N$78),IF(N$77="Absolute, to x %",MIN(1,N$78),"Please Enter"))))))</f>
        <v>1</v>
      </c>
      <c r="O87" s="848"/>
      <c r="P87" s="865">
        <f>IF(OR(N87="",P60="N/A"),"N/A",IF(Setup!$B$7="Losses/Provisions",1,IF(P$77="Empirical PD-LGD link",MIN(1,Parameters!$M$90+Parameters!$M$91*P60),IF(P$77="Relative",MIN(1,N87*(1+P$78)),IF(P$77="Absolute, by x %",MIN(1,N87+P$78),IF(P$77="Absolute, to x %",MIN(1,P$78),"Please Enter"))))))</f>
        <v>1</v>
      </c>
      <c r="Q87" s="848"/>
      <c r="R87" s="865">
        <f>IF(OR(P87="",R60="N/A"),"N/A",IF(Setup!$B$7="Losses/Provisions",1,IF(R$77="Empirical PD-LGD link",MIN(1,Parameters!$M$90+Parameters!$M$91*R60),IF(R$77="Relative",MIN(1,P87*(1+R$78)),IF(R$77="Absolute, by x %",MIN(1,P87+R$78),IF(R$77="Absolute, to x %",MIN(1,R$78),"Please Enter"))))))</f>
        <v>1</v>
      </c>
      <c r="S87" s="848"/>
      <c r="T87" s="865">
        <f>IF(OR(R87="",T60="N/A"),"N/A",IF(Setup!$B$7="Losses/Provisions",1,IF(T$77="Empirical PD-LGD link",MIN(1,Parameters!$M$90+Parameters!$M$91*T60),IF(T$77="Relative",MIN(1,R87*(1+T$78)),IF(T$77="Absolute, by x %",MIN(1,R87+T$78),IF(T$77="Absolute, to x %",MIN(1,T$78),"Please Enter"))))))</f>
        <v>1</v>
      </c>
      <c r="U87" s="848"/>
      <c r="V87" s="232"/>
    </row>
    <row r="88" spans="2:22" x14ac:dyDescent="0.25">
      <c r="B88" s="192"/>
      <c r="C88" s="232"/>
      <c r="D88" s="232"/>
      <c r="E88" s="302" t="str">
        <f t="shared" si="6"/>
        <v>Securitization</v>
      </c>
      <c r="F88" s="303"/>
      <c r="G88" s="303"/>
      <c r="H88" s="303"/>
      <c r="I88" s="304"/>
      <c r="J88" s="865" t="str">
        <f>IF(Setup!$B$7="Losses/Provisions",100%,IF(Assumptions!$H$26="Fine-granular sectors",IF(ISNUMBER(Input!G232)=FALSE,"N/A",(Input!G232)),IF(Assumptions!$H$26="Broad sectors (Basel II)",IF(ISNUMBER(Input!O232)=FALSE,"N/A",(Input!O232)),IF(Assumptions!$H$26="Geographical sectors",IF(ISNUMBER(Input!X232)=FALSE,"N/A",(Input!X232)),"Please check"))))</f>
        <v>N/A</v>
      </c>
      <c r="K88" s="848"/>
      <c r="L88" s="865" t="str">
        <f>IF(OR(J88="",L61="N/A"),"N/A",IF(Setup!$B$7="Losses/Provisions",1,IF(L$77="Empirical PD-LGD link",MIN(1,Parameters!$M$90+Parameters!$M$91*L61),IF(L$77="Relative",MIN(1,J88*(1+L$78)),IF(L$77="Absolute, by x %",MIN(1,J88+L$78),IF(L$77="Absolute, to x %",MIN(1,L$78),"Please Enter"))))))</f>
        <v>N/A</v>
      </c>
      <c r="M88" s="848"/>
      <c r="N88" s="865" t="str">
        <f>IF(OR(L88="",N61="N/A"),"N/A",IF(Setup!$B$7="Losses/Provisions",1,IF(N$77="Empirical PD-LGD link",MIN(1,Parameters!$M$90+Parameters!$M$91*N61),IF(N$77="Relative",MIN(1,L88*(1+N$78)),IF(N$77="Absolute, by x %",MIN(1,L88+N$78),IF(N$77="Absolute, to x %",MIN(1,N$78),"Please Enter"))))))</f>
        <v>N/A</v>
      </c>
      <c r="O88" s="848"/>
      <c r="P88" s="865" t="str">
        <f>IF(OR(N88="",P61="N/A"),"N/A",IF(Setup!$B$7="Losses/Provisions",1,IF(P$77="Empirical PD-LGD link",MIN(1,Parameters!$M$90+Parameters!$M$91*P61),IF(P$77="Relative",MIN(1,N88*(1+P$78)),IF(P$77="Absolute, by x %",MIN(1,N88+P$78),IF(P$77="Absolute, to x %",MIN(1,P$78),"Please Enter"))))))</f>
        <v>N/A</v>
      </c>
      <c r="Q88" s="848"/>
      <c r="R88" s="865" t="str">
        <f>IF(OR(P88="",R61="N/A"),"N/A",IF(Setup!$B$7="Losses/Provisions",1,IF(R$77="Empirical PD-LGD link",MIN(1,Parameters!$M$90+Parameters!$M$91*R61),IF(R$77="Relative",MIN(1,P88*(1+R$78)),IF(R$77="Absolute, by x %",MIN(1,P88+R$78),IF(R$77="Absolute, to x %",MIN(1,R$78),"Please Enter"))))))</f>
        <v>N/A</v>
      </c>
      <c r="S88" s="848"/>
      <c r="T88" s="865" t="str">
        <f>IF(OR(R88="",T61="N/A"),"N/A",IF(Setup!$B$7="Losses/Provisions",1,IF(T$77="Empirical PD-LGD link",MIN(1,Parameters!$M$90+Parameters!$M$91*T61),IF(T$77="Relative",MIN(1,R88*(1+T$78)),IF(T$77="Absolute, by x %",MIN(1,R88+T$78),IF(T$77="Absolute, to x %",MIN(1,T$78),"Please Enter"))))))</f>
        <v>N/A</v>
      </c>
      <c r="U88" s="848"/>
      <c r="V88" s="232"/>
    </row>
    <row r="89" spans="2:22" x14ac:dyDescent="0.25">
      <c r="B89" s="192"/>
      <c r="C89" s="232"/>
      <c r="D89" s="232"/>
      <c r="E89" s="302" t="str">
        <f t="shared" si="6"/>
        <v>Derivatives</v>
      </c>
      <c r="F89" s="303"/>
      <c r="G89" s="303"/>
      <c r="H89" s="303"/>
      <c r="I89" s="304"/>
      <c r="J89" s="865" t="str">
        <f>IF(Setup!$B$7="Losses/Provisions",100%,IF(Assumptions!$H$26="Fine-granular sectors",IF(ISNUMBER(Input!G233)=FALSE,"N/A",(Input!G233)),IF(Assumptions!$H$26="Broad sectors (Basel II)",IF(ISNUMBER(Input!O233)=FALSE,"N/A",(Input!O233)),IF(Assumptions!$H$26="Geographical sectors",IF(ISNUMBER(Input!X233)=FALSE,"N/A",(Input!X233)),"Please check"))))</f>
        <v>N/A</v>
      </c>
      <c r="K89" s="848"/>
      <c r="L89" s="865" t="str">
        <f>IF(OR(J89="",L62="N/A"),"N/A",IF(Setup!$B$7="Losses/Provisions",1,IF(L$77="Empirical PD-LGD link",MIN(1,Parameters!$M$90+Parameters!$M$91*L62),IF(L$77="Relative",MIN(1,J89*(1+L$78)),IF(L$77="Absolute, by x %",MIN(1,J89+L$78),IF(L$77="Absolute, to x %",MIN(1,L$78),"Please Enter"))))))</f>
        <v>N/A</v>
      </c>
      <c r="M89" s="848"/>
      <c r="N89" s="865" t="str">
        <f>IF(OR(L89="",N62="N/A"),"N/A",IF(Setup!$B$7="Losses/Provisions",1,IF(N$77="Empirical PD-LGD link",MIN(1,Parameters!$M$90+Parameters!$M$91*N62),IF(N$77="Relative",MIN(1,L89*(1+N$78)),IF(N$77="Absolute, by x %",MIN(1,L89+N$78),IF(N$77="Absolute, to x %",MIN(1,N$78),"Please Enter"))))))</f>
        <v>N/A</v>
      </c>
      <c r="O89" s="848"/>
      <c r="P89" s="865" t="str">
        <f>IF(OR(N89="",P62="N/A"),"N/A",IF(Setup!$B$7="Losses/Provisions",1,IF(P$77="Empirical PD-LGD link",MIN(1,Parameters!$M$90+Parameters!$M$91*P62),IF(P$77="Relative",MIN(1,N89*(1+P$78)),IF(P$77="Absolute, by x %",MIN(1,N89+P$78),IF(P$77="Absolute, to x %",MIN(1,P$78),"Please Enter"))))))</f>
        <v>N/A</v>
      </c>
      <c r="Q89" s="848"/>
      <c r="R89" s="865" t="str">
        <f>IF(OR(P89="",R62="N/A"),"N/A",IF(Setup!$B$7="Losses/Provisions",1,IF(R$77="Empirical PD-LGD link",MIN(1,Parameters!$M$90+Parameters!$M$91*R62),IF(R$77="Relative",MIN(1,P89*(1+R$78)),IF(R$77="Absolute, by x %",MIN(1,P89+R$78),IF(R$77="Absolute, to x %",MIN(1,R$78),"Please Enter"))))))</f>
        <v>N/A</v>
      </c>
      <c r="S89" s="848"/>
      <c r="T89" s="865" t="str">
        <f>IF(OR(R89="",T62="N/A"),"N/A",IF(Setup!$B$7="Losses/Provisions",1,IF(T$77="Empirical PD-LGD link",MIN(1,Parameters!$M$90+Parameters!$M$91*T62),IF(T$77="Relative",MIN(1,R89*(1+T$78)),IF(T$77="Absolute, by x %",MIN(1,R89+T$78),IF(T$77="Absolute, to x %",MIN(1,T$78),"Please Enter"))))))</f>
        <v>N/A</v>
      </c>
      <c r="U89" s="848"/>
      <c r="V89" s="232"/>
    </row>
    <row r="90" spans="2:22" x14ac:dyDescent="0.25">
      <c r="B90" s="192"/>
      <c r="C90" s="232"/>
      <c r="D90" s="232"/>
      <c r="E90" s="302" t="str">
        <f t="shared" si="6"/>
        <v>Off-balance sheet credit</v>
      </c>
      <c r="F90" s="303"/>
      <c r="G90" s="303"/>
      <c r="H90" s="303"/>
      <c r="I90" s="304"/>
      <c r="J90" s="865">
        <f>IF(Setup!$B$7="Losses/Provisions",100%,IF(Assumptions!$H$26="Fine-granular sectors",IF(ISNUMBER(Input!G234)=FALSE,"N/A",(Input!G234)),IF(Assumptions!$H$26="Broad sectors (Basel II)",IF(ISNUMBER(Input!O234)=FALSE,"N/A",(Input!O234)),IF(Assumptions!$H$26="Geographical sectors",IF(ISNUMBER(Input!X234)=FALSE,"N/A",(Input!X234)),"Please check"))))</f>
        <v>0.6</v>
      </c>
      <c r="K90" s="848"/>
      <c r="L90" s="865">
        <f>IF(OR(J90="",L63="N/A"),"N/A",IF(Setup!$B$7="Losses/Provisions",1,IF(L$77="Empirical PD-LGD link",MIN(1,Parameters!$M$90+Parameters!$M$91*L63),IF(L$77="Relative",MIN(1,J90*(1+L$78)),IF(L$77="Absolute, by x %",MIN(1,J90+L$78),IF(L$77="Absolute, to x %",MIN(1,L$78),"Please Enter"))))))</f>
        <v>0.96</v>
      </c>
      <c r="M90" s="848"/>
      <c r="N90" s="865">
        <f>IF(OR(L90="",N63="N/A"),"N/A",IF(Setup!$B$7="Losses/Provisions",1,IF(N$77="Empirical PD-LGD link",MIN(1,Parameters!$M$90+Parameters!$M$91*N63),IF(N$77="Relative",MIN(1,L90*(1+N$78)),IF(N$77="Absolute, by x %",MIN(1,L90+N$78),IF(N$77="Absolute, to x %",MIN(1,N$78),"Please Enter"))))))</f>
        <v>1</v>
      </c>
      <c r="O90" s="848"/>
      <c r="P90" s="865">
        <f>IF(OR(N90="",P63="N/A"),"N/A",IF(Setup!$B$7="Losses/Provisions",1,IF(P$77="Empirical PD-LGD link",MIN(1,Parameters!$M$90+Parameters!$M$91*P63),IF(P$77="Relative",MIN(1,N90*(1+P$78)),IF(P$77="Absolute, by x %",MIN(1,N90+P$78),IF(P$77="Absolute, to x %",MIN(1,P$78),"Please Enter"))))))</f>
        <v>1</v>
      </c>
      <c r="Q90" s="848"/>
      <c r="R90" s="865">
        <f>IF(OR(P90="",R63="N/A"),"N/A",IF(Setup!$B$7="Losses/Provisions",1,IF(R$77="Empirical PD-LGD link",MIN(1,Parameters!$M$90+Parameters!$M$91*R63),IF(R$77="Relative",MIN(1,P90*(1+R$78)),IF(R$77="Absolute, by x %",MIN(1,P90+R$78),IF(R$77="Absolute, to x %",MIN(1,R$78),"Please Enter"))))))</f>
        <v>1</v>
      </c>
      <c r="S90" s="848"/>
      <c r="T90" s="865">
        <f>IF(OR(R90="",T63="N/A"),"N/A",IF(Setup!$B$7="Losses/Provisions",1,IF(T$77="Empirical PD-LGD link",MIN(1,Parameters!$M$90+Parameters!$M$91*T63),IF(T$77="Relative",MIN(1,R90*(1+T$78)),IF(T$77="Absolute, by x %",MIN(1,R90+T$78),IF(T$77="Absolute, to x %",MIN(1,T$78),"Please Enter"))))))</f>
        <v>1</v>
      </c>
      <c r="U90" s="848"/>
      <c r="V90" s="232"/>
    </row>
    <row r="91" spans="2:22" x14ac:dyDescent="0.25">
      <c r="B91" s="192"/>
      <c r="C91" s="232"/>
      <c r="D91" s="232"/>
      <c r="E91" s="302" t="str">
        <f t="shared" si="6"/>
        <v/>
      </c>
      <c r="F91" s="303"/>
      <c r="G91" s="303"/>
      <c r="H91" s="303"/>
      <c r="I91" s="304"/>
      <c r="J91" s="865" t="str">
        <f>IF(Setup!$B$7="Losses/Provisions",100%,IF(Assumptions!$H$26="Fine-granular sectors",IF(ISNUMBER(Input!$G235)=FALSE,"N/A",(Input!$G235)),IF(Assumptions!$H$26="Broad sectors (Basel II)","",IF(Assumptions!$H$26="Geographical sectors",IF(ISNUMBER(Input!$X235)=FALSE,"N/A",(Input!$X235)),"Please check"))))</f>
        <v/>
      </c>
      <c r="K91" s="848"/>
      <c r="L91" s="865" t="str">
        <f>IF(OR(J91="",L64="N/A"),"",IF(Setup!$B$7="Losses/Provisions",1,IF(L$77="Empirical PD-LGD link",MIN(1,Parameters!$M$90+Parameters!$M$91*L64),IF(L$77="Relative",MIN(1,J91*(1+L$78)),IF(L$77="Absolute, by x %",MIN(1,J91+L$78),IF(L$77="Absolute, to x %",MIN(1,L$78),"Please Enter"))))))</f>
        <v/>
      </c>
      <c r="M91" s="848"/>
      <c r="N91" s="865" t="str">
        <f>IF(OR(L91="",N64=""),"",IF(Setup!$B$7="Losses/Provisions",1,IF(N$77="Empirical PD-LGD link",MIN(1,Parameters!$M$90+Parameters!$M$91*N64),IF(N$77="Relative",MIN(1,L91*(1+N$78)),IF(N$77="Absolute, by x %",MIN(1,L91+N$78),IF(N$77="Absolute, to x %",MIN(1,N$78),"Please Enter"))))))</f>
        <v/>
      </c>
      <c r="O91" s="848"/>
      <c r="P91" s="865" t="str">
        <f>IF(OR(N91="",P64=""),"",IF(Setup!$B$7="Losses/Provisions",1,IF(P$77="Empirical PD-LGD link",MIN(1,Parameters!$M$90+Parameters!$M$91*P64),IF(P$77="Relative",MIN(1,N91*(1+P$78)),IF(P$77="Absolute, by x %",MIN(1,N91+P$78),IF(P$77="Absolute, to x %",MIN(1,P$78),"Please Enter"))))))</f>
        <v/>
      </c>
      <c r="Q91" s="848"/>
      <c r="R91" s="865" t="str">
        <f>IF(OR(P91="",R64=""),"",IF(Setup!$B$7="Losses/Provisions",1,IF(R$77="Empirical PD-LGD link",MIN(1,Parameters!$M$90+Parameters!$M$91*R64),IF(R$77="Relative",MIN(1,P91*(1+R$78)),IF(R$77="Absolute, by x %",MIN(1,P91+R$78),IF(R$77="Absolute, to x %",MIN(1,R$78),"Please Enter"))))))</f>
        <v/>
      </c>
      <c r="S91" s="848"/>
      <c r="T91" s="865" t="str">
        <f>IF(OR(R91="",T64=""),"",IF(Setup!$B$7="Losses/Provisions",1,IF(T$77="Empirical PD-LGD link",MIN(1,Parameters!$M$90+Parameters!$M$91*T64),IF(T$77="Relative",MIN(1,R91*(1+T$78)),IF(T$77="Absolute, by x %",MIN(1,R91+T$78),IF(T$77="Absolute, to x %",MIN(1,T$78),"Please Enter"))))))</f>
        <v/>
      </c>
      <c r="U91" s="848"/>
      <c r="V91" s="232"/>
    </row>
    <row r="92" spans="2:22" x14ac:dyDescent="0.25">
      <c r="B92" s="192"/>
      <c r="C92" s="232"/>
      <c r="D92" s="232"/>
      <c r="E92" s="302" t="str">
        <f t="shared" si="6"/>
        <v/>
      </c>
      <c r="F92" s="303"/>
      <c r="G92" s="303"/>
      <c r="H92" s="303"/>
      <c r="I92" s="304"/>
      <c r="J92" s="865" t="str">
        <f>IF(Setup!$B$7="Losses/Provisions",100%,IF(Assumptions!$H$26="Fine-granular sectors",IF(ISNUMBER(Input!$G236)=FALSE,"N/A",(Input!$G236)),IF(Assumptions!$H$26="Broad sectors (Basel II)","",IF(Assumptions!$H$26="Geographical sectors",IF(ISNUMBER(Input!$X236)=FALSE,"N/A",(Input!$X236)),"Please check"))))</f>
        <v/>
      </c>
      <c r="K92" s="848"/>
      <c r="L92" s="865" t="str">
        <f>IF(OR(J92="",L65="N/A"),"",IF(Setup!$B$7="Losses/Provisions",1,IF(L$77="Empirical PD-LGD link",MIN(1,Parameters!$M$90+Parameters!$M$91*L65),IF(L$77="Relative",MIN(1,J92*(1+L$78)),IF(L$77="Absolute, by x %",MIN(1,J92+L$78),IF(L$77="Absolute, to x %",MIN(1,L$78),"Please Enter"))))))</f>
        <v/>
      </c>
      <c r="M92" s="848"/>
      <c r="N92" s="865" t="str">
        <f>IF(OR(L92="",N65=""),"",IF(Setup!$B$7="Losses/Provisions",1,IF(N$77="Empirical PD-LGD link",MIN(1,Parameters!$M$90+Parameters!$M$91*N65),IF(N$77="Relative",MIN(1,L92*(1+N$78)),IF(N$77="Absolute, by x %",MIN(1,L92+N$78),IF(N$77="Absolute, to x %",MIN(1,N$78),"Please Enter"))))))</f>
        <v/>
      </c>
      <c r="O92" s="848"/>
      <c r="P92" s="865" t="str">
        <f>IF(OR(N92="",P65=""),"",IF(Setup!$B$7="Losses/Provisions",1,IF(P$77="Empirical PD-LGD link",MIN(1,Parameters!$M$90+Parameters!$M$91*P65),IF(P$77="Relative",MIN(1,N92*(1+P$78)),IF(P$77="Absolute, by x %",MIN(1,N92+P$78),IF(P$77="Absolute, to x %",MIN(1,P$78),"Please Enter"))))))</f>
        <v/>
      </c>
      <c r="Q92" s="848"/>
      <c r="R92" s="865" t="str">
        <f>IF(OR(P92="",R65=""),"",IF(Setup!$B$7="Losses/Provisions",1,IF(R$77="Empirical PD-LGD link",MIN(1,Parameters!$M$90+Parameters!$M$91*R65),IF(R$77="Relative",MIN(1,P92*(1+R$78)),IF(R$77="Absolute, by x %",MIN(1,P92+R$78),IF(R$77="Absolute, to x %",MIN(1,R$78),"Please Enter"))))))</f>
        <v/>
      </c>
      <c r="S92" s="848"/>
      <c r="T92" s="865" t="str">
        <f>IF(OR(R92="",T65=""),"",IF(Setup!$B$7="Losses/Provisions",1,IF(T$77="Empirical PD-LGD link",MIN(1,Parameters!$M$90+Parameters!$M$91*T65),IF(T$77="Relative",MIN(1,R92*(1+T$78)),IF(T$77="Absolute, by x %",MIN(1,R92+T$78),IF(T$77="Absolute, to x %",MIN(1,T$78),"Please Enter"))))))</f>
        <v/>
      </c>
      <c r="U92" s="848"/>
      <c r="V92" s="232"/>
    </row>
    <row r="93" spans="2:22" x14ac:dyDescent="0.25">
      <c r="B93" s="192"/>
      <c r="C93" s="232"/>
      <c r="D93" s="232"/>
      <c r="E93" s="302" t="str">
        <f t="shared" si="6"/>
        <v/>
      </c>
      <c r="F93" s="303"/>
      <c r="G93" s="303"/>
      <c r="H93" s="303"/>
      <c r="I93" s="304"/>
      <c r="J93" s="865" t="str">
        <f>IF(Setup!$B$7="Losses/Provisions",100%,IF(Assumptions!$H$26="Fine-granular sectors",IF(ISNUMBER(Input!$G237)=FALSE,"N/A",(Input!$G237)),IF(Assumptions!$H$26="Broad sectors (Basel II)","",IF(Assumptions!$H$26="Geographical sectors",IF(ISNUMBER(Input!$X237)=FALSE,"N/A",(Input!$X237)),"Please check"))))</f>
        <v/>
      </c>
      <c r="K93" s="848"/>
      <c r="L93" s="865" t="str">
        <f>IF(OR(J93="",L66="N/A"),"",IF(Setup!$B$7="Losses/Provisions",1,IF(L$77="Empirical PD-LGD link",MIN(1,Parameters!$M$90+Parameters!$M$91*L66),IF(L$77="Relative",MIN(1,J93*(1+L$78)),IF(L$77="Absolute, by x %",MIN(1,J93+L$78),IF(L$77="Absolute, to x %",MIN(1,L$78),"Please Enter"))))))</f>
        <v/>
      </c>
      <c r="M93" s="848"/>
      <c r="N93" s="865" t="str">
        <f>IF(OR(L93="",N66=""),"",IF(Setup!$B$7="Losses/Provisions",1,IF(N$77="Empirical PD-LGD link",MIN(1,Parameters!$M$90+Parameters!$M$91*N66),IF(N$77="Relative",MIN(1,L93*(1+N$78)),IF(N$77="Absolute, by x %",MIN(1,L93+N$78),IF(N$77="Absolute, to x %",MIN(1,N$78),"Please Enter"))))))</f>
        <v/>
      </c>
      <c r="O93" s="848"/>
      <c r="P93" s="865" t="str">
        <f>IF(OR(N93="",P66=""),"",IF(Setup!$B$7="Losses/Provisions",1,IF(P$77="Empirical PD-LGD link",MIN(1,Parameters!$M$90+Parameters!$M$91*P66),IF(P$77="Relative",MIN(1,N93*(1+P$78)),IF(P$77="Absolute, by x %",MIN(1,N93+P$78),IF(P$77="Absolute, to x %",MIN(1,P$78),"Please Enter"))))))</f>
        <v/>
      </c>
      <c r="Q93" s="848"/>
      <c r="R93" s="865" t="str">
        <f>IF(OR(P93="",R66=""),"",IF(Setup!$B$7="Losses/Provisions",1,IF(R$77="Empirical PD-LGD link",MIN(1,Parameters!$M$90+Parameters!$M$91*R66),IF(R$77="Relative",MIN(1,P93*(1+R$78)),IF(R$77="Absolute, by x %",MIN(1,P93+R$78),IF(R$77="Absolute, to x %",MIN(1,R$78),"Please Enter"))))))</f>
        <v/>
      </c>
      <c r="S93" s="848"/>
      <c r="T93" s="865" t="str">
        <f>IF(OR(R93="",T66=""),"",IF(Setup!$B$7="Losses/Provisions",1,IF(T$77="Empirical PD-LGD link",MIN(1,Parameters!$M$90+Parameters!$M$91*T66),IF(T$77="Relative",MIN(1,R93*(1+T$78)),IF(T$77="Absolute, by x %",MIN(1,R93+T$78),IF(T$77="Absolute, to x %",MIN(1,T$78),"Please Enter"))))))</f>
        <v/>
      </c>
      <c r="U93" s="848"/>
      <c r="V93" s="232"/>
    </row>
    <row r="94" spans="2:22" x14ac:dyDescent="0.25">
      <c r="B94" s="192"/>
      <c r="C94" s="232"/>
      <c r="D94" s="232"/>
      <c r="E94" s="302" t="str">
        <f t="shared" si="6"/>
        <v/>
      </c>
      <c r="F94" s="303"/>
      <c r="G94" s="303"/>
      <c r="H94" s="303"/>
      <c r="I94" s="304"/>
      <c r="J94" s="865" t="str">
        <f>IF(Setup!$B$7="Losses/Provisions",100%,IF(Assumptions!$H$26="Fine-granular sectors",IF(ISNUMBER(Input!$G238)=FALSE,"N/A",(Input!$G238)),IF(Assumptions!$H$26="Broad sectors (Basel II)","",IF(Assumptions!$H$26="Geographical sectors",IF(ISNUMBER(Input!$X238)=FALSE,"N/A",(Input!$X238)),"Please check"))))</f>
        <v/>
      </c>
      <c r="K94" s="848"/>
      <c r="L94" s="865" t="str">
        <f>IF(OR(J94="",L67="N/A"),"",IF(Setup!$B$7="Losses/Provisions",1,IF(L$77="Empirical PD-LGD link",MIN(1,Parameters!$M$90+Parameters!$M$91*L67),IF(L$77="Relative",MIN(1,J94*(1+L$78)),IF(L$77="Absolute, by x %",MIN(1,J94+L$78),IF(L$77="Absolute, to x %",MIN(1,L$78),"Please Enter"))))))</f>
        <v/>
      </c>
      <c r="M94" s="848"/>
      <c r="N94" s="865" t="str">
        <f>IF(OR(L94="",N67=""),"",IF(Setup!$B$7="Losses/Provisions",1,IF(N$77="Empirical PD-LGD link",MIN(1,Parameters!$M$90+Parameters!$M$91*N67),IF(N$77="Relative",MIN(1,L94*(1+N$78)),IF(N$77="Absolute, by x %",MIN(1,L94+N$78),IF(N$77="Absolute, to x %",MIN(1,N$78),"Please Enter"))))))</f>
        <v/>
      </c>
      <c r="O94" s="848"/>
      <c r="P94" s="865" t="str">
        <f>IF(OR(N94="",P67=""),"",IF(Setup!$B$7="Losses/Provisions",1,IF(P$77="Empirical PD-LGD link",MIN(1,Parameters!$M$90+Parameters!$M$91*P67),IF(P$77="Relative",MIN(1,N94*(1+P$78)),IF(P$77="Absolute, by x %",MIN(1,N94+P$78),IF(P$77="Absolute, to x %",MIN(1,P$78),"Please Enter"))))))</f>
        <v/>
      </c>
      <c r="Q94" s="848"/>
      <c r="R94" s="865" t="str">
        <f>IF(OR(P94="",R67=""),"",IF(Setup!$B$7="Losses/Provisions",1,IF(R$77="Empirical PD-LGD link",MIN(1,Parameters!$M$90+Parameters!$M$91*R67),IF(R$77="Relative",MIN(1,P94*(1+R$78)),IF(R$77="Absolute, by x %",MIN(1,P94+R$78),IF(R$77="Absolute, to x %",MIN(1,R$78),"Please Enter"))))))</f>
        <v/>
      </c>
      <c r="S94" s="848"/>
      <c r="T94" s="865" t="str">
        <f>IF(OR(R94="",T67=""),"",IF(Setup!$B$7="Losses/Provisions",1,IF(T$77="Empirical PD-LGD link",MIN(1,Parameters!$M$90+Parameters!$M$91*T67),IF(T$77="Relative",MIN(1,R94*(1+T$78)),IF(T$77="Absolute, by x %",MIN(1,R94+T$78),IF(T$77="Absolute, to x %",MIN(1,T$78),"Please Enter"))))))</f>
        <v/>
      </c>
      <c r="U94" s="848"/>
      <c r="V94" s="232"/>
    </row>
    <row r="95" spans="2:22" x14ac:dyDescent="0.25">
      <c r="B95" s="192"/>
      <c r="C95" s="232"/>
      <c r="D95" s="232"/>
      <c r="E95" s="302" t="str">
        <f t="shared" si="6"/>
        <v/>
      </c>
      <c r="F95" s="303"/>
      <c r="G95" s="303"/>
      <c r="H95" s="303"/>
      <c r="I95" s="304"/>
      <c r="J95" s="865" t="str">
        <f>IF(Setup!$B$7="Losses/Provisions",100%,IF(Assumptions!$H$26="Fine-granular sectors",IF(ISNUMBER(Input!$G239)=FALSE,"N/A",(Input!$G239)),IF(Assumptions!$H$26="Broad sectors (Basel II)","",IF(Assumptions!$H$26="Geographical sectors",IF(ISNUMBER(Input!$X239)=FALSE,"N/A",(Input!$X239)),"Please check"))))</f>
        <v/>
      </c>
      <c r="K95" s="848"/>
      <c r="L95" s="865" t="str">
        <f>IF(OR(J95="",L68="N/A"),"",IF(Setup!$B$7="Losses/Provisions",1,IF(L$77="Empirical PD-LGD link",MIN(1,Parameters!$M$90+Parameters!$M$91*L68),IF(L$77="Relative",MIN(1,J95*(1+L$78)),IF(L$77="Absolute, by x %",MIN(1,J95+L$78),IF(L$77="Absolute, to x %",MIN(1,L$78),"Please Enter"))))))</f>
        <v/>
      </c>
      <c r="M95" s="848"/>
      <c r="N95" s="865" t="str">
        <f>IF(OR(L95="",N68=""),"",IF(Setup!$B$7="Losses/Provisions",1,IF(N$77="Empirical PD-LGD link",MIN(1,Parameters!$M$90+Parameters!$M$91*N68),IF(N$77="Relative",MIN(1,L95*(1+N$78)),IF(N$77="Absolute, by x %",MIN(1,L95+N$78),IF(N$77="Absolute, to x %",MIN(1,N$78),"Please Enter"))))))</f>
        <v/>
      </c>
      <c r="O95" s="848"/>
      <c r="P95" s="865" t="str">
        <f>IF(OR(N95="",P68=""),"",IF(Setup!$B$7="Losses/Provisions",1,IF(P$77="Empirical PD-LGD link",MIN(1,Parameters!$M$90+Parameters!$M$91*P68),IF(P$77="Relative",MIN(1,N95*(1+P$78)),IF(P$77="Absolute, by x %",MIN(1,N95+P$78),IF(P$77="Absolute, to x %",MIN(1,P$78),"Please Enter"))))))</f>
        <v/>
      </c>
      <c r="Q95" s="848"/>
      <c r="R95" s="865" t="str">
        <f>IF(OR(P95="",R68=""),"",IF(Setup!$B$7="Losses/Provisions",1,IF(R$77="Empirical PD-LGD link",MIN(1,Parameters!$M$90+Parameters!$M$91*R68),IF(R$77="Relative",MIN(1,P95*(1+R$78)),IF(R$77="Absolute, by x %",MIN(1,P95+R$78),IF(R$77="Absolute, to x %",MIN(1,R$78),"Please Enter"))))))</f>
        <v/>
      </c>
      <c r="S95" s="848"/>
      <c r="T95" s="865" t="str">
        <f>IF(OR(R95="",T68=""),"",IF(Setup!$B$7="Losses/Provisions",1,IF(T$77="Empirical PD-LGD link",MIN(1,Parameters!$M$90+Parameters!$M$91*T68),IF(T$77="Relative",MIN(1,R95*(1+T$78)),IF(T$77="Absolute, by x %",MIN(1,R95+T$78),IF(T$77="Absolute, to x %",MIN(1,T$78),"Please Enter"))))))</f>
        <v/>
      </c>
      <c r="U95" s="848"/>
      <c r="V95" s="232"/>
    </row>
    <row r="96" spans="2:22" x14ac:dyDescent="0.25">
      <c r="B96" s="192"/>
      <c r="C96" s="232"/>
      <c r="D96" s="232"/>
      <c r="E96" s="302" t="str">
        <f t="shared" si="6"/>
        <v/>
      </c>
      <c r="F96" s="303"/>
      <c r="G96" s="303"/>
      <c r="H96" s="303"/>
      <c r="I96" s="304"/>
      <c r="J96" s="865" t="str">
        <f>IF(Setup!$B$7="Losses/Provisions",100%,IF(Assumptions!$H$26="Fine-granular sectors",IF(ISNUMBER(Input!$G240)=FALSE,"N/A",(Input!$G240)),IF(Assumptions!$H$26="Broad sectors (Basel II)","",IF(Assumptions!$H$26="Geographical sectors",IF(ISNUMBER(Input!$X240)=FALSE,"N/A",(Input!$X240)),"Please check"))))</f>
        <v/>
      </c>
      <c r="K96" s="848"/>
      <c r="L96" s="865" t="str">
        <f>IF(OR(J96="",L69="N/A"),"",IF(Setup!$B$7="Losses/Provisions",1,IF(L$77="Empirical PD-LGD link",MIN(1,Parameters!$M$90+Parameters!$M$91*L69),IF(L$77="Relative",MIN(1,J96*(1+L$78)),IF(L$77="Absolute, by x %",MIN(1,J96+L$78),IF(L$77="Absolute, to x %",MIN(1,L$78),"Please Enter"))))))</f>
        <v/>
      </c>
      <c r="M96" s="848"/>
      <c r="N96" s="865" t="str">
        <f>IF(OR(L96="",N69=""),"",IF(Setup!$B$7="Losses/Provisions",1,IF(N$77="Empirical PD-LGD link",MIN(1,Parameters!$M$90+Parameters!$M$91*N69),IF(N$77="Relative",MIN(1,L96*(1+N$78)),IF(N$77="Absolute, by x %",MIN(1,L96+N$78),IF(N$77="Absolute, to x %",MIN(1,N$78),"Please Enter"))))))</f>
        <v/>
      </c>
      <c r="O96" s="848"/>
      <c r="P96" s="865" t="str">
        <f>IF(OR(N96="",P69=""),"",IF(Setup!$B$7="Losses/Provisions",1,IF(P$77="Empirical PD-LGD link",MIN(1,Parameters!$M$90+Parameters!$M$91*P69),IF(P$77="Relative",MIN(1,N96*(1+P$78)),IF(P$77="Absolute, by x %",MIN(1,N96+P$78),IF(P$77="Absolute, to x %",MIN(1,P$78),"Please Enter"))))))</f>
        <v/>
      </c>
      <c r="Q96" s="848"/>
      <c r="R96" s="865" t="str">
        <f>IF(OR(P96="",R69=""),"",IF(Setup!$B$7="Losses/Provisions",1,IF(R$77="Empirical PD-LGD link",MIN(1,Parameters!$M$90+Parameters!$M$91*R69),IF(R$77="Relative",MIN(1,P96*(1+R$78)),IF(R$77="Absolute, by x %",MIN(1,P96+R$78),IF(R$77="Absolute, to x %",MIN(1,R$78),"Please Enter"))))))</f>
        <v/>
      </c>
      <c r="S96" s="848"/>
      <c r="T96" s="865" t="str">
        <f>IF(OR(R96="",T69=""),"",IF(Setup!$B$7="Losses/Provisions",1,IF(T$77="Empirical PD-LGD link",MIN(1,Parameters!$M$90+Parameters!$M$91*T69),IF(T$77="Relative",MIN(1,R96*(1+T$78)),IF(T$77="Absolute, by x %",MIN(1,R96+T$78),IF(T$77="Absolute, to x %",MIN(1,T$78),"Please Enter"))))))</f>
        <v/>
      </c>
      <c r="U96" s="848"/>
      <c r="V96" s="232"/>
    </row>
    <row r="97" spans="2:22" x14ac:dyDescent="0.25">
      <c r="B97" s="192"/>
      <c r="C97" s="232"/>
      <c r="D97" s="232"/>
      <c r="E97" s="302" t="str">
        <f t="shared" si="6"/>
        <v/>
      </c>
      <c r="F97" s="303"/>
      <c r="G97" s="303"/>
      <c r="H97" s="303"/>
      <c r="I97" s="304"/>
      <c r="J97" s="865" t="str">
        <f>IF(Setup!$B$7="Losses/Provisions",100%,IF(Assumptions!$H$26="Fine-granular sectors",IF(ISNUMBER(Input!$G241)=FALSE,"N/A",(Input!$G241)),IF(Assumptions!$H$26="Broad sectors (Basel II)","",IF(Assumptions!$H$26="Geographical sectors",IF(ISNUMBER(Input!$X241)=FALSE,"N/A",(Input!$X241)),"Please check"))))</f>
        <v/>
      </c>
      <c r="K97" s="848"/>
      <c r="L97" s="865" t="str">
        <f>IF(OR(J97="",L70="N/A"),"",IF(Setup!$B$7="Losses/Provisions",1,IF(L$77="Empirical PD-LGD link",MIN(1,Parameters!$M$90+Parameters!$M$91*L70),IF(L$77="Relative",MIN(1,J97*(1+L$78)),IF(L$77="Absolute, by x %",MIN(1,J97+L$78),IF(L$77="Absolute, to x %",MIN(1,L$78),"Please Enter"))))))</f>
        <v/>
      </c>
      <c r="M97" s="848"/>
      <c r="N97" s="865" t="str">
        <f>IF(OR(L97="",N70=""),"",IF(Setup!$B$7="Losses/Provisions",1,IF(N$77="Empirical PD-LGD link",MIN(1,Parameters!$M$90+Parameters!$M$91*N70),IF(N$77="Relative",MIN(1,L97*(1+N$78)),IF(N$77="Absolute, by x %",MIN(1,L97+N$78),IF(N$77="Absolute, to x %",MIN(1,N$78),"Please Enter"))))))</f>
        <v/>
      </c>
      <c r="O97" s="848"/>
      <c r="P97" s="865" t="str">
        <f>IF(OR(N97="",P70=""),"",IF(Setup!$B$7="Losses/Provisions",1,IF(P$77="Empirical PD-LGD link",MIN(1,Parameters!$M$90+Parameters!$M$91*P70),IF(P$77="Relative",MIN(1,N97*(1+P$78)),IF(P$77="Absolute, by x %",MIN(1,N97+P$78),IF(P$77="Absolute, to x %",MIN(1,P$78),"Please Enter"))))))</f>
        <v/>
      </c>
      <c r="Q97" s="848"/>
      <c r="R97" s="865" t="str">
        <f>IF(OR(P97="",R70=""),"",IF(Setup!$B$7="Losses/Provisions",1,IF(R$77="Empirical PD-LGD link",MIN(1,Parameters!$M$90+Parameters!$M$91*R70),IF(R$77="Relative",MIN(1,P97*(1+R$78)),IF(R$77="Absolute, by x %",MIN(1,P97+R$78),IF(R$77="Absolute, to x %",MIN(1,R$78),"Please Enter"))))))</f>
        <v/>
      </c>
      <c r="S97" s="848"/>
      <c r="T97" s="865" t="str">
        <f>IF(OR(R97="",T70=""),"",IF(Setup!$B$7="Losses/Provisions",1,IF(T$77="Empirical PD-LGD link",MIN(1,Parameters!$M$90+Parameters!$M$91*T70),IF(T$77="Relative",MIN(1,R97*(1+T$78)),IF(T$77="Absolute, by x %",MIN(1,R97+T$78),IF(T$77="Absolute, to x %",MIN(1,T$78),"Please Enter"))))))</f>
        <v/>
      </c>
      <c r="U97" s="848"/>
      <c r="V97" s="232"/>
    </row>
    <row r="98" spans="2:22" x14ac:dyDescent="0.25">
      <c r="B98" s="192"/>
      <c r="C98" s="232"/>
      <c r="D98" s="232"/>
      <c r="E98" s="302" t="str">
        <f t="shared" si="6"/>
        <v/>
      </c>
      <c r="F98" s="303"/>
      <c r="G98" s="303"/>
      <c r="H98" s="303"/>
      <c r="I98" s="304"/>
      <c r="J98" s="865" t="str">
        <f>IF(Setup!$B$7="Losses/Provisions",100%,IF(Assumptions!$H$26="Fine-granular sectors",IF(ISNUMBER(Input!$G242)=FALSE,"N/A",(Input!$G242)),IF(Assumptions!$H$26="Broad sectors (Basel II)","",IF(Assumptions!$H$26="Geographical sectors",IF(ISNUMBER(Input!$X242)=FALSE,"N/A",(Input!$X242)),"Please check"))))</f>
        <v/>
      </c>
      <c r="K98" s="848"/>
      <c r="L98" s="865" t="str">
        <f>IF(OR(J98="",L71="N/A"),"",IF(Setup!$B$7="Losses/Provisions",1,IF(L$77="Empirical PD-LGD link",MIN(1,Parameters!$M$90+Parameters!$M$91*L71),IF(L$77="Relative",MIN(1,J98*(1+L$78)),IF(L$77="Absolute, by x %",MIN(1,J98+L$78),IF(L$77="Absolute, to x %",MIN(1,L$78),"Please Enter"))))))</f>
        <v/>
      </c>
      <c r="M98" s="848"/>
      <c r="N98" s="865" t="str">
        <f>IF(OR(L98="",N71=""),"",IF(Setup!$B$7="Losses/Provisions",1,IF(N$77="Empirical PD-LGD link",MIN(1,Parameters!$M$90+Parameters!$M$91*N71),IF(N$77="Relative",MIN(1,L98*(1+N$78)),IF(N$77="Absolute, by x %",MIN(1,L98+N$78),IF(N$77="Absolute, to x %",MIN(1,N$78),"Please Enter"))))))</f>
        <v/>
      </c>
      <c r="O98" s="848"/>
      <c r="P98" s="865" t="str">
        <f>IF(OR(N98="",P71=""),"",IF(Setup!$B$7="Losses/Provisions",1,IF(P$77="Empirical PD-LGD link",MIN(1,Parameters!$M$90+Parameters!$M$91*P71),IF(P$77="Relative",MIN(1,N98*(1+P$78)),IF(P$77="Absolute, by x %",MIN(1,N98+P$78),IF(P$77="Absolute, to x %",MIN(1,P$78),"Please Enter"))))))</f>
        <v/>
      </c>
      <c r="Q98" s="848"/>
      <c r="R98" s="865" t="str">
        <f>IF(OR(P98="",R71=""),"",IF(Setup!$B$7="Losses/Provisions",1,IF(R$77="Empirical PD-LGD link",MIN(1,Parameters!$M$90+Parameters!$M$91*R71),IF(R$77="Relative",MIN(1,P98*(1+R$78)),IF(R$77="Absolute, by x %",MIN(1,P98+R$78),IF(R$77="Absolute, to x %",MIN(1,R$78),"Please Enter"))))))</f>
        <v/>
      </c>
      <c r="S98" s="848"/>
      <c r="T98" s="865" t="str">
        <f>IF(OR(R98="",T71=""),"",IF(Setup!$B$7="Losses/Provisions",1,IF(T$77="Empirical PD-LGD link",MIN(1,Parameters!$M$90+Parameters!$M$91*T71),IF(T$77="Relative",MIN(1,R98*(1+T$78)),IF(T$77="Absolute, by x %",MIN(1,R98+T$78),IF(T$77="Absolute, to x %",MIN(1,T$78),"Please Enter"))))))</f>
        <v/>
      </c>
      <c r="U98" s="848"/>
      <c r="V98" s="232"/>
    </row>
    <row r="99" spans="2:22" x14ac:dyDescent="0.25">
      <c r="B99" s="192"/>
      <c r="C99" s="232"/>
      <c r="D99" s="232"/>
      <c r="E99" s="302" t="str">
        <f t="shared" si="6"/>
        <v/>
      </c>
      <c r="F99" s="303"/>
      <c r="G99" s="303"/>
      <c r="H99" s="303"/>
      <c r="I99" s="304"/>
      <c r="J99" s="865" t="str">
        <f>IF(Setup!$B$7="Losses/Provisions",100%,IF(Assumptions!$H$26="Fine-granular sectors",IF(ISNUMBER(Input!$G243)=FALSE,"N/A",(Input!$G243)),IF(Assumptions!$H$26="Broad sectors (Basel II)","",IF(Assumptions!$H$26="Geographical sectors",IF(ISNUMBER(Input!$X243)=FALSE,"N/A",(Input!$X243)),"Please check"))))</f>
        <v/>
      </c>
      <c r="K99" s="848"/>
      <c r="L99" s="865" t="str">
        <f>IF(OR(J99="",L72="N/A"),"",IF(Setup!$B$7="Losses/Provisions",1,IF(L$77="Empirical PD-LGD link",MIN(1,Parameters!$M$90+Parameters!$M$91*L72),IF(L$77="Relative",MIN(1,J99*(1+L$78)),IF(L$77="Absolute, by x %",MIN(1,J99+L$78),IF(L$77="Absolute, to x %",MIN(1,L$78),"Please Enter"))))))</f>
        <v/>
      </c>
      <c r="M99" s="848"/>
      <c r="N99" s="865" t="str">
        <f>IF(OR(L99="",N72=""),"",IF(Setup!$B$7="Losses/Provisions",1,IF(N$77="Empirical PD-LGD link",MIN(1,Parameters!$M$90+Parameters!$M$91*N72),IF(N$77="Relative",MIN(1,L99*(1+N$78)),IF(N$77="Absolute, by x %",MIN(1,L99+N$78),IF(N$77="Absolute, to x %",MIN(1,N$78),"Please Enter"))))))</f>
        <v/>
      </c>
      <c r="O99" s="848"/>
      <c r="P99" s="865" t="str">
        <f>IF(OR(N99="",P72=""),"",IF(Setup!$B$7="Losses/Provisions",1,IF(P$77="Empirical PD-LGD link",MIN(1,Parameters!$M$90+Parameters!$M$91*P72),IF(P$77="Relative",MIN(1,N99*(1+P$78)),IF(P$77="Absolute, by x %",MIN(1,N99+P$78),IF(P$77="Absolute, to x %",MIN(1,P$78),"Please Enter"))))))</f>
        <v/>
      </c>
      <c r="Q99" s="848"/>
      <c r="R99" s="865" t="str">
        <f>IF(OR(P99="",R72=""),"",IF(Setup!$B$7="Losses/Provisions",1,IF(R$77="Empirical PD-LGD link",MIN(1,Parameters!$M$90+Parameters!$M$91*R72),IF(R$77="Relative",MIN(1,P99*(1+R$78)),IF(R$77="Absolute, by x %",MIN(1,P99+R$78),IF(R$77="Absolute, to x %",MIN(1,R$78),"Please Enter"))))))</f>
        <v/>
      </c>
      <c r="S99" s="848"/>
      <c r="T99" s="865" t="str">
        <f>IF(OR(R99="",T72=""),"",IF(Setup!$B$7="Losses/Provisions",1,IF(T$77="Empirical PD-LGD link",MIN(1,Parameters!$M$90+Parameters!$M$91*T72),IF(T$77="Relative",MIN(1,R99*(1+T$78)),IF(T$77="Absolute, by x %",MIN(1,R99+T$78),IF(T$77="Absolute, to x %",MIN(1,T$78),"Please Enter"))))))</f>
        <v/>
      </c>
      <c r="U99" s="848"/>
      <c r="V99" s="232"/>
    </row>
    <row r="100" spans="2:22" x14ac:dyDescent="0.25">
      <c r="B100" s="192"/>
      <c r="C100" s="232"/>
      <c r="D100" s="232"/>
      <c r="E100" s="305" t="str">
        <f t="shared" si="6"/>
        <v/>
      </c>
      <c r="F100" s="306"/>
      <c r="G100" s="306"/>
      <c r="H100" s="306"/>
      <c r="I100" s="307"/>
      <c r="J100" s="865" t="str">
        <f>IF(Setup!$B$7="Losses/Provisions",100%,IF(Assumptions!$H$26="Fine-granular sectors",IF(ISNUMBER(Input!$G244)=FALSE,"N/A",(Input!$G244)),IF(Assumptions!$H$26="Broad sectors (Basel II)","",IF(Assumptions!$H$26="Geographical sectors",IF(ISNUMBER(Input!$X244)=FALSE,"N/A",(Input!$X244)),"Please check"))))</f>
        <v/>
      </c>
      <c r="K100" s="848"/>
      <c r="L100" s="865" t="str">
        <f>IF(OR(J100="",L73="N/A"),"",IF(Setup!$B$7="Losses/Provisions",1,IF(L$77="Empirical PD-LGD link",MIN(1,Parameters!$M$90+Parameters!$M$91*L73),IF(L$77="Relative",MIN(1,J100*(1+L$78)),IF(L$77="Absolute, by x %",MIN(1,J100+L$78),IF(L$77="Absolute, to x %",MIN(1,L$78),"Please Enter"))))))</f>
        <v/>
      </c>
      <c r="M100" s="848"/>
      <c r="N100" s="865" t="str">
        <f>IF(OR(L100="",N73=""),"",IF(Setup!$B$7="Losses/Provisions",1,IF(N$77="Empirical PD-LGD link",MIN(1,Parameters!$M$90+Parameters!$M$91*N73),IF(N$77="Relative",MIN(1,L100*(1+N$78)),IF(N$77="Absolute, by x %",MIN(1,L100+N$78),IF(N$77="Absolute, to x %",MIN(1,N$78),"Please Enter"))))))</f>
        <v/>
      </c>
      <c r="O100" s="848"/>
      <c r="P100" s="865" t="str">
        <f>IF(OR(N100="",P73=""),"",IF(Setup!$B$7="Losses/Provisions",1,IF(P$77="Empirical PD-LGD link",MIN(1,Parameters!$M$90+Parameters!$M$91*P73),IF(P$77="Relative",MIN(1,N100*(1+P$78)),IF(P$77="Absolute, by x %",MIN(1,N100+P$78),IF(P$77="Absolute, to x %",MIN(1,P$78),"Please Enter"))))))</f>
        <v/>
      </c>
      <c r="Q100" s="848"/>
      <c r="R100" s="865" t="str">
        <f>IF(OR(P100="",R73=""),"",IF(Setup!$B$7="Losses/Provisions",1,IF(R$77="Empirical PD-LGD link",MIN(1,Parameters!$M$90+Parameters!$M$91*R73),IF(R$77="Relative",MIN(1,P100*(1+R$78)),IF(R$77="Absolute, by x %",MIN(1,P100+R$78),IF(R$77="Absolute, to x %",MIN(1,R$78),"Please Enter"))))))</f>
        <v/>
      </c>
      <c r="S100" s="848"/>
      <c r="T100" s="865" t="str">
        <f>IF(OR(R100="",T73=""),"",IF(Setup!$B$7="Losses/Provisions",1,IF(T$77="Empirical PD-LGD link",MIN(1,Parameters!$M$90+Parameters!$M$91*T73),IF(T$77="Relative",MIN(1,R100*(1+T$78)),IF(T$77="Absolute, by x %",MIN(1,R100+T$78),IF(T$77="Absolute, to x %",MIN(1,T$78),"Please Enter"))))))</f>
        <v/>
      </c>
      <c r="U100" s="848"/>
      <c r="V100" s="232"/>
    </row>
    <row r="101" spans="2:22" x14ac:dyDescent="0.25">
      <c r="B101" s="192"/>
      <c r="C101" s="232"/>
      <c r="D101" s="232"/>
      <c r="E101" s="232"/>
      <c r="F101" s="232"/>
      <c r="G101" s="232"/>
      <c r="H101" s="232"/>
      <c r="I101" s="232"/>
      <c r="J101" s="232"/>
      <c r="K101" s="232"/>
      <c r="L101" s="232"/>
      <c r="M101" s="232"/>
      <c r="N101" s="232"/>
      <c r="O101" s="232"/>
      <c r="P101" s="232"/>
      <c r="Q101" s="232"/>
      <c r="R101" s="232"/>
      <c r="S101" s="232"/>
      <c r="T101" s="232"/>
      <c r="U101" s="232"/>
      <c r="V101" s="232"/>
    </row>
    <row r="102" spans="2:22" x14ac:dyDescent="0.25">
      <c r="B102" s="192"/>
      <c r="C102" s="232"/>
      <c r="D102" s="232"/>
      <c r="E102" s="232"/>
      <c r="F102" s="232"/>
      <c r="G102" s="232"/>
      <c r="H102" s="232"/>
      <c r="I102" s="232"/>
      <c r="J102" s="232"/>
      <c r="K102" s="232"/>
      <c r="L102" s="232"/>
      <c r="M102" s="232"/>
      <c r="N102" s="232"/>
      <c r="O102" s="232"/>
      <c r="P102" s="232"/>
      <c r="Q102" s="232"/>
      <c r="R102" s="232"/>
      <c r="S102" s="232"/>
      <c r="T102" s="232"/>
      <c r="U102" s="232"/>
      <c r="V102" s="232"/>
    </row>
    <row r="103" spans="2:22" x14ac:dyDescent="0.25">
      <c r="B103" s="192"/>
      <c r="C103" s="232"/>
      <c r="D103" s="232"/>
      <c r="E103" s="844" t="s">
        <v>939</v>
      </c>
      <c r="F103" s="845"/>
      <c r="G103" s="845"/>
      <c r="H103" s="845"/>
      <c r="I103" s="846"/>
      <c r="J103" s="844" t="s">
        <v>944</v>
      </c>
      <c r="K103" s="846"/>
      <c r="L103" s="844" t="s">
        <v>763</v>
      </c>
      <c r="M103" s="846"/>
      <c r="N103" s="844" t="s">
        <v>764</v>
      </c>
      <c r="O103" s="846"/>
      <c r="P103" s="844" t="s">
        <v>765</v>
      </c>
      <c r="Q103" s="846"/>
      <c r="R103" s="844" t="s">
        <v>766</v>
      </c>
      <c r="S103" s="846"/>
      <c r="T103" s="844" t="s">
        <v>767</v>
      </c>
      <c r="U103" s="846"/>
      <c r="V103" s="232"/>
    </row>
    <row r="104" spans="2:22" x14ac:dyDescent="0.25">
      <c r="B104" s="192"/>
      <c r="C104" s="232"/>
      <c r="D104" s="232"/>
      <c r="E104" s="11" t="s">
        <v>963</v>
      </c>
      <c r="F104" s="2"/>
      <c r="G104" s="2"/>
      <c r="H104" s="2"/>
      <c r="I104" s="3"/>
      <c r="J104" s="264"/>
      <c r="K104" s="264"/>
      <c r="L104" s="1212" t="str">
        <f>Assumptions!M$85</f>
        <v>Relative</v>
      </c>
      <c r="M104" s="850"/>
      <c r="N104" s="1212" t="str">
        <f>Assumptions!O$85</f>
        <v>Relative</v>
      </c>
      <c r="O104" s="850"/>
      <c r="P104" s="1212" t="str">
        <f>Assumptions!Q$85</f>
        <v>Relative</v>
      </c>
      <c r="Q104" s="850"/>
      <c r="R104" s="1212" t="str">
        <f>Assumptions!S$85</f>
        <v>Relative</v>
      </c>
      <c r="S104" s="850"/>
      <c r="T104" s="1212" t="str">
        <f>Assumptions!U$85</f>
        <v>Relative</v>
      </c>
      <c r="U104" s="850"/>
      <c r="V104" s="232"/>
    </row>
    <row r="105" spans="2:22" x14ac:dyDescent="0.25">
      <c r="B105" s="192"/>
      <c r="C105" s="232"/>
      <c r="D105" s="232"/>
      <c r="E105" s="13" t="s">
        <v>950</v>
      </c>
      <c r="F105" s="6"/>
      <c r="G105" s="6"/>
      <c r="H105" s="6"/>
      <c r="I105" s="7"/>
      <c r="J105" s="264"/>
      <c r="K105" s="264"/>
      <c r="L105" s="847">
        <f>IF(Assumptions!$H$58="Macro",IF(AND(Assumptions!$H$60="Rule of Thumb",Assumptions!$H$64="Yes"),IF(Assumptions!$H$59="Advanced Country",Assumptions!M$61*IF(J$108*100*0.67&lt;Parameters!$H$303,Parameters!$H$311/J$108,IF(J$108*100*0.67&lt;Parameters!$J$303,Parameters!$J$311/J$108,Parameters!$L$311/J$108)),Assumptions!M$61*IF(J$108*100*0.875&lt;Parameters!$L$303,Parameters!$P$311/J$108,IF(J$108*100*0.875&lt;Parameters!$R$303,Parameters!$R$311/J$108,Parameters!$T$311/J$108))),Assumptions!M$86),Assumptions!M$86)</f>
        <v>0</v>
      </c>
      <c r="M105" s="848"/>
      <c r="N105" s="847">
        <f>IF(Assumptions!$H$58="Macro",IF(AND(Assumptions!$H$60="Rule of Thumb",Assumptions!$H$64="Yes"),IF(Assumptions!$H$59="Advanced Country",Assumptions!O$61*IF(L$108*100*0.67&lt;Parameters!$H$303,Parameters!$H$311/L$108,IF(L$108*100*0.67&lt;Parameters!$J$303,Parameters!$J$311/L$108,Parameters!$L$311/L$108)),Assumptions!O$61*IF(L$108*100*0.875&lt;Parameters!$L$303,Parameters!$P$311/L$108,IF(L$108*100*0.875&lt;Parameters!$R$303,Parameters!$R$311/L$108,Parameters!$T$311/L$108))),Assumptions!O$86),Assumptions!O$86)</f>
        <v>0</v>
      </c>
      <c r="O105" s="848"/>
      <c r="P105" s="847">
        <f>IF(Assumptions!$H$58="Macro",IF(AND(Assumptions!$H$60="Rule of Thumb",Assumptions!$H$64="Yes"),IF(Assumptions!$H$59="Advanced Country",Assumptions!Q$61*IF(N$108*100*0.67&lt;Parameters!$H$303,Parameters!$H$311/N$108,IF(N$108*100*0.67&lt;Parameters!$J$303,Parameters!$J$311/N$108,Parameters!$L$311/N$108)),Assumptions!Q$61*IF(N$108*100*0.875&lt;Parameters!$L$303,Parameters!$P$311/N$108,IF(N$108*100*0.875&lt;Parameters!$R$303,Parameters!$R$311/N$108,Parameters!$T$311/N$108))),Assumptions!Q$86),Assumptions!Q$86)</f>
        <v>0</v>
      </c>
      <c r="Q105" s="848"/>
      <c r="R105" s="847">
        <f>IF(Assumptions!$H$58="Macro",IF(AND(Assumptions!$H$60="Rule of Thumb",Assumptions!$H$64="Yes"),IF(Assumptions!$H$59="Advanced Country",Assumptions!S$61*IF(P$108*100*0.67&lt;Parameters!$H$303,Parameters!$H$311/P$108,IF(P$108*100*0.67&lt;Parameters!$J$303,Parameters!$J$311/P$108,Parameters!$L$311/P$108)),Assumptions!S$61*IF(P$108*100*0.875&lt;Parameters!$L$303,Parameters!$P$311/P$108,IF(P$108*100*0.875&lt;Parameters!$R$303,Parameters!$R$311/P$108,Parameters!$T$311/P$108))),Assumptions!S$86),Assumptions!S$86)</f>
        <v>0</v>
      </c>
      <c r="S105" s="848"/>
      <c r="T105" s="847">
        <f>IF(Assumptions!$H$58="Macro",IF(AND(Assumptions!$H$60="Rule of Thumb",Assumptions!$H$64="Yes"),IF(Assumptions!$H$59="Advanced Country",Assumptions!U$61*IF(R$108*100*0.67&lt;Parameters!$H$303,Parameters!$H$311/R$108,IF(R$108*100*0.67&lt;Parameters!$J$303,Parameters!$J$311/R$108,Parameters!$L$311/R$108)),Assumptions!U$61*IF(R$108*100*0.875&lt;Parameters!$L$303,Parameters!$P$311/R$108,IF(R$108*100*0.875&lt;Parameters!$R$303,Parameters!$R$311/R$108,Parameters!$T$311/R$108))),Assumptions!U$86),Assumptions!U$86)</f>
        <v>0</v>
      </c>
      <c r="U105" s="848"/>
      <c r="V105" s="232"/>
    </row>
    <row r="106" spans="2:22" x14ac:dyDescent="0.25">
      <c r="B106" s="192"/>
      <c r="C106" s="232"/>
      <c r="D106" s="232"/>
      <c r="E106" s="232"/>
      <c r="F106" s="232"/>
      <c r="G106" s="232"/>
      <c r="H106" s="232"/>
      <c r="I106" s="232"/>
      <c r="J106" s="232"/>
      <c r="K106" s="232"/>
      <c r="L106" s="232"/>
      <c r="M106" s="232"/>
      <c r="N106" s="232"/>
      <c r="O106" s="232"/>
      <c r="P106" s="232"/>
      <c r="Q106" s="232"/>
      <c r="R106" s="232"/>
      <c r="S106" s="232"/>
      <c r="T106" s="232"/>
      <c r="U106" s="232"/>
      <c r="V106" s="232"/>
    </row>
    <row r="107" spans="2:22" x14ac:dyDescent="0.25">
      <c r="B107" s="192"/>
      <c r="C107" s="232"/>
      <c r="D107" s="232"/>
      <c r="E107" s="11" t="s">
        <v>940</v>
      </c>
      <c r="F107" s="2"/>
      <c r="G107" s="2"/>
      <c r="H107" s="2"/>
      <c r="I107" s="3"/>
      <c r="J107" s="847">
        <f>IF(ISNUMBER(Input!G27),0%,"N/A")</f>
        <v>0</v>
      </c>
      <c r="K107" s="848"/>
      <c r="L107" s="847">
        <f>IF(ISNUMBER(J108)=FALSE,"N/A",L108/J108-1)</f>
        <v>0</v>
      </c>
      <c r="M107" s="848"/>
      <c r="N107" s="847">
        <f>IF(ISNUMBER(L108)=FALSE,"N/A",N108/L108-1)</f>
        <v>0</v>
      </c>
      <c r="O107" s="848"/>
      <c r="P107" s="847">
        <f>IF(ISNUMBER(N108)=FALSE,"N/A",P108/N108-1)</f>
        <v>0</v>
      </c>
      <c r="Q107" s="848"/>
      <c r="R107" s="847">
        <f>IF(ISNUMBER(P108)=FALSE,"N/A",R108/P108-1)</f>
        <v>0</v>
      </c>
      <c r="S107" s="848"/>
      <c r="T107" s="847">
        <f>IF(ISNUMBER(R108)=FALSE,"N/A",T108/R108-1)</f>
        <v>0</v>
      </c>
      <c r="U107" s="848"/>
      <c r="V107" s="232"/>
    </row>
    <row r="108" spans="2:22" x14ac:dyDescent="0.25">
      <c r="B108" s="192"/>
      <c r="C108" s="232"/>
      <c r="D108" s="232"/>
      <c r="E108" s="13" t="s">
        <v>941</v>
      </c>
      <c r="F108" s="6"/>
      <c r="G108" s="6"/>
      <c r="H108" s="6"/>
      <c r="I108" s="7"/>
      <c r="J108" s="847">
        <f>IF(ISNUMBER(J107+IF(ISNUMBER('Summary of Input Data'!I35)=TRUE,'Summary of Input Data'!I35,'Summary of Input Data'!I34))=FALSE,"N/A",J107+IF(ISNUMBER('Summary of Input Data'!I35)=TRUE,'Summary of Input Data'!I35,'Summary of Input Data'!I34))</f>
        <v>0.14166074173222318</v>
      </c>
      <c r="K108" s="848"/>
      <c r="L108" s="847">
        <f>IF(ISNUMBER(J108)=FALSE,"N/A",IF(IF(L$104="Relative",J108*(1+L$105),IF(L$104="Absolute, by x %",J108+L$105,L$105))&gt;1,1,IF(L$104="Relative",J108*(1+L$105),IF(L$104="Absolute, by x %",J108+L$105,IF(L$104="Absolute, to x %",L$105,"Please Enter")))))</f>
        <v>0.14166074173222318</v>
      </c>
      <c r="M108" s="848"/>
      <c r="N108" s="847">
        <f>IF(ISNUMBER(L108)=FALSE,"N/A",IF(IF(N$104="Relative",L108*(1+N$105),IF(N$104="Absolute, by x %",L108+N$105,N$105))&gt;1,1,IF(N$104="Relative",L108*(1+N$105),IF(N$104="Absolute, by x %",L108+N$105,IF(N$104="Absolute, to x %",N$105,"Please Enter")))))</f>
        <v>0.14166074173222318</v>
      </c>
      <c r="O108" s="848"/>
      <c r="P108" s="847">
        <f>IF(ISNUMBER(N108)=FALSE,"N/A",IF(IF(P$104="Relative",N108*(1+P$105),IF(P$104="Absolute, by x %",N108+P$105,P$105))&gt;1,1,IF(P$104="Relative",N108*(1+P$105),IF(P$104="Absolute, by x %",N108+P$105,IF(P$104="Absolute, to x %",P$105,"Please Enter")))))</f>
        <v>0.14166074173222318</v>
      </c>
      <c r="Q108" s="848"/>
      <c r="R108" s="847">
        <f>IF(ISNUMBER(P108)=FALSE,"N/A",IF(IF(R$104="Relative",P108*(1+R$105),IF(R$104="Absolute, by x %",P108+R$105,R$105))&gt;1,1,IF(R$104="Relative",P108*(1+R$105),IF(R$104="Absolute, by x %",P108+R$105,IF(R$104="Absolute, to x %",R$105,"Please Enter")))))</f>
        <v>0.14166074173222318</v>
      </c>
      <c r="S108" s="848"/>
      <c r="T108" s="847">
        <f>IF(ISNUMBER(R108)=FALSE,"N/A",IF(IF(T$104="Relative",R108*(1+T$105),IF(T$104="Absolute, by x %",R108+T$105,T$105))&gt;1,1,IF(T$104="Relative",R108*(1+T$105),IF(T$104="Absolute, by x %",R108+T$105,IF(T$104="Absolute, to x %",T$105,"Please Enter")))))</f>
        <v>0.14166074173222318</v>
      </c>
      <c r="U108" s="848"/>
      <c r="V108" s="232"/>
    </row>
    <row r="109" spans="2:22" x14ac:dyDescent="0.25">
      <c r="B109" s="192"/>
      <c r="C109" s="232"/>
      <c r="D109" s="232"/>
      <c r="E109" s="232"/>
      <c r="F109" s="232"/>
      <c r="G109" s="232"/>
      <c r="H109" s="232"/>
      <c r="I109" s="232"/>
      <c r="J109" s="232"/>
      <c r="K109" s="232"/>
      <c r="L109" s="232"/>
      <c r="M109" s="232"/>
      <c r="N109" s="232"/>
      <c r="O109" s="232"/>
      <c r="P109" s="232"/>
      <c r="Q109" s="232"/>
      <c r="R109" s="232"/>
      <c r="S109" s="232"/>
      <c r="T109" s="268"/>
      <c r="U109" s="232"/>
      <c r="V109" s="232"/>
    </row>
    <row r="110" spans="2:22" x14ac:dyDescent="0.25">
      <c r="B110" s="192"/>
      <c r="C110" s="232"/>
      <c r="D110" s="232"/>
      <c r="E110" s="232"/>
      <c r="F110" s="232"/>
      <c r="G110" s="232"/>
      <c r="H110" s="232"/>
      <c r="I110" s="232"/>
      <c r="J110" s="232"/>
      <c r="K110" s="232"/>
      <c r="L110" s="232"/>
      <c r="M110" s="232"/>
      <c r="N110" s="232"/>
      <c r="O110" s="232"/>
      <c r="P110" s="232"/>
      <c r="Q110" s="232"/>
      <c r="R110" s="232"/>
      <c r="S110" s="232"/>
      <c r="T110" s="232"/>
      <c r="U110" s="232"/>
      <c r="V110" s="232"/>
    </row>
    <row r="111" spans="2:22" ht="30" customHeight="1" x14ac:dyDescent="0.25">
      <c r="B111" s="192"/>
      <c r="C111" s="232"/>
      <c r="D111" s="232"/>
      <c r="E111" s="1209" t="s">
        <v>970</v>
      </c>
      <c r="F111" s="1210"/>
      <c r="G111" s="1210"/>
      <c r="H111" s="1210"/>
      <c r="I111" s="1211"/>
      <c r="J111" s="844" t="s">
        <v>944</v>
      </c>
      <c r="K111" s="846"/>
      <c r="L111" s="844" t="s">
        <v>763</v>
      </c>
      <c r="M111" s="846"/>
      <c r="N111" s="844" t="s">
        <v>764</v>
      </c>
      <c r="O111" s="846"/>
      <c r="P111" s="844" t="s">
        <v>765</v>
      </c>
      <c r="Q111" s="846"/>
      <c r="R111" s="844" t="s">
        <v>766</v>
      </c>
      <c r="S111" s="846"/>
      <c r="T111" s="844" t="s">
        <v>767</v>
      </c>
      <c r="U111" s="846"/>
      <c r="V111" s="232"/>
    </row>
    <row r="112" spans="2:22" x14ac:dyDescent="0.25">
      <c r="B112" s="192"/>
      <c r="C112" s="232"/>
      <c r="D112" s="232"/>
      <c r="E112" s="313" t="s">
        <v>960</v>
      </c>
      <c r="F112" s="15"/>
      <c r="G112" s="15"/>
      <c r="H112" s="15"/>
      <c r="I112" s="16"/>
      <c r="J112" s="264"/>
      <c r="K112" s="264"/>
      <c r="L112" s="847">
        <f>IF(AND(L26&gt;0,SUM(L54:L73)=0),IF(Assumptions!$H$28="Standard",Assumptions!M90-L53*L80,((1+(L107*IF(L107=0,1,Parameters!$L$222)))*(1+(AVERAGE(L53,J53)*AVERAGE(L53,J53)*Parameters!$L$117+AVERAGE(L53,J53)*Parameters!$L$118+Parameters!$L$119)*((L53/J53-1)*100))*(1+(L80/J80-1)))*((1+Assumptions!M90)-(L80*L53*(1+Assumptions!M90)))-1),IF(ISNUMBER(IF(Assumptions!$H$26="Broad sectors (Basel II)",SUMPRODUCT(L113:L122,L27:L36)/L26,SUMPRODUCT(L113:L132,L27:L46)/L26))=FALSE,"N/A",IF(Assumptions!$H$26="Broad sectors (Basel II)",SUMPRODUCT(L113:L122,L27:L36)/L26,SUMPRODUCT(L113:L132,L27:L46)/L26)))</f>
        <v>0.33693575591570685</v>
      </c>
      <c r="M112" s="848"/>
      <c r="N112" s="847">
        <f>IF(AND(N26&gt;0,SUM(N54:N73)=0),IF(Assumptions!$H$28="Standard",Assumptions!O90-N53*N80,((1+(N107*IF(N107=0,1,Parameters!$L$222)))*(1+(AVERAGE(N53,L53)*AVERAGE(N53,L53)*Parameters!$L$117+AVERAGE(N53,L53)*Parameters!$L$118+Parameters!$L$119)*((N53/L53-1)*100))*(1+(N80/L80-1)))*((1+Assumptions!O90)-(N80*N53*(1+Assumptions!O90)))-1),IF(ISNUMBER(IF(Assumptions!$H$26="Broad sectors (Basel II)",SUMPRODUCT(N113:N122,N27:N36)/N26,SUMPRODUCT(N113:N132,N27:N46)/N26))=FALSE,"N/A",IF(Assumptions!$H$26="Broad sectors (Basel II)",SUMPRODUCT(N113:N122,N27:N36)/N26,SUMPRODUCT(N113:N132,N27:N46)/N26)))</f>
        <v>1.5352858041554623E-2</v>
      </c>
      <c r="O112" s="848"/>
      <c r="P112" s="847">
        <f>IF(AND(P26&gt;0,SUM(P54:P73)=0),IF(Assumptions!$H$28="Standard",Assumptions!Q90-P53*P80,((1+(P107*IF(P107=0,1,Parameters!$L$222)))*(1+(AVERAGE(P53,N53)*AVERAGE(P53,N53)*Parameters!$L$117+AVERAGE(P53,N53)*Parameters!$L$118+Parameters!$L$119)*((P53/N53-1)*100))*(1+(P80/N80-1)))*((1+Assumptions!Q90)-(P80*P53*(1+Assumptions!Q90)))-1),IF(ISNUMBER(IF(Assumptions!$H$26="Broad sectors (Basel II)",SUMPRODUCT(P113:P122,P27:P36)/P26,SUMPRODUCT(P113:P132,P27:P46)/P26))=FALSE,"N/A",IF(Assumptions!$H$26="Broad sectors (Basel II)",SUMPRODUCT(P113:P122,P27:P36)/P26,SUMPRODUCT(P113:P132,P27:P46)/P26)))</f>
        <v>-7.9273190860232323E-2</v>
      </c>
      <c r="Q112" s="848"/>
      <c r="R112" s="847">
        <f>IF(AND(R26&gt;0,SUM(R54:R73)=0),IF(Assumptions!$H$28="Standard",Assumptions!S90-R53*R80,((1+(R107*IF(R107=0,1,Parameters!$L$222)))*(1+(AVERAGE(R53,P53)*AVERAGE(R53,P53)*Parameters!$L$117+AVERAGE(R53,P53)*Parameters!$L$118+Parameters!$L$119)*((R53/P53-1)*100))*(1+(R80/P80-1)))*((1+Assumptions!S90)-(R80*R53*(1+Assumptions!S90)))-1),IF(ISNUMBER(IF(Assumptions!$H$26="Broad sectors (Basel II)",SUMPRODUCT(R113:R122,R27:R36)/R26,SUMPRODUCT(R113:R132,R27:R46)/R26))=FALSE,"N/A",IF(Assumptions!$H$26="Broad sectors (Basel II)",SUMPRODUCT(R113:R122,R27:R36)/R26,SUMPRODUCT(R113:R132,R27:R46)/R26)))</f>
        <v>-0.10027910196971603</v>
      </c>
      <c r="S112" s="848"/>
      <c r="T112" s="847">
        <f>IF(AND(T26&gt;0,SUM(T54:T73)=0),IF(Assumptions!$H$28="Standard",Assumptions!U90-T53*T80,((1+(T107*IF(T107=0,1,Parameters!$L$222)))*(1+(AVERAGE(T53,R53)*AVERAGE(T53,R53)*Parameters!$L$117+AVERAGE(T53,R53)*Parameters!$L$118+Parameters!$L$119)*((T53/R53-1)*100))*(1+(T80/R80-1)))*((1+Assumptions!U90)-(T80*T53*(1+Assumptions!U90)))-1),IF(ISNUMBER(IF(Assumptions!$H$26="Broad sectors (Basel II)",SUMPRODUCT(T113:T122,T27:T36)/T26,SUMPRODUCT(T113:T132,T27:T46)/T26))=FALSE,"N/A",IF(Assumptions!$H$26="Broad sectors (Basel II)",SUMPRODUCT(T113:T122,T27:T36)/T26,SUMPRODUCT(T113:T132,T27:T46)/T26)))</f>
        <v>-0.12413897920465522</v>
      </c>
      <c r="U112" s="848"/>
      <c r="V112" s="232"/>
    </row>
    <row r="113" spans="2:22" x14ac:dyDescent="0.25">
      <c r="B113" s="192"/>
      <c r="C113" s="232"/>
      <c r="D113" s="232"/>
      <c r="E113" s="299" t="str">
        <f>E27</f>
        <v>Sovereign</v>
      </c>
      <c r="F113" s="300"/>
      <c r="G113" s="300"/>
      <c r="H113" s="300"/>
      <c r="I113" s="301"/>
      <c r="J113" s="264"/>
      <c r="K113" s="264"/>
      <c r="L113" s="847">
        <f>IF($E113="","",IF(ISNUMBER(L54),IF(Assumptions!$H$28="Standard",Assumptions!M$90-L54*L81,((1+(L$107*IF(L$107=0,1,Parameters!$L$222)))*(1+(AVERAGE(L54,J54)*AVERAGE(L54,J54)*Parameters!$L$117+AVERAGE(L54,J54)*Parameters!$L$118+Parameters!$L$119)*((IF(ISNUMBER(L54/J54),L54/J54,1)*100)-100))*(1+(L81/J81-1)))*((1+Assumptions!AA$90)-(2.5*L81*L54*(1+Assumptions!AA$90)))-1),"N/A"))</f>
        <v>0.67144780524631997</v>
      </c>
      <c r="M113" s="848"/>
      <c r="N113" s="847">
        <f>IF($E113="","",IF(ISNUMBER(N54),IF(Assumptions!$H$28="Standard",Assumptions!O$90-N54*N81,((1+(N$107*IF(N$107=0,1,Parameters!$L$222)))*(1+(AVERAGE(N54,L54)*AVERAGE(N54,L54)*Parameters!$L$117+AVERAGE(N54,L54)*Parameters!$L$118+Parameters!$L$119)*((IF(ISNUMBER(N54/L54),N54/L54,1)*100)-100))*(1+(N81/L81-1)))*((1+Assumptions!AC$90)-(2.5*N81*N54*(1+Assumptions!AC$90)))-1),"N/A"))</f>
        <v>0.60748198781239204</v>
      </c>
      <c r="O113" s="848"/>
      <c r="P113" s="847">
        <f>IF($E113="","",IF(ISNUMBER(P54),IF(Assumptions!$H$28="Standard",Assumptions!Q$90-P54*P81,((1+(P$107*IF(P$107=0,1,Parameters!$L$222)))*(1+(AVERAGE(P54,N54)*AVERAGE(P54,N54)*Parameters!$L$117+AVERAGE(P54,N54)*Parameters!$L$118+Parameters!$L$119)*((IF(ISNUMBER(P54/N54),P54/N54,1)*100)-100))*(1+(P81/N81-1)))*((1+Assumptions!AE$90)-(2.5*P81*P54*(1+Assumptions!AE$90)))-1),"N/A"))</f>
        <v>2.3210051342941407E-2</v>
      </c>
      <c r="Q113" s="848"/>
      <c r="R113" s="847">
        <f>IF($E113="","",IF(ISNUMBER(R54),IF(Assumptions!$H$28="Standard",Assumptions!S$90-R54*R81,((1+(R$107*IF(R$107=0,1,Parameters!$L$222)))*(1+(AVERAGE(R54,P54)*AVERAGE(R54,P54)*Parameters!$L$117+AVERAGE(R54,P54)*Parameters!$L$118+Parameters!$L$119)*((IF(ISNUMBER(R54/P54),R54/P54,1)*100)-100))*(1+(R81/P81-1)))*((1+Assumptions!AG$90)-(2.5*R81*R54*(1+Assumptions!AG$90)))-1),"N/A"))</f>
        <v>1.6796055853911307E-2</v>
      </c>
      <c r="S113" s="848"/>
      <c r="T113" s="847">
        <f>IF($E113="","",IF(ISNUMBER(T54),IF(Assumptions!$H$28="Standard",Assumptions!U$90-T54*T81,((1+(T$107*IF(T$107=0,1,Parameters!$L$222)))*(1+(AVERAGE(T54,R54)*AVERAGE(T54,R54)*Parameters!$L$117+AVERAGE(T54,R54)*Parameters!$L$118+Parameters!$L$119)*((IF(ISNUMBER(T54/R54),T54/R54,1)*100)-100))*(1+(T81/R81-1)))*((1+Assumptions!AI$90)-(2.5*T81*T54*(1+Assumptions!AI$90)))-1),"N/A"))</f>
        <v>9.421596148618816E-3</v>
      </c>
      <c r="U113" s="848"/>
      <c r="V113" s="232"/>
    </row>
    <row r="114" spans="2:22" x14ac:dyDescent="0.25">
      <c r="B114" s="192"/>
      <c r="C114" s="232"/>
      <c r="D114" s="232"/>
      <c r="E114" s="302" t="str">
        <f t="shared" ref="E114:E132" si="7">E28</f>
        <v>Non-sovereign public sector entities</v>
      </c>
      <c r="F114" s="303"/>
      <c r="G114" s="303"/>
      <c r="H114" s="303"/>
      <c r="I114" s="304"/>
      <c r="J114" s="264"/>
      <c r="K114" s="264"/>
      <c r="L114" s="847">
        <f>IF($E114="","",IF(ISNUMBER(L55),IF(Assumptions!$H$28="Standard",Assumptions!M$90-L55*L82,((1+(L$107*IF(L$107=0,1,Parameters!$L$222)))*(1+(AVERAGE(L55,J55)*AVERAGE(L55,J55)*Parameters!$L$117+AVERAGE(L55,J55)*Parameters!$L$118+Parameters!$L$119)*((IF(ISNUMBER(L55/J55),L55/J55,1)*100)-100))*(1+(L82/J82-1)))*((1+Assumptions!AA$90)-(2.5*L82*L55*(1+Assumptions!AA$90)))-1),"N/A"))</f>
        <v>0.65578223901947985</v>
      </c>
      <c r="M114" s="848"/>
      <c r="N114" s="847">
        <f>IF($E114="","",IF(ISNUMBER(N55),IF(Assumptions!$H$28="Standard",Assumptions!O$90-N55*N82,((1+(N$107*IF(N$107=0,1,Parameters!$L$222)))*(1+(AVERAGE(N55,L55)*AVERAGE(N55,L55)*Parameters!$L$117+AVERAGE(N55,L55)*Parameters!$L$118+Parameters!$L$119)*((IF(ISNUMBER(N55/L55),N55/L55,1)*100)-100))*(1+(N82/L82-1)))*((1+Assumptions!AC$90)-(2.5*N82*N55*(1+Assumptions!AC$90)))-1),"N/A"))</f>
        <v>7.1654658541594918E-2</v>
      </c>
      <c r="O114" s="848"/>
      <c r="P114" s="847">
        <f>IF($E114="","",IF(ISNUMBER(P55),IF(Assumptions!$H$28="Standard",Assumptions!Q$90-P55*P82,((1+(P$107*IF(P$107=0,1,Parameters!$L$222)))*(1+(AVERAGE(P55,N55)*AVERAGE(P55,N55)*Parameters!$L$117+AVERAGE(P55,N55)*Parameters!$L$118+Parameters!$L$119)*((IF(ISNUMBER(P55/N55),P55/N55,1)*100)-100))*(1+(P82/N82-1)))*((1+Assumptions!AE$90)-(2.5*P82*P55*(1+Assumptions!AE$90)))-1),"N/A"))</f>
        <v>2.3210051342941407E-2</v>
      </c>
      <c r="Q114" s="848"/>
      <c r="R114" s="847">
        <f>IF($E114="","",IF(ISNUMBER(R55),IF(Assumptions!$H$28="Standard",Assumptions!S$90-R55*R82,((1+(R$107*IF(R$107=0,1,Parameters!$L$222)))*(1+(AVERAGE(R55,P55)*AVERAGE(R55,P55)*Parameters!$L$117+AVERAGE(R55,P55)*Parameters!$L$118+Parameters!$L$119)*((IF(ISNUMBER(R55/P55),R55/P55,1)*100)-100))*(1+(R82/P82-1)))*((1+Assumptions!AG$90)-(2.5*R82*R55*(1+Assumptions!AG$90)))-1),"N/A"))</f>
        <v>1.6796055853911307E-2</v>
      </c>
      <c r="S114" s="848"/>
      <c r="T114" s="847">
        <f>IF($E114="","",IF(ISNUMBER(T55),IF(Assumptions!$H$28="Standard",Assumptions!U$90-T55*T82,((1+(T$107*IF(T$107=0,1,Parameters!$L$222)))*(1+(AVERAGE(T55,R55)*AVERAGE(T55,R55)*Parameters!$L$117+AVERAGE(T55,R55)*Parameters!$L$118+Parameters!$L$119)*((IF(ISNUMBER(T55/R55),T55/R55,1)*100)-100))*(1+(T82/R82-1)))*((1+Assumptions!AI$90)-(2.5*T82*T55*(1+Assumptions!AI$90)))-1),"N/A"))</f>
        <v>9.421596148618816E-3</v>
      </c>
      <c r="U114" s="848"/>
      <c r="V114" s="232"/>
    </row>
    <row r="115" spans="2:22" x14ac:dyDescent="0.25">
      <c r="B115" s="192"/>
      <c r="C115" s="232"/>
      <c r="D115" s="232"/>
      <c r="E115" s="302" t="str">
        <f t="shared" si="7"/>
        <v>Banks/Institutions</v>
      </c>
      <c r="F115" s="303"/>
      <c r="G115" s="303"/>
      <c r="H115" s="303"/>
      <c r="I115" s="304"/>
      <c r="J115" s="264"/>
      <c r="K115" s="264"/>
      <c r="L115" s="847">
        <f>IF($E115="","",IF(ISNUMBER(L56),IF(Assumptions!$H$28="Standard",Assumptions!M$90-L56*L83,((1+(L$107*IF(L$107=0,1,Parameters!$L$222)))*(1+(AVERAGE(L56,J56)*AVERAGE(L56,J56)*Parameters!$L$117+AVERAGE(L56,J56)*Parameters!$L$118+Parameters!$L$119)*((IF(ISNUMBER(L56/J56),L56/J56,1)*100)-100))*(1+(L83/J83-1)))*((1+Assumptions!AA$90)-(2.5*L83*L56*(1+Assumptions!AA$90)))-1),"N/A"))</f>
        <v>0.64582334319078138</v>
      </c>
      <c r="M115" s="848"/>
      <c r="N115" s="847">
        <f>IF($E115="","",IF(ISNUMBER(N56),IF(Assumptions!$H$28="Standard",Assumptions!O$90-N56*N83,((1+(N$107*IF(N$107=0,1,Parameters!$L$222)))*(1+(AVERAGE(N56,L56)*AVERAGE(N56,L56)*Parameters!$L$117+AVERAGE(N56,L56)*Parameters!$L$118+Parameters!$L$119)*((IF(ISNUMBER(N56/L56),N56/L56,1)*100)-100))*(1+(N83/L83-1)))*((1+Assumptions!AC$90)-(2.5*N83*N56*(1+Assumptions!AC$90)))-1),"N/A"))</f>
        <v>6.3907072227222361E-2</v>
      </c>
      <c r="O115" s="848"/>
      <c r="P115" s="847">
        <f>IF($E115="","",IF(ISNUMBER(P56),IF(Assumptions!$H$28="Standard",Assumptions!Q$90-P56*P83,((1+(P$107*IF(P$107=0,1,Parameters!$L$222)))*(1+(AVERAGE(P56,N56)*AVERAGE(P56,N56)*Parameters!$L$117+AVERAGE(P56,N56)*Parameters!$L$118+Parameters!$L$119)*((IF(ISNUMBER(P56/N56),P56/N56,1)*100)-100))*(1+(P83/N83-1)))*((1+Assumptions!AE$90)-(2.5*P83*P56*(1+Assumptions!AE$90)))-1),"N/A"))</f>
        <v>1.4658348197975846E-2</v>
      </c>
      <c r="Q115" s="848"/>
      <c r="R115" s="847">
        <f>IF($E115="","",IF(ISNUMBER(R56),IF(Assumptions!$H$28="Standard",Assumptions!S$90-R56*R83,((1+(R$107*IF(R$107=0,1,Parameters!$L$222)))*(1+(AVERAGE(R56,P56)*AVERAGE(R56,P56)*Parameters!$L$117+AVERAGE(R56,P56)*Parameters!$L$118+Parameters!$L$119)*((IF(ISNUMBER(R56/P56),R56/P56,1)*100)-100))*(1+(R83/P83-1)))*((1+Assumptions!AG$90)-(2.5*R83*R56*(1+Assumptions!AG$90)))-1),"N/A"))</f>
        <v>6.9638442501471776E-3</v>
      </c>
      <c r="S115" s="848"/>
      <c r="T115" s="847">
        <f>IF($E115="","",IF(ISNUMBER(T56),IF(Assumptions!$H$28="Standard",Assumptions!U$90-T56*T83,((1+(T$107*IF(T$107=0,1,Parameters!$L$222)))*(1+(AVERAGE(T56,R56)*AVERAGE(T56,R56)*Parameters!$L$117+AVERAGE(T56,R56)*Parameters!$L$118+Parameters!$L$119)*((IF(ISNUMBER(T56/R56),T56/R56,1)*100)-100))*(1+(T83/R83-1)))*((1+Assumptions!AI$90)-(2.5*T83*T56*(1+Assumptions!AI$90)))-1),"N/A"))</f>
        <v>-1.8823409240671385E-3</v>
      </c>
      <c r="U115" s="848"/>
      <c r="V115" s="232"/>
    </row>
    <row r="116" spans="2:22" x14ac:dyDescent="0.25">
      <c r="B116" s="192"/>
      <c r="C116" s="232"/>
      <c r="D116" s="232"/>
      <c r="E116" s="302" t="str">
        <f t="shared" si="7"/>
        <v>Corporates</v>
      </c>
      <c r="F116" s="303"/>
      <c r="G116" s="303"/>
      <c r="H116" s="303"/>
      <c r="I116" s="304"/>
      <c r="J116" s="264"/>
      <c r="K116" s="264"/>
      <c r="L116" s="847">
        <f>IF($E116="","",IF(ISNUMBER(L57),IF(Assumptions!$H$28="Standard",Assumptions!M$90-L57*L84,((1+(L$107*IF(L$107=0,1,Parameters!$L$222)))*(1+(AVERAGE(L57,J57)*AVERAGE(L57,J57)*Parameters!$L$117+AVERAGE(L57,J57)*Parameters!$L$118+Parameters!$L$119)*((IF(ISNUMBER(L57/J57),L57/J57,1)*100)-100))*(1+(L84/J84-1)))*((1+Assumptions!AA$90)-(2.5*L84*L57*(1+Assumptions!AA$90)))-1),"N/A"))</f>
        <v>5.1119418330797917E-2</v>
      </c>
      <c r="M116" s="848"/>
      <c r="N116" s="847">
        <f>IF($E116="","",IF(ISNUMBER(N57),IF(Assumptions!$H$28="Standard",Assumptions!O$90-N57*N84,((1+(N$107*IF(N$107=0,1,Parameters!$L$222)))*(1+(AVERAGE(N57,L57)*AVERAGE(N57,L57)*Parameters!$L$117+AVERAGE(N57,L57)*Parameters!$L$118+Parameters!$L$119)*((IF(ISNUMBER(N57/L57),N57/L57,1)*100)-100))*(1+(N84/L84-1)))*((1+Assumptions!AC$90)-(2.5*N84*N57*(1+Assumptions!AC$90)))-1),"N/A"))</f>
        <v>-7.4358139717947136E-2</v>
      </c>
      <c r="O116" s="848"/>
      <c r="P116" s="847">
        <f>IF($E116="","",IF(ISNUMBER(P57),IF(Assumptions!$H$28="Standard",Assumptions!Q$90-P57*P84,((1+(P$107*IF(P$107=0,1,Parameters!$L$222)))*(1+(AVERAGE(P57,N57)*AVERAGE(P57,N57)*Parameters!$L$117+AVERAGE(P57,N57)*Parameters!$L$118+Parameters!$L$119)*((IF(ISNUMBER(P57/N57),P57/N57,1)*100)-100))*(1+(P84/N84-1)))*((1+Assumptions!AE$90)-(2.5*P84*P57*(1+Assumptions!AE$90)))-1),"N/A"))</f>
        <v>-9.5340316691946536E-2</v>
      </c>
      <c r="Q116" s="848"/>
      <c r="R116" s="847">
        <f>IF($E116="","",IF(ISNUMBER(R57),IF(Assumptions!$H$28="Standard",Assumptions!S$90-R57*R84,((1+(R$107*IF(R$107=0,1,Parameters!$L$222)))*(1+(AVERAGE(R57,P57)*AVERAGE(R57,P57)*Parameters!$L$117+AVERAGE(R57,P57)*Parameters!$L$118+Parameters!$L$119)*((IF(ISNUMBER(R57/P57),R57/P57,1)*100)-100))*(1+(R84/P84-1)))*((1+Assumptions!AG$90)-(2.5*R84*R57*(1+Assumptions!AG$90)))-1),"N/A"))</f>
        <v>-0.11944018912980359</v>
      </c>
      <c r="S116" s="848"/>
      <c r="T116" s="847">
        <f>IF($E116="","",IF(ISNUMBER(T57),IF(Assumptions!$H$28="Standard",Assumptions!U$90-T57*T84,((1+(T$107*IF(T$107=0,1,Parameters!$L$222)))*(1+(AVERAGE(T57,R57)*AVERAGE(T57,R57)*Parameters!$L$117+AVERAGE(T57,R57)*Parameters!$L$118+Parameters!$L$119)*((IF(ISNUMBER(T57/R57),T57/R57,1)*100)-100))*(1+(T84/R84-1)))*((1+Assumptions!AI$90)-(2.5*T84*T57*(1+Assumptions!AI$90)))-1),"N/A"))</f>
        <v>-0.14711243935199381</v>
      </c>
      <c r="U116" s="848"/>
      <c r="V116" s="232"/>
    </row>
    <row r="117" spans="2:22" x14ac:dyDescent="0.25">
      <c r="B117" s="192"/>
      <c r="C117" s="232"/>
      <c r="D117" s="232"/>
      <c r="E117" s="302" t="str">
        <f t="shared" si="7"/>
        <v>SME</v>
      </c>
      <c r="F117" s="303"/>
      <c r="G117" s="303"/>
      <c r="H117" s="303"/>
      <c r="I117" s="304"/>
      <c r="J117" s="264"/>
      <c r="K117" s="264"/>
      <c r="L117" s="847">
        <f>IF($E117="","",IF(ISNUMBER(L58),IF(Assumptions!$H$28="Standard",Assumptions!M$90-L58*L85,((1+(L$107*IF(L$107=0,1,Parameters!$L$222)))*(1+(AVERAGE(L58,J58)*AVERAGE(L58,J58)*Parameters!$L$117+AVERAGE(L58,J58)*Parameters!$L$118+Parameters!$L$119)*((IF(ISNUMBER(L58/J58),L58/J58,1)*100)-100))*(1+(L85/J85-1)))*((1+Assumptions!AA$90)-(2.5*L85*L58*(1+Assumptions!AA$90)))-1),"N/A"))</f>
        <v>5.1119418330797917E-2</v>
      </c>
      <c r="M117" s="848"/>
      <c r="N117" s="847">
        <f>IF($E117="","",IF(ISNUMBER(N58),IF(Assumptions!$H$28="Standard",Assumptions!O$90-N58*N85,((1+(N$107*IF(N$107=0,1,Parameters!$L$222)))*(1+(AVERAGE(N58,L58)*AVERAGE(N58,L58)*Parameters!$L$117+AVERAGE(N58,L58)*Parameters!$L$118+Parameters!$L$119)*((IF(ISNUMBER(N58/L58),N58/L58,1)*100)-100))*(1+(N85/L85-1)))*((1+Assumptions!AC$90)-(2.5*N85*N58*(1+Assumptions!AC$90)))-1),"N/A"))</f>
        <v>-7.4358139717947136E-2</v>
      </c>
      <c r="O117" s="848"/>
      <c r="P117" s="847">
        <f>IF($E117="","",IF(ISNUMBER(P58),IF(Assumptions!$H$28="Standard",Assumptions!Q$90-P58*P85,((1+(P$107*IF(P$107=0,1,Parameters!$L$222)))*(1+(AVERAGE(P58,N58)*AVERAGE(P58,N58)*Parameters!$L$117+AVERAGE(P58,N58)*Parameters!$L$118+Parameters!$L$119)*((IF(ISNUMBER(P58/N58),P58/N58,1)*100)-100))*(1+(P85/N85-1)))*((1+Assumptions!AE$90)-(2.5*P85*P58*(1+Assumptions!AE$90)))-1),"N/A"))</f>
        <v>-9.5340316691946536E-2</v>
      </c>
      <c r="Q117" s="848"/>
      <c r="R117" s="847">
        <f>IF($E117="","",IF(ISNUMBER(R58),IF(Assumptions!$H$28="Standard",Assumptions!S$90-R58*R85,((1+(R$107*IF(R$107=0,1,Parameters!$L$222)))*(1+(AVERAGE(R58,P58)*AVERAGE(R58,P58)*Parameters!$L$117+AVERAGE(R58,P58)*Parameters!$L$118+Parameters!$L$119)*((IF(ISNUMBER(R58/P58),R58/P58,1)*100)-100))*(1+(R85/P85-1)))*((1+Assumptions!AG$90)-(2.5*R85*R58*(1+Assumptions!AG$90)))-1),"N/A"))</f>
        <v>-0.11944018912980359</v>
      </c>
      <c r="S117" s="848"/>
      <c r="T117" s="847">
        <f>IF($E117="","",IF(ISNUMBER(T58),IF(Assumptions!$H$28="Standard",Assumptions!U$90-T58*T85,((1+(T$107*IF(T$107=0,1,Parameters!$L$222)))*(1+(AVERAGE(T58,R58)*AVERAGE(T58,R58)*Parameters!$L$117+AVERAGE(T58,R58)*Parameters!$L$118+Parameters!$L$119)*((IF(ISNUMBER(T58/R58),T58/R58,1)*100)-100))*(1+(T85/R85-1)))*((1+Assumptions!AI$90)-(2.5*T85*T58*(1+Assumptions!AI$90)))-1),"N/A"))</f>
        <v>-0.14711243935199381</v>
      </c>
      <c r="U117" s="848"/>
      <c r="V117" s="232"/>
    </row>
    <row r="118" spans="2:22" x14ac:dyDescent="0.25">
      <c r="B118" s="192"/>
      <c r="C118" s="232"/>
      <c r="D118" s="232"/>
      <c r="E118" s="302" t="str">
        <f t="shared" si="7"/>
        <v>Retail</v>
      </c>
      <c r="F118" s="303"/>
      <c r="G118" s="303"/>
      <c r="H118" s="303"/>
      <c r="I118" s="304"/>
      <c r="J118" s="264"/>
      <c r="K118" s="264"/>
      <c r="L118" s="847">
        <f>IF($E118="","",IF(ISNUMBER(L59),IF(Assumptions!$H$28="Standard",Assumptions!M$90-L59*L86,((1+(L$107*IF(L$107=0,1,Parameters!$L$222)))*(1+(AVERAGE(L59,J59)*AVERAGE(L59,J59)*Parameters!$L$117+AVERAGE(L59,J59)*Parameters!$L$118+Parameters!$L$119)*((IF(ISNUMBER(L59/J59),L59/J59,1)*100)-100))*(1+(L86/J86-1)))*((1+Assumptions!AA$90)-(2.5*L86*L59*(1+Assumptions!AA$90)))-1),"N/A"))</f>
        <v>0.51761067439282948</v>
      </c>
      <c r="M118" s="848"/>
      <c r="N118" s="847">
        <f>IF($E118="","",IF(ISNUMBER(N59),IF(Assumptions!$H$28="Standard",Assumptions!O$90-N59*N86,((1+(N$107*IF(N$107=0,1,Parameters!$L$222)))*(1+(AVERAGE(N59,L59)*AVERAGE(N59,L59)*Parameters!$L$117+AVERAGE(N59,L59)*Parameters!$L$118+Parameters!$L$119)*((IF(ISNUMBER(N59/L59),N59/L59,1)*100)-100))*(1+(N86/L86-1)))*((1+Assumptions!AC$90)-(2.5*N86*N59*(1+Assumptions!AC$90)))-1),"N/A"))</f>
        <v>-3.578972887286147E-2</v>
      </c>
      <c r="O118" s="848"/>
      <c r="P118" s="847">
        <f>IF($E118="","",IF(ISNUMBER(P59),IF(Assumptions!$H$28="Standard",Assumptions!Q$90-P59*P86,((1+(P$107*IF(P$107=0,1,Parameters!$L$222)))*(1+(AVERAGE(P59,N59)*AVERAGE(P59,N59)*Parameters!$L$117+AVERAGE(P59,N59)*Parameters!$L$118+Parameters!$L$119)*((IF(ISNUMBER(P59/N59),P59/N59,1)*100)-100))*(1+(P86/N86-1)))*((1+Assumptions!AE$90)-(2.5*P86*P59*(1+Assumptions!AE$90)))-1),"N/A"))</f>
        <v>-9.5340316691946536E-2</v>
      </c>
      <c r="Q118" s="848"/>
      <c r="R118" s="847">
        <f>IF($E118="","",IF(ISNUMBER(R59),IF(Assumptions!$H$28="Standard",Assumptions!S$90-R59*R86,((1+(R$107*IF(R$107=0,1,Parameters!$L$222)))*(1+(AVERAGE(R59,P59)*AVERAGE(R59,P59)*Parameters!$L$117+AVERAGE(R59,P59)*Parameters!$L$118+Parameters!$L$119)*((IF(ISNUMBER(R59/P59),R59/P59,1)*100)-100))*(1+(R86/P86-1)))*((1+Assumptions!AG$90)-(2.5*R86*R59*(1+Assumptions!AG$90)))-1),"N/A"))</f>
        <v>-0.11944018912980359</v>
      </c>
      <c r="S118" s="848"/>
      <c r="T118" s="847">
        <f>IF($E118="","",IF(ISNUMBER(T59),IF(Assumptions!$H$28="Standard",Assumptions!U$90-T59*T86,((1+(T$107*IF(T$107=0,1,Parameters!$L$222)))*(1+(AVERAGE(T59,R59)*AVERAGE(T59,R59)*Parameters!$L$117+AVERAGE(T59,R59)*Parameters!$L$118+Parameters!$L$119)*((IF(ISNUMBER(T59/R59),T59/R59,1)*100)-100))*(1+(T86/R86-1)))*((1+Assumptions!AI$90)-(2.5*T86*T59*(1+Assumptions!AI$90)))-1),"N/A"))</f>
        <v>-0.14711243935199381</v>
      </c>
      <c r="U118" s="848"/>
      <c r="V118" s="232"/>
    </row>
    <row r="119" spans="2:22" x14ac:dyDescent="0.25">
      <c r="B119" s="192"/>
      <c r="C119" s="232"/>
      <c r="D119" s="232"/>
      <c r="E119" s="302" t="str">
        <f t="shared" si="7"/>
        <v>Residential mortgages</v>
      </c>
      <c r="F119" s="303"/>
      <c r="G119" s="303"/>
      <c r="H119" s="303"/>
      <c r="I119" s="304"/>
      <c r="J119" s="264"/>
      <c r="K119" s="264"/>
      <c r="L119" s="847">
        <f>IF($E119="","",IF(ISNUMBER(L60),IF(Assumptions!$H$28="Standard",Assumptions!M$90-L60*L87,((1+(L$107*IF(L$107=0,1,Parameters!$L$222)))*(1+(AVERAGE(L60,J60)*AVERAGE(L60,J60)*Parameters!$L$117+AVERAGE(L60,J60)*Parameters!$L$118+Parameters!$L$119)*((IF(ISNUMBER(L60/J60),L60/J60,1)*100)-100))*(1+(L87/J87-1)))*((1+Assumptions!AA$90)-(2.5*L87*L60*(1+Assumptions!AA$90)))-1),"N/A"))</f>
        <v>0.17988154707632065</v>
      </c>
      <c r="M119" s="848"/>
      <c r="N119" s="847">
        <f>IF($E119="","",IF(ISNUMBER(N60),IF(Assumptions!$H$28="Standard",Assumptions!O$90-N60*N87,((1+(N$107*IF(N$107=0,1,Parameters!$L$222)))*(1+(AVERAGE(N60,L60)*AVERAGE(N60,L60)*Parameters!$L$117+AVERAGE(N60,L60)*Parameters!$L$118+Parameters!$L$119)*((IF(ISNUMBER(N60/L60),N60/L60,1)*100)-100))*(1+(N87/L87-1)))*((1+Assumptions!AC$90)-(2.5*N87*N60*(1+Assumptions!AC$90)))-1),"N/A"))</f>
        <v>-7.4358139717947136E-2</v>
      </c>
      <c r="O119" s="848"/>
      <c r="P119" s="847">
        <f>IF($E119="","",IF(ISNUMBER(P60),IF(Assumptions!$H$28="Standard",Assumptions!Q$90-P60*P87,((1+(P$107*IF(P$107=0,1,Parameters!$L$222)))*(1+(AVERAGE(P60,N60)*AVERAGE(P60,N60)*Parameters!$L$117+AVERAGE(P60,N60)*Parameters!$L$118+Parameters!$L$119)*((IF(ISNUMBER(P60/N60),P60/N60,1)*100)-100))*(1+(P87/N87-1)))*((1+Assumptions!AE$90)-(2.5*P87*P60*(1+Assumptions!AE$90)))-1),"N/A"))</f>
        <v>-9.5340316691946536E-2</v>
      </c>
      <c r="Q119" s="848"/>
      <c r="R119" s="847">
        <f>IF($E119="","",IF(ISNUMBER(R60),IF(Assumptions!$H$28="Standard",Assumptions!S$90-R60*R87,((1+(R$107*IF(R$107=0,1,Parameters!$L$222)))*(1+(AVERAGE(R60,P60)*AVERAGE(R60,P60)*Parameters!$L$117+AVERAGE(R60,P60)*Parameters!$L$118+Parameters!$L$119)*((IF(ISNUMBER(R60/P60),R60/P60,1)*100)-100))*(1+(R87/P87-1)))*((1+Assumptions!AG$90)-(2.5*R87*R60*(1+Assumptions!AG$90)))-1),"N/A"))</f>
        <v>-0.11944018912980359</v>
      </c>
      <c r="S119" s="848"/>
      <c r="T119" s="847">
        <f>IF($E119="","",IF(ISNUMBER(T60),IF(Assumptions!$H$28="Standard",Assumptions!U$90-T60*T87,((1+(T$107*IF(T$107=0,1,Parameters!$L$222)))*(1+(AVERAGE(T60,R60)*AVERAGE(T60,R60)*Parameters!$L$117+AVERAGE(T60,R60)*Parameters!$L$118+Parameters!$L$119)*((IF(ISNUMBER(T60/R60),T60/R60,1)*100)-100))*(1+(T87/R87-1)))*((1+Assumptions!AI$90)-(2.5*T87*T60*(1+Assumptions!AI$90)))-1),"N/A"))</f>
        <v>-0.14711243935199381</v>
      </c>
      <c r="U119" s="848"/>
      <c r="V119" s="232"/>
    </row>
    <row r="120" spans="2:22" x14ac:dyDescent="0.25">
      <c r="B120" s="192"/>
      <c r="C120" s="232"/>
      <c r="D120" s="232"/>
      <c r="E120" s="302" t="str">
        <f t="shared" si="7"/>
        <v>Securitization</v>
      </c>
      <c r="F120" s="303"/>
      <c r="G120" s="303"/>
      <c r="H120" s="303"/>
      <c r="I120" s="304"/>
      <c r="J120" s="264"/>
      <c r="K120" s="264"/>
      <c r="L120" s="847" t="str">
        <f>IF($E120="","",IF(ISNUMBER(L61),IF(Assumptions!$H$28="Standard",Assumptions!M$90-L61*L88,((1+(L$107*IF(L$107=0,1,Parameters!$L$222)))*(1+(AVERAGE(L61,J61)*AVERAGE(L61,J61)*Parameters!$L$117+AVERAGE(L61,J61)*Parameters!$L$118+Parameters!$L$119)*((IF(ISNUMBER(L61/J61),L61/J61,1)*100)-100))*(1+(L88/J88-1)))*((1+Assumptions!AA$90)-(2.5*L88*L61*(1+Assumptions!AA$90)))-1),"N/A"))</f>
        <v>N/A</v>
      </c>
      <c r="M120" s="848"/>
      <c r="N120" s="847" t="str">
        <f>IF($E120="","",IF(ISNUMBER(N61),IF(Assumptions!$H$28="Standard",Assumptions!O$90-N61*N88,((1+(N$107*IF(N$107=0,1,Parameters!$L$222)))*(1+(AVERAGE(N61,L61)*AVERAGE(N61,L61)*Parameters!$L$117+AVERAGE(N61,L61)*Parameters!$L$118+Parameters!$L$119)*((IF(ISNUMBER(N61/L61),N61/L61,1)*100)-100))*(1+(N88/L88-1)))*((1+Assumptions!AC$90)-(2.5*N88*N61*(1+Assumptions!AC$90)))-1),"N/A"))</f>
        <v>N/A</v>
      </c>
      <c r="O120" s="848"/>
      <c r="P120" s="847" t="str">
        <f>IF($E120="","",IF(ISNUMBER(P61),IF(Assumptions!$H$28="Standard",Assumptions!Q$90-P61*P88,((1+(P$107*IF(P$107=0,1,Parameters!$L$222)))*(1+(AVERAGE(P61,N61)*AVERAGE(P61,N61)*Parameters!$L$117+AVERAGE(P61,N61)*Parameters!$L$118+Parameters!$L$119)*((IF(ISNUMBER(P61/N61),P61/N61,1)*100)-100))*(1+(P88/N88-1)))*((1+Assumptions!AE$90)-(2.5*P88*P61*(1+Assumptions!AE$90)))-1),"N/A"))</f>
        <v>N/A</v>
      </c>
      <c r="Q120" s="848"/>
      <c r="R120" s="847" t="str">
        <f>IF($E120="","",IF(ISNUMBER(R61),IF(Assumptions!$H$28="Standard",Assumptions!S$90-R61*R88,((1+(R$107*IF(R$107=0,1,Parameters!$L$222)))*(1+(AVERAGE(R61,P61)*AVERAGE(R61,P61)*Parameters!$L$117+AVERAGE(R61,P61)*Parameters!$L$118+Parameters!$L$119)*((IF(ISNUMBER(R61/P61),R61/P61,1)*100)-100))*(1+(R88/P88-1)))*((1+Assumptions!AG$90)-(2.5*R88*R61*(1+Assumptions!AG$90)))-1),"N/A"))</f>
        <v>N/A</v>
      </c>
      <c r="S120" s="848"/>
      <c r="T120" s="847" t="str">
        <f>IF($E120="","",IF(ISNUMBER(T61),IF(Assumptions!$H$28="Standard",Assumptions!U$90-T61*T88,((1+(T$107*IF(T$107=0,1,Parameters!$L$222)))*(1+(AVERAGE(T61,R61)*AVERAGE(T61,R61)*Parameters!$L$117+AVERAGE(T61,R61)*Parameters!$L$118+Parameters!$L$119)*((IF(ISNUMBER(T61/R61),T61/R61,1)*100)-100))*(1+(T88/R88-1)))*((1+Assumptions!AI$90)-(2.5*T88*T61*(1+Assumptions!AI$90)))-1),"N/A"))</f>
        <v>N/A</v>
      </c>
      <c r="U120" s="848"/>
      <c r="V120" s="232"/>
    </row>
    <row r="121" spans="2:22" x14ac:dyDescent="0.25">
      <c r="B121" s="192"/>
      <c r="C121" s="232"/>
      <c r="D121" s="232"/>
      <c r="E121" s="302" t="str">
        <f t="shared" si="7"/>
        <v>Derivatives</v>
      </c>
      <c r="F121" s="303"/>
      <c r="G121" s="303"/>
      <c r="H121" s="303"/>
      <c r="I121" s="304"/>
      <c r="J121" s="264"/>
      <c r="K121" s="264"/>
      <c r="L121" s="847" t="str">
        <f>IF($E121="","",IF(ISNUMBER(L62),IF(Assumptions!$H$28="Standard",Assumptions!M$90-L62*L89,((1+(L$107*IF(L$107=0,1,Parameters!$L$222)))*(1+(AVERAGE(L62,J62)*AVERAGE(L62,J62)*Parameters!$L$117+AVERAGE(L62,J62)*Parameters!$L$118+Parameters!$L$119)*((IF(ISNUMBER(L62/J62),L62/J62,1)*100)-100))*(1+(L89/J89-1)))*((1+Assumptions!AA$90)-(2.5*L89*L62*(1+Assumptions!AA$90)))-1),"N/A"))</f>
        <v>N/A</v>
      </c>
      <c r="M121" s="848"/>
      <c r="N121" s="847" t="str">
        <f>IF($E121="","",IF(ISNUMBER(N62),IF(Assumptions!$H$28="Standard",Assumptions!O$90-N62*N89,((1+(N$107*IF(N$107=0,1,Parameters!$L$222)))*(1+(AVERAGE(N62,L62)*AVERAGE(N62,L62)*Parameters!$L$117+AVERAGE(N62,L62)*Parameters!$L$118+Parameters!$L$119)*((IF(ISNUMBER(N62/L62),N62/L62,1)*100)-100))*(1+(N89/L89-1)))*((1+Assumptions!AC$90)-(2.5*N89*N62*(1+Assumptions!AC$90)))-1),"N/A"))</f>
        <v>N/A</v>
      </c>
      <c r="O121" s="848"/>
      <c r="P121" s="847" t="str">
        <f>IF($E121="","",IF(ISNUMBER(P62),IF(Assumptions!$H$28="Standard",Assumptions!Q$90-P62*P89,((1+(P$107*IF(P$107=0,1,Parameters!$L$222)))*(1+(AVERAGE(P62,N62)*AVERAGE(P62,N62)*Parameters!$L$117+AVERAGE(P62,N62)*Parameters!$L$118+Parameters!$L$119)*((IF(ISNUMBER(P62/N62),P62/N62,1)*100)-100))*(1+(P89/N89-1)))*((1+Assumptions!AE$90)-(2.5*P89*P62*(1+Assumptions!AE$90)))-1),"N/A"))</f>
        <v>N/A</v>
      </c>
      <c r="Q121" s="848"/>
      <c r="R121" s="847" t="str">
        <f>IF($E121="","",IF(ISNUMBER(R62),IF(Assumptions!$H$28="Standard",Assumptions!S$90-R62*R89,((1+(R$107*IF(R$107=0,1,Parameters!$L$222)))*(1+(AVERAGE(R62,P62)*AVERAGE(R62,P62)*Parameters!$L$117+AVERAGE(R62,P62)*Parameters!$L$118+Parameters!$L$119)*((IF(ISNUMBER(R62/P62),R62/P62,1)*100)-100))*(1+(R89/P89-1)))*((1+Assumptions!AG$90)-(2.5*R89*R62*(1+Assumptions!AG$90)))-1),"N/A"))</f>
        <v>N/A</v>
      </c>
      <c r="S121" s="848"/>
      <c r="T121" s="847" t="str">
        <f>IF($E121="","",IF(ISNUMBER(T62),IF(Assumptions!$H$28="Standard",Assumptions!U$90-T62*T89,((1+(T$107*IF(T$107=0,1,Parameters!$L$222)))*(1+(AVERAGE(T62,R62)*AVERAGE(T62,R62)*Parameters!$L$117+AVERAGE(T62,R62)*Parameters!$L$118+Parameters!$L$119)*((IF(ISNUMBER(T62/R62),T62/R62,1)*100)-100))*(1+(T89/R89-1)))*((1+Assumptions!AI$90)-(2.5*T89*T62*(1+Assumptions!AI$90)))-1),"N/A"))</f>
        <v>N/A</v>
      </c>
      <c r="U121" s="848"/>
      <c r="V121" s="232"/>
    </row>
    <row r="122" spans="2:22" x14ac:dyDescent="0.25">
      <c r="B122" s="192"/>
      <c r="C122" s="232"/>
      <c r="D122" s="232"/>
      <c r="E122" s="302" t="str">
        <f t="shared" si="7"/>
        <v>Off-balance sheet credit</v>
      </c>
      <c r="F122" s="303"/>
      <c r="G122" s="303"/>
      <c r="H122" s="303"/>
      <c r="I122" s="304"/>
      <c r="J122" s="264"/>
      <c r="K122" s="264"/>
      <c r="L122" s="847">
        <f>IF($E122="","",IF(ISNUMBER(L63),IF(Assumptions!$H$28="Standard",Assumptions!M$90-L63*L90,((1+(L$107*IF(L$107=0,1,Parameters!$L$222)))*(1+(AVERAGE(L63,J63)*AVERAGE(L63,J63)*Parameters!$L$117+AVERAGE(L63,J63)*Parameters!$L$118+Parameters!$L$119)*((IF(ISNUMBER(L63/J63),L63/J63,1)*100)-100))*(1+(L90/J90-1)))*((1+Assumptions!AA$90)-(2.5*L90*L63*(1+Assumptions!AA$90)))-1),"N/A"))</f>
        <v>0.51761067439282948</v>
      </c>
      <c r="M122" s="848"/>
      <c r="N122" s="847">
        <f>IF($E122="","",IF(ISNUMBER(N63),IF(Assumptions!$H$28="Standard",Assumptions!O$90-N63*N90,((1+(N$107*IF(N$107=0,1,Parameters!$L$222)))*(1+(AVERAGE(N63,L63)*AVERAGE(N63,L63)*Parameters!$L$117+AVERAGE(N63,L63)*Parameters!$L$118+Parameters!$L$119)*((IF(ISNUMBER(N63/L63),N63/L63,1)*100)-100))*(1+(N90/L90-1)))*((1+Assumptions!AC$90)-(2.5*N90*N63*(1+Assumptions!AC$90)))-1),"N/A"))</f>
        <v>-3.578972887286147E-2</v>
      </c>
      <c r="O122" s="848"/>
      <c r="P122" s="847">
        <f>IF($E122="","",IF(ISNUMBER(P63),IF(Assumptions!$H$28="Standard",Assumptions!Q$90-P63*P90,((1+(P$107*IF(P$107=0,1,Parameters!$L$222)))*(1+(AVERAGE(P63,N63)*AVERAGE(P63,N63)*Parameters!$L$117+AVERAGE(P63,N63)*Parameters!$L$118+Parameters!$L$119)*((IF(ISNUMBER(P63/N63),P63/N63,1)*100)-100))*(1+(P90/N90-1)))*((1+Assumptions!AE$90)-(2.5*P90*P63*(1+Assumptions!AE$90)))-1),"N/A"))</f>
        <v>-9.5340316691946536E-2</v>
      </c>
      <c r="Q122" s="848"/>
      <c r="R122" s="847">
        <f>IF($E122="","",IF(ISNUMBER(R63),IF(Assumptions!$H$28="Standard",Assumptions!S$90-R63*R90,((1+(R$107*IF(R$107=0,1,Parameters!$L$222)))*(1+(AVERAGE(R63,P63)*AVERAGE(R63,P63)*Parameters!$L$117+AVERAGE(R63,P63)*Parameters!$L$118+Parameters!$L$119)*((IF(ISNUMBER(R63/P63),R63/P63,1)*100)-100))*(1+(R90/P90-1)))*((1+Assumptions!AG$90)-(2.5*R90*R63*(1+Assumptions!AG$90)))-1),"N/A"))</f>
        <v>-0.11944018912980359</v>
      </c>
      <c r="S122" s="848"/>
      <c r="T122" s="847">
        <f>IF($E122="","",IF(ISNUMBER(T63),IF(Assumptions!$H$28="Standard",Assumptions!U$90-T63*T90,((1+(T$107*IF(T$107=0,1,Parameters!$L$222)))*(1+(AVERAGE(T63,R63)*AVERAGE(T63,R63)*Parameters!$L$117+AVERAGE(T63,R63)*Parameters!$L$118+Parameters!$L$119)*((IF(ISNUMBER(T63/R63),T63/R63,1)*100)-100))*(1+(T90/R90-1)))*((1+Assumptions!AI$90)-(2.5*T90*T63*(1+Assumptions!AI$90)))-1),"N/A"))</f>
        <v>-0.14711243935199381</v>
      </c>
      <c r="U122" s="848"/>
      <c r="V122" s="232"/>
    </row>
    <row r="123" spans="2:22" x14ac:dyDescent="0.25">
      <c r="B123" s="192"/>
      <c r="C123" s="232"/>
      <c r="D123" s="232"/>
      <c r="E123" s="302" t="str">
        <f t="shared" si="7"/>
        <v/>
      </c>
      <c r="F123" s="303"/>
      <c r="G123" s="303"/>
      <c r="H123" s="303"/>
      <c r="I123" s="304"/>
      <c r="J123" s="264"/>
      <c r="K123" s="264"/>
      <c r="L123" s="847" t="str">
        <f>IF($E123="","",IF(ISNUMBER(L64),IF(Assumptions!$H$28="Standard",Assumptions!M$90-L64*L91,((1+(L$107*IF(L$107=0,1,Parameters!$L$222)))*(1+(AVERAGE(L64,J64)*AVERAGE(L64,J64)*Parameters!$L$117+AVERAGE(L64,J64)*Parameters!$L$118+Parameters!$L$119)*((IF(ISNUMBER(L64/J64),L64/J64,1)*100)-100))*(1+(L91/J91-1)))*((1+Assumptions!AA$90)-(2.5*L91*L64*(1+Assumptions!AA$90)))-1),"N/A"))</f>
        <v/>
      </c>
      <c r="M123" s="848"/>
      <c r="N123" s="847" t="str">
        <f>IF($E123="","",IF(ISNUMBER(N64),IF(Assumptions!$H$28="Standard",Assumptions!O$90-N64*N91,((1+(N$107*IF(N$107=0,1,Parameters!$L$222)))*(1+(AVERAGE(N64,L64)*AVERAGE(N64,L64)*Parameters!$L$117+AVERAGE(N64,L64)*Parameters!$L$118+Parameters!$L$119)*((IF(ISNUMBER(N64/L64),N64/L64,1)*100)-100))*(1+(N91/L91-1)))*((1+Assumptions!AC$90)-(2.5*N91*N64*(1+Assumptions!AC$90)))-1),"N/A"))</f>
        <v/>
      </c>
      <c r="O123" s="848"/>
      <c r="P123" s="847" t="str">
        <f>IF($E123="","",IF(ISNUMBER(P64),IF(Assumptions!$H$28="Standard",Assumptions!Q$90-P64*P91,((1+(P$107*IF(P$107=0,1,Parameters!$L$222)))*(1+(AVERAGE(P64,N64)*AVERAGE(P64,N64)*Parameters!$L$117+AVERAGE(P64,N64)*Parameters!$L$118+Parameters!$L$119)*((IF(ISNUMBER(P64/N64),P64/N64,1)*100)-100))*(1+(P91/N91-1)))*((1+Assumptions!AE$90)-(2.5*P91*P64*(1+Assumptions!AE$90)))-1),"N/A"))</f>
        <v/>
      </c>
      <c r="Q123" s="848"/>
      <c r="R123" s="847" t="str">
        <f>IF($E123="","",IF(ISNUMBER(R64),IF(Assumptions!$H$28="Standard",Assumptions!S$90-R64*R91,((1+(R$107*IF(R$107=0,1,Parameters!$L$222)))*(1+(AVERAGE(R64,P64)*AVERAGE(R64,P64)*Parameters!$L$117+AVERAGE(R64,P64)*Parameters!$L$118+Parameters!$L$119)*((IF(ISNUMBER(R64/P64),R64/P64,1)*100)-100))*(1+(R91/P91-1)))*((1+Assumptions!AG$90)-(2.5*R91*R64*(1+Assumptions!AG$90)))-1),"N/A"))</f>
        <v/>
      </c>
      <c r="S123" s="848"/>
      <c r="T123" s="847" t="str">
        <f>IF($E123="","",IF(ISNUMBER(T64),IF(Assumptions!$H$28="Standard",Assumptions!U$90-T64*T91,((1+(T$107*IF(T$107=0,1,Parameters!$L$222)))*(1+(AVERAGE(T64,R64)*AVERAGE(T64,R64)*Parameters!$L$117+AVERAGE(T64,R64)*Parameters!$L$118+Parameters!$L$119)*((IF(ISNUMBER(T64/R64),T64/R64,1)*100)-100))*(1+(T91/R91-1)))*((1+Assumptions!AI$90)-(2.5*T91*T64*(1+Assumptions!AI$90)))-1),"N/A"))</f>
        <v/>
      </c>
      <c r="U123" s="848"/>
      <c r="V123" s="232"/>
    </row>
    <row r="124" spans="2:22" x14ac:dyDescent="0.25">
      <c r="B124" s="192"/>
      <c r="C124" s="232"/>
      <c r="D124" s="232"/>
      <c r="E124" s="302" t="str">
        <f t="shared" si="7"/>
        <v/>
      </c>
      <c r="F124" s="303"/>
      <c r="G124" s="303"/>
      <c r="H124" s="303"/>
      <c r="I124" s="304"/>
      <c r="J124" s="264"/>
      <c r="K124" s="264"/>
      <c r="L124" s="847" t="str">
        <f>IF($E124="","",IF(ISNUMBER(L65),IF(Assumptions!$H$28="Standard",Assumptions!M$90-L65*L92,((1+(L$107*IF(L$107=0,1,Parameters!$L$222)))*(1+(AVERAGE(L65,J65)*AVERAGE(L65,J65)*Parameters!$L$117+AVERAGE(L65,J65)*Parameters!$L$118+Parameters!$L$119)*((IF(ISNUMBER(L65/J65),L65/J65,1)*100)-100))*(1+(L92/J92-1)))*((1+Assumptions!AA$90)-(2.5*L92*L65*(1+Assumptions!AA$90)))-1),"N/A"))</f>
        <v/>
      </c>
      <c r="M124" s="848"/>
      <c r="N124" s="847" t="str">
        <f>IF($E124="","",IF(ISNUMBER(N65),IF(Assumptions!$H$28="Standard",Assumptions!O$90-N65*N92,((1+(N$107*IF(N$107=0,1,Parameters!$L$222)))*(1+(AVERAGE(N65,L65)*AVERAGE(N65,L65)*Parameters!$L$117+AVERAGE(N65,L65)*Parameters!$L$118+Parameters!$L$119)*((IF(ISNUMBER(N65/L65),N65/L65,1)*100)-100))*(1+(N92/L92-1)))*((1+Assumptions!AC$90)-(2.5*N92*N65*(1+Assumptions!AC$90)))-1),"N/A"))</f>
        <v/>
      </c>
      <c r="O124" s="848"/>
      <c r="P124" s="847" t="str">
        <f>IF($E124="","",IF(ISNUMBER(P65),IF(Assumptions!$H$28="Standard",Assumptions!Q$90-P65*P92,((1+(P$107*IF(P$107=0,1,Parameters!$L$222)))*(1+(AVERAGE(P65,N65)*AVERAGE(P65,N65)*Parameters!$L$117+AVERAGE(P65,N65)*Parameters!$L$118+Parameters!$L$119)*((IF(ISNUMBER(P65/N65),P65/N65,1)*100)-100))*(1+(P92/N92-1)))*((1+Assumptions!AE$90)-(2.5*P92*P65*(1+Assumptions!AE$90)))-1),"N/A"))</f>
        <v/>
      </c>
      <c r="Q124" s="848"/>
      <c r="R124" s="847" t="str">
        <f>IF($E124="","",IF(ISNUMBER(R65),IF(Assumptions!$H$28="Standard",Assumptions!S$90-R65*R92,((1+(R$107*IF(R$107=0,1,Parameters!$L$222)))*(1+(AVERAGE(R65,P65)*AVERAGE(R65,P65)*Parameters!$L$117+AVERAGE(R65,P65)*Parameters!$L$118+Parameters!$L$119)*((IF(ISNUMBER(R65/P65),R65/P65,1)*100)-100))*(1+(R92/P92-1)))*((1+Assumptions!AG$90)-(2.5*R92*R65*(1+Assumptions!AG$90)))-1),"N/A"))</f>
        <v/>
      </c>
      <c r="S124" s="848"/>
      <c r="T124" s="847" t="str">
        <f>IF($E124="","",IF(ISNUMBER(T65),IF(Assumptions!$H$28="Standard",Assumptions!U$90-T65*T92,((1+(T$107*IF(T$107=0,1,Parameters!$L$222)))*(1+(AVERAGE(T65,R65)*AVERAGE(T65,R65)*Parameters!$L$117+AVERAGE(T65,R65)*Parameters!$L$118+Parameters!$L$119)*((IF(ISNUMBER(T65/R65),T65/R65,1)*100)-100))*(1+(T92/R92-1)))*((1+Assumptions!AI$90)-(2.5*T92*T65*(1+Assumptions!AI$90)))-1),"N/A"))</f>
        <v/>
      </c>
      <c r="U124" s="848"/>
      <c r="V124" s="232"/>
    </row>
    <row r="125" spans="2:22" x14ac:dyDescent="0.25">
      <c r="B125" s="192"/>
      <c r="C125" s="232"/>
      <c r="D125" s="232"/>
      <c r="E125" s="302" t="str">
        <f t="shared" si="7"/>
        <v/>
      </c>
      <c r="F125" s="303"/>
      <c r="G125" s="303"/>
      <c r="H125" s="303"/>
      <c r="I125" s="304"/>
      <c r="J125" s="264"/>
      <c r="K125" s="264"/>
      <c r="L125" s="847" t="str">
        <f>IF($E125="","",IF(ISNUMBER(L66),IF(Assumptions!$H$28="Standard",Assumptions!M$90-L66*L93,((1+(L$107*IF(L$107=0,1,Parameters!$L$222)))*(1+(AVERAGE(L66,J66)*AVERAGE(L66,J66)*Parameters!$L$117+AVERAGE(L66,J66)*Parameters!$L$118+Parameters!$L$119)*((IF(ISNUMBER(L66/J66),L66/J66,1)*100)-100))*(1+(L93/J93-1)))*((1+Assumptions!AA$90)-(2.5*L93*L66*(1+Assumptions!AA$90)))-1),"N/A"))</f>
        <v/>
      </c>
      <c r="M125" s="848"/>
      <c r="N125" s="847" t="str">
        <f>IF($E125="","",IF(ISNUMBER(N66),IF(Assumptions!$H$28="Standard",Assumptions!O$90-N66*N93,((1+(N$107*IF(N$107=0,1,Parameters!$L$222)))*(1+(AVERAGE(N66,L66)*AVERAGE(N66,L66)*Parameters!$L$117+AVERAGE(N66,L66)*Parameters!$L$118+Parameters!$L$119)*((IF(ISNUMBER(N66/L66),N66/L66,1)*100)-100))*(1+(N93/L93-1)))*((1+Assumptions!AC$90)-(2.5*N93*N66*(1+Assumptions!AC$90)))-1),"N/A"))</f>
        <v/>
      </c>
      <c r="O125" s="848"/>
      <c r="P125" s="847" t="str">
        <f>IF($E125="","",IF(ISNUMBER(P66),IF(Assumptions!$H$28="Standard",Assumptions!Q$90-P66*P93,((1+(P$107*IF(P$107=0,1,Parameters!$L$222)))*(1+(AVERAGE(P66,N66)*AVERAGE(P66,N66)*Parameters!$L$117+AVERAGE(P66,N66)*Parameters!$L$118+Parameters!$L$119)*((IF(ISNUMBER(P66/N66),P66/N66,1)*100)-100))*(1+(P93/N93-1)))*((1+Assumptions!AE$90)-(2.5*P93*P66*(1+Assumptions!AE$90)))-1),"N/A"))</f>
        <v/>
      </c>
      <c r="Q125" s="848"/>
      <c r="R125" s="847" t="str">
        <f>IF($E125="","",IF(ISNUMBER(R66),IF(Assumptions!$H$28="Standard",Assumptions!S$90-R66*R93,((1+(R$107*IF(R$107=0,1,Parameters!$L$222)))*(1+(AVERAGE(R66,P66)*AVERAGE(R66,P66)*Parameters!$L$117+AVERAGE(R66,P66)*Parameters!$L$118+Parameters!$L$119)*((IF(ISNUMBER(R66/P66),R66/P66,1)*100)-100))*(1+(R93/P93-1)))*((1+Assumptions!AG$90)-(2.5*R93*R66*(1+Assumptions!AG$90)))-1),"N/A"))</f>
        <v/>
      </c>
      <c r="S125" s="848"/>
      <c r="T125" s="847" t="str">
        <f>IF($E125="","",IF(ISNUMBER(T66),IF(Assumptions!$H$28="Standard",Assumptions!U$90-T66*T93,((1+(T$107*IF(T$107=0,1,Parameters!$L$222)))*(1+(AVERAGE(T66,R66)*AVERAGE(T66,R66)*Parameters!$L$117+AVERAGE(T66,R66)*Parameters!$L$118+Parameters!$L$119)*((IF(ISNUMBER(T66/R66),T66/R66,1)*100)-100))*(1+(T93/R93-1)))*((1+Assumptions!AI$90)-(2.5*T93*T66*(1+Assumptions!AI$90)))-1),"N/A"))</f>
        <v/>
      </c>
      <c r="U125" s="848"/>
      <c r="V125" s="232"/>
    </row>
    <row r="126" spans="2:22" x14ac:dyDescent="0.25">
      <c r="B126" s="192"/>
      <c r="C126" s="232"/>
      <c r="D126" s="232"/>
      <c r="E126" s="302" t="str">
        <f t="shared" si="7"/>
        <v/>
      </c>
      <c r="F126" s="303"/>
      <c r="G126" s="303"/>
      <c r="H126" s="303"/>
      <c r="I126" s="304"/>
      <c r="J126" s="264"/>
      <c r="K126" s="264"/>
      <c r="L126" s="847" t="str">
        <f>IF($E126="","",IF(ISNUMBER(L67),IF(Assumptions!$H$28="Standard",Assumptions!M$90-L67*L94,((1+(L$107*IF(L$107=0,1,Parameters!$L$222)))*(1+(AVERAGE(L67,J67)*AVERAGE(L67,J67)*Parameters!$L$117+AVERAGE(L67,J67)*Parameters!$L$118+Parameters!$L$119)*((IF(ISNUMBER(L67/J67),L67/J67,1)*100)-100))*(1+(L94/J94-1)))*((1+Assumptions!AA$90)-(2.5*L94*L67*(1+Assumptions!AA$90)))-1),"N/A"))</f>
        <v/>
      </c>
      <c r="M126" s="848"/>
      <c r="N126" s="847" t="str">
        <f>IF($E126="","",IF(ISNUMBER(N67),IF(Assumptions!$H$28="Standard",Assumptions!O$90-N67*N94,((1+(N$107*IF(N$107=0,1,Parameters!$L$222)))*(1+(AVERAGE(N67,L67)*AVERAGE(N67,L67)*Parameters!$L$117+AVERAGE(N67,L67)*Parameters!$L$118+Parameters!$L$119)*((IF(ISNUMBER(N67/L67),N67/L67,1)*100)-100))*(1+(N94/L94-1)))*((1+Assumptions!AC$90)-(2.5*N94*N67*(1+Assumptions!AC$90)))-1),"N/A"))</f>
        <v/>
      </c>
      <c r="O126" s="848"/>
      <c r="P126" s="847" t="str">
        <f>IF($E126="","",IF(ISNUMBER(P67),IF(Assumptions!$H$28="Standard",Assumptions!Q$90-P67*P94,((1+(P$107*IF(P$107=0,1,Parameters!$L$222)))*(1+(AVERAGE(P67,N67)*AVERAGE(P67,N67)*Parameters!$L$117+AVERAGE(P67,N67)*Parameters!$L$118+Parameters!$L$119)*((IF(ISNUMBER(P67/N67),P67/N67,1)*100)-100))*(1+(P94/N94-1)))*((1+Assumptions!AE$90)-(2.5*P94*P67*(1+Assumptions!AE$90)))-1),"N/A"))</f>
        <v/>
      </c>
      <c r="Q126" s="848"/>
      <c r="R126" s="847" t="str">
        <f>IF($E126="","",IF(ISNUMBER(R67),IF(Assumptions!$H$28="Standard",Assumptions!S$90-R67*R94,((1+(R$107*IF(R$107=0,1,Parameters!$L$222)))*(1+(AVERAGE(R67,P67)*AVERAGE(R67,P67)*Parameters!$L$117+AVERAGE(R67,P67)*Parameters!$L$118+Parameters!$L$119)*((IF(ISNUMBER(R67/P67),R67/P67,1)*100)-100))*(1+(R94/P94-1)))*((1+Assumptions!AG$90)-(2.5*R94*R67*(1+Assumptions!AG$90)))-1),"N/A"))</f>
        <v/>
      </c>
      <c r="S126" s="848"/>
      <c r="T126" s="847" t="str">
        <f>IF($E126="","",IF(ISNUMBER(T67),IF(Assumptions!$H$28="Standard",Assumptions!U$90-T67*T94,((1+(T$107*IF(T$107=0,1,Parameters!$L$222)))*(1+(AVERAGE(T67,R67)*AVERAGE(T67,R67)*Parameters!$L$117+AVERAGE(T67,R67)*Parameters!$L$118+Parameters!$L$119)*((IF(ISNUMBER(T67/R67),T67/R67,1)*100)-100))*(1+(T94/R94-1)))*((1+Assumptions!AI$90)-(2.5*T94*T67*(1+Assumptions!AI$90)))-1),"N/A"))</f>
        <v/>
      </c>
      <c r="U126" s="848"/>
      <c r="V126" s="232"/>
    </row>
    <row r="127" spans="2:22" x14ac:dyDescent="0.25">
      <c r="B127" s="192"/>
      <c r="C127" s="232"/>
      <c r="D127" s="232"/>
      <c r="E127" s="302" t="str">
        <f t="shared" si="7"/>
        <v/>
      </c>
      <c r="F127" s="303"/>
      <c r="G127" s="303"/>
      <c r="H127" s="303"/>
      <c r="I127" s="304"/>
      <c r="J127" s="264"/>
      <c r="K127" s="264"/>
      <c r="L127" s="847" t="str">
        <f>IF($E127="","",IF(ISNUMBER(L68),IF(Assumptions!$H$28="Standard",Assumptions!M$90-L68*L95,((1+(L$107*IF(L$107=0,1,Parameters!$L$222)))*(1+(AVERAGE(L68,J68)*AVERAGE(L68,J68)*Parameters!$L$117+AVERAGE(L68,J68)*Parameters!$L$118+Parameters!$L$119)*((IF(ISNUMBER(L68/J68),L68/J68,1)*100)-100))*(1+(L95/J95-1)))*((1+Assumptions!AA$90)-(2.5*L95*L68*(1+Assumptions!AA$90)))-1),"N/A"))</f>
        <v/>
      </c>
      <c r="M127" s="848"/>
      <c r="N127" s="847" t="str">
        <f>IF($E127="","",IF(ISNUMBER(N68),IF(Assumptions!$H$28="Standard",Assumptions!O$90-N68*N95,((1+(N$107*IF(N$107=0,1,Parameters!$L$222)))*(1+(AVERAGE(N68,L68)*AVERAGE(N68,L68)*Parameters!$L$117+AVERAGE(N68,L68)*Parameters!$L$118+Parameters!$L$119)*((IF(ISNUMBER(N68/L68),N68/L68,1)*100)-100))*(1+(N95/L95-1)))*((1+Assumptions!AC$90)-(2.5*N95*N68*(1+Assumptions!AC$90)))-1),"N/A"))</f>
        <v/>
      </c>
      <c r="O127" s="848"/>
      <c r="P127" s="847" t="str">
        <f>IF($E127="","",IF(ISNUMBER(P68),IF(Assumptions!$H$28="Standard",Assumptions!Q$90-P68*P95,((1+(P$107*IF(P$107=0,1,Parameters!$L$222)))*(1+(AVERAGE(P68,N68)*AVERAGE(P68,N68)*Parameters!$L$117+AVERAGE(P68,N68)*Parameters!$L$118+Parameters!$L$119)*((IF(ISNUMBER(P68/N68),P68/N68,1)*100)-100))*(1+(P95/N95-1)))*((1+Assumptions!AE$90)-(2.5*P95*P68*(1+Assumptions!AE$90)))-1),"N/A"))</f>
        <v/>
      </c>
      <c r="Q127" s="848"/>
      <c r="R127" s="847" t="str">
        <f>IF($E127="","",IF(ISNUMBER(R68),IF(Assumptions!$H$28="Standard",Assumptions!S$90-R68*R95,((1+(R$107*IF(R$107=0,1,Parameters!$L$222)))*(1+(AVERAGE(R68,P68)*AVERAGE(R68,P68)*Parameters!$L$117+AVERAGE(R68,P68)*Parameters!$L$118+Parameters!$L$119)*((IF(ISNUMBER(R68/P68),R68/P68,1)*100)-100))*(1+(R95/P95-1)))*((1+Assumptions!AG$90)-(2.5*R95*R68*(1+Assumptions!AG$90)))-1),"N/A"))</f>
        <v/>
      </c>
      <c r="S127" s="848"/>
      <c r="T127" s="847" t="str">
        <f>IF($E127="","",IF(ISNUMBER(T68),IF(Assumptions!$H$28="Standard",Assumptions!U$90-T68*T95,((1+(T$107*IF(T$107=0,1,Parameters!$L$222)))*(1+(AVERAGE(T68,R68)*AVERAGE(T68,R68)*Parameters!$L$117+AVERAGE(T68,R68)*Parameters!$L$118+Parameters!$L$119)*((IF(ISNUMBER(T68/R68),T68/R68,1)*100)-100))*(1+(T95/R95-1)))*((1+Assumptions!AI$90)-(2.5*T95*T68*(1+Assumptions!AI$90)))-1),"N/A"))</f>
        <v/>
      </c>
      <c r="U127" s="848"/>
      <c r="V127" s="232"/>
    </row>
    <row r="128" spans="2:22" x14ac:dyDescent="0.25">
      <c r="B128" s="192"/>
      <c r="C128" s="232"/>
      <c r="D128" s="232"/>
      <c r="E128" s="302" t="str">
        <f t="shared" si="7"/>
        <v/>
      </c>
      <c r="F128" s="303"/>
      <c r="G128" s="303"/>
      <c r="H128" s="303"/>
      <c r="I128" s="304"/>
      <c r="J128" s="264"/>
      <c r="K128" s="264"/>
      <c r="L128" s="847" t="str">
        <f>IF($E128="","",IF(ISNUMBER(L69),IF(Assumptions!$H$28="Standard",Assumptions!M$90-L69*L96,((1+(L$107*IF(L$107=0,1,Parameters!$L$222)))*(1+(AVERAGE(L69,J69)*AVERAGE(L69,J69)*Parameters!$L$117+AVERAGE(L69,J69)*Parameters!$L$118+Parameters!$L$119)*((IF(ISNUMBER(L69/J69),L69/J69,1)*100)-100))*(1+(L96/J96-1)))*((1+Assumptions!AA$90)-(2.5*L96*L69*(1+Assumptions!AA$90)))-1),"N/A"))</f>
        <v/>
      </c>
      <c r="M128" s="848"/>
      <c r="N128" s="847" t="str">
        <f>IF($E128="","",IF(ISNUMBER(N69),IF(Assumptions!$H$28="Standard",Assumptions!O$90-N69*N96,((1+(N$107*IF(N$107=0,1,Parameters!$L$222)))*(1+(AVERAGE(N69,L69)*AVERAGE(N69,L69)*Parameters!$L$117+AVERAGE(N69,L69)*Parameters!$L$118+Parameters!$L$119)*((IF(ISNUMBER(N69/L69),N69/L69,1)*100)-100))*(1+(N96/L96-1)))*((1+Assumptions!AC$90)-(2.5*N96*N69*(1+Assumptions!AC$90)))-1),"N/A"))</f>
        <v/>
      </c>
      <c r="O128" s="848"/>
      <c r="P128" s="847" t="str">
        <f>IF($E128="","",IF(ISNUMBER(P69),IF(Assumptions!$H$28="Standard",Assumptions!Q$90-P69*P96,((1+(P$107*IF(P$107=0,1,Parameters!$L$222)))*(1+(AVERAGE(P69,N69)*AVERAGE(P69,N69)*Parameters!$L$117+AVERAGE(P69,N69)*Parameters!$L$118+Parameters!$L$119)*((IF(ISNUMBER(P69/N69),P69/N69,1)*100)-100))*(1+(P96/N96-1)))*((1+Assumptions!AE$90)-(2.5*P96*P69*(1+Assumptions!AE$90)))-1),"N/A"))</f>
        <v/>
      </c>
      <c r="Q128" s="848"/>
      <c r="R128" s="847" t="str">
        <f>IF($E128="","",IF(ISNUMBER(R69),IF(Assumptions!$H$28="Standard",Assumptions!S$90-R69*R96,((1+(R$107*IF(R$107=0,1,Parameters!$L$222)))*(1+(AVERAGE(R69,P69)*AVERAGE(R69,P69)*Parameters!$L$117+AVERAGE(R69,P69)*Parameters!$L$118+Parameters!$L$119)*((IF(ISNUMBER(R69/P69),R69/P69,1)*100)-100))*(1+(R96/P96-1)))*((1+Assumptions!AG$90)-(2.5*R96*R69*(1+Assumptions!AG$90)))-1),"N/A"))</f>
        <v/>
      </c>
      <c r="S128" s="848"/>
      <c r="T128" s="847" t="str">
        <f>IF($E128="","",IF(ISNUMBER(T69),IF(Assumptions!$H$28="Standard",Assumptions!U$90-T69*T96,((1+(T$107*IF(T$107=0,1,Parameters!$L$222)))*(1+(AVERAGE(T69,R69)*AVERAGE(T69,R69)*Parameters!$L$117+AVERAGE(T69,R69)*Parameters!$L$118+Parameters!$L$119)*((IF(ISNUMBER(T69/R69),T69/R69,1)*100)-100))*(1+(T96/R96-1)))*((1+Assumptions!AI$90)-(2.5*T96*T69*(1+Assumptions!AI$90)))-1),"N/A"))</f>
        <v/>
      </c>
      <c r="U128" s="848"/>
      <c r="V128" s="232"/>
    </row>
    <row r="129" spans="2:22" x14ac:dyDescent="0.25">
      <c r="B129" s="192"/>
      <c r="C129" s="232"/>
      <c r="D129" s="232"/>
      <c r="E129" s="302" t="str">
        <f t="shared" si="7"/>
        <v/>
      </c>
      <c r="F129" s="303"/>
      <c r="G129" s="303"/>
      <c r="H129" s="303"/>
      <c r="I129" s="304"/>
      <c r="J129" s="264"/>
      <c r="K129" s="264"/>
      <c r="L129" s="847" t="str">
        <f>IF($E129="","",IF(ISNUMBER(L70),IF(Assumptions!$H$28="Standard",Assumptions!M$90-L70*L97,((1+(L$107*IF(L$107=0,1,Parameters!$L$222)))*(1+(AVERAGE(L70,J70)*AVERAGE(L70,J70)*Parameters!$L$117+AVERAGE(L70,J70)*Parameters!$L$118+Parameters!$L$119)*((IF(ISNUMBER(L70/J70),L70/J70,1)*100)-100))*(1+(L97/J97-1)))*((1+Assumptions!AA$90)-(2.5*L97*L70*(1+Assumptions!AA$90)))-1),"N/A"))</f>
        <v/>
      </c>
      <c r="M129" s="848"/>
      <c r="N129" s="847" t="str">
        <f>IF($E129="","",IF(ISNUMBER(N70),IF(Assumptions!$H$28="Standard",Assumptions!O$90-N70*N97,((1+(N$107*IF(N$107=0,1,Parameters!$L$222)))*(1+(AVERAGE(N70,L70)*AVERAGE(N70,L70)*Parameters!$L$117+AVERAGE(N70,L70)*Parameters!$L$118+Parameters!$L$119)*((IF(ISNUMBER(N70/L70),N70/L70,1)*100)-100))*(1+(N97/L97-1)))*((1+Assumptions!AC$90)-(2.5*N97*N70*(1+Assumptions!AC$90)))-1),"N/A"))</f>
        <v/>
      </c>
      <c r="O129" s="848"/>
      <c r="P129" s="847" t="str">
        <f>IF($E129="","",IF(ISNUMBER(P70),IF(Assumptions!$H$28="Standard",Assumptions!Q$90-P70*P97,((1+(P$107*IF(P$107=0,1,Parameters!$L$222)))*(1+(AVERAGE(P70,N70)*AVERAGE(P70,N70)*Parameters!$L$117+AVERAGE(P70,N70)*Parameters!$L$118+Parameters!$L$119)*((IF(ISNUMBER(P70/N70),P70/N70,1)*100)-100))*(1+(P97/N97-1)))*((1+Assumptions!AE$90)-(2.5*P97*P70*(1+Assumptions!AE$90)))-1),"N/A"))</f>
        <v/>
      </c>
      <c r="Q129" s="848"/>
      <c r="R129" s="847" t="str">
        <f>IF($E129="","",IF(ISNUMBER(R70),IF(Assumptions!$H$28="Standard",Assumptions!S$90-R70*R97,((1+(R$107*IF(R$107=0,1,Parameters!$L$222)))*(1+(AVERAGE(R70,P70)*AVERAGE(R70,P70)*Parameters!$L$117+AVERAGE(R70,P70)*Parameters!$L$118+Parameters!$L$119)*((IF(ISNUMBER(R70/P70),R70/P70,1)*100)-100))*(1+(R97/P97-1)))*((1+Assumptions!AG$90)-(2.5*R97*R70*(1+Assumptions!AG$90)))-1),"N/A"))</f>
        <v/>
      </c>
      <c r="S129" s="848"/>
      <c r="T129" s="847" t="str">
        <f>IF($E129="","",IF(ISNUMBER(T70),IF(Assumptions!$H$28="Standard",Assumptions!U$90-T70*T97,((1+(T$107*IF(T$107=0,1,Parameters!$L$222)))*(1+(AVERAGE(T70,R70)*AVERAGE(T70,R70)*Parameters!$L$117+AVERAGE(T70,R70)*Parameters!$L$118+Parameters!$L$119)*((IF(ISNUMBER(T70/R70),T70/R70,1)*100)-100))*(1+(T97/R97-1)))*((1+Assumptions!AI$90)-(2.5*T97*T70*(1+Assumptions!AI$90)))-1),"N/A"))</f>
        <v/>
      </c>
      <c r="U129" s="848"/>
      <c r="V129" s="232"/>
    </row>
    <row r="130" spans="2:22" x14ac:dyDescent="0.25">
      <c r="B130" s="192"/>
      <c r="C130" s="232"/>
      <c r="D130" s="232"/>
      <c r="E130" s="302" t="str">
        <f t="shared" si="7"/>
        <v/>
      </c>
      <c r="F130" s="303"/>
      <c r="G130" s="303"/>
      <c r="H130" s="303"/>
      <c r="I130" s="304"/>
      <c r="J130" s="264"/>
      <c r="K130" s="264"/>
      <c r="L130" s="847" t="str">
        <f>IF($E130="","",IF(ISNUMBER(L71),IF(Assumptions!$H$28="Standard",Assumptions!M$90-L71*L98,((1+(L$107*IF(L$107=0,1,Parameters!$L$222)))*(1+(AVERAGE(L71,J71)*AVERAGE(L71,J71)*Parameters!$L$117+AVERAGE(L71,J71)*Parameters!$L$118+Parameters!$L$119)*((IF(ISNUMBER(L71/J71),L71/J71,1)*100)-100))*(1+(L98/J98-1)))*((1+Assumptions!AA$90)-(2.5*L98*L71*(1+Assumptions!AA$90)))-1),"N/A"))</f>
        <v/>
      </c>
      <c r="M130" s="848"/>
      <c r="N130" s="847" t="str">
        <f>IF($E130="","",IF(ISNUMBER(N71),IF(Assumptions!$H$28="Standard",Assumptions!O$90-N71*N98,((1+(N$107*IF(N$107=0,1,Parameters!$L$222)))*(1+(AVERAGE(N71,L71)*AVERAGE(N71,L71)*Parameters!$L$117+AVERAGE(N71,L71)*Parameters!$L$118+Parameters!$L$119)*((IF(ISNUMBER(N71/L71),N71/L71,1)*100)-100))*(1+(N98/L98-1)))*((1+Assumptions!AC$90)-(2.5*N98*N71*(1+Assumptions!AC$90)))-1),"N/A"))</f>
        <v/>
      </c>
      <c r="O130" s="848"/>
      <c r="P130" s="847" t="str">
        <f>IF($E130="","",IF(ISNUMBER(P71),IF(Assumptions!$H$28="Standard",Assumptions!Q$90-P71*P98,((1+(P$107*IF(P$107=0,1,Parameters!$L$222)))*(1+(AVERAGE(P71,N71)*AVERAGE(P71,N71)*Parameters!$L$117+AVERAGE(P71,N71)*Parameters!$L$118+Parameters!$L$119)*((IF(ISNUMBER(P71/N71),P71/N71,1)*100)-100))*(1+(P98/N98-1)))*((1+Assumptions!AE$90)-(2.5*P98*P71*(1+Assumptions!AE$90)))-1),"N/A"))</f>
        <v/>
      </c>
      <c r="Q130" s="848"/>
      <c r="R130" s="847" t="str">
        <f>IF($E130="","",IF(ISNUMBER(R71),IF(Assumptions!$H$28="Standard",Assumptions!S$90-R71*R98,((1+(R$107*IF(R$107=0,1,Parameters!$L$222)))*(1+(AVERAGE(R71,P71)*AVERAGE(R71,P71)*Parameters!$L$117+AVERAGE(R71,P71)*Parameters!$L$118+Parameters!$L$119)*((IF(ISNUMBER(R71/P71),R71/P71,1)*100)-100))*(1+(R98/P98-1)))*((1+Assumptions!AG$90)-(2.5*R98*R71*(1+Assumptions!AG$90)))-1),"N/A"))</f>
        <v/>
      </c>
      <c r="S130" s="848"/>
      <c r="T130" s="847" t="str">
        <f>IF($E130="","",IF(ISNUMBER(T71),IF(Assumptions!$H$28="Standard",Assumptions!U$90-T71*T98,((1+(T$107*IF(T$107=0,1,Parameters!$L$222)))*(1+(AVERAGE(T71,R71)*AVERAGE(T71,R71)*Parameters!$L$117+AVERAGE(T71,R71)*Parameters!$L$118+Parameters!$L$119)*((IF(ISNUMBER(T71/R71),T71/R71,1)*100)-100))*(1+(T98/R98-1)))*((1+Assumptions!AI$90)-(2.5*T98*T71*(1+Assumptions!AI$90)))-1),"N/A"))</f>
        <v/>
      </c>
      <c r="U130" s="848"/>
      <c r="V130" s="232"/>
    </row>
    <row r="131" spans="2:22" x14ac:dyDescent="0.25">
      <c r="B131" s="192"/>
      <c r="C131" s="232"/>
      <c r="D131" s="232"/>
      <c r="E131" s="302" t="str">
        <f t="shared" si="7"/>
        <v/>
      </c>
      <c r="F131" s="303"/>
      <c r="G131" s="303"/>
      <c r="H131" s="303"/>
      <c r="I131" s="304"/>
      <c r="J131" s="264"/>
      <c r="K131" s="264"/>
      <c r="L131" s="847" t="str">
        <f>IF($E131="","",IF(ISNUMBER(L72),IF(Assumptions!$H$28="Standard",Assumptions!M$90-L72*L99,((1+(L$107*IF(L$107=0,1,Parameters!$L$222)))*(1+(AVERAGE(L72,J72)*AVERAGE(L72,J72)*Parameters!$L$117+AVERAGE(L72,J72)*Parameters!$L$118+Parameters!$L$119)*((IF(ISNUMBER(L72/J72),L72/J72,1)*100)-100))*(1+(L99/J99-1)))*((1+Assumptions!AA$90)-(2.5*L99*L72*(1+Assumptions!AA$90)))-1),"N/A"))</f>
        <v/>
      </c>
      <c r="M131" s="848"/>
      <c r="N131" s="847" t="str">
        <f>IF($E131="","",IF(ISNUMBER(N72),IF(Assumptions!$H$28="Standard",Assumptions!O$90-N72*N99,((1+(N$107*IF(N$107=0,1,Parameters!$L$222)))*(1+(AVERAGE(N72,L72)*AVERAGE(N72,L72)*Parameters!$L$117+AVERAGE(N72,L72)*Parameters!$L$118+Parameters!$L$119)*((IF(ISNUMBER(N72/L72),N72/L72,1)*100)-100))*(1+(N99/L99-1)))*((1+Assumptions!AC$90)-(2.5*N99*N72*(1+Assumptions!AC$90)))-1),"N/A"))</f>
        <v/>
      </c>
      <c r="O131" s="848"/>
      <c r="P131" s="847" t="str">
        <f>IF($E131="","",IF(ISNUMBER(P72),IF(Assumptions!$H$28="Standard",Assumptions!Q$90-P72*P99,((1+(P$107*IF(P$107=0,1,Parameters!$L$222)))*(1+(AVERAGE(P72,N72)*AVERAGE(P72,N72)*Parameters!$L$117+AVERAGE(P72,N72)*Parameters!$L$118+Parameters!$L$119)*((IF(ISNUMBER(P72/N72),P72/N72,1)*100)-100))*(1+(P99/N99-1)))*((1+Assumptions!AE$90)-(2.5*P99*P72*(1+Assumptions!AE$90)))-1),"N/A"))</f>
        <v/>
      </c>
      <c r="Q131" s="848"/>
      <c r="R131" s="847" t="str">
        <f>IF($E131="","",IF(ISNUMBER(R72),IF(Assumptions!$H$28="Standard",Assumptions!S$90-R72*R99,((1+(R$107*IF(R$107=0,1,Parameters!$L$222)))*(1+(AVERAGE(R72,P72)*AVERAGE(R72,P72)*Parameters!$L$117+AVERAGE(R72,P72)*Parameters!$L$118+Parameters!$L$119)*((IF(ISNUMBER(R72/P72),R72/P72,1)*100)-100))*(1+(R99/P99-1)))*((1+Assumptions!AG$90)-(2.5*R99*R72*(1+Assumptions!AG$90)))-1),"N/A"))</f>
        <v/>
      </c>
      <c r="S131" s="848"/>
      <c r="T131" s="847" t="str">
        <f>IF($E131="","",IF(ISNUMBER(T72),IF(Assumptions!$H$28="Standard",Assumptions!U$90-T72*T99,((1+(T$107*IF(T$107=0,1,Parameters!$L$222)))*(1+(AVERAGE(T72,R72)*AVERAGE(T72,R72)*Parameters!$L$117+AVERAGE(T72,R72)*Parameters!$L$118+Parameters!$L$119)*((IF(ISNUMBER(T72/R72),T72/R72,1)*100)-100))*(1+(T99/R99-1)))*((1+Assumptions!AI$90)-(2.5*T99*T72*(1+Assumptions!AI$90)))-1),"N/A"))</f>
        <v/>
      </c>
      <c r="U131" s="848"/>
      <c r="V131" s="232"/>
    </row>
    <row r="132" spans="2:22" x14ac:dyDescent="0.25">
      <c r="B132" s="192"/>
      <c r="C132" s="232"/>
      <c r="D132" s="232"/>
      <c r="E132" s="305" t="str">
        <f t="shared" si="7"/>
        <v/>
      </c>
      <c r="F132" s="306"/>
      <c r="G132" s="306"/>
      <c r="H132" s="306"/>
      <c r="I132" s="307"/>
      <c r="J132" s="264"/>
      <c r="K132" s="264"/>
      <c r="L132" s="847" t="str">
        <f>IF($E132="","",IF(ISNUMBER(L73),IF(Assumptions!$H$28="Standard",Assumptions!M$90-L73*L100,((1+(L$107*IF(L$107=0,1,Parameters!$L$222)))*(1+(AVERAGE(L73,J73)*AVERAGE(L73,J73)*Parameters!$L$117+AVERAGE(L73,J73)*Parameters!$L$118+Parameters!$L$119)*((IF(ISNUMBER(L73/J73),L73/J73,1)*100)-100))*(1+(L100/J100-1)))*((1+Assumptions!AA$90)-(2.5*L100*L73*(1+Assumptions!AA$90)))-1),"N/A"))</f>
        <v/>
      </c>
      <c r="M132" s="848"/>
      <c r="N132" s="847" t="str">
        <f>IF($E132="","",IF(ISNUMBER(N73),IF(Assumptions!$H$28="Standard",Assumptions!O$90-N73*N100,((1+(N$107*IF(N$107=0,1,Parameters!$L$222)))*(1+(AVERAGE(N73,L73)*AVERAGE(N73,L73)*Parameters!$L$117+AVERAGE(N73,L73)*Parameters!$L$118+Parameters!$L$119)*((IF(ISNUMBER(N73/L73),N73/L73,1)*100)-100))*(1+(N100/L100-1)))*((1+Assumptions!AC$90)-(2.5*N100*N73*(1+Assumptions!AC$90)))-1),"N/A"))</f>
        <v/>
      </c>
      <c r="O132" s="848"/>
      <c r="P132" s="847" t="str">
        <f>IF($E132="","",IF(ISNUMBER(P73),IF(Assumptions!$H$28="Standard",Assumptions!Q$90-P73*P100,((1+(P$107*IF(P$107=0,1,Parameters!$L$222)))*(1+(AVERAGE(P73,N73)*AVERAGE(P73,N73)*Parameters!$L$117+AVERAGE(P73,N73)*Parameters!$L$118+Parameters!$L$119)*((IF(ISNUMBER(P73/N73),P73/N73,1)*100)-100))*(1+(P100/N100-1)))*((1+Assumptions!AE$90)-(2.5*P100*P73*(1+Assumptions!AE$90)))-1),"N/A"))</f>
        <v/>
      </c>
      <c r="Q132" s="848"/>
      <c r="R132" s="847" t="str">
        <f>IF($E132="","",IF(ISNUMBER(R73),IF(Assumptions!$H$28="Standard",Assumptions!S$90-R73*R100,((1+(R$107*IF(R$107=0,1,Parameters!$L$222)))*(1+(AVERAGE(R73,P73)*AVERAGE(R73,P73)*Parameters!$L$117+AVERAGE(R73,P73)*Parameters!$L$118+Parameters!$L$119)*((IF(ISNUMBER(R73/P73),R73/P73,1)*100)-100))*(1+(R100/P100-1)))*((1+Assumptions!AG$90)-(2.5*R100*R73*(1+Assumptions!AG$90)))-1),"N/A"))</f>
        <v/>
      </c>
      <c r="S132" s="848"/>
      <c r="T132" s="847" t="str">
        <f>IF($E132="","",IF(ISNUMBER(T73),IF(Assumptions!$H$28="Standard",Assumptions!U$90-T73*T100,((1+(T$107*IF(T$107=0,1,Parameters!$L$222)))*(1+(AVERAGE(T73,R73)*AVERAGE(T73,R73)*Parameters!$L$117+AVERAGE(T73,R73)*Parameters!$L$118+Parameters!$L$119)*((IF(ISNUMBER(T73/R73),T73/R73,1)*100)-100))*(1+(T100/R100-1)))*((1+Assumptions!AI$90)-(2.5*T100*T73*(1+Assumptions!AI$90)))-1),"N/A"))</f>
        <v/>
      </c>
      <c r="U132" s="848"/>
      <c r="V132" s="232"/>
    </row>
    <row r="133" spans="2:22" x14ac:dyDescent="0.25">
      <c r="B133" s="192"/>
      <c r="C133" s="232"/>
      <c r="D133" s="232"/>
      <c r="E133" s="232"/>
      <c r="F133" s="232"/>
      <c r="G133" s="232"/>
      <c r="H133" s="232"/>
      <c r="I133" s="232"/>
      <c r="J133" s="232"/>
      <c r="K133" s="232"/>
      <c r="L133" s="232"/>
      <c r="M133" s="232"/>
      <c r="N133" s="232"/>
      <c r="O133" s="232"/>
      <c r="P133" s="232"/>
      <c r="Q133" s="232"/>
      <c r="R133" s="232"/>
      <c r="S133" s="232"/>
      <c r="T133" s="232"/>
      <c r="U133" s="232"/>
      <c r="V133" s="232"/>
    </row>
    <row r="134" spans="2:22" x14ac:dyDescent="0.25">
      <c r="B134" s="192"/>
      <c r="C134" s="232"/>
      <c r="D134" s="232"/>
      <c r="E134" s="232"/>
      <c r="F134" s="232"/>
      <c r="G134" s="232"/>
      <c r="H134" s="232"/>
      <c r="I134" s="232"/>
      <c r="J134" s="232"/>
      <c r="K134" s="232"/>
      <c r="L134" s="232"/>
      <c r="M134" s="232"/>
      <c r="N134" s="232"/>
      <c r="O134" s="232"/>
      <c r="P134" s="232"/>
      <c r="Q134" s="232"/>
      <c r="R134" s="232"/>
      <c r="S134" s="232"/>
      <c r="T134" s="232"/>
      <c r="U134" s="232"/>
      <c r="V134" s="232"/>
    </row>
    <row r="135" spans="2:22" x14ac:dyDescent="0.25">
      <c r="B135" s="192"/>
      <c r="C135" s="232"/>
      <c r="D135" s="232"/>
      <c r="E135" s="232"/>
      <c r="F135" s="232"/>
      <c r="G135" s="232"/>
      <c r="H135" s="232"/>
      <c r="I135" s="232"/>
      <c r="J135" s="232"/>
      <c r="K135" s="232"/>
      <c r="L135" s="232"/>
      <c r="M135" s="232"/>
      <c r="N135" s="232"/>
      <c r="O135" s="232"/>
      <c r="P135" s="232"/>
      <c r="Q135" s="232"/>
      <c r="R135" s="232"/>
      <c r="S135" s="232"/>
      <c r="T135" s="232"/>
      <c r="U135" s="232"/>
      <c r="V135" s="232"/>
    </row>
    <row r="136" spans="2:22" ht="18.75" x14ac:dyDescent="0.3">
      <c r="B136" s="239" t="s">
        <v>76</v>
      </c>
      <c r="C136" s="214"/>
      <c r="D136" s="214"/>
      <c r="E136" s="214"/>
      <c r="F136" s="214"/>
      <c r="G136" s="214"/>
      <c r="H136" s="214"/>
      <c r="I136" s="214"/>
      <c r="J136" s="214"/>
      <c r="K136" s="214"/>
      <c r="L136" s="214"/>
      <c r="M136" s="214"/>
      <c r="N136" s="214"/>
      <c r="O136" s="214"/>
      <c r="P136" s="214"/>
      <c r="Q136" s="214"/>
      <c r="R136" s="214"/>
      <c r="S136" s="214"/>
      <c r="T136" s="214"/>
      <c r="U136" s="214"/>
      <c r="V136" s="214"/>
    </row>
    <row r="137" spans="2:22" x14ac:dyDescent="0.25">
      <c r="B137" s="192"/>
      <c r="C137" s="232"/>
      <c r="D137" s="232"/>
      <c r="E137" s="232"/>
      <c r="F137" s="232"/>
      <c r="G137" s="232"/>
      <c r="H137" s="232"/>
      <c r="I137" s="232"/>
      <c r="J137" s="232"/>
      <c r="K137" s="232"/>
      <c r="L137" s="232"/>
      <c r="M137" s="232"/>
      <c r="N137" s="232"/>
      <c r="O137" s="232"/>
      <c r="P137" s="232"/>
      <c r="Q137" s="232"/>
      <c r="R137" s="232"/>
      <c r="S137" s="232"/>
      <c r="T137" s="232"/>
      <c r="U137" s="232"/>
      <c r="V137" s="232"/>
    </row>
    <row r="138" spans="2:22" x14ac:dyDescent="0.25">
      <c r="B138" s="192"/>
      <c r="C138" s="232"/>
      <c r="D138" s="232"/>
      <c r="E138" s="844" t="s">
        <v>945</v>
      </c>
      <c r="F138" s="845"/>
      <c r="G138" s="845"/>
      <c r="H138" s="845"/>
      <c r="I138" s="846"/>
      <c r="J138" s="844" t="s">
        <v>944</v>
      </c>
      <c r="K138" s="846"/>
      <c r="L138" s="844" t="s">
        <v>763</v>
      </c>
      <c r="M138" s="846"/>
      <c r="N138" s="844" t="s">
        <v>764</v>
      </c>
      <c r="O138" s="846"/>
      <c r="P138" s="844" t="s">
        <v>765</v>
      </c>
      <c r="Q138" s="846"/>
      <c r="R138" s="844" t="s">
        <v>766</v>
      </c>
      <c r="S138" s="846"/>
      <c r="T138" s="844" t="s">
        <v>767</v>
      </c>
      <c r="U138" s="846"/>
      <c r="V138" s="232"/>
    </row>
    <row r="139" spans="2:22" x14ac:dyDescent="0.25">
      <c r="B139" s="192"/>
      <c r="C139" s="232"/>
      <c r="D139" s="232"/>
      <c r="E139" s="11" t="s">
        <v>963</v>
      </c>
      <c r="F139" s="2"/>
      <c r="G139" s="2"/>
      <c r="H139" s="2"/>
      <c r="I139" s="3"/>
      <c r="J139" s="264"/>
      <c r="K139" s="264"/>
      <c r="L139" s="849" t="s">
        <v>831</v>
      </c>
      <c r="M139" s="850"/>
      <c r="N139" s="849" t="s">
        <v>831</v>
      </c>
      <c r="O139" s="850"/>
      <c r="P139" s="849" t="s">
        <v>831</v>
      </c>
      <c r="Q139" s="850"/>
      <c r="R139" s="849" t="s">
        <v>831</v>
      </c>
      <c r="S139" s="850"/>
      <c r="T139" s="849" t="s">
        <v>831</v>
      </c>
      <c r="U139" s="850"/>
      <c r="V139" s="232"/>
    </row>
    <row r="140" spans="2:22" x14ac:dyDescent="0.25">
      <c r="B140" s="192"/>
      <c r="C140" s="232"/>
      <c r="D140" s="232"/>
      <c r="E140" s="13" t="s">
        <v>950</v>
      </c>
      <c r="F140" s="6"/>
      <c r="G140" s="6"/>
      <c r="H140" s="6"/>
      <c r="I140" s="7"/>
      <c r="J140" s="264"/>
      <c r="K140" s="264"/>
      <c r="L140" s="847">
        <f>Assumptions!M95</f>
        <v>0.03</v>
      </c>
      <c r="M140" s="848"/>
      <c r="N140" s="847">
        <f>Assumptions!O95</f>
        <v>0</v>
      </c>
      <c r="O140" s="848"/>
      <c r="P140" s="847">
        <f>Assumptions!Q95</f>
        <v>0</v>
      </c>
      <c r="Q140" s="848"/>
      <c r="R140" s="847">
        <f>Assumptions!S95</f>
        <v>0</v>
      </c>
      <c r="S140" s="848"/>
      <c r="T140" s="847">
        <f>Assumptions!U95</f>
        <v>0</v>
      </c>
      <c r="U140" s="848"/>
      <c r="V140" s="232"/>
    </row>
    <row r="141" spans="2:22" x14ac:dyDescent="0.25">
      <c r="B141" s="192"/>
      <c r="C141" s="232"/>
      <c r="D141" s="232"/>
      <c r="E141" s="232"/>
      <c r="F141" s="232"/>
      <c r="G141" s="232"/>
      <c r="H141" s="232"/>
      <c r="I141" s="232"/>
      <c r="J141" s="232"/>
      <c r="K141" s="232"/>
      <c r="L141" s="232"/>
      <c r="M141" s="232"/>
      <c r="N141" s="232"/>
      <c r="O141" s="232"/>
      <c r="P141" s="232"/>
      <c r="Q141" s="232"/>
      <c r="R141" s="232"/>
      <c r="S141" s="232"/>
      <c r="T141" s="232"/>
      <c r="U141" s="232"/>
      <c r="V141" s="232"/>
    </row>
    <row r="142" spans="2:22" x14ac:dyDescent="0.25">
      <c r="B142" s="192"/>
      <c r="C142" s="232"/>
      <c r="D142" s="232"/>
      <c r="E142" s="14" t="s">
        <v>946</v>
      </c>
      <c r="F142" s="15"/>
      <c r="G142" s="15"/>
      <c r="H142" s="15"/>
      <c r="I142" s="16"/>
      <c r="J142" s="847">
        <f>0</f>
        <v>0</v>
      </c>
      <c r="K142" s="848"/>
      <c r="L142" s="847">
        <f>(1+L140)-1</f>
        <v>3.0000000000000027E-2</v>
      </c>
      <c r="M142" s="848"/>
      <c r="N142" s="847">
        <f>(1+N140)-1</f>
        <v>0</v>
      </c>
      <c r="O142" s="848"/>
      <c r="P142" s="847">
        <f>(1+P140)-1</f>
        <v>0</v>
      </c>
      <c r="Q142" s="848"/>
      <c r="R142" s="847">
        <f>(1+R140)-1</f>
        <v>0</v>
      </c>
      <c r="S142" s="848"/>
      <c r="T142" s="847">
        <f>(1+T140)-1</f>
        <v>0</v>
      </c>
      <c r="U142" s="848"/>
      <c r="V142" s="232"/>
    </row>
    <row r="143" spans="2:22" x14ac:dyDescent="0.25">
      <c r="B143" s="192"/>
      <c r="C143" s="232"/>
      <c r="D143" s="232"/>
      <c r="E143" s="232"/>
      <c r="F143" s="232"/>
      <c r="G143" s="232"/>
      <c r="H143" s="232"/>
      <c r="I143" s="232"/>
      <c r="J143" s="232"/>
      <c r="K143" s="232"/>
      <c r="L143" s="232"/>
      <c r="M143" s="232"/>
      <c r="N143" s="232"/>
      <c r="O143" s="232"/>
      <c r="P143" s="232"/>
      <c r="Q143" s="232"/>
      <c r="R143" s="232"/>
      <c r="S143" s="232"/>
      <c r="T143" s="232"/>
      <c r="U143" s="232"/>
      <c r="V143" s="232"/>
    </row>
    <row r="144" spans="2:22" x14ac:dyDescent="0.25">
      <c r="B144" s="192"/>
      <c r="C144" s="232"/>
      <c r="D144" s="232"/>
      <c r="E144" s="232"/>
      <c r="F144" s="232"/>
      <c r="G144" s="232"/>
      <c r="H144" s="232"/>
      <c r="I144" s="232"/>
      <c r="J144" s="232"/>
      <c r="K144" s="232"/>
      <c r="L144" s="232"/>
      <c r="M144" s="232"/>
      <c r="N144" s="232"/>
      <c r="O144" s="232"/>
      <c r="P144" s="232"/>
      <c r="Q144" s="232"/>
      <c r="R144" s="232"/>
      <c r="S144" s="232"/>
      <c r="T144" s="232"/>
      <c r="U144" s="232"/>
      <c r="V144" s="232"/>
    </row>
    <row r="145" spans="2:22" x14ac:dyDescent="0.25">
      <c r="B145" s="192"/>
      <c r="C145" s="232"/>
      <c r="D145" s="232"/>
      <c r="E145" s="844" t="s">
        <v>947</v>
      </c>
      <c r="F145" s="845"/>
      <c r="G145" s="845"/>
      <c r="H145" s="845"/>
      <c r="I145" s="846"/>
      <c r="J145" s="844" t="s">
        <v>944</v>
      </c>
      <c r="K145" s="846"/>
      <c r="L145" s="844" t="s">
        <v>763</v>
      </c>
      <c r="M145" s="846"/>
      <c r="N145" s="844" t="s">
        <v>764</v>
      </c>
      <c r="O145" s="846"/>
      <c r="P145" s="844" t="s">
        <v>765</v>
      </c>
      <c r="Q145" s="846"/>
      <c r="R145" s="844" t="s">
        <v>766</v>
      </c>
      <c r="S145" s="846"/>
      <c r="T145" s="844" t="s">
        <v>767</v>
      </c>
      <c r="U145" s="846"/>
      <c r="V145" s="232"/>
    </row>
    <row r="146" spans="2:22" x14ac:dyDescent="0.25">
      <c r="B146" s="192"/>
      <c r="C146" s="232"/>
      <c r="D146" s="232"/>
      <c r="E146" s="11" t="s">
        <v>914</v>
      </c>
      <c r="F146" s="2"/>
      <c r="G146" s="2"/>
      <c r="H146" s="2"/>
      <c r="I146" s="3"/>
      <c r="J146" s="264"/>
      <c r="K146" s="264"/>
      <c r="L146" s="849" t="s">
        <v>855</v>
      </c>
      <c r="M146" s="850"/>
      <c r="N146" s="849" t="s">
        <v>855</v>
      </c>
      <c r="O146" s="850"/>
      <c r="P146" s="849" t="s">
        <v>855</v>
      </c>
      <c r="Q146" s="850"/>
      <c r="R146" s="849" t="s">
        <v>855</v>
      </c>
      <c r="S146" s="850"/>
      <c r="T146" s="849" t="s">
        <v>855</v>
      </c>
      <c r="U146" s="850"/>
      <c r="V146" s="232"/>
    </row>
    <row r="147" spans="2:22" x14ac:dyDescent="0.25">
      <c r="B147" s="192"/>
      <c r="C147" s="232"/>
      <c r="D147" s="232"/>
      <c r="E147" s="13" t="s">
        <v>964</v>
      </c>
      <c r="F147" s="6"/>
      <c r="G147" s="6"/>
      <c r="H147" s="6"/>
      <c r="I147" s="7"/>
      <c r="J147" s="264"/>
      <c r="K147" s="264"/>
      <c r="L147" s="1213">
        <f>Assumptions!M97</f>
        <v>0</v>
      </c>
      <c r="M147" s="1214"/>
      <c r="N147" s="1213">
        <f>Assumptions!O97</f>
        <v>0</v>
      </c>
      <c r="O147" s="1214"/>
      <c r="P147" s="1213">
        <f>Assumptions!Q97</f>
        <v>0</v>
      </c>
      <c r="Q147" s="1214"/>
      <c r="R147" s="1213">
        <f>Assumptions!S97</f>
        <v>0</v>
      </c>
      <c r="S147" s="1214"/>
      <c r="T147" s="1213">
        <f>Assumptions!U97</f>
        <v>0</v>
      </c>
      <c r="U147" s="1214"/>
      <c r="V147" s="232"/>
    </row>
    <row r="148" spans="2:22" x14ac:dyDescent="0.25">
      <c r="B148" s="192"/>
      <c r="C148" s="232"/>
      <c r="D148" s="232"/>
      <c r="E148" s="232"/>
      <c r="F148" s="232"/>
      <c r="G148" s="232"/>
      <c r="H148" s="232"/>
      <c r="I148" s="232"/>
      <c r="J148" s="232"/>
      <c r="K148" s="232"/>
      <c r="L148" s="232"/>
      <c r="M148" s="232"/>
      <c r="N148" s="232"/>
      <c r="O148" s="232"/>
      <c r="P148" s="232"/>
      <c r="Q148" s="232"/>
      <c r="R148" s="232"/>
      <c r="S148" s="232"/>
      <c r="T148" s="232"/>
      <c r="U148" s="232"/>
      <c r="V148" s="232"/>
    </row>
    <row r="149" spans="2:22" x14ac:dyDescent="0.25">
      <c r="B149" s="192"/>
      <c r="C149" s="232"/>
      <c r="D149" s="232"/>
      <c r="E149" s="313" t="s">
        <v>342</v>
      </c>
      <c r="F149" s="15"/>
      <c r="G149" s="15"/>
      <c r="H149" s="15"/>
      <c r="I149" s="16"/>
      <c r="J149" s="1213">
        <f>SUMPRODUCT(J150:J159,Input!$T$119:$T$128)/Input!$T$118</f>
        <v>0</v>
      </c>
      <c r="K149" s="1214"/>
      <c r="L149" s="1213">
        <f>SUMPRODUCT(L150:L159,Input!$T$119:$T$128)/Input!$T$118</f>
        <v>0</v>
      </c>
      <c r="M149" s="1214"/>
      <c r="N149" s="1213">
        <f>SUMPRODUCT(N150:N159,Input!$T$119:$T$128)/Input!$T$118</f>
        <v>0</v>
      </c>
      <c r="O149" s="1214"/>
      <c r="P149" s="1213">
        <f>SUMPRODUCT(P150:P159,Input!$T$119:$T$128)/Input!$T$118</f>
        <v>0</v>
      </c>
      <c r="Q149" s="1214"/>
      <c r="R149" s="1213">
        <f>SUMPRODUCT(R150:R159,Input!$T$119:$T$128)/Input!$T$118</f>
        <v>0</v>
      </c>
      <c r="S149" s="1214"/>
      <c r="T149" s="1213">
        <f>SUMPRODUCT(T150:T159,Input!$T$119:$T$128)/Input!$T$118</f>
        <v>0</v>
      </c>
      <c r="U149" s="1214"/>
      <c r="V149" s="232"/>
    </row>
    <row r="150" spans="2:22" x14ac:dyDescent="0.25">
      <c r="B150" s="192"/>
      <c r="C150" s="232"/>
      <c r="D150" s="232"/>
      <c r="E150" s="299" t="str">
        <f>IF(ISTEXT(Setup!O28),Setup!O28,"")</f>
        <v>Sovereign Bonds</v>
      </c>
      <c r="F150" s="300"/>
      <c r="G150" s="300"/>
      <c r="H150" s="300"/>
      <c r="I150" s="301"/>
      <c r="J150" s="1213">
        <v>0</v>
      </c>
      <c r="K150" s="1214"/>
      <c r="L150" s="1213">
        <f>IF(ISNUMBER(L$147),L$147,"")</f>
        <v>0</v>
      </c>
      <c r="M150" s="1214"/>
      <c r="N150" s="1213">
        <f>IF(ISNUMBER(N$147),N$147,"")</f>
        <v>0</v>
      </c>
      <c r="O150" s="1214"/>
      <c r="P150" s="1213">
        <f>IF(ISNUMBER(P$147),P$147,"")</f>
        <v>0</v>
      </c>
      <c r="Q150" s="1214"/>
      <c r="R150" s="1213">
        <f>IF(ISNUMBER(R$147),R$147,"")</f>
        <v>0</v>
      </c>
      <c r="S150" s="1214"/>
      <c r="T150" s="1213">
        <f>IF(ISNUMBER(T$147),T$147,"")</f>
        <v>0</v>
      </c>
      <c r="U150" s="1214"/>
      <c r="V150" s="232"/>
    </row>
    <row r="151" spans="2:22" x14ac:dyDescent="0.25">
      <c r="B151" s="192"/>
      <c r="C151" s="232"/>
      <c r="D151" s="232"/>
      <c r="E151" s="302" t="str">
        <f>IF(ISTEXT(Setup!O29),Setup!O29,"")</f>
        <v>Other Bonds</v>
      </c>
      <c r="F151" s="303"/>
      <c r="G151" s="303"/>
      <c r="H151" s="303"/>
      <c r="I151" s="308"/>
      <c r="J151" s="1213">
        <v>0</v>
      </c>
      <c r="K151" s="1214"/>
      <c r="L151" s="1213">
        <f t="shared" ref="L151:T159" si="8">IF(ISNUMBER(L$147),L$147,"")</f>
        <v>0</v>
      </c>
      <c r="M151" s="1214"/>
      <c r="N151" s="1213">
        <f t="shared" si="8"/>
        <v>0</v>
      </c>
      <c r="O151" s="1214"/>
      <c r="P151" s="1213">
        <f t="shared" si="8"/>
        <v>0</v>
      </c>
      <c r="Q151" s="1214"/>
      <c r="R151" s="1213">
        <f t="shared" si="8"/>
        <v>0</v>
      </c>
      <c r="S151" s="1214"/>
      <c r="T151" s="1213">
        <f t="shared" si="8"/>
        <v>0</v>
      </c>
      <c r="U151" s="1214"/>
      <c r="V151" s="232"/>
    </row>
    <row r="152" spans="2:22" x14ac:dyDescent="0.25">
      <c r="B152" s="192"/>
      <c r="C152" s="232"/>
      <c r="D152" s="232"/>
      <c r="E152" s="302" t="str">
        <f>IF(ISTEXT(Setup!O30),Setup!O30,"")</f>
        <v>Equity</v>
      </c>
      <c r="F152" s="303"/>
      <c r="G152" s="303"/>
      <c r="H152" s="303"/>
      <c r="I152" s="308"/>
      <c r="J152" s="1213">
        <v>0</v>
      </c>
      <c r="K152" s="1214"/>
      <c r="L152" s="1213">
        <f t="shared" si="8"/>
        <v>0</v>
      </c>
      <c r="M152" s="1214"/>
      <c r="N152" s="1213">
        <f t="shared" si="8"/>
        <v>0</v>
      </c>
      <c r="O152" s="1214"/>
      <c r="P152" s="1213">
        <f t="shared" si="8"/>
        <v>0</v>
      </c>
      <c r="Q152" s="1214"/>
      <c r="R152" s="1213">
        <f t="shared" si="8"/>
        <v>0</v>
      </c>
      <c r="S152" s="1214"/>
      <c r="T152" s="1213">
        <f t="shared" si="8"/>
        <v>0</v>
      </c>
      <c r="U152" s="1214"/>
      <c r="V152" s="232"/>
    </row>
    <row r="153" spans="2:22" x14ac:dyDescent="0.25">
      <c r="B153" s="192"/>
      <c r="C153" s="232"/>
      <c r="D153" s="232"/>
      <c r="E153" s="302" t="str">
        <f>IF(ISTEXT(Setup!O31),Setup!O31,"")</f>
        <v>Structured</v>
      </c>
      <c r="F153" s="303"/>
      <c r="G153" s="303"/>
      <c r="H153" s="303"/>
      <c r="I153" s="308"/>
      <c r="J153" s="1213">
        <v>0</v>
      </c>
      <c r="K153" s="1214"/>
      <c r="L153" s="1213">
        <f t="shared" si="8"/>
        <v>0</v>
      </c>
      <c r="M153" s="1214"/>
      <c r="N153" s="1213">
        <f t="shared" si="8"/>
        <v>0</v>
      </c>
      <c r="O153" s="1214"/>
      <c r="P153" s="1213">
        <f t="shared" si="8"/>
        <v>0</v>
      </c>
      <c r="Q153" s="1214"/>
      <c r="R153" s="1213">
        <f t="shared" si="8"/>
        <v>0</v>
      </c>
      <c r="S153" s="1214"/>
      <c r="T153" s="1213">
        <f t="shared" si="8"/>
        <v>0</v>
      </c>
      <c r="U153" s="1214"/>
      <c r="V153" s="232"/>
    </row>
    <row r="154" spans="2:22" x14ac:dyDescent="0.25">
      <c r="B154" s="192"/>
      <c r="C154" s="232"/>
      <c r="D154" s="232"/>
      <c r="E154" s="302" t="str">
        <f>IF(ISTEXT(Setup!O32),Setup!O32,"")</f>
        <v>Other</v>
      </c>
      <c r="F154" s="303"/>
      <c r="G154" s="303"/>
      <c r="H154" s="303"/>
      <c r="I154" s="308"/>
      <c r="J154" s="1213">
        <v>0</v>
      </c>
      <c r="K154" s="1214"/>
      <c r="L154" s="1213">
        <f t="shared" si="8"/>
        <v>0</v>
      </c>
      <c r="M154" s="1214"/>
      <c r="N154" s="1213">
        <f t="shared" si="8"/>
        <v>0</v>
      </c>
      <c r="O154" s="1214"/>
      <c r="P154" s="1213">
        <f t="shared" si="8"/>
        <v>0</v>
      </c>
      <c r="Q154" s="1214"/>
      <c r="R154" s="1213">
        <f t="shared" si="8"/>
        <v>0</v>
      </c>
      <c r="S154" s="1214"/>
      <c r="T154" s="1213">
        <f t="shared" si="8"/>
        <v>0</v>
      </c>
      <c r="U154" s="1214"/>
      <c r="V154" s="232"/>
    </row>
    <row r="155" spans="2:22" x14ac:dyDescent="0.25">
      <c r="B155" s="192"/>
      <c r="C155" s="232"/>
      <c r="D155" s="232"/>
      <c r="E155" s="302" t="str">
        <f>IF(ISTEXT(Setup!O33),Setup!O33,"")</f>
        <v/>
      </c>
      <c r="F155" s="303"/>
      <c r="G155" s="303"/>
      <c r="H155" s="303"/>
      <c r="I155" s="308"/>
      <c r="J155" s="1213">
        <v>0</v>
      </c>
      <c r="K155" s="1214"/>
      <c r="L155" s="1213">
        <f t="shared" si="8"/>
        <v>0</v>
      </c>
      <c r="M155" s="1214"/>
      <c r="N155" s="1213">
        <f t="shared" si="8"/>
        <v>0</v>
      </c>
      <c r="O155" s="1214"/>
      <c r="P155" s="1213">
        <f t="shared" si="8"/>
        <v>0</v>
      </c>
      <c r="Q155" s="1214"/>
      <c r="R155" s="1213">
        <f t="shared" si="8"/>
        <v>0</v>
      </c>
      <c r="S155" s="1214"/>
      <c r="T155" s="1213">
        <f t="shared" si="8"/>
        <v>0</v>
      </c>
      <c r="U155" s="1214"/>
      <c r="V155" s="232"/>
    </row>
    <row r="156" spans="2:22" x14ac:dyDescent="0.25">
      <c r="B156" s="192"/>
      <c r="C156" s="232"/>
      <c r="D156" s="232"/>
      <c r="E156" s="302" t="str">
        <f>IF(ISTEXT(Setup!O34),Setup!O34,"")</f>
        <v/>
      </c>
      <c r="F156" s="303"/>
      <c r="G156" s="303"/>
      <c r="H156" s="303"/>
      <c r="I156" s="308"/>
      <c r="J156" s="1213">
        <v>0</v>
      </c>
      <c r="K156" s="1214"/>
      <c r="L156" s="1213">
        <f t="shared" si="8"/>
        <v>0</v>
      </c>
      <c r="M156" s="1214"/>
      <c r="N156" s="1213">
        <f t="shared" si="8"/>
        <v>0</v>
      </c>
      <c r="O156" s="1214"/>
      <c r="P156" s="1213">
        <f t="shared" si="8"/>
        <v>0</v>
      </c>
      <c r="Q156" s="1214"/>
      <c r="R156" s="1213">
        <f t="shared" si="8"/>
        <v>0</v>
      </c>
      <c r="S156" s="1214"/>
      <c r="T156" s="1213">
        <f t="shared" si="8"/>
        <v>0</v>
      </c>
      <c r="U156" s="1214"/>
      <c r="V156" s="232"/>
    </row>
    <row r="157" spans="2:22" x14ac:dyDescent="0.25">
      <c r="B157" s="192"/>
      <c r="C157" s="232"/>
      <c r="D157" s="232"/>
      <c r="E157" s="302" t="str">
        <f>IF(ISTEXT(Setup!O35),Setup!O35,"")</f>
        <v/>
      </c>
      <c r="F157" s="303"/>
      <c r="G157" s="303"/>
      <c r="H157" s="303"/>
      <c r="I157" s="308"/>
      <c r="J157" s="1213">
        <v>0</v>
      </c>
      <c r="K157" s="1214"/>
      <c r="L157" s="1213">
        <f t="shared" si="8"/>
        <v>0</v>
      </c>
      <c r="M157" s="1214"/>
      <c r="N157" s="1213">
        <f t="shared" si="8"/>
        <v>0</v>
      </c>
      <c r="O157" s="1214"/>
      <c r="P157" s="1213">
        <f t="shared" si="8"/>
        <v>0</v>
      </c>
      <c r="Q157" s="1214"/>
      <c r="R157" s="1213">
        <f t="shared" si="8"/>
        <v>0</v>
      </c>
      <c r="S157" s="1214"/>
      <c r="T157" s="1213">
        <f t="shared" si="8"/>
        <v>0</v>
      </c>
      <c r="U157" s="1214"/>
      <c r="V157" s="232"/>
    </row>
    <row r="158" spans="2:22" x14ac:dyDescent="0.25">
      <c r="B158" s="192"/>
      <c r="C158" s="232"/>
      <c r="D158" s="232"/>
      <c r="E158" s="302" t="str">
        <f>IF(ISTEXT(Setup!O36),Setup!O36,"")</f>
        <v/>
      </c>
      <c r="F158" s="303"/>
      <c r="G158" s="303"/>
      <c r="H158" s="303"/>
      <c r="I158" s="308"/>
      <c r="J158" s="1213">
        <v>0</v>
      </c>
      <c r="K158" s="1214"/>
      <c r="L158" s="1213">
        <f t="shared" si="8"/>
        <v>0</v>
      </c>
      <c r="M158" s="1214"/>
      <c r="N158" s="1213">
        <f t="shared" si="8"/>
        <v>0</v>
      </c>
      <c r="O158" s="1214"/>
      <c r="P158" s="1213">
        <f t="shared" si="8"/>
        <v>0</v>
      </c>
      <c r="Q158" s="1214"/>
      <c r="R158" s="1213">
        <f t="shared" si="8"/>
        <v>0</v>
      </c>
      <c r="S158" s="1214"/>
      <c r="T158" s="1213">
        <f t="shared" si="8"/>
        <v>0</v>
      </c>
      <c r="U158" s="1214"/>
      <c r="V158" s="232"/>
    </row>
    <row r="159" spans="2:22" x14ac:dyDescent="0.25">
      <c r="B159" s="192"/>
      <c r="C159" s="232"/>
      <c r="D159" s="232"/>
      <c r="E159" s="309" t="str">
        <f>IF(ISTEXT(Setup!O37),Setup!O37,"")</f>
        <v/>
      </c>
      <c r="F159" s="310"/>
      <c r="G159" s="310"/>
      <c r="H159" s="310"/>
      <c r="I159" s="311"/>
      <c r="J159" s="1213">
        <v>0</v>
      </c>
      <c r="K159" s="1214"/>
      <c r="L159" s="1213">
        <f t="shared" si="8"/>
        <v>0</v>
      </c>
      <c r="M159" s="1214"/>
      <c r="N159" s="1213">
        <f t="shared" si="8"/>
        <v>0</v>
      </c>
      <c r="O159" s="1214"/>
      <c r="P159" s="1213">
        <f t="shared" si="8"/>
        <v>0</v>
      </c>
      <c r="Q159" s="1214"/>
      <c r="R159" s="1213">
        <f t="shared" si="8"/>
        <v>0</v>
      </c>
      <c r="S159" s="1214"/>
      <c r="T159" s="1213">
        <f t="shared" si="8"/>
        <v>0</v>
      </c>
      <c r="U159" s="1214"/>
      <c r="V159" s="232"/>
    </row>
    <row r="160" spans="2:22" x14ac:dyDescent="0.25">
      <c r="B160" s="192"/>
      <c r="C160" s="232"/>
      <c r="D160" s="232"/>
      <c r="E160" s="232"/>
      <c r="F160" s="232"/>
      <c r="G160" s="232"/>
      <c r="H160" s="232"/>
      <c r="I160" s="232"/>
      <c r="J160" s="232"/>
      <c r="K160" s="232"/>
      <c r="L160" s="232"/>
      <c r="M160" s="232"/>
      <c r="N160" s="232"/>
      <c r="O160" s="232"/>
      <c r="P160" s="232"/>
      <c r="Q160" s="232"/>
      <c r="R160" s="232"/>
      <c r="S160" s="232"/>
      <c r="T160" s="232"/>
      <c r="U160" s="232"/>
      <c r="V160" s="232"/>
    </row>
    <row r="161" spans="2:22" x14ac:dyDescent="0.25">
      <c r="B161" s="192"/>
      <c r="C161" s="232"/>
      <c r="D161" s="232"/>
      <c r="E161" s="232"/>
      <c r="F161" s="232"/>
      <c r="G161" s="232"/>
      <c r="H161" s="232"/>
      <c r="I161" s="232"/>
      <c r="J161" s="232"/>
      <c r="K161" s="232"/>
      <c r="L161" s="232"/>
      <c r="M161" s="232"/>
      <c r="N161" s="232"/>
      <c r="O161" s="232"/>
      <c r="P161" s="232"/>
      <c r="Q161" s="232"/>
      <c r="R161" s="232"/>
      <c r="S161" s="232"/>
      <c r="T161" s="232"/>
      <c r="U161" s="232"/>
      <c r="V161" s="232"/>
    </row>
    <row r="162" spans="2:22" x14ac:dyDescent="0.25">
      <c r="B162" s="192"/>
      <c r="C162" s="232"/>
      <c r="D162" s="232"/>
      <c r="E162" s="844" t="s">
        <v>948</v>
      </c>
      <c r="F162" s="845"/>
      <c r="G162" s="845"/>
      <c r="H162" s="845"/>
      <c r="I162" s="846"/>
      <c r="J162" s="844" t="s">
        <v>944</v>
      </c>
      <c r="K162" s="846"/>
      <c r="L162" s="844" t="s">
        <v>763</v>
      </c>
      <c r="M162" s="846"/>
      <c r="N162" s="844" t="s">
        <v>764</v>
      </c>
      <c r="O162" s="846"/>
      <c r="P162" s="844" t="s">
        <v>765</v>
      </c>
      <c r="Q162" s="846"/>
      <c r="R162" s="844" t="s">
        <v>766</v>
      </c>
      <c r="S162" s="846"/>
      <c r="T162" s="844" t="s">
        <v>767</v>
      </c>
      <c r="U162" s="846"/>
      <c r="V162" s="232"/>
    </row>
    <row r="163" spans="2:22" x14ac:dyDescent="0.25">
      <c r="B163" s="192"/>
      <c r="C163" s="232"/>
      <c r="D163" s="232"/>
      <c r="E163" s="14" t="s">
        <v>950</v>
      </c>
      <c r="F163" s="314"/>
      <c r="G163" s="314"/>
      <c r="H163" s="314"/>
      <c r="I163" s="315"/>
      <c r="J163" s="234"/>
      <c r="K163" s="234"/>
      <c r="L163" s="876">
        <f>Assumptions!M100</f>
        <v>0</v>
      </c>
      <c r="M163" s="877"/>
      <c r="N163" s="876">
        <f>Assumptions!O100</f>
        <v>0</v>
      </c>
      <c r="O163" s="877"/>
      <c r="P163" s="876">
        <f>Assumptions!Q100</f>
        <v>0</v>
      </c>
      <c r="Q163" s="877"/>
      <c r="R163" s="876">
        <f>Assumptions!S100</f>
        <v>0</v>
      </c>
      <c r="S163" s="877"/>
      <c r="T163" s="876">
        <f>Assumptions!U100</f>
        <v>0</v>
      </c>
      <c r="U163" s="877"/>
      <c r="V163" s="232"/>
    </row>
    <row r="164" spans="2:22" ht="60" customHeight="1" x14ac:dyDescent="0.25">
      <c r="B164" s="192"/>
      <c r="C164" s="232"/>
      <c r="D164" s="232"/>
      <c r="E164" s="235" t="s">
        <v>949</v>
      </c>
      <c r="F164" s="2"/>
      <c r="G164" s="2"/>
      <c r="H164" s="2"/>
      <c r="I164" s="3"/>
      <c r="J164" s="1215" t="str">
        <f>Assumptions!M99</f>
        <v>fall in all yield curves (local currency only) by 100 bps</v>
      </c>
      <c r="K164" s="1216"/>
      <c r="L164" s="1215" t="str">
        <f>Assumptions!M99</f>
        <v>fall in all yield curves (local currency only) by 100 bps</v>
      </c>
      <c r="M164" s="1216"/>
      <c r="N164" s="1215" t="str">
        <f>Assumptions!O99</f>
        <v>fall in all yield curves (local currency only) by 100 bps</v>
      </c>
      <c r="O164" s="1216"/>
      <c r="P164" s="1215" t="str">
        <f>Assumptions!Q99</f>
        <v>fall in all yield curves (local currency only) by 100 bps</v>
      </c>
      <c r="Q164" s="1216"/>
      <c r="R164" s="1215" t="str">
        <f>Assumptions!S99</f>
        <v>fall in all yield curves (local currency only) by 100 bps</v>
      </c>
      <c r="S164" s="1216"/>
      <c r="T164" s="1215" t="str">
        <f>Assumptions!U99</f>
        <v>fall in all yield curves (local currency only) by 100 bps</v>
      </c>
      <c r="U164" s="1216"/>
      <c r="V164" s="232"/>
    </row>
    <row r="165" spans="2:22" x14ac:dyDescent="0.25">
      <c r="B165" s="192"/>
      <c r="C165" s="232"/>
      <c r="D165" s="232"/>
      <c r="E165" s="13" t="s">
        <v>950</v>
      </c>
      <c r="F165" s="6"/>
      <c r="G165" s="6"/>
      <c r="H165" s="6"/>
      <c r="I165" s="7"/>
      <c r="J165" s="1217">
        <v>0</v>
      </c>
      <c r="K165" s="1218"/>
      <c r="L165" s="876">
        <f>L163</f>
        <v>0</v>
      </c>
      <c r="M165" s="877"/>
      <c r="N165" s="876">
        <f>N163</f>
        <v>0</v>
      </c>
      <c r="O165" s="877"/>
      <c r="P165" s="876">
        <f>P163</f>
        <v>0</v>
      </c>
      <c r="Q165" s="877"/>
      <c r="R165" s="876">
        <f>R163</f>
        <v>0</v>
      </c>
      <c r="S165" s="877"/>
      <c r="T165" s="876">
        <f>T163</f>
        <v>0</v>
      </c>
      <c r="U165" s="877"/>
      <c r="V165" s="232"/>
    </row>
    <row r="166" spans="2:22" x14ac:dyDescent="0.25">
      <c r="B166" s="192"/>
      <c r="C166" s="232"/>
      <c r="D166" s="232"/>
      <c r="E166" s="14" t="s">
        <v>965</v>
      </c>
      <c r="F166" s="15"/>
      <c r="G166" s="15"/>
      <c r="H166" s="15"/>
      <c r="I166" s="16"/>
      <c r="J166" s="232"/>
      <c r="K166" s="232"/>
      <c r="L166" s="876">
        <f>L165/VLOOKUP(L164,Parameters!$H$21:$R$30,9,FALSE)*VLOOKUP(L164,Input!$B$131:$H$140,6,FALSE)</f>
        <v>0</v>
      </c>
      <c r="M166" s="877"/>
      <c r="N166" s="876">
        <f>N165/VLOOKUP(N164,Parameters!$H$21:$R$30,9,FALSE)*VLOOKUP(N164,Input!$B$131:$H$140,6,FALSE)</f>
        <v>0</v>
      </c>
      <c r="O166" s="877"/>
      <c r="P166" s="876">
        <f>P165/VLOOKUP(P164,Parameters!$H$21:$R$30,9,FALSE)*VLOOKUP(P164,Input!$B$131:$H$140,6,FALSE)</f>
        <v>0</v>
      </c>
      <c r="Q166" s="877"/>
      <c r="R166" s="876">
        <f>R165/VLOOKUP(R164,Parameters!$H$21:$R$30,9,FALSE)*VLOOKUP(R164,Input!$B$131:$H$140,6,FALSE)</f>
        <v>0</v>
      </c>
      <c r="S166" s="877"/>
      <c r="T166" s="876">
        <f>T165/VLOOKUP(T164,Parameters!$H$21:$R$30,9,FALSE)*VLOOKUP(T164,Input!$B$131:$H$140,6,FALSE)</f>
        <v>0</v>
      </c>
      <c r="U166" s="877"/>
      <c r="V166" s="232"/>
    </row>
    <row r="167" spans="2:22" x14ac:dyDescent="0.25">
      <c r="B167" s="192"/>
      <c r="C167" s="232"/>
      <c r="D167" s="232"/>
      <c r="E167" s="232"/>
      <c r="F167" s="232"/>
      <c r="G167" s="232"/>
      <c r="H167" s="232"/>
      <c r="I167" s="232"/>
      <c r="J167" s="232"/>
      <c r="K167" s="232"/>
      <c r="L167" s="232"/>
      <c r="M167" s="232"/>
      <c r="N167" s="232"/>
      <c r="O167" s="232"/>
      <c r="P167" s="232"/>
      <c r="Q167" s="232"/>
      <c r="R167" s="232"/>
      <c r="S167" s="232"/>
      <c r="T167" s="232"/>
      <c r="U167" s="232"/>
      <c r="V167" s="232"/>
    </row>
    <row r="168" spans="2:22" x14ac:dyDescent="0.25">
      <c r="B168" s="192"/>
      <c r="C168" s="232"/>
      <c r="D168" s="232"/>
      <c r="E168" s="232"/>
      <c r="F168" s="232"/>
      <c r="G168" s="232"/>
      <c r="H168" s="232"/>
      <c r="I168" s="232"/>
      <c r="J168" s="232"/>
      <c r="K168" s="232"/>
      <c r="L168" s="232"/>
      <c r="M168" s="232"/>
      <c r="N168" s="232"/>
      <c r="O168" s="232"/>
      <c r="P168" s="232"/>
      <c r="Q168" s="232"/>
      <c r="R168" s="232"/>
      <c r="S168" s="232"/>
      <c r="T168" s="232"/>
      <c r="U168" s="232"/>
      <c r="V168" s="232"/>
    </row>
    <row r="169" spans="2:22" x14ac:dyDescent="0.25">
      <c r="B169" s="192"/>
      <c r="C169" s="232"/>
      <c r="D169" s="232"/>
      <c r="E169" s="1015" t="s">
        <v>942</v>
      </c>
      <c r="F169" s="1016"/>
      <c r="G169" s="1016"/>
      <c r="H169" s="1016"/>
      <c r="I169" s="1017"/>
      <c r="J169" s="844" t="s">
        <v>944</v>
      </c>
      <c r="K169" s="846"/>
      <c r="L169" s="844" t="s">
        <v>763</v>
      </c>
      <c r="M169" s="846"/>
      <c r="N169" s="844" t="s">
        <v>764</v>
      </c>
      <c r="O169" s="846"/>
      <c r="P169" s="844" t="s">
        <v>765</v>
      </c>
      <c r="Q169" s="846"/>
      <c r="R169" s="844" t="s">
        <v>766</v>
      </c>
      <c r="S169" s="846"/>
      <c r="T169" s="844" t="s">
        <v>767</v>
      </c>
      <c r="U169" s="846"/>
      <c r="V169" s="232"/>
    </row>
    <row r="170" spans="2:22" x14ac:dyDescent="0.25">
      <c r="B170" s="192"/>
      <c r="C170" s="232"/>
      <c r="D170" s="232"/>
      <c r="E170" s="11" t="s">
        <v>914</v>
      </c>
      <c r="F170" s="2"/>
      <c r="G170" s="2"/>
      <c r="H170" s="2"/>
      <c r="I170" s="3"/>
      <c r="J170" s="264"/>
      <c r="K170" s="264"/>
      <c r="L170" s="849" t="s">
        <v>831</v>
      </c>
      <c r="M170" s="850"/>
      <c r="N170" s="849" t="s">
        <v>831</v>
      </c>
      <c r="O170" s="850"/>
      <c r="P170" s="849" t="s">
        <v>831</v>
      </c>
      <c r="Q170" s="850"/>
      <c r="R170" s="849" t="s">
        <v>831</v>
      </c>
      <c r="S170" s="850"/>
      <c r="T170" s="849" t="s">
        <v>831</v>
      </c>
      <c r="U170" s="850"/>
      <c r="V170" s="232"/>
    </row>
    <row r="171" spans="2:22" x14ac:dyDescent="0.25">
      <c r="B171" s="192"/>
      <c r="C171" s="232"/>
      <c r="D171" s="232"/>
      <c r="E171" s="12" t="s">
        <v>950</v>
      </c>
      <c r="F171" s="4"/>
      <c r="G171" s="4"/>
      <c r="H171" s="4"/>
      <c r="I171" s="5"/>
      <c r="J171" s="264"/>
      <c r="K171" s="264"/>
      <c r="L171" s="1213">
        <f>Assumptions!M102</f>
        <v>0.1</v>
      </c>
      <c r="M171" s="1214"/>
      <c r="N171" s="1213">
        <f>Assumptions!O102</f>
        <v>0.1</v>
      </c>
      <c r="O171" s="1214"/>
      <c r="P171" s="1213">
        <f>Assumptions!Q102</f>
        <v>0.1</v>
      </c>
      <c r="Q171" s="1214"/>
      <c r="R171" s="1213">
        <f>Assumptions!S102</f>
        <v>0.1</v>
      </c>
      <c r="S171" s="1214"/>
      <c r="T171" s="1213">
        <f>Assumptions!U102</f>
        <v>0.1</v>
      </c>
      <c r="U171" s="1214"/>
      <c r="V171" s="232"/>
    </row>
    <row r="172" spans="2:22" x14ac:dyDescent="0.25">
      <c r="B172" s="192"/>
      <c r="C172" s="232"/>
      <c r="D172" s="232"/>
      <c r="E172" s="13" t="s">
        <v>966</v>
      </c>
      <c r="F172" s="6"/>
      <c r="G172" s="6"/>
      <c r="H172" s="6"/>
      <c r="I172" s="7"/>
      <c r="J172" s="232"/>
      <c r="K172" s="232"/>
      <c r="L172" s="849" t="str">
        <f>Assumptions!M104</f>
        <v>Yes</v>
      </c>
      <c r="M172" s="850"/>
      <c r="N172" s="849" t="str">
        <f>Assumptions!O104</f>
        <v>Yes</v>
      </c>
      <c r="O172" s="850"/>
      <c r="P172" s="849" t="str">
        <f>Assumptions!Q104</f>
        <v>Yes</v>
      </c>
      <c r="Q172" s="850"/>
      <c r="R172" s="849" t="str">
        <f>Assumptions!S104</f>
        <v>Yes</v>
      </c>
      <c r="S172" s="850"/>
      <c r="T172" s="849" t="str">
        <f>Assumptions!U104</f>
        <v>Yes</v>
      </c>
      <c r="U172" s="850"/>
      <c r="V172" s="232"/>
    </row>
    <row r="173" spans="2:22" x14ac:dyDescent="0.25">
      <c r="B173" s="192"/>
      <c r="C173" s="232"/>
      <c r="D173" s="232"/>
      <c r="E173" s="232"/>
      <c r="F173" s="232"/>
      <c r="G173" s="232"/>
      <c r="H173" s="232"/>
      <c r="I173" s="232"/>
      <c r="J173" s="232"/>
      <c r="K173" s="232"/>
      <c r="L173" s="232"/>
      <c r="M173" s="232"/>
      <c r="N173" s="232"/>
      <c r="O173" s="232"/>
      <c r="P173" s="232"/>
      <c r="Q173" s="232"/>
      <c r="R173" s="232"/>
      <c r="S173" s="232"/>
      <c r="T173" s="232"/>
      <c r="U173" s="232"/>
      <c r="V173" s="232"/>
    </row>
    <row r="174" spans="2:22" x14ac:dyDescent="0.25">
      <c r="B174" s="192"/>
      <c r="C174" s="232"/>
      <c r="D174" s="232"/>
      <c r="E174" s="313" t="s">
        <v>951</v>
      </c>
      <c r="F174" s="15"/>
      <c r="G174" s="15"/>
      <c r="H174" s="15"/>
      <c r="I174" s="16"/>
      <c r="J174" s="1213">
        <f>AVERAGE(J177:K186,J189:K198,J201:K210)</f>
        <v>0</v>
      </c>
      <c r="K174" s="1214"/>
      <c r="L174" s="1213">
        <f>AVERAGE(L177:M186,L189:M198,L201:M210)</f>
        <v>0.10000000000000005</v>
      </c>
      <c r="M174" s="1214"/>
      <c r="N174" s="1213">
        <f>AVERAGE(N177:O186,N189:O198,N201:O210)</f>
        <v>0.10000000000000005</v>
      </c>
      <c r="O174" s="1214"/>
      <c r="P174" s="1213">
        <f>AVERAGE(P177:Q186,P189:Q198,P201:Q210)</f>
        <v>0.10000000000000005</v>
      </c>
      <c r="Q174" s="1214"/>
      <c r="R174" s="1213">
        <f>AVERAGE(R177:S186,R189:S198,R201:S210)</f>
        <v>0.10000000000000005</v>
      </c>
      <c r="S174" s="1214"/>
      <c r="T174" s="1213">
        <f>AVERAGE(T177:U186,T189:U198,T201:U210)</f>
        <v>0.10000000000000005</v>
      </c>
      <c r="U174" s="1214"/>
      <c r="V174" s="232"/>
    </row>
    <row r="175" spans="2:22" x14ac:dyDescent="0.25">
      <c r="B175" s="192"/>
      <c r="C175" s="232"/>
      <c r="D175" s="232"/>
      <c r="E175" s="232"/>
      <c r="F175" s="232"/>
      <c r="G175" s="232"/>
      <c r="H175" s="232"/>
      <c r="I175" s="232"/>
      <c r="J175" s="232"/>
      <c r="K175" s="232"/>
      <c r="L175" s="232"/>
      <c r="M175" s="232"/>
      <c r="N175" s="232"/>
      <c r="O175" s="232"/>
      <c r="P175" s="232"/>
      <c r="Q175" s="232"/>
      <c r="R175" s="232"/>
      <c r="S175" s="232"/>
      <c r="T175" s="232"/>
      <c r="U175" s="232"/>
      <c r="V175" s="232"/>
    </row>
    <row r="176" spans="2:22" x14ac:dyDescent="0.25">
      <c r="B176" s="192"/>
      <c r="C176" s="232"/>
      <c r="D176" s="232"/>
      <c r="E176" s="313" t="s">
        <v>952</v>
      </c>
      <c r="F176" s="15"/>
      <c r="G176" s="15"/>
      <c r="H176" s="15"/>
      <c r="I176" s="16"/>
      <c r="J176" s="264"/>
      <c r="K176" s="264"/>
      <c r="L176" s="264"/>
      <c r="M176" s="264"/>
      <c r="N176" s="264"/>
      <c r="O176" s="264"/>
      <c r="P176" s="264"/>
      <c r="Q176" s="264"/>
      <c r="R176" s="264"/>
      <c r="S176" s="264"/>
      <c r="T176" s="264"/>
      <c r="U176" s="264"/>
      <c r="V176" s="232"/>
    </row>
    <row r="177" spans="2:22" x14ac:dyDescent="0.25">
      <c r="B177" s="192"/>
      <c r="C177" s="232"/>
      <c r="D177" s="232"/>
      <c r="E177" s="299" t="str">
        <f>IF(ISTEXT(Setup!O13),Setup!O13,"")</f>
        <v>Sovereign Bonds</v>
      </c>
      <c r="F177" s="300"/>
      <c r="G177" s="300"/>
      <c r="H177" s="300"/>
      <c r="I177" s="301"/>
      <c r="J177" s="1213">
        <v>0</v>
      </c>
      <c r="K177" s="1214"/>
      <c r="L177" s="1213">
        <f>L$171</f>
        <v>0.1</v>
      </c>
      <c r="M177" s="1214"/>
      <c r="N177" s="1213">
        <f>N$171</f>
        <v>0.1</v>
      </c>
      <c r="O177" s="1214"/>
      <c r="P177" s="1213">
        <f>P$171</f>
        <v>0.1</v>
      </c>
      <c r="Q177" s="1214"/>
      <c r="R177" s="1213">
        <f>R$171</f>
        <v>0.1</v>
      </c>
      <c r="S177" s="1214"/>
      <c r="T177" s="1213">
        <f>T$171</f>
        <v>0.1</v>
      </c>
      <c r="U177" s="1214"/>
      <c r="V177" s="232"/>
    </row>
    <row r="178" spans="2:22" x14ac:dyDescent="0.25">
      <c r="B178" s="192"/>
      <c r="C178" s="232"/>
      <c r="D178" s="232"/>
      <c r="E178" s="302" t="str">
        <f>IF(ISTEXT(Setup!O14),Setup!O14,"")</f>
        <v>Other Bonds</v>
      </c>
      <c r="F178" s="303"/>
      <c r="G178" s="303"/>
      <c r="H178" s="303"/>
      <c r="I178" s="308"/>
      <c r="J178" s="1213">
        <v>0</v>
      </c>
      <c r="K178" s="1214"/>
      <c r="L178" s="1213">
        <f t="shared" ref="L178:T186" si="9">L$171</f>
        <v>0.1</v>
      </c>
      <c r="M178" s="1214"/>
      <c r="N178" s="1213">
        <f t="shared" si="9"/>
        <v>0.1</v>
      </c>
      <c r="O178" s="1214"/>
      <c r="P178" s="1213">
        <f t="shared" si="9"/>
        <v>0.1</v>
      </c>
      <c r="Q178" s="1214"/>
      <c r="R178" s="1213">
        <f t="shared" si="9"/>
        <v>0.1</v>
      </c>
      <c r="S178" s="1214"/>
      <c r="T178" s="1213">
        <f t="shared" si="9"/>
        <v>0.1</v>
      </c>
      <c r="U178" s="1214"/>
      <c r="V178" s="232"/>
    </row>
    <row r="179" spans="2:22" x14ac:dyDescent="0.25">
      <c r="B179" s="192"/>
      <c r="C179" s="232"/>
      <c r="D179" s="232"/>
      <c r="E179" s="302" t="str">
        <f>IF(ISTEXT(Setup!O15),Setup!O15,"")</f>
        <v>Equity</v>
      </c>
      <c r="F179" s="303"/>
      <c r="G179" s="303"/>
      <c r="H179" s="303"/>
      <c r="I179" s="308"/>
      <c r="J179" s="1213">
        <v>0</v>
      </c>
      <c r="K179" s="1214"/>
      <c r="L179" s="1213">
        <f t="shared" si="9"/>
        <v>0.1</v>
      </c>
      <c r="M179" s="1214"/>
      <c r="N179" s="1213">
        <f t="shared" si="9"/>
        <v>0.1</v>
      </c>
      <c r="O179" s="1214"/>
      <c r="P179" s="1213">
        <f t="shared" si="9"/>
        <v>0.1</v>
      </c>
      <c r="Q179" s="1214"/>
      <c r="R179" s="1213">
        <f t="shared" si="9"/>
        <v>0.1</v>
      </c>
      <c r="S179" s="1214"/>
      <c r="T179" s="1213">
        <f t="shared" si="9"/>
        <v>0.1</v>
      </c>
      <c r="U179" s="1214"/>
      <c r="V179" s="232"/>
    </row>
    <row r="180" spans="2:22" x14ac:dyDescent="0.25">
      <c r="B180" s="192"/>
      <c r="C180" s="232"/>
      <c r="D180" s="232"/>
      <c r="E180" s="302" t="str">
        <f>IF(ISTEXT(Setup!O16),Setup!O16,"")</f>
        <v>Structured</v>
      </c>
      <c r="F180" s="303"/>
      <c r="G180" s="303"/>
      <c r="H180" s="303"/>
      <c r="I180" s="308"/>
      <c r="J180" s="1213">
        <v>0</v>
      </c>
      <c r="K180" s="1214"/>
      <c r="L180" s="1213">
        <f t="shared" si="9"/>
        <v>0.1</v>
      </c>
      <c r="M180" s="1214"/>
      <c r="N180" s="1213">
        <f t="shared" si="9"/>
        <v>0.1</v>
      </c>
      <c r="O180" s="1214"/>
      <c r="P180" s="1213">
        <f t="shared" si="9"/>
        <v>0.1</v>
      </c>
      <c r="Q180" s="1214"/>
      <c r="R180" s="1213">
        <f t="shared" si="9"/>
        <v>0.1</v>
      </c>
      <c r="S180" s="1214"/>
      <c r="T180" s="1213">
        <f t="shared" si="9"/>
        <v>0.1</v>
      </c>
      <c r="U180" s="1214"/>
      <c r="V180" s="232"/>
    </row>
    <row r="181" spans="2:22" x14ac:dyDescent="0.25">
      <c r="B181" s="192"/>
      <c r="C181" s="232"/>
      <c r="D181" s="232"/>
      <c r="E181" s="302" t="str">
        <f>IF(ISTEXT(Setup!O17),Setup!O17,"")</f>
        <v>Other</v>
      </c>
      <c r="F181" s="303"/>
      <c r="G181" s="303"/>
      <c r="H181" s="303"/>
      <c r="I181" s="308"/>
      <c r="J181" s="1213">
        <v>0</v>
      </c>
      <c r="K181" s="1214"/>
      <c r="L181" s="1213">
        <f t="shared" si="9"/>
        <v>0.1</v>
      </c>
      <c r="M181" s="1214"/>
      <c r="N181" s="1213">
        <f t="shared" si="9"/>
        <v>0.1</v>
      </c>
      <c r="O181" s="1214"/>
      <c r="P181" s="1213">
        <f t="shared" si="9"/>
        <v>0.1</v>
      </c>
      <c r="Q181" s="1214"/>
      <c r="R181" s="1213">
        <f t="shared" si="9"/>
        <v>0.1</v>
      </c>
      <c r="S181" s="1214"/>
      <c r="T181" s="1213">
        <f t="shared" si="9"/>
        <v>0.1</v>
      </c>
      <c r="U181" s="1214"/>
      <c r="V181" s="232"/>
    </row>
    <row r="182" spans="2:22" x14ac:dyDescent="0.25">
      <c r="B182" s="192"/>
      <c r="C182" s="232"/>
      <c r="D182" s="232"/>
      <c r="E182" s="302" t="str">
        <f>IF(ISTEXT(Setup!O18),Setup!O18,"")</f>
        <v/>
      </c>
      <c r="F182" s="303"/>
      <c r="G182" s="303"/>
      <c r="H182" s="303"/>
      <c r="I182" s="308"/>
      <c r="J182" s="1213">
        <v>0</v>
      </c>
      <c r="K182" s="1214"/>
      <c r="L182" s="1213">
        <f t="shared" si="9"/>
        <v>0.1</v>
      </c>
      <c r="M182" s="1214"/>
      <c r="N182" s="1213">
        <f t="shared" si="9"/>
        <v>0.1</v>
      </c>
      <c r="O182" s="1214"/>
      <c r="P182" s="1213">
        <f t="shared" si="9"/>
        <v>0.1</v>
      </c>
      <c r="Q182" s="1214"/>
      <c r="R182" s="1213">
        <f t="shared" si="9"/>
        <v>0.1</v>
      </c>
      <c r="S182" s="1214"/>
      <c r="T182" s="1213">
        <f t="shared" si="9"/>
        <v>0.1</v>
      </c>
      <c r="U182" s="1214"/>
      <c r="V182" s="232"/>
    </row>
    <row r="183" spans="2:22" x14ac:dyDescent="0.25">
      <c r="B183" s="192"/>
      <c r="C183" s="232"/>
      <c r="D183" s="232"/>
      <c r="E183" s="302" t="str">
        <f>IF(ISTEXT(Setup!O19),Setup!O19,"")</f>
        <v/>
      </c>
      <c r="F183" s="303"/>
      <c r="G183" s="303"/>
      <c r="H183" s="303"/>
      <c r="I183" s="308"/>
      <c r="J183" s="1213">
        <v>0</v>
      </c>
      <c r="K183" s="1214"/>
      <c r="L183" s="1213">
        <f t="shared" si="9"/>
        <v>0.1</v>
      </c>
      <c r="M183" s="1214"/>
      <c r="N183" s="1213">
        <f t="shared" si="9"/>
        <v>0.1</v>
      </c>
      <c r="O183" s="1214"/>
      <c r="P183" s="1213">
        <f t="shared" si="9"/>
        <v>0.1</v>
      </c>
      <c r="Q183" s="1214"/>
      <c r="R183" s="1213">
        <f t="shared" si="9"/>
        <v>0.1</v>
      </c>
      <c r="S183" s="1214"/>
      <c r="T183" s="1213">
        <f t="shared" si="9"/>
        <v>0.1</v>
      </c>
      <c r="U183" s="1214"/>
      <c r="V183" s="232"/>
    </row>
    <row r="184" spans="2:22" x14ac:dyDescent="0.25">
      <c r="B184" s="192"/>
      <c r="C184" s="232"/>
      <c r="D184" s="232"/>
      <c r="E184" s="302" t="str">
        <f>IF(ISTEXT(Setup!O20),Setup!O20,"")</f>
        <v/>
      </c>
      <c r="F184" s="303"/>
      <c r="G184" s="303"/>
      <c r="H184" s="303"/>
      <c r="I184" s="308"/>
      <c r="J184" s="1213">
        <v>0</v>
      </c>
      <c r="K184" s="1214"/>
      <c r="L184" s="1213">
        <f t="shared" si="9"/>
        <v>0.1</v>
      </c>
      <c r="M184" s="1214"/>
      <c r="N184" s="1213">
        <f t="shared" si="9"/>
        <v>0.1</v>
      </c>
      <c r="O184" s="1214"/>
      <c r="P184" s="1213">
        <f t="shared" si="9"/>
        <v>0.1</v>
      </c>
      <c r="Q184" s="1214"/>
      <c r="R184" s="1213">
        <f t="shared" si="9"/>
        <v>0.1</v>
      </c>
      <c r="S184" s="1214"/>
      <c r="T184" s="1213">
        <f t="shared" si="9"/>
        <v>0.1</v>
      </c>
      <c r="U184" s="1214"/>
      <c r="V184" s="232"/>
    </row>
    <row r="185" spans="2:22" x14ac:dyDescent="0.25">
      <c r="B185" s="192"/>
      <c r="C185" s="232"/>
      <c r="D185" s="232"/>
      <c r="E185" s="302" t="str">
        <f>IF(ISTEXT(Setup!O21),Setup!O21,"")</f>
        <v/>
      </c>
      <c r="F185" s="303"/>
      <c r="G185" s="303"/>
      <c r="H185" s="303"/>
      <c r="I185" s="308"/>
      <c r="J185" s="1213">
        <v>0</v>
      </c>
      <c r="K185" s="1214"/>
      <c r="L185" s="1213">
        <f t="shared" si="9"/>
        <v>0.1</v>
      </c>
      <c r="M185" s="1214"/>
      <c r="N185" s="1213">
        <f t="shared" si="9"/>
        <v>0.1</v>
      </c>
      <c r="O185" s="1214"/>
      <c r="P185" s="1213">
        <f t="shared" si="9"/>
        <v>0.1</v>
      </c>
      <c r="Q185" s="1214"/>
      <c r="R185" s="1213">
        <f t="shared" si="9"/>
        <v>0.1</v>
      </c>
      <c r="S185" s="1214"/>
      <c r="T185" s="1213">
        <f t="shared" si="9"/>
        <v>0.1</v>
      </c>
      <c r="U185" s="1214"/>
      <c r="V185" s="232"/>
    </row>
    <row r="186" spans="2:22" x14ac:dyDescent="0.25">
      <c r="B186" s="192"/>
      <c r="C186" s="232"/>
      <c r="D186" s="232"/>
      <c r="E186" s="309" t="str">
        <f>IF(ISTEXT(Setup!O22),Setup!O22,"")</f>
        <v/>
      </c>
      <c r="F186" s="310"/>
      <c r="G186" s="310"/>
      <c r="H186" s="310"/>
      <c r="I186" s="311"/>
      <c r="J186" s="1213">
        <v>0</v>
      </c>
      <c r="K186" s="1214"/>
      <c r="L186" s="1213">
        <f t="shared" si="9"/>
        <v>0.1</v>
      </c>
      <c r="M186" s="1214"/>
      <c r="N186" s="1213">
        <f t="shared" si="9"/>
        <v>0.1</v>
      </c>
      <c r="O186" s="1214"/>
      <c r="P186" s="1213">
        <f t="shared" si="9"/>
        <v>0.1</v>
      </c>
      <c r="Q186" s="1214"/>
      <c r="R186" s="1213">
        <f t="shared" si="9"/>
        <v>0.1</v>
      </c>
      <c r="S186" s="1214"/>
      <c r="T186" s="1213">
        <f t="shared" si="9"/>
        <v>0.1</v>
      </c>
      <c r="U186" s="1214"/>
      <c r="V186" s="232"/>
    </row>
    <row r="187" spans="2:22" x14ac:dyDescent="0.25">
      <c r="B187" s="192"/>
      <c r="C187" s="232"/>
      <c r="D187" s="232"/>
      <c r="E187" s="232"/>
      <c r="F187" s="232"/>
      <c r="G187" s="232"/>
      <c r="H187" s="232"/>
      <c r="I187" s="232"/>
      <c r="J187" s="232"/>
      <c r="K187" s="232"/>
      <c r="L187" s="232"/>
      <c r="M187" s="232"/>
      <c r="N187" s="232"/>
      <c r="O187" s="232"/>
      <c r="P187" s="232"/>
      <c r="Q187" s="232"/>
      <c r="R187" s="232"/>
      <c r="S187" s="232"/>
      <c r="T187" s="232"/>
      <c r="U187" s="232"/>
      <c r="V187" s="232"/>
    </row>
    <row r="188" spans="2:22" x14ac:dyDescent="0.25">
      <c r="B188" s="192"/>
      <c r="C188" s="232"/>
      <c r="D188" s="232"/>
      <c r="E188" s="313" t="s">
        <v>953</v>
      </c>
      <c r="F188" s="15"/>
      <c r="G188" s="15"/>
      <c r="H188" s="15"/>
      <c r="I188" s="16"/>
      <c r="J188" s="264"/>
      <c r="K188" s="264"/>
      <c r="L188" s="264"/>
      <c r="M188" s="264"/>
      <c r="N188" s="264"/>
      <c r="O188" s="264"/>
      <c r="P188" s="264"/>
      <c r="Q188" s="264"/>
      <c r="R188" s="264"/>
      <c r="S188" s="264"/>
      <c r="T188" s="264"/>
      <c r="U188" s="264"/>
      <c r="V188" s="232"/>
    </row>
    <row r="189" spans="2:22" x14ac:dyDescent="0.25">
      <c r="B189" s="192"/>
      <c r="C189" s="232"/>
      <c r="D189" s="232"/>
      <c r="E189" s="299" t="str">
        <f>E177</f>
        <v>Sovereign Bonds</v>
      </c>
      <c r="F189" s="300"/>
      <c r="G189" s="300"/>
      <c r="H189" s="300"/>
      <c r="I189" s="301"/>
      <c r="J189" s="1213">
        <v>0</v>
      </c>
      <c r="K189" s="1214"/>
      <c r="L189" s="1213">
        <f t="shared" ref="L189:T198" si="10">L$171</f>
        <v>0.1</v>
      </c>
      <c r="M189" s="1214"/>
      <c r="N189" s="1213">
        <f t="shared" si="10"/>
        <v>0.1</v>
      </c>
      <c r="O189" s="1214"/>
      <c r="P189" s="1213">
        <f t="shared" si="10"/>
        <v>0.1</v>
      </c>
      <c r="Q189" s="1214"/>
      <c r="R189" s="1213">
        <f t="shared" si="10"/>
        <v>0.1</v>
      </c>
      <c r="S189" s="1214"/>
      <c r="T189" s="1213">
        <f t="shared" si="10"/>
        <v>0.1</v>
      </c>
      <c r="U189" s="1214"/>
      <c r="V189" s="232"/>
    </row>
    <row r="190" spans="2:22" x14ac:dyDescent="0.25">
      <c r="B190" s="192"/>
      <c r="C190" s="232"/>
      <c r="D190" s="232"/>
      <c r="E190" s="302" t="str">
        <f t="shared" ref="E190:E198" si="11">E178</f>
        <v>Other Bonds</v>
      </c>
      <c r="F190" s="303"/>
      <c r="G190" s="303"/>
      <c r="H190" s="303"/>
      <c r="I190" s="308"/>
      <c r="J190" s="1213">
        <v>0</v>
      </c>
      <c r="K190" s="1214"/>
      <c r="L190" s="1213">
        <f t="shared" si="10"/>
        <v>0.1</v>
      </c>
      <c r="M190" s="1214"/>
      <c r="N190" s="1213">
        <f t="shared" si="10"/>
        <v>0.1</v>
      </c>
      <c r="O190" s="1214"/>
      <c r="P190" s="1213">
        <f t="shared" si="10"/>
        <v>0.1</v>
      </c>
      <c r="Q190" s="1214"/>
      <c r="R190" s="1213">
        <f t="shared" si="10"/>
        <v>0.1</v>
      </c>
      <c r="S190" s="1214"/>
      <c r="T190" s="1213">
        <f t="shared" si="10"/>
        <v>0.1</v>
      </c>
      <c r="U190" s="1214"/>
      <c r="V190" s="232"/>
    </row>
    <row r="191" spans="2:22" x14ac:dyDescent="0.25">
      <c r="B191" s="192"/>
      <c r="C191" s="232"/>
      <c r="D191" s="232"/>
      <c r="E191" s="302" t="str">
        <f t="shared" si="11"/>
        <v>Equity</v>
      </c>
      <c r="F191" s="303"/>
      <c r="G191" s="303"/>
      <c r="H191" s="303"/>
      <c r="I191" s="308"/>
      <c r="J191" s="1213">
        <v>0</v>
      </c>
      <c r="K191" s="1214"/>
      <c r="L191" s="1213">
        <f t="shared" si="10"/>
        <v>0.1</v>
      </c>
      <c r="M191" s="1214"/>
      <c r="N191" s="1213">
        <f t="shared" si="10"/>
        <v>0.1</v>
      </c>
      <c r="O191" s="1214"/>
      <c r="P191" s="1213">
        <f t="shared" si="10"/>
        <v>0.1</v>
      </c>
      <c r="Q191" s="1214"/>
      <c r="R191" s="1213">
        <f t="shared" si="10"/>
        <v>0.1</v>
      </c>
      <c r="S191" s="1214"/>
      <c r="T191" s="1213">
        <f t="shared" si="10"/>
        <v>0.1</v>
      </c>
      <c r="U191" s="1214"/>
      <c r="V191" s="232"/>
    </row>
    <row r="192" spans="2:22" x14ac:dyDescent="0.25">
      <c r="B192" s="192"/>
      <c r="C192" s="232"/>
      <c r="D192" s="232"/>
      <c r="E192" s="302" t="str">
        <f t="shared" si="11"/>
        <v>Structured</v>
      </c>
      <c r="F192" s="303"/>
      <c r="G192" s="303"/>
      <c r="H192" s="303"/>
      <c r="I192" s="308"/>
      <c r="J192" s="1213">
        <v>0</v>
      </c>
      <c r="K192" s="1214"/>
      <c r="L192" s="1213">
        <f t="shared" si="10"/>
        <v>0.1</v>
      </c>
      <c r="M192" s="1214"/>
      <c r="N192" s="1213">
        <f t="shared" si="10"/>
        <v>0.1</v>
      </c>
      <c r="O192" s="1214"/>
      <c r="P192" s="1213">
        <f t="shared" si="10"/>
        <v>0.1</v>
      </c>
      <c r="Q192" s="1214"/>
      <c r="R192" s="1213">
        <f t="shared" si="10"/>
        <v>0.1</v>
      </c>
      <c r="S192" s="1214"/>
      <c r="T192" s="1213">
        <f t="shared" si="10"/>
        <v>0.1</v>
      </c>
      <c r="U192" s="1214"/>
      <c r="V192" s="232"/>
    </row>
    <row r="193" spans="2:22" x14ac:dyDescent="0.25">
      <c r="B193" s="192"/>
      <c r="C193" s="232"/>
      <c r="D193" s="232"/>
      <c r="E193" s="302" t="str">
        <f t="shared" si="11"/>
        <v>Other</v>
      </c>
      <c r="F193" s="303"/>
      <c r="G193" s="303"/>
      <c r="H193" s="303"/>
      <c r="I193" s="308"/>
      <c r="J193" s="1213">
        <v>0</v>
      </c>
      <c r="K193" s="1214"/>
      <c r="L193" s="1213">
        <f t="shared" si="10"/>
        <v>0.1</v>
      </c>
      <c r="M193" s="1214"/>
      <c r="N193" s="1213">
        <f t="shared" si="10"/>
        <v>0.1</v>
      </c>
      <c r="O193" s="1214"/>
      <c r="P193" s="1213">
        <f t="shared" si="10"/>
        <v>0.1</v>
      </c>
      <c r="Q193" s="1214"/>
      <c r="R193" s="1213">
        <f t="shared" si="10"/>
        <v>0.1</v>
      </c>
      <c r="S193" s="1214"/>
      <c r="T193" s="1213">
        <f t="shared" si="10"/>
        <v>0.1</v>
      </c>
      <c r="U193" s="1214"/>
      <c r="V193" s="232"/>
    </row>
    <row r="194" spans="2:22" x14ac:dyDescent="0.25">
      <c r="B194" s="192"/>
      <c r="C194" s="232"/>
      <c r="D194" s="232"/>
      <c r="E194" s="302" t="str">
        <f t="shared" si="11"/>
        <v/>
      </c>
      <c r="F194" s="303"/>
      <c r="G194" s="303"/>
      <c r="H194" s="303"/>
      <c r="I194" s="308"/>
      <c r="J194" s="1213">
        <v>0</v>
      </c>
      <c r="K194" s="1214"/>
      <c r="L194" s="1213">
        <f t="shared" si="10"/>
        <v>0.1</v>
      </c>
      <c r="M194" s="1214"/>
      <c r="N194" s="1213">
        <f t="shared" si="10"/>
        <v>0.1</v>
      </c>
      <c r="O194" s="1214"/>
      <c r="P194" s="1213">
        <f t="shared" si="10"/>
        <v>0.1</v>
      </c>
      <c r="Q194" s="1214"/>
      <c r="R194" s="1213">
        <f t="shared" si="10"/>
        <v>0.1</v>
      </c>
      <c r="S194" s="1214"/>
      <c r="T194" s="1213">
        <f t="shared" si="10"/>
        <v>0.1</v>
      </c>
      <c r="U194" s="1214"/>
      <c r="V194" s="232"/>
    </row>
    <row r="195" spans="2:22" x14ac:dyDescent="0.25">
      <c r="B195" s="192"/>
      <c r="C195" s="232"/>
      <c r="D195" s="232"/>
      <c r="E195" s="302" t="str">
        <f t="shared" si="11"/>
        <v/>
      </c>
      <c r="F195" s="303"/>
      <c r="G195" s="303"/>
      <c r="H195" s="303"/>
      <c r="I195" s="308"/>
      <c r="J195" s="1213">
        <v>0</v>
      </c>
      <c r="K195" s="1214"/>
      <c r="L195" s="1213">
        <f t="shared" si="10"/>
        <v>0.1</v>
      </c>
      <c r="M195" s="1214"/>
      <c r="N195" s="1213">
        <f t="shared" si="10"/>
        <v>0.1</v>
      </c>
      <c r="O195" s="1214"/>
      <c r="P195" s="1213">
        <f t="shared" si="10"/>
        <v>0.1</v>
      </c>
      <c r="Q195" s="1214"/>
      <c r="R195" s="1213">
        <f t="shared" si="10"/>
        <v>0.1</v>
      </c>
      <c r="S195" s="1214"/>
      <c r="T195" s="1213">
        <f t="shared" si="10"/>
        <v>0.1</v>
      </c>
      <c r="U195" s="1214"/>
      <c r="V195" s="232"/>
    </row>
    <row r="196" spans="2:22" x14ac:dyDescent="0.25">
      <c r="B196" s="192"/>
      <c r="C196" s="232"/>
      <c r="D196" s="232"/>
      <c r="E196" s="302" t="str">
        <f t="shared" si="11"/>
        <v/>
      </c>
      <c r="F196" s="303"/>
      <c r="G196" s="303"/>
      <c r="H196" s="303"/>
      <c r="I196" s="308"/>
      <c r="J196" s="1213">
        <v>0</v>
      </c>
      <c r="K196" s="1214"/>
      <c r="L196" s="1213">
        <f t="shared" si="10"/>
        <v>0.1</v>
      </c>
      <c r="M196" s="1214"/>
      <c r="N196" s="1213">
        <f t="shared" si="10"/>
        <v>0.1</v>
      </c>
      <c r="O196" s="1214"/>
      <c r="P196" s="1213">
        <f t="shared" si="10"/>
        <v>0.1</v>
      </c>
      <c r="Q196" s="1214"/>
      <c r="R196" s="1213">
        <f t="shared" si="10"/>
        <v>0.1</v>
      </c>
      <c r="S196" s="1214"/>
      <c r="T196" s="1213">
        <f t="shared" si="10"/>
        <v>0.1</v>
      </c>
      <c r="U196" s="1214"/>
      <c r="V196" s="232"/>
    </row>
    <row r="197" spans="2:22" x14ac:dyDescent="0.25">
      <c r="B197" s="192"/>
      <c r="C197" s="232"/>
      <c r="D197" s="232"/>
      <c r="E197" s="302" t="str">
        <f t="shared" si="11"/>
        <v/>
      </c>
      <c r="F197" s="303"/>
      <c r="G197" s="303"/>
      <c r="H197" s="303"/>
      <c r="I197" s="308"/>
      <c r="J197" s="1213">
        <v>0</v>
      </c>
      <c r="K197" s="1214"/>
      <c r="L197" s="1213">
        <f t="shared" si="10"/>
        <v>0.1</v>
      </c>
      <c r="M197" s="1214"/>
      <c r="N197" s="1213">
        <f t="shared" si="10"/>
        <v>0.1</v>
      </c>
      <c r="O197" s="1214"/>
      <c r="P197" s="1213">
        <f t="shared" si="10"/>
        <v>0.1</v>
      </c>
      <c r="Q197" s="1214"/>
      <c r="R197" s="1213">
        <f t="shared" si="10"/>
        <v>0.1</v>
      </c>
      <c r="S197" s="1214"/>
      <c r="T197" s="1213">
        <f t="shared" si="10"/>
        <v>0.1</v>
      </c>
      <c r="U197" s="1214"/>
      <c r="V197" s="232"/>
    </row>
    <row r="198" spans="2:22" x14ac:dyDescent="0.25">
      <c r="B198" s="192"/>
      <c r="C198" s="232"/>
      <c r="D198" s="232"/>
      <c r="E198" s="309" t="str">
        <f t="shared" si="11"/>
        <v/>
      </c>
      <c r="F198" s="310"/>
      <c r="G198" s="310"/>
      <c r="H198" s="310"/>
      <c r="I198" s="311"/>
      <c r="J198" s="1213">
        <v>0</v>
      </c>
      <c r="K198" s="1214"/>
      <c r="L198" s="1213">
        <f t="shared" si="10"/>
        <v>0.1</v>
      </c>
      <c r="M198" s="1214"/>
      <c r="N198" s="1213">
        <f t="shared" si="10"/>
        <v>0.1</v>
      </c>
      <c r="O198" s="1214"/>
      <c r="P198" s="1213">
        <f t="shared" si="10"/>
        <v>0.1</v>
      </c>
      <c r="Q198" s="1214"/>
      <c r="R198" s="1213">
        <f t="shared" si="10"/>
        <v>0.1</v>
      </c>
      <c r="S198" s="1214"/>
      <c r="T198" s="1213">
        <f t="shared" si="10"/>
        <v>0.1</v>
      </c>
      <c r="U198" s="1214"/>
      <c r="V198" s="232"/>
    </row>
    <row r="199" spans="2:22" x14ac:dyDescent="0.25">
      <c r="B199" s="192"/>
      <c r="C199" s="232"/>
      <c r="D199" s="232"/>
      <c r="E199" s="232"/>
      <c r="F199" s="232"/>
      <c r="G199" s="232"/>
      <c r="H199" s="232"/>
      <c r="I199" s="232"/>
      <c r="J199" s="232"/>
      <c r="K199" s="232"/>
      <c r="L199" s="232"/>
      <c r="M199" s="232"/>
      <c r="N199" s="232"/>
      <c r="O199" s="232"/>
      <c r="P199" s="232"/>
      <c r="Q199" s="232"/>
      <c r="R199" s="232"/>
      <c r="S199" s="232"/>
      <c r="T199" s="232"/>
      <c r="U199" s="232"/>
      <c r="V199" s="232"/>
    </row>
    <row r="200" spans="2:22" x14ac:dyDescent="0.25">
      <c r="B200" s="192"/>
      <c r="C200" s="232"/>
      <c r="D200" s="232"/>
      <c r="E200" s="313" t="s">
        <v>954</v>
      </c>
      <c r="F200" s="15"/>
      <c r="G200" s="15"/>
      <c r="H200" s="15"/>
      <c r="I200" s="16"/>
      <c r="J200" s="264"/>
      <c r="K200" s="264"/>
      <c r="L200" s="264"/>
      <c r="M200" s="264"/>
      <c r="N200" s="264"/>
      <c r="O200" s="264"/>
      <c r="P200" s="264"/>
      <c r="Q200" s="264"/>
      <c r="R200" s="264"/>
      <c r="S200" s="264"/>
      <c r="T200" s="264"/>
      <c r="U200" s="264"/>
      <c r="V200" s="232"/>
    </row>
    <row r="201" spans="2:22" x14ac:dyDescent="0.25">
      <c r="B201" s="192"/>
      <c r="C201" s="232"/>
      <c r="D201" s="232"/>
      <c r="E201" s="299" t="str">
        <f>E177</f>
        <v>Sovereign Bonds</v>
      </c>
      <c r="F201" s="300"/>
      <c r="G201" s="300"/>
      <c r="H201" s="300"/>
      <c r="I201" s="301"/>
      <c r="J201" s="1213">
        <v>0</v>
      </c>
      <c r="K201" s="1214"/>
      <c r="L201" s="1213">
        <f t="shared" ref="L201:T210" si="12">L$171</f>
        <v>0.1</v>
      </c>
      <c r="M201" s="1214"/>
      <c r="N201" s="1213">
        <f t="shared" si="12"/>
        <v>0.1</v>
      </c>
      <c r="O201" s="1214"/>
      <c r="P201" s="1213">
        <f t="shared" si="12"/>
        <v>0.1</v>
      </c>
      <c r="Q201" s="1214"/>
      <c r="R201" s="1213">
        <f t="shared" si="12"/>
        <v>0.1</v>
      </c>
      <c r="S201" s="1214"/>
      <c r="T201" s="1213">
        <f t="shared" si="12"/>
        <v>0.1</v>
      </c>
      <c r="U201" s="1214"/>
      <c r="V201" s="232"/>
    </row>
    <row r="202" spans="2:22" x14ac:dyDescent="0.25">
      <c r="B202" s="192"/>
      <c r="C202" s="232"/>
      <c r="D202" s="232"/>
      <c r="E202" s="302" t="str">
        <f t="shared" ref="E202:E210" si="13">E178</f>
        <v>Other Bonds</v>
      </c>
      <c r="F202" s="303"/>
      <c r="G202" s="303"/>
      <c r="H202" s="303"/>
      <c r="I202" s="308"/>
      <c r="J202" s="1213">
        <v>0</v>
      </c>
      <c r="K202" s="1214"/>
      <c r="L202" s="1213">
        <f t="shared" si="12"/>
        <v>0.1</v>
      </c>
      <c r="M202" s="1214"/>
      <c r="N202" s="1213">
        <f t="shared" si="12"/>
        <v>0.1</v>
      </c>
      <c r="O202" s="1214"/>
      <c r="P202" s="1213">
        <f t="shared" si="12"/>
        <v>0.1</v>
      </c>
      <c r="Q202" s="1214"/>
      <c r="R202" s="1213">
        <f t="shared" si="12"/>
        <v>0.1</v>
      </c>
      <c r="S202" s="1214"/>
      <c r="T202" s="1213">
        <f t="shared" si="12"/>
        <v>0.1</v>
      </c>
      <c r="U202" s="1214"/>
      <c r="V202" s="232"/>
    </row>
    <row r="203" spans="2:22" x14ac:dyDescent="0.25">
      <c r="B203" s="192"/>
      <c r="C203" s="232"/>
      <c r="D203" s="232"/>
      <c r="E203" s="302" t="str">
        <f t="shared" si="13"/>
        <v>Equity</v>
      </c>
      <c r="F203" s="303"/>
      <c r="G203" s="303"/>
      <c r="H203" s="303"/>
      <c r="I203" s="308"/>
      <c r="J203" s="1213">
        <v>0</v>
      </c>
      <c r="K203" s="1214"/>
      <c r="L203" s="1213">
        <f t="shared" si="12"/>
        <v>0.1</v>
      </c>
      <c r="M203" s="1214"/>
      <c r="N203" s="1213">
        <f t="shared" si="12"/>
        <v>0.1</v>
      </c>
      <c r="O203" s="1214"/>
      <c r="P203" s="1213">
        <f t="shared" si="12"/>
        <v>0.1</v>
      </c>
      <c r="Q203" s="1214"/>
      <c r="R203" s="1213">
        <f t="shared" si="12"/>
        <v>0.1</v>
      </c>
      <c r="S203" s="1214"/>
      <c r="T203" s="1213">
        <f t="shared" si="12"/>
        <v>0.1</v>
      </c>
      <c r="U203" s="1214"/>
      <c r="V203" s="232"/>
    </row>
    <row r="204" spans="2:22" x14ac:dyDescent="0.25">
      <c r="B204" s="192"/>
      <c r="C204" s="232"/>
      <c r="D204" s="232"/>
      <c r="E204" s="302" t="str">
        <f t="shared" si="13"/>
        <v>Structured</v>
      </c>
      <c r="F204" s="303"/>
      <c r="G204" s="303"/>
      <c r="H204" s="303"/>
      <c r="I204" s="308"/>
      <c r="J204" s="1213">
        <v>0</v>
      </c>
      <c r="K204" s="1214"/>
      <c r="L204" s="1213">
        <f t="shared" si="12"/>
        <v>0.1</v>
      </c>
      <c r="M204" s="1214"/>
      <c r="N204" s="1213">
        <f t="shared" si="12"/>
        <v>0.1</v>
      </c>
      <c r="O204" s="1214"/>
      <c r="P204" s="1213">
        <f t="shared" si="12"/>
        <v>0.1</v>
      </c>
      <c r="Q204" s="1214"/>
      <c r="R204" s="1213">
        <f t="shared" si="12"/>
        <v>0.1</v>
      </c>
      <c r="S204" s="1214"/>
      <c r="T204" s="1213">
        <f t="shared" si="12"/>
        <v>0.1</v>
      </c>
      <c r="U204" s="1214"/>
      <c r="V204" s="232"/>
    </row>
    <row r="205" spans="2:22" x14ac:dyDescent="0.25">
      <c r="B205" s="192"/>
      <c r="C205" s="232"/>
      <c r="D205" s="232"/>
      <c r="E205" s="302" t="str">
        <f t="shared" si="13"/>
        <v>Other</v>
      </c>
      <c r="F205" s="303"/>
      <c r="G205" s="303"/>
      <c r="H205" s="303"/>
      <c r="I205" s="308"/>
      <c r="J205" s="1213">
        <v>0</v>
      </c>
      <c r="K205" s="1214"/>
      <c r="L205" s="1213">
        <f t="shared" si="12"/>
        <v>0.1</v>
      </c>
      <c r="M205" s="1214"/>
      <c r="N205" s="1213">
        <f t="shared" si="12"/>
        <v>0.1</v>
      </c>
      <c r="O205" s="1214"/>
      <c r="P205" s="1213">
        <f t="shared" si="12"/>
        <v>0.1</v>
      </c>
      <c r="Q205" s="1214"/>
      <c r="R205" s="1213">
        <f t="shared" si="12"/>
        <v>0.1</v>
      </c>
      <c r="S205" s="1214"/>
      <c r="T205" s="1213">
        <f t="shared" si="12"/>
        <v>0.1</v>
      </c>
      <c r="U205" s="1214"/>
      <c r="V205" s="232"/>
    </row>
    <row r="206" spans="2:22" x14ac:dyDescent="0.25">
      <c r="B206" s="192"/>
      <c r="C206" s="234"/>
      <c r="D206" s="232"/>
      <c r="E206" s="302" t="str">
        <f t="shared" si="13"/>
        <v/>
      </c>
      <c r="F206" s="303"/>
      <c r="G206" s="303"/>
      <c r="H206" s="303"/>
      <c r="I206" s="308"/>
      <c r="J206" s="1213">
        <v>0</v>
      </c>
      <c r="K206" s="1214"/>
      <c r="L206" s="1213">
        <f t="shared" si="12"/>
        <v>0.1</v>
      </c>
      <c r="M206" s="1214"/>
      <c r="N206" s="1213">
        <f t="shared" si="12"/>
        <v>0.1</v>
      </c>
      <c r="O206" s="1214"/>
      <c r="P206" s="1213">
        <f t="shared" si="12"/>
        <v>0.1</v>
      </c>
      <c r="Q206" s="1214"/>
      <c r="R206" s="1213">
        <f t="shared" si="12"/>
        <v>0.1</v>
      </c>
      <c r="S206" s="1214"/>
      <c r="T206" s="1213">
        <f t="shared" si="12"/>
        <v>0.1</v>
      </c>
      <c r="U206" s="1214"/>
      <c r="V206" s="232"/>
    </row>
    <row r="207" spans="2:22" x14ac:dyDescent="0.25">
      <c r="B207" s="192"/>
      <c r="C207" s="234"/>
      <c r="D207" s="232"/>
      <c r="E207" s="302" t="str">
        <f t="shared" si="13"/>
        <v/>
      </c>
      <c r="F207" s="303"/>
      <c r="G207" s="303"/>
      <c r="H207" s="303"/>
      <c r="I207" s="308"/>
      <c r="J207" s="1213">
        <v>0</v>
      </c>
      <c r="K207" s="1214"/>
      <c r="L207" s="1213">
        <f t="shared" si="12"/>
        <v>0.1</v>
      </c>
      <c r="M207" s="1214"/>
      <c r="N207" s="1213">
        <f t="shared" si="12"/>
        <v>0.1</v>
      </c>
      <c r="O207" s="1214"/>
      <c r="P207" s="1213">
        <f t="shared" si="12"/>
        <v>0.1</v>
      </c>
      <c r="Q207" s="1214"/>
      <c r="R207" s="1213">
        <f t="shared" si="12"/>
        <v>0.1</v>
      </c>
      <c r="S207" s="1214"/>
      <c r="T207" s="1213">
        <f t="shared" si="12"/>
        <v>0.1</v>
      </c>
      <c r="U207" s="1214"/>
      <c r="V207" s="232"/>
    </row>
    <row r="208" spans="2:22" x14ac:dyDescent="0.25">
      <c r="B208" s="192"/>
      <c r="C208" s="232"/>
      <c r="D208" s="232"/>
      <c r="E208" s="302" t="str">
        <f t="shared" si="13"/>
        <v/>
      </c>
      <c r="F208" s="303"/>
      <c r="G208" s="303"/>
      <c r="H208" s="303"/>
      <c r="I208" s="308"/>
      <c r="J208" s="1213">
        <v>0</v>
      </c>
      <c r="K208" s="1214"/>
      <c r="L208" s="1213">
        <f t="shared" si="12"/>
        <v>0.1</v>
      </c>
      <c r="M208" s="1214"/>
      <c r="N208" s="1213">
        <f t="shared" si="12"/>
        <v>0.1</v>
      </c>
      <c r="O208" s="1214"/>
      <c r="P208" s="1213">
        <f t="shared" si="12"/>
        <v>0.1</v>
      </c>
      <c r="Q208" s="1214"/>
      <c r="R208" s="1213">
        <f t="shared" si="12"/>
        <v>0.1</v>
      </c>
      <c r="S208" s="1214"/>
      <c r="T208" s="1213">
        <f t="shared" si="12"/>
        <v>0.1</v>
      </c>
      <c r="U208" s="1214"/>
      <c r="V208" s="232"/>
    </row>
    <row r="209" spans="2:22" x14ac:dyDescent="0.25">
      <c r="B209" s="192"/>
      <c r="C209" s="232"/>
      <c r="D209" s="232"/>
      <c r="E209" s="302" t="str">
        <f t="shared" si="13"/>
        <v/>
      </c>
      <c r="F209" s="303"/>
      <c r="G209" s="303"/>
      <c r="H209" s="303"/>
      <c r="I209" s="308"/>
      <c r="J209" s="1213">
        <v>0</v>
      </c>
      <c r="K209" s="1214"/>
      <c r="L209" s="1213">
        <f t="shared" si="12"/>
        <v>0.1</v>
      </c>
      <c r="M209" s="1214"/>
      <c r="N209" s="1213">
        <f t="shared" si="12"/>
        <v>0.1</v>
      </c>
      <c r="O209" s="1214"/>
      <c r="P209" s="1213">
        <f t="shared" si="12"/>
        <v>0.1</v>
      </c>
      <c r="Q209" s="1214"/>
      <c r="R209" s="1213">
        <f t="shared" si="12"/>
        <v>0.1</v>
      </c>
      <c r="S209" s="1214"/>
      <c r="T209" s="1213">
        <f t="shared" si="12"/>
        <v>0.1</v>
      </c>
      <c r="U209" s="1214"/>
      <c r="V209" s="232"/>
    </row>
    <row r="210" spans="2:22" x14ac:dyDescent="0.25">
      <c r="B210" s="192"/>
      <c r="C210" s="232"/>
      <c r="D210" s="232"/>
      <c r="E210" s="309" t="str">
        <f t="shared" si="13"/>
        <v/>
      </c>
      <c r="F210" s="310"/>
      <c r="G210" s="310"/>
      <c r="H210" s="310"/>
      <c r="I210" s="311"/>
      <c r="J210" s="1213">
        <v>0</v>
      </c>
      <c r="K210" s="1214"/>
      <c r="L210" s="1213">
        <f t="shared" si="12"/>
        <v>0.1</v>
      </c>
      <c r="M210" s="1214"/>
      <c r="N210" s="1213">
        <f t="shared" si="12"/>
        <v>0.1</v>
      </c>
      <c r="O210" s="1214"/>
      <c r="P210" s="1213">
        <f t="shared" si="12"/>
        <v>0.1</v>
      </c>
      <c r="Q210" s="1214"/>
      <c r="R210" s="1213">
        <f t="shared" si="12"/>
        <v>0.1</v>
      </c>
      <c r="S210" s="1214"/>
      <c r="T210" s="1213">
        <f t="shared" si="12"/>
        <v>0.1</v>
      </c>
      <c r="U210" s="1214"/>
      <c r="V210" s="232"/>
    </row>
    <row r="211" spans="2:22" x14ac:dyDescent="0.25">
      <c r="B211" s="192"/>
      <c r="C211" s="232"/>
      <c r="D211" s="232"/>
      <c r="E211" s="232"/>
      <c r="F211" s="232"/>
      <c r="G211" s="232"/>
      <c r="H211" s="232"/>
      <c r="I211" s="232"/>
      <c r="J211" s="232"/>
      <c r="K211" s="232"/>
      <c r="L211" s="232"/>
      <c r="M211" s="232"/>
      <c r="N211" s="232"/>
      <c r="O211" s="232"/>
      <c r="P211" s="232"/>
      <c r="Q211" s="232"/>
      <c r="R211" s="232"/>
      <c r="S211" s="232"/>
      <c r="T211" s="232"/>
      <c r="U211" s="232"/>
      <c r="V211" s="232"/>
    </row>
    <row r="212" spans="2:22" x14ac:dyDescent="0.25">
      <c r="B212" s="192"/>
      <c r="C212" s="232"/>
      <c r="D212" s="232"/>
      <c r="E212" s="313" t="s">
        <v>943</v>
      </c>
      <c r="F212" s="15"/>
      <c r="G212" s="15"/>
      <c r="H212" s="15"/>
      <c r="I212" s="16"/>
      <c r="J212" s="264"/>
      <c r="K212" s="264"/>
      <c r="L212" s="264"/>
      <c r="M212" s="264"/>
      <c r="N212" s="264"/>
      <c r="O212" s="264"/>
      <c r="P212" s="264"/>
      <c r="Q212" s="264"/>
      <c r="R212" s="264"/>
      <c r="S212" s="264"/>
      <c r="T212" s="264"/>
      <c r="U212" s="264"/>
      <c r="V212" s="232"/>
    </row>
    <row r="213" spans="2:22" x14ac:dyDescent="0.25">
      <c r="B213" s="192"/>
      <c r="C213" s="232"/>
      <c r="D213" s="232"/>
      <c r="E213" s="299" t="str">
        <f>E177</f>
        <v>Sovereign Bonds</v>
      </c>
      <c r="F213" s="300"/>
      <c r="G213" s="300"/>
      <c r="H213" s="300"/>
      <c r="I213" s="301"/>
      <c r="J213" s="849">
        <f>Input!F118+Input!AA118</f>
        <v>0</v>
      </c>
      <c r="K213" s="850"/>
      <c r="L213" s="264"/>
      <c r="M213" s="264"/>
      <c r="N213" s="264"/>
      <c r="O213" s="264"/>
      <c r="P213" s="264"/>
      <c r="Q213" s="264"/>
      <c r="R213" s="264"/>
      <c r="S213" s="264"/>
      <c r="T213" s="264"/>
      <c r="U213" s="264"/>
      <c r="V213" s="232"/>
    </row>
    <row r="214" spans="2:22" x14ac:dyDescent="0.25">
      <c r="B214" s="192"/>
      <c r="C214" s="232"/>
      <c r="D214" s="232"/>
      <c r="E214" s="302" t="str">
        <f t="shared" ref="E214:E222" si="14">E178</f>
        <v>Other Bonds</v>
      </c>
      <c r="F214" s="303"/>
      <c r="G214" s="303"/>
      <c r="H214" s="303"/>
      <c r="I214" s="308"/>
      <c r="J214" s="849">
        <f>Input!F119+Input!AA119</f>
        <v>44.345454545454544</v>
      </c>
      <c r="K214" s="850"/>
      <c r="L214" s="264"/>
      <c r="M214" s="264"/>
      <c r="N214" s="264"/>
      <c r="O214" s="264"/>
      <c r="P214" s="264"/>
      <c r="Q214" s="264"/>
      <c r="R214" s="264"/>
      <c r="S214" s="264"/>
      <c r="T214" s="264"/>
      <c r="U214" s="264"/>
      <c r="V214" s="232"/>
    </row>
    <row r="215" spans="2:22" x14ac:dyDescent="0.25">
      <c r="B215" s="192"/>
      <c r="C215" s="232"/>
      <c r="D215" s="232"/>
      <c r="E215" s="302" t="str">
        <f t="shared" si="14"/>
        <v>Equity</v>
      </c>
      <c r="F215" s="303"/>
      <c r="G215" s="303"/>
      <c r="H215" s="303"/>
      <c r="I215" s="308"/>
      <c r="J215" s="849">
        <f>Input!F120+Input!AA120</f>
        <v>41.045454545454547</v>
      </c>
      <c r="K215" s="850"/>
      <c r="L215" s="264"/>
      <c r="M215" s="264"/>
      <c r="N215" s="264"/>
      <c r="O215" s="264"/>
      <c r="P215" s="264"/>
      <c r="Q215" s="264"/>
      <c r="R215" s="264"/>
      <c r="S215" s="264"/>
      <c r="T215" s="264"/>
      <c r="U215" s="264"/>
      <c r="V215" s="232"/>
    </row>
    <row r="216" spans="2:22" x14ac:dyDescent="0.25">
      <c r="B216" s="192"/>
      <c r="C216" s="232"/>
      <c r="D216" s="232"/>
      <c r="E216" s="302" t="str">
        <f t="shared" si="14"/>
        <v>Structured</v>
      </c>
      <c r="F216" s="303"/>
      <c r="G216" s="303"/>
      <c r="H216" s="303"/>
      <c r="I216" s="308"/>
      <c r="J216" s="849">
        <f>Input!F121+Input!AA121</f>
        <v>15.763636363636365</v>
      </c>
      <c r="K216" s="850"/>
      <c r="L216" s="264"/>
      <c r="M216" s="264"/>
      <c r="N216" s="264"/>
      <c r="O216" s="264"/>
      <c r="P216" s="264"/>
      <c r="Q216" s="264"/>
      <c r="R216" s="264"/>
      <c r="S216" s="264"/>
      <c r="T216" s="264"/>
      <c r="U216" s="264"/>
      <c r="V216" s="232"/>
    </row>
    <row r="217" spans="2:22" x14ac:dyDescent="0.25">
      <c r="B217" s="192"/>
      <c r="C217" s="232"/>
      <c r="D217" s="232"/>
      <c r="E217" s="302" t="str">
        <f t="shared" si="14"/>
        <v>Other</v>
      </c>
      <c r="F217" s="303"/>
      <c r="G217" s="303"/>
      <c r="H217" s="303"/>
      <c r="I217" s="308"/>
      <c r="J217" s="849">
        <f>Input!F122+Input!AA122</f>
        <v>9.4363636363636374</v>
      </c>
      <c r="K217" s="850"/>
      <c r="L217" s="264"/>
      <c r="M217" s="264"/>
      <c r="N217" s="264"/>
      <c r="O217" s="264"/>
      <c r="P217" s="264"/>
      <c r="Q217" s="264"/>
      <c r="R217" s="264"/>
      <c r="S217" s="264"/>
      <c r="T217" s="264"/>
      <c r="U217" s="264"/>
      <c r="V217" s="232"/>
    </row>
    <row r="218" spans="2:22" x14ac:dyDescent="0.25">
      <c r="B218" s="192"/>
      <c r="C218" s="232"/>
      <c r="D218" s="232"/>
      <c r="E218" s="302" t="str">
        <f t="shared" si="14"/>
        <v/>
      </c>
      <c r="F218" s="303"/>
      <c r="G218" s="303"/>
      <c r="H218" s="303"/>
      <c r="I218" s="308"/>
      <c r="J218" s="849">
        <f>Input!F123+Input!AA123</f>
        <v>0</v>
      </c>
      <c r="K218" s="850"/>
      <c r="L218" s="264"/>
      <c r="M218" s="264"/>
      <c r="N218" s="264"/>
      <c r="O218" s="264"/>
      <c r="P218" s="264"/>
      <c r="Q218" s="264"/>
      <c r="R218" s="264"/>
      <c r="S218" s="264"/>
      <c r="T218" s="264"/>
      <c r="U218" s="264"/>
      <c r="V218" s="232"/>
    </row>
    <row r="219" spans="2:22" x14ac:dyDescent="0.25">
      <c r="B219" s="192"/>
      <c r="C219" s="232"/>
      <c r="D219" s="232"/>
      <c r="E219" s="302" t="str">
        <f t="shared" si="14"/>
        <v/>
      </c>
      <c r="F219" s="303"/>
      <c r="G219" s="303"/>
      <c r="H219" s="303"/>
      <c r="I219" s="308"/>
      <c r="J219" s="849">
        <f>Input!F124+Input!AA124</f>
        <v>0</v>
      </c>
      <c r="K219" s="850"/>
      <c r="L219" s="264"/>
      <c r="M219" s="264"/>
      <c r="N219" s="264"/>
      <c r="O219" s="264"/>
      <c r="P219" s="264"/>
      <c r="Q219" s="264"/>
      <c r="R219" s="264"/>
      <c r="S219" s="264"/>
      <c r="T219" s="264"/>
      <c r="U219" s="264"/>
      <c r="V219" s="232"/>
    </row>
    <row r="220" spans="2:22" x14ac:dyDescent="0.25">
      <c r="B220" s="192"/>
      <c r="C220" s="232"/>
      <c r="D220" s="232"/>
      <c r="E220" s="302" t="str">
        <f t="shared" si="14"/>
        <v/>
      </c>
      <c r="F220" s="303"/>
      <c r="G220" s="303"/>
      <c r="H220" s="303"/>
      <c r="I220" s="308"/>
      <c r="J220" s="849">
        <f>Input!F125+Input!AA125</f>
        <v>0</v>
      </c>
      <c r="K220" s="850"/>
      <c r="L220" s="264"/>
      <c r="M220" s="264"/>
      <c r="N220" s="264"/>
      <c r="O220" s="264"/>
      <c r="P220" s="264"/>
      <c r="Q220" s="264"/>
      <c r="R220" s="264"/>
      <c r="S220" s="264"/>
      <c r="T220" s="264"/>
      <c r="U220" s="264"/>
      <c r="V220" s="232"/>
    </row>
    <row r="221" spans="2:22" x14ac:dyDescent="0.25">
      <c r="B221" s="192"/>
      <c r="C221" s="232"/>
      <c r="D221" s="232"/>
      <c r="E221" s="302" t="str">
        <f t="shared" si="14"/>
        <v/>
      </c>
      <c r="F221" s="303"/>
      <c r="G221" s="303"/>
      <c r="H221" s="303"/>
      <c r="I221" s="308"/>
      <c r="J221" s="849">
        <f>Input!F126+Input!AA126</f>
        <v>0</v>
      </c>
      <c r="K221" s="850"/>
      <c r="L221" s="264"/>
      <c r="M221" s="264"/>
      <c r="N221" s="264"/>
      <c r="O221" s="264"/>
      <c r="P221" s="264"/>
      <c r="Q221" s="264"/>
      <c r="R221" s="264"/>
      <c r="S221" s="264"/>
      <c r="T221" s="264"/>
      <c r="U221" s="264"/>
      <c r="V221" s="232"/>
    </row>
    <row r="222" spans="2:22" x14ac:dyDescent="0.25">
      <c r="B222" s="192"/>
      <c r="C222" s="232"/>
      <c r="D222" s="232"/>
      <c r="E222" s="309" t="str">
        <f t="shared" si="14"/>
        <v/>
      </c>
      <c r="F222" s="310"/>
      <c r="G222" s="310"/>
      <c r="H222" s="310"/>
      <c r="I222" s="311"/>
      <c r="J222" s="849">
        <f>Input!F127+Input!AA127</f>
        <v>0</v>
      </c>
      <c r="K222" s="850"/>
      <c r="L222" s="264"/>
      <c r="M222" s="264"/>
      <c r="N222" s="264"/>
      <c r="O222" s="264"/>
      <c r="P222" s="264"/>
      <c r="Q222" s="264"/>
      <c r="R222" s="264"/>
      <c r="S222" s="264"/>
      <c r="T222" s="264"/>
      <c r="U222" s="264"/>
      <c r="V222" s="232"/>
    </row>
    <row r="223" spans="2:22" x14ac:dyDescent="0.25">
      <c r="B223" s="192"/>
      <c r="C223" s="232"/>
      <c r="D223" s="232"/>
      <c r="E223" s="232"/>
      <c r="F223" s="232"/>
      <c r="G223" s="232"/>
      <c r="H223" s="232"/>
      <c r="I223" s="232"/>
      <c r="J223" s="232"/>
      <c r="K223" s="232"/>
      <c r="L223" s="232"/>
      <c r="M223" s="232"/>
      <c r="N223" s="232"/>
      <c r="O223" s="232"/>
      <c r="P223" s="232"/>
      <c r="Q223" s="232"/>
      <c r="R223" s="232"/>
      <c r="S223" s="232"/>
      <c r="T223" s="232"/>
      <c r="U223" s="232"/>
      <c r="V223" s="232"/>
    </row>
    <row r="224" spans="2:22" x14ac:dyDescent="0.25">
      <c r="B224" s="192"/>
      <c r="C224" s="232"/>
      <c r="D224" s="232"/>
      <c r="E224" s="232"/>
      <c r="F224" s="232"/>
      <c r="G224" s="232"/>
      <c r="H224" s="232"/>
      <c r="I224" s="232"/>
      <c r="J224" s="232"/>
      <c r="K224" s="232"/>
      <c r="L224" s="232"/>
      <c r="M224" s="232"/>
      <c r="N224" s="232"/>
      <c r="O224" s="232"/>
      <c r="P224" s="232"/>
      <c r="Q224" s="232"/>
      <c r="R224" s="232"/>
      <c r="S224" s="232"/>
      <c r="T224" s="232"/>
      <c r="U224" s="232"/>
      <c r="V224" s="232"/>
    </row>
    <row r="225" spans="2:22" x14ac:dyDescent="0.25">
      <c r="B225" s="192"/>
      <c r="C225" s="232"/>
      <c r="D225" s="232"/>
      <c r="E225" s="232"/>
      <c r="F225" s="232"/>
      <c r="G225" s="232"/>
      <c r="H225" s="232"/>
      <c r="I225" s="232"/>
      <c r="J225" s="232"/>
      <c r="K225" s="232"/>
      <c r="L225" s="232"/>
      <c r="M225" s="232"/>
      <c r="N225" s="232"/>
      <c r="O225" s="232"/>
      <c r="P225" s="232"/>
      <c r="Q225" s="232"/>
      <c r="R225" s="232"/>
      <c r="S225" s="232"/>
      <c r="T225" s="232"/>
      <c r="U225" s="232"/>
      <c r="V225" s="232"/>
    </row>
    <row r="226" spans="2:22" ht="18.75" x14ac:dyDescent="0.3">
      <c r="B226" s="239" t="s">
        <v>77</v>
      </c>
      <c r="C226" s="214"/>
      <c r="D226" s="214"/>
      <c r="E226" s="214"/>
      <c r="F226" s="214"/>
      <c r="G226" s="214"/>
      <c r="H226" s="214"/>
      <c r="I226" s="214"/>
      <c r="J226" s="214"/>
      <c r="K226" s="214"/>
      <c r="L226" s="214"/>
      <c r="M226" s="214"/>
      <c r="N226" s="214"/>
      <c r="O226" s="214"/>
      <c r="P226" s="214"/>
      <c r="Q226" s="214"/>
      <c r="R226" s="214"/>
      <c r="S226" s="214"/>
      <c r="T226" s="214"/>
      <c r="U226" s="214"/>
      <c r="V226" s="214"/>
    </row>
    <row r="227" spans="2:22" x14ac:dyDescent="0.25">
      <c r="B227" s="192"/>
      <c r="C227" s="232"/>
      <c r="D227" s="232"/>
      <c r="E227" s="232"/>
      <c r="F227" s="232"/>
      <c r="G227" s="232"/>
      <c r="H227" s="232"/>
      <c r="I227" s="232"/>
      <c r="J227" s="232"/>
      <c r="K227" s="232"/>
      <c r="L227" s="232"/>
      <c r="M227" s="232"/>
      <c r="N227" s="232"/>
      <c r="O227" s="232"/>
      <c r="P227" s="232"/>
      <c r="Q227" s="232"/>
      <c r="R227" s="232"/>
      <c r="S227" s="232"/>
      <c r="T227" s="232"/>
      <c r="U227" s="232"/>
      <c r="V227" s="232"/>
    </row>
    <row r="228" spans="2:22" x14ac:dyDescent="0.25">
      <c r="B228" s="192"/>
      <c r="C228" s="232"/>
      <c r="D228" s="232"/>
      <c r="E228" s="844" t="s">
        <v>946</v>
      </c>
      <c r="F228" s="845"/>
      <c r="G228" s="845"/>
      <c r="H228" s="845"/>
      <c r="I228" s="846"/>
      <c r="J228" s="844" t="s">
        <v>944</v>
      </c>
      <c r="K228" s="846"/>
      <c r="L228" s="844" t="s">
        <v>763</v>
      </c>
      <c r="M228" s="846"/>
      <c r="N228" s="844" t="s">
        <v>764</v>
      </c>
      <c r="O228" s="846"/>
      <c r="P228" s="844" t="s">
        <v>765</v>
      </c>
      <c r="Q228" s="846"/>
      <c r="R228" s="844" t="s">
        <v>766</v>
      </c>
      <c r="S228" s="846"/>
      <c r="T228" s="844" t="s">
        <v>767</v>
      </c>
      <c r="U228" s="846"/>
      <c r="V228" s="232"/>
    </row>
    <row r="229" spans="2:22" x14ac:dyDescent="0.25">
      <c r="B229" s="192"/>
      <c r="C229" s="232"/>
      <c r="D229" s="232"/>
      <c r="E229" s="11" t="s">
        <v>799</v>
      </c>
      <c r="F229" s="2"/>
      <c r="G229" s="2"/>
      <c r="H229" s="2"/>
      <c r="I229" s="3"/>
      <c r="J229" s="264"/>
      <c r="K229" s="264"/>
      <c r="L229" s="849" t="s">
        <v>831</v>
      </c>
      <c r="M229" s="850"/>
      <c r="N229" s="849" t="s">
        <v>831</v>
      </c>
      <c r="O229" s="850"/>
      <c r="P229" s="849" t="s">
        <v>831</v>
      </c>
      <c r="Q229" s="850"/>
      <c r="R229" s="849" t="s">
        <v>831</v>
      </c>
      <c r="S229" s="850"/>
      <c r="T229" s="849" t="s">
        <v>831</v>
      </c>
      <c r="U229" s="850"/>
      <c r="V229" s="232"/>
    </row>
    <row r="230" spans="2:22" x14ac:dyDescent="0.25">
      <c r="B230" s="192"/>
      <c r="C230" s="232"/>
      <c r="D230" s="232"/>
      <c r="E230" s="13" t="s">
        <v>950</v>
      </c>
      <c r="F230" s="6"/>
      <c r="G230" s="6"/>
      <c r="H230" s="6"/>
      <c r="I230" s="7"/>
      <c r="J230" s="264"/>
      <c r="K230" s="264"/>
      <c r="L230" s="1212">
        <f>Assumptions!M109</f>
        <v>0</v>
      </c>
      <c r="M230" s="850"/>
      <c r="N230" s="1212">
        <f>Assumptions!O109</f>
        <v>0</v>
      </c>
      <c r="O230" s="850"/>
      <c r="P230" s="1212">
        <f>Assumptions!Q109</f>
        <v>0</v>
      </c>
      <c r="Q230" s="850"/>
      <c r="R230" s="1212">
        <f>Assumptions!S109</f>
        <v>0</v>
      </c>
      <c r="S230" s="850"/>
      <c r="T230" s="1212">
        <f>Assumptions!U109</f>
        <v>0</v>
      </c>
      <c r="U230" s="850"/>
      <c r="V230" s="232"/>
    </row>
    <row r="231" spans="2:22" x14ac:dyDescent="0.25">
      <c r="B231" s="192"/>
      <c r="C231" s="232"/>
      <c r="D231" s="232"/>
      <c r="E231" s="232"/>
      <c r="F231" s="232"/>
      <c r="G231" s="232"/>
      <c r="H231" s="232"/>
      <c r="I231" s="232"/>
      <c r="J231" s="232"/>
      <c r="K231" s="232"/>
      <c r="L231" s="232"/>
      <c r="M231" s="232"/>
      <c r="N231" s="232"/>
      <c r="O231" s="232"/>
      <c r="P231" s="232"/>
      <c r="Q231" s="232"/>
      <c r="R231" s="232"/>
      <c r="S231" s="232"/>
      <c r="T231" s="232"/>
      <c r="U231" s="232"/>
      <c r="V231" s="232"/>
    </row>
    <row r="232" spans="2:22" x14ac:dyDescent="0.25">
      <c r="B232" s="192"/>
      <c r="C232" s="232"/>
      <c r="D232" s="232"/>
      <c r="E232" s="316" t="s">
        <v>946</v>
      </c>
      <c r="F232" s="15"/>
      <c r="G232" s="15"/>
      <c r="H232" s="15"/>
      <c r="I232" s="16"/>
      <c r="J232" s="1213">
        <v>0</v>
      </c>
      <c r="K232" s="1214"/>
      <c r="L232" s="1213">
        <f>IF(ISNUMBER(L230),L230,"N/A")</f>
        <v>0</v>
      </c>
      <c r="M232" s="1214"/>
      <c r="N232" s="1213">
        <f>IF(ISNUMBER(N230),N230,"N/A")</f>
        <v>0</v>
      </c>
      <c r="O232" s="1214"/>
      <c r="P232" s="1213">
        <f>IF(ISNUMBER(P230),P230,"N/A")</f>
        <v>0</v>
      </c>
      <c r="Q232" s="1214"/>
      <c r="R232" s="1213">
        <f>IF(ISNUMBER(R230),R230,"N/A")</f>
        <v>0</v>
      </c>
      <c r="S232" s="1214"/>
      <c r="T232" s="1213">
        <f>IF(ISNUMBER(T230),T230,"N/A")</f>
        <v>0</v>
      </c>
      <c r="U232" s="1214"/>
      <c r="V232" s="232"/>
    </row>
    <row r="233" spans="2:22" x14ac:dyDescent="0.25">
      <c r="B233" s="192"/>
      <c r="C233" s="232"/>
      <c r="D233" s="232"/>
      <c r="E233" s="232"/>
      <c r="F233" s="232"/>
      <c r="G233" s="232"/>
      <c r="H233" s="232"/>
      <c r="I233" s="232"/>
      <c r="J233" s="232"/>
      <c r="K233" s="232"/>
      <c r="L233" s="232"/>
      <c r="M233" s="232"/>
      <c r="N233" s="232"/>
      <c r="O233" s="232"/>
      <c r="P233" s="232"/>
      <c r="Q233" s="232"/>
      <c r="R233" s="232"/>
      <c r="S233" s="232"/>
      <c r="T233" s="232"/>
      <c r="U233" s="232"/>
      <c r="V233" s="232"/>
    </row>
    <row r="234" spans="2:22" x14ac:dyDescent="0.25">
      <c r="B234" s="192"/>
      <c r="C234" s="232"/>
      <c r="D234" s="232"/>
      <c r="E234" s="232"/>
      <c r="F234" s="232"/>
      <c r="G234" s="232"/>
      <c r="H234" s="232"/>
      <c r="I234" s="232"/>
      <c r="J234" s="232"/>
      <c r="K234" s="232"/>
      <c r="L234" s="232"/>
      <c r="M234" s="232"/>
      <c r="N234" s="232"/>
      <c r="O234" s="232"/>
      <c r="P234" s="232"/>
      <c r="Q234" s="232"/>
      <c r="R234" s="232"/>
      <c r="S234" s="232"/>
      <c r="T234" s="232"/>
      <c r="U234" s="232"/>
      <c r="V234" s="232"/>
    </row>
    <row r="235" spans="2:22" x14ac:dyDescent="0.25">
      <c r="B235" s="192"/>
      <c r="C235" s="232"/>
      <c r="D235" s="232"/>
      <c r="E235" s="232"/>
      <c r="F235" s="232"/>
      <c r="G235" s="232"/>
      <c r="H235" s="232"/>
      <c r="I235" s="232"/>
      <c r="J235" s="232"/>
      <c r="K235" s="232"/>
      <c r="L235" s="232"/>
      <c r="M235" s="232"/>
      <c r="N235" s="232"/>
      <c r="O235" s="232"/>
      <c r="P235" s="232"/>
      <c r="Q235" s="232"/>
      <c r="R235" s="232"/>
      <c r="S235" s="232"/>
      <c r="T235" s="232"/>
      <c r="U235" s="232"/>
      <c r="V235" s="232"/>
    </row>
    <row r="236" spans="2:22" ht="18.75" x14ac:dyDescent="0.3">
      <c r="B236" s="239" t="s">
        <v>955</v>
      </c>
      <c r="C236" s="214"/>
      <c r="D236" s="214"/>
      <c r="E236" s="214"/>
      <c r="F236" s="214"/>
      <c r="G236" s="214"/>
      <c r="H236" s="214"/>
      <c r="I236" s="214"/>
      <c r="J236" s="214"/>
      <c r="K236" s="214"/>
      <c r="L236" s="214"/>
      <c r="M236" s="214"/>
      <c r="N236" s="214"/>
      <c r="O236" s="214"/>
      <c r="P236" s="214"/>
      <c r="Q236" s="214"/>
      <c r="R236" s="214"/>
      <c r="S236" s="214"/>
      <c r="T236" s="214"/>
      <c r="U236" s="214"/>
      <c r="V236" s="214"/>
    </row>
    <row r="237" spans="2:22" x14ac:dyDescent="0.25">
      <c r="B237" s="192"/>
      <c r="C237" s="232"/>
      <c r="D237" s="232"/>
      <c r="E237" s="232"/>
      <c r="F237" s="232"/>
      <c r="G237" s="232"/>
      <c r="H237" s="232"/>
      <c r="I237" s="232"/>
      <c r="J237" s="232"/>
      <c r="K237" s="232"/>
      <c r="L237" s="232"/>
      <c r="M237" s="232"/>
      <c r="N237" s="232"/>
      <c r="O237" s="232"/>
      <c r="P237" s="232"/>
      <c r="Q237" s="232"/>
      <c r="R237" s="232"/>
      <c r="S237" s="232"/>
      <c r="T237" s="232"/>
      <c r="U237" s="232"/>
      <c r="V237" s="232"/>
    </row>
    <row r="238" spans="2:22" x14ac:dyDescent="0.25">
      <c r="B238" s="192"/>
      <c r="C238" s="232"/>
      <c r="D238" s="232"/>
      <c r="E238" s="844" t="s">
        <v>946</v>
      </c>
      <c r="F238" s="845"/>
      <c r="G238" s="845"/>
      <c r="H238" s="845"/>
      <c r="I238" s="846"/>
      <c r="J238" s="844" t="s">
        <v>944</v>
      </c>
      <c r="K238" s="846"/>
      <c r="L238" s="844" t="s">
        <v>763</v>
      </c>
      <c r="M238" s="846"/>
      <c r="N238" s="844" t="s">
        <v>764</v>
      </c>
      <c r="O238" s="846"/>
      <c r="P238" s="844" t="s">
        <v>765</v>
      </c>
      <c r="Q238" s="846"/>
      <c r="R238" s="844" t="s">
        <v>766</v>
      </c>
      <c r="S238" s="846"/>
      <c r="T238" s="844" t="s">
        <v>767</v>
      </c>
      <c r="U238" s="846"/>
      <c r="V238" s="232"/>
    </row>
    <row r="239" spans="2:22" x14ac:dyDescent="0.25">
      <c r="B239" s="192"/>
      <c r="C239" s="232"/>
      <c r="D239" s="232"/>
      <c r="E239" s="11" t="s">
        <v>799</v>
      </c>
      <c r="F239" s="2"/>
      <c r="G239" s="2"/>
      <c r="H239" s="2"/>
      <c r="I239" s="3"/>
      <c r="J239" s="264"/>
      <c r="K239" s="264"/>
      <c r="L239" s="849" t="s">
        <v>831</v>
      </c>
      <c r="M239" s="850"/>
      <c r="N239" s="849" t="s">
        <v>831</v>
      </c>
      <c r="O239" s="850"/>
      <c r="P239" s="849" t="s">
        <v>831</v>
      </c>
      <c r="Q239" s="850"/>
      <c r="R239" s="849" t="s">
        <v>831</v>
      </c>
      <c r="S239" s="850"/>
      <c r="T239" s="849" t="s">
        <v>831</v>
      </c>
      <c r="U239" s="850"/>
      <c r="V239" s="232"/>
    </row>
    <row r="240" spans="2:22" x14ac:dyDescent="0.25">
      <c r="B240" s="192"/>
      <c r="C240" s="232"/>
      <c r="D240" s="232"/>
      <c r="E240" s="13" t="s">
        <v>950</v>
      </c>
      <c r="F240" s="6"/>
      <c r="G240" s="6"/>
      <c r="H240" s="6"/>
      <c r="I240" s="7"/>
      <c r="J240" s="264"/>
      <c r="K240" s="264"/>
      <c r="L240" s="1212">
        <f>Assumptions!M110</f>
        <v>0</v>
      </c>
      <c r="M240" s="850"/>
      <c r="N240" s="1212">
        <f>Assumptions!O110</f>
        <v>0</v>
      </c>
      <c r="O240" s="850"/>
      <c r="P240" s="1212">
        <f>Assumptions!Q110</f>
        <v>0</v>
      </c>
      <c r="Q240" s="850"/>
      <c r="R240" s="1212">
        <f>Assumptions!S110</f>
        <v>0</v>
      </c>
      <c r="S240" s="850"/>
      <c r="T240" s="1212">
        <f>Assumptions!U110</f>
        <v>0</v>
      </c>
      <c r="U240" s="850"/>
      <c r="V240" s="232"/>
    </row>
    <row r="241" spans="2:22" x14ac:dyDescent="0.25">
      <c r="B241" s="192"/>
      <c r="C241" s="232"/>
      <c r="D241" s="232"/>
      <c r="E241" s="232"/>
      <c r="F241" s="232"/>
      <c r="G241" s="232"/>
      <c r="H241" s="232"/>
      <c r="I241" s="232"/>
      <c r="J241" s="232"/>
      <c r="K241" s="232"/>
      <c r="L241" s="232"/>
      <c r="M241" s="232"/>
      <c r="N241" s="232"/>
      <c r="O241" s="232"/>
      <c r="P241" s="232"/>
      <c r="Q241" s="232"/>
      <c r="R241" s="232"/>
      <c r="S241" s="232"/>
      <c r="T241" s="232"/>
      <c r="U241" s="232"/>
      <c r="V241" s="232"/>
    </row>
    <row r="242" spans="2:22" x14ac:dyDescent="0.25">
      <c r="B242" s="192"/>
      <c r="C242" s="232"/>
      <c r="D242" s="232"/>
      <c r="E242" s="316" t="s">
        <v>950</v>
      </c>
      <c r="F242" s="15"/>
      <c r="G242" s="15"/>
      <c r="H242" s="15"/>
      <c r="I242" s="16"/>
      <c r="J242" s="1213">
        <v>0</v>
      </c>
      <c r="K242" s="1214"/>
      <c r="L242" s="1213">
        <f>IF(ISNUMBER(L240),L240,"N/A")</f>
        <v>0</v>
      </c>
      <c r="M242" s="1214"/>
      <c r="N242" s="1213">
        <f>IF(ISNUMBER(N240),N240,"N/A")</f>
        <v>0</v>
      </c>
      <c r="O242" s="1214"/>
      <c r="P242" s="1213">
        <f>IF(ISNUMBER(P240),P240,"N/A")</f>
        <v>0</v>
      </c>
      <c r="Q242" s="1214"/>
      <c r="R242" s="1213">
        <f>IF(ISNUMBER(R240),R240,"N/A")</f>
        <v>0</v>
      </c>
      <c r="S242" s="1214"/>
      <c r="T242" s="1213">
        <f>IF(ISNUMBER(T240),T240,"N/A")</f>
        <v>0</v>
      </c>
      <c r="U242" s="1214"/>
      <c r="V242" s="232"/>
    </row>
    <row r="243" spans="2:22" x14ac:dyDescent="0.25">
      <c r="B243" s="192"/>
      <c r="C243" s="232"/>
      <c r="D243" s="232"/>
      <c r="E243" s="232"/>
      <c r="F243" s="232"/>
      <c r="G243" s="232"/>
      <c r="H243" s="232"/>
      <c r="I243" s="232"/>
      <c r="J243" s="232"/>
      <c r="K243" s="232"/>
      <c r="L243" s="232"/>
      <c r="M243" s="232"/>
      <c r="N243" s="232"/>
      <c r="O243" s="232"/>
      <c r="P243" s="232"/>
      <c r="Q243" s="232"/>
      <c r="R243" s="232"/>
      <c r="S243" s="232"/>
      <c r="T243" s="232"/>
      <c r="U243" s="232"/>
      <c r="V243" s="232"/>
    </row>
    <row r="244" spans="2:22" x14ac:dyDescent="0.25">
      <c r="B244" s="192"/>
      <c r="C244" s="232"/>
      <c r="D244" s="232"/>
      <c r="E244" s="232"/>
      <c r="F244" s="232"/>
      <c r="G244" s="232"/>
      <c r="H244" s="232"/>
      <c r="I244" s="232"/>
      <c r="J244" s="232"/>
      <c r="K244" s="232"/>
      <c r="L244" s="232"/>
      <c r="M244" s="232"/>
      <c r="N244" s="232"/>
      <c r="O244" s="232"/>
      <c r="P244" s="232"/>
      <c r="Q244" s="232"/>
      <c r="R244" s="232"/>
      <c r="S244" s="232"/>
      <c r="T244" s="232"/>
      <c r="U244" s="232"/>
      <c r="V244" s="232"/>
    </row>
    <row r="245" spans="2:22" x14ac:dyDescent="0.25">
      <c r="B245" s="192"/>
      <c r="C245" s="232"/>
      <c r="D245" s="232"/>
      <c r="E245" s="232"/>
      <c r="F245" s="232"/>
      <c r="G245" s="232"/>
      <c r="H245" s="232"/>
      <c r="I245" s="232"/>
      <c r="J245" s="232"/>
      <c r="K245" s="232"/>
      <c r="L245" s="232"/>
      <c r="M245" s="232"/>
      <c r="N245" s="232"/>
      <c r="O245" s="232"/>
      <c r="P245" s="232"/>
      <c r="Q245" s="232"/>
      <c r="R245" s="232"/>
      <c r="S245" s="232"/>
      <c r="T245" s="232"/>
      <c r="U245" s="232"/>
      <c r="V245" s="232"/>
    </row>
    <row r="246" spans="2:22" ht="18.75" x14ac:dyDescent="0.3">
      <c r="B246" s="239" t="s">
        <v>957</v>
      </c>
      <c r="C246" s="214"/>
      <c r="D246" s="214"/>
      <c r="E246" s="214"/>
      <c r="F246" s="214"/>
      <c r="G246" s="214"/>
      <c r="H246" s="214"/>
      <c r="I246" s="214"/>
      <c r="J246" s="214"/>
      <c r="K246" s="214"/>
      <c r="L246" s="214"/>
      <c r="M246" s="214"/>
      <c r="N246" s="214"/>
      <c r="O246" s="214"/>
      <c r="P246" s="214"/>
      <c r="Q246" s="214"/>
      <c r="R246" s="214"/>
      <c r="S246" s="214"/>
      <c r="T246" s="214"/>
      <c r="U246" s="214"/>
      <c r="V246" s="214"/>
    </row>
    <row r="247" spans="2:22" x14ac:dyDescent="0.25">
      <c r="B247" s="192"/>
      <c r="C247" s="232"/>
      <c r="D247" s="232"/>
      <c r="E247" s="232"/>
      <c r="F247" s="232"/>
      <c r="G247" s="232"/>
      <c r="H247" s="232"/>
      <c r="I247" s="232"/>
      <c r="J247" s="232"/>
      <c r="K247" s="232"/>
      <c r="L247" s="232"/>
      <c r="M247" s="232"/>
      <c r="N247" s="232"/>
      <c r="O247" s="232"/>
      <c r="P247" s="232"/>
      <c r="Q247" s="232"/>
      <c r="R247" s="232"/>
      <c r="S247" s="232"/>
      <c r="T247" s="232"/>
      <c r="U247" s="232"/>
      <c r="V247" s="232"/>
    </row>
    <row r="248" spans="2:22" ht="45" customHeight="1" x14ac:dyDescent="0.25">
      <c r="B248" s="192"/>
      <c r="C248" s="232"/>
      <c r="D248" s="232"/>
      <c r="E248" s="1209" t="s">
        <v>956</v>
      </c>
      <c r="F248" s="1210"/>
      <c r="G248" s="1210"/>
      <c r="H248" s="1210"/>
      <c r="I248" s="1211"/>
      <c r="J248" s="844" t="s">
        <v>944</v>
      </c>
      <c r="K248" s="846"/>
      <c r="L248" s="844" t="s">
        <v>763</v>
      </c>
      <c r="M248" s="846"/>
      <c r="N248" s="844" t="s">
        <v>764</v>
      </c>
      <c r="O248" s="846"/>
      <c r="P248" s="844" t="s">
        <v>765</v>
      </c>
      <c r="Q248" s="846"/>
      <c r="R248" s="844" t="s">
        <v>766</v>
      </c>
      <c r="S248" s="846"/>
      <c r="T248" s="844" t="s">
        <v>767</v>
      </c>
      <c r="U248" s="846"/>
      <c r="V248" s="232"/>
    </row>
    <row r="249" spans="2:22" x14ac:dyDescent="0.25">
      <c r="B249" s="192"/>
      <c r="C249" s="232"/>
      <c r="D249" s="232"/>
      <c r="E249" s="317" t="s">
        <v>950</v>
      </c>
      <c r="F249" s="2"/>
      <c r="G249" s="2"/>
      <c r="H249" s="2"/>
      <c r="I249" s="3"/>
      <c r="J249" s="847">
        <v>0</v>
      </c>
      <c r="K249" s="848"/>
      <c r="L249" s="232"/>
      <c r="M249" s="232"/>
      <c r="N249" s="232"/>
      <c r="O249" s="232"/>
      <c r="P249" s="232"/>
      <c r="Q249" s="232"/>
      <c r="R249" s="232"/>
      <c r="S249" s="232"/>
      <c r="T249" s="232"/>
      <c r="U249" s="232"/>
      <c r="V249" s="232"/>
    </row>
    <row r="250" spans="2:22" x14ac:dyDescent="0.25">
      <c r="B250" s="192"/>
      <c r="C250" s="232"/>
      <c r="D250" s="232"/>
      <c r="E250" s="11" t="s">
        <v>914</v>
      </c>
      <c r="F250" s="2"/>
      <c r="G250" s="2"/>
      <c r="H250" s="2"/>
      <c r="I250" s="3"/>
      <c r="J250" s="232"/>
      <c r="K250" s="232"/>
      <c r="L250" s="847" t="str">
        <f>IF(OR(AND(Assumptions!$H$58="Macro",Assumptions!$H$66="Yes"),Assumptions!$H$60="Rule of Thumb"),"Macro","Expert")</f>
        <v>Macro</v>
      </c>
      <c r="M250" s="848"/>
      <c r="N250" s="847" t="str">
        <f>IF(OR(AND(Assumptions!$H$58="Macro",Assumptions!$H$66="Yes"),Assumptions!$H$60="Rule of Thumb"),"Macro","Expert")</f>
        <v>Macro</v>
      </c>
      <c r="O250" s="848"/>
      <c r="P250" s="847" t="str">
        <f>IF(OR(AND(Assumptions!$H$58="Macro",Assumptions!$H$66="Yes"),Assumptions!$H$60="Rule of Thumb"),"Macro","Expert")</f>
        <v>Macro</v>
      </c>
      <c r="Q250" s="848"/>
      <c r="R250" s="847" t="str">
        <f>IF(OR(AND(Assumptions!$H$58="Macro",Assumptions!$H$66="Yes"),Assumptions!$H$60="Rule of Thumb"),"Macro","Expert")</f>
        <v>Macro</v>
      </c>
      <c r="S250" s="848"/>
      <c r="T250" s="847" t="str">
        <f>IF(OR(AND(Assumptions!$H$58="Macro",Assumptions!$H$66="Yes"),Assumptions!$H$60="Rule of Thumb"),"Macro","Expert")</f>
        <v>Macro</v>
      </c>
      <c r="U250" s="848"/>
      <c r="V250" s="232"/>
    </row>
    <row r="251" spans="2:22" x14ac:dyDescent="0.25">
      <c r="B251" s="192"/>
      <c r="C251" s="232"/>
      <c r="D251" s="232"/>
      <c r="E251" s="12" t="s">
        <v>967</v>
      </c>
      <c r="F251" s="4"/>
      <c r="G251" s="4"/>
      <c r="H251" s="4"/>
      <c r="I251" s="5"/>
      <c r="J251" s="232"/>
      <c r="K251" s="232"/>
      <c r="L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115="Yes",Assumptions!M115,Assumptions!M$118)))</f>
        <v>0</v>
      </c>
      <c r="M251" s="848"/>
      <c r="N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115="Yes",Assumptions!M115,Assumptions!M$118)))</f>
        <v>0</v>
      </c>
      <c r="O251" s="848"/>
      <c r="P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115="Yes",Assumptions!O115,Assumptions!O$118)))</f>
        <v>0</v>
      </c>
      <c r="Q251" s="848"/>
      <c r="R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115="Yes",Assumptions!Q115,Assumptions!Q$118)))</f>
        <v>0</v>
      </c>
      <c r="S251" s="848"/>
      <c r="T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115="Yes",Assumptions!S115,Assumptions!S$118)))</f>
        <v>0</v>
      </c>
      <c r="U251" s="848"/>
      <c r="V251" s="232"/>
    </row>
    <row r="252" spans="2:22" x14ac:dyDescent="0.25">
      <c r="B252" s="192"/>
      <c r="C252" s="232"/>
      <c r="D252" s="232"/>
      <c r="E252" s="12" t="s">
        <v>968</v>
      </c>
      <c r="F252" s="4"/>
      <c r="G252" s="4"/>
      <c r="H252" s="4"/>
      <c r="I252" s="5"/>
      <c r="J252" s="232"/>
      <c r="K252" s="232"/>
      <c r="L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116="Yes",Assumptions!M116,Assumptions!M$118)))</f>
        <v>0</v>
      </c>
      <c r="M252" s="848"/>
      <c r="N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116="Yes",Assumptions!M116,Assumptions!M$118)))</f>
        <v>0</v>
      </c>
      <c r="O252" s="848"/>
      <c r="P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116="Yes",Assumptions!O116,Assumptions!O$118)))</f>
        <v>0</v>
      </c>
      <c r="Q252" s="848"/>
      <c r="R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116="Yes",Assumptions!Q116,Assumptions!Q$118)))</f>
        <v>0</v>
      </c>
      <c r="S252" s="848"/>
      <c r="T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116="Yes",Assumptions!S116,Assumptions!S$118)))</f>
        <v>0</v>
      </c>
      <c r="U252" s="848"/>
      <c r="V252" s="232"/>
    </row>
    <row r="253" spans="2:22" x14ac:dyDescent="0.25">
      <c r="B253" s="192"/>
      <c r="C253" s="232"/>
      <c r="D253" s="232"/>
      <c r="E253" s="12" t="s">
        <v>49</v>
      </c>
      <c r="F253" s="4"/>
      <c r="G253" s="4"/>
      <c r="H253" s="4"/>
      <c r="I253" s="5"/>
      <c r="J253" s="232"/>
      <c r="K253" s="232"/>
      <c r="L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117="Yes",Assumptions!M117,Assumptions!M$118)))</f>
        <v>0</v>
      </c>
      <c r="M253" s="848"/>
      <c r="N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117="Yes",Assumptions!M117,Assumptions!M$118)))</f>
        <v>0</v>
      </c>
      <c r="O253" s="848"/>
      <c r="P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117="Yes",Assumptions!O117,Assumptions!O$118)))</f>
        <v>0</v>
      </c>
      <c r="Q253" s="848"/>
      <c r="R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117="Yes",Assumptions!Q117,Assumptions!Q$118)))</f>
        <v>0</v>
      </c>
      <c r="S253" s="848"/>
      <c r="T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117="Yes",Assumptions!S117,Assumptions!S$118)))</f>
        <v>0</v>
      </c>
      <c r="U253" s="848"/>
      <c r="V253" s="232"/>
    </row>
    <row r="254" spans="2:22" x14ac:dyDescent="0.25">
      <c r="B254" s="192"/>
      <c r="C254" s="232"/>
      <c r="D254" s="232"/>
      <c r="E254" s="13" t="s">
        <v>969</v>
      </c>
      <c r="F254" s="6"/>
      <c r="G254" s="6"/>
      <c r="H254" s="6"/>
      <c r="I254" s="7"/>
      <c r="J254" s="232"/>
      <c r="K254" s="232"/>
      <c r="L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Parameters!M$102))</f>
        <v>0</v>
      </c>
      <c r="M254" s="848"/>
      <c r="N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Parameters!M$102))</f>
        <v>0</v>
      </c>
      <c r="O254" s="848"/>
      <c r="P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Parameters!O$102))</f>
        <v>0</v>
      </c>
      <c r="Q254" s="848"/>
      <c r="R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Parameters!Q$102))</f>
        <v>0</v>
      </c>
      <c r="S254" s="848"/>
      <c r="T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Parameters!S$102))</f>
        <v>0</v>
      </c>
      <c r="U254" s="848"/>
      <c r="V254" s="232"/>
    </row>
    <row r="255" spans="2:22" x14ac:dyDescent="0.25">
      <c r="B255" s="192"/>
      <c r="C255" s="232"/>
      <c r="D255" s="232"/>
      <c r="E255" s="232"/>
      <c r="F255" s="232"/>
      <c r="G255" s="232"/>
      <c r="H255" s="232"/>
      <c r="I255" s="232"/>
      <c r="J255" s="312"/>
      <c r="K255" s="232"/>
      <c r="L255" s="232"/>
      <c r="M255" s="232"/>
      <c r="N255" s="232"/>
      <c r="O255" s="232"/>
      <c r="P255" s="232"/>
      <c r="Q255" s="232"/>
      <c r="R255" s="232"/>
      <c r="S255" s="232"/>
      <c r="T255" s="232"/>
      <c r="U255" s="232"/>
      <c r="V255" s="232"/>
    </row>
    <row r="256" spans="2:22" x14ac:dyDescent="0.25">
      <c r="B256" s="192"/>
      <c r="C256" s="232"/>
      <c r="D256" s="232"/>
      <c r="E256" s="232"/>
      <c r="F256" s="232"/>
      <c r="G256" s="232"/>
      <c r="H256" s="232"/>
      <c r="I256" s="232"/>
      <c r="J256" s="232"/>
      <c r="K256" s="232"/>
      <c r="L256" s="232"/>
      <c r="M256" s="232"/>
      <c r="N256" s="232"/>
      <c r="O256" s="232"/>
      <c r="P256" s="232"/>
      <c r="Q256" s="232"/>
      <c r="R256" s="232"/>
      <c r="S256" s="232"/>
      <c r="T256" s="232"/>
      <c r="U256" s="232"/>
      <c r="V256" s="232"/>
    </row>
    <row r="257" spans="2:22" ht="18.75" x14ac:dyDescent="0.3">
      <c r="B257" s="239" t="s">
        <v>782</v>
      </c>
      <c r="C257" s="214"/>
      <c r="D257" s="214"/>
      <c r="E257" s="214"/>
      <c r="F257" s="214"/>
      <c r="G257" s="214"/>
      <c r="H257" s="214"/>
      <c r="I257" s="214"/>
      <c r="J257" s="214"/>
      <c r="K257" s="214"/>
      <c r="L257" s="214"/>
      <c r="M257" s="214"/>
      <c r="N257" s="214"/>
      <c r="O257" s="214"/>
      <c r="P257" s="214"/>
      <c r="Q257" s="214"/>
      <c r="R257" s="214"/>
      <c r="S257" s="214"/>
      <c r="T257" s="214"/>
      <c r="U257" s="214"/>
      <c r="V257" s="214"/>
    </row>
    <row r="258" spans="2:22" x14ac:dyDescent="0.25">
      <c r="B258" s="192"/>
      <c r="C258" s="232"/>
      <c r="D258" s="232"/>
      <c r="E258" s="232"/>
      <c r="F258" s="232"/>
      <c r="G258" s="232"/>
      <c r="H258" s="232"/>
      <c r="I258" s="232"/>
      <c r="J258" s="232"/>
      <c r="K258" s="232"/>
      <c r="L258" s="232"/>
      <c r="M258" s="232"/>
      <c r="N258" s="232"/>
      <c r="O258" s="232"/>
      <c r="P258" s="232"/>
      <c r="Q258" s="232"/>
      <c r="R258" s="232"/>
      <c r="S258" s="232"/>
      <c r="T258" s="232"/>
      <c r="U258" s="232"/>
      <c r="V258" s="232"/>
    </row>
    <row r="259" spans="2:22" x14ac:dyDescent="0.25">
      <c r="B259" s="192"/>
      <c r="C259" s="232"/>
      <c r="D259" s="232"/>
      <c r="E259" s="1209" t="s">
        <v>958</v>
      </c>
      <c r="F259" s="1210"/>
      <c r="G259" s="1210"/>
      <c r="H259" s="1210"/>
      <c r="I259" s="1211"/>
      <c r="J259" s="844" t="s">
        <v>944</v>
      </c>
      <c r="K259" s="846"/>
      <c r="L259" s="844" t="s">
        <v>763</v>
      </c>
      <c r="M259" s="846"/>
      <c r="N259" s="844" t="s">
        <v>764</v>
      </c>
      <c r="O259" s="846"/>
      <c r="P259" s="844" t="s">
        <v>765</v>
      </c>
      <c r="Q259" s="846"/>
      <c r="R259" s="844" t="s">
        <v>766</v>
      </c>
      <c r="S259" s="846"/>
      <c r="T259" s="844" t="s">
        <v>767</v>
      </c>
      <c r="U259" s="846"/>
      <c r="V259" s="232"/>
    </row>
    <row r="260" spans="2:22" x14ac:dyDescent="0.25">
      <c r="B260" s="192"/>
      <c r="C260" s="232"/>
      <c r="D260" s="232"/>
      <c r="E260" s="313" t="s">
        <v>950</v>
      </c>
      <c r="F260" s="15"/>
      <c r="G260" s="15"/>
      <c r="H260" s="15"/>
      <c r="I260" s="16"/>
      <c r="J260" s="847">
        <v>0</v>
      </c>
      <c r="K260" s="848"/>
      <c r="L260" s="847">
        <f>IF(AND($G$20="Macro",Assumptions!$H$65="Yes"),IF(Summary!$G$22=Variables!$Z$3,Satellite!$R78/100,IF(Summary!$G$22=Variables!$Z$4,Satellite!$R79/100,IF(Summary!$G$22=Variables!$Z$5,Satellite!$R80/100,Satellite!$R77/100))),Assumptions!M90)</f>
        <v>0</v>
      </c>
      <c r="M260" s="848"/>
      <c r="N260" s="847">
        <f>IF(AND($G$20="Macro",Assumptions!$H$65="Yes"),IF(Summary!$G$22=Variables!$Z$3,Satellite!$R83/100,IF(Summary!$G$22=Variables!$Z$4,Satellite!$R84/100,IF(Summary!$G$22=Variables!$Z$5,Satellite!$R85/100,Satellite!$R82/100))),Assumptions!O90)</f>
        <v>0</v>
      </c>
      <c r="O260" s="848"/>
      <c r="P260" s="847">
        <f>IF(AND($G$20="Macro",Assumptions!$H$65="Yes"),IF(Summary!$G$22=Variables!$Z$3,Satellite!$R88/100,IF(Summary!$G$22=Variables!$Z$4,Satellite!$R89/100,IF(Summary!$G$22=Variables!$Z$5,Satellite!$R90/100,Satellite!$R87/100))),Assumptions!Q90)</f>
        <v>0</v>
      </c>
      <c r="Q260" s="848"/>
      <c r="R260" s="847">
        <f>IF(AND($G$20="Macro",Assumptions!$H$65="Yes"),IF(Summary!$G$22=Variables!$Z$3,Satellite!$R93/100,IF(Summary!$G$22=Variables!$Z$4,Satellite!$R94/100,IF(Summary!$G$22=Variables!$Z$5,Satellite!$R95/100,Satellite!$R92/100))),Assumptions!S90)</f>
        <v>0</v>
      </c>
      <c r="S260" s="848"/>
      <c r="T260" s="847">
        <f>IF(AND($G$20="Macro",Assumptions!$H$65="Yes"),IF(Summary!$G$22=Variables!$Z$3,Satellite!$R98/100,IF(Summary!$G$22=Variables!$Z$4,Satellite!$R99/100,IF(Summary!$G$22=Variables!$Z$5,Satellite!$R100/100,Satellite!$R97/100))),Assumptions!U90)</f>
        <v>0</v>
      </c>
      <c r="U260" s="848"/>
      <c r="V260" s="232"/>
    </row>
    <row r="261" spans="2:22" x14ac:dyDescent="0.25">
      <c r="B261" s="192"/>
      <c r="C261" s="232"/>
      <c r="D261" s="232"/>
      <c r="E261" s="14" t="s">
        <v>914</v>
      </c>
      <c r="F261" s="15"/>
      <c r="G261" s="15"/>
      <c r="H261" s="15"/>
      <c r="I261" s="16"/>
      <c r="J261" s="232"/>
      <c r="K261" s="232"/>
      <c r="L261" s="849" t="str">
        <f>IF(AND(Assumptions!$H$58="Macro",Assumptions!$H$65="Yes"),"Macro","Expert")</f>
        <v>Expert</v>
      </c>
      <c r="M261" s="850"/>
      <c r="N261" s="849" t="str">
        <f>IF(AND(Assumptions!$H$58="Macro",Assumptions!$H$65="Yes"),"Macro","Expert")</f>
        <v>Expert</v>
      </c>
      <c r="O261" s="850"/>
      <c r="P261" s="849" t="str">
        <f>IF(AND(Assumptions!$H$58="Macro",Assumptions!$H$65="Yes"),"Macro","Expert")</f>
        <v>Expert</v>
      </c>
      <c r="Q261" s="850"/>
      <c r="R261" s="849" t="str">
        <f>IF(AND(Assumptions!$H$58="Macro",Assumptions!$H$65="Yes"),"Macro","Expert")</f>
        <v>Expert</v>
      </c>
      <c r="S261" s="850"/>
      <c r="T261" s="849" t="str">
        <f>IF(AND(Assumptions!$H$58="Macro",Assumptions!$H$65="Yes"),"Macro","Expert")</f>
        <v>Expert</v>
      </c>
      <c r="U261" s="850"/>
      <c r="V261" s="232"/>
    </row>
    <row r="262" spans="2:22" x14ac:dyDescent="0.25">
      <c r="B262" s="192"/>
      <c r="C262" s="232"/>
      <c r="D262" s="232"/>
      <c r="E262" s="232"/>
      <c r="F262" s="232"/>
      <c r="G262" s="232"/>
      <c r="H262" s="232"/>
      <c r="I262" s="232"/>
      <c r="J262" s="232"/>
      <c r="K262" s="232"/>
      <c r="L262" s="232"/>
      <c r="M262" s="232"/>
      <c r="N262" s="232"/>
      <c r="O262" s="232"/>
      <c r="P262" s="232"/>
      <c r="Q262" s="232"/>
      <c r="R262" s="232"/>
      <c r="S262" s="232"/>
      <c r="T262" s="232"/>
      <c r="U262" s="232"/>
      <c r="V262" s="232"/>
    </row>
    <row r="263" spans="2:22" x14ac:dyDescent="0.25">
      <c r="B263" s="192"/>
      <c r="C263" s="232"/>
      <c r="D263" s="232"/>
      <c r="E263" s="232"/>
      <c r="F263" s="232"/>
      <c r="G263" s="232"/>
      <c r="H263" s="232"/>
      <c r="I263" s="232"/>
      <c r="J263" s="232"/>
      <c r="K263" s="232"/>
      <c r="L263" s="232"/>
      <c r="M263" s="232"/>
      <c r="N263" s="232"/>
      <c r="O263" s="232"/>
      <c r="P263" s="232"/>
      <c r="Q263" s="232"/>
      <c r="R263" s="232"/>
      <c r="S263" s="232"/>
      <c r="T263" s="232"/>
      <c r="U263" s="232"/>
      <c r="V263" s="232"/>
    </row>
    <row r="264" spans="2:22" ht="18.75" x14ac:dyDescent="0.25">
      <c r="B264" s="252" t="s">
        <v>971</v>
      </c>
      <c r="C264" s="199"/>
      <c r="D264" s="199"/>
      <c r="E264" s="199"/>
      <c r="F264" s="199"/>
      <c r="G264" s="199"/>
      <c r="H264" s="199"/>
      <c r="I264" s="200"/>
      <c r="J264" s="200"/>
      <c r="K264" s="199"/>
      <c r="L264" s="199"/>
      <c r="M264" s="199"/>
      <c r="N264" s="199"/>
      <c r="O264" s="199"/>
      <c r="P264" s="199"/>
      <c r="Q264" s="199"/>
      <c r="R264" s="199"/>
      <c r="S264" s="199"/>
      <c r="T264" s="199"/>
      <c r="U264" s="199"/>
      <c r="V264" s="199"/>
    </row>
    <row r="265" spans="2:22" ht="18.75" x14ac:dyDescent="0.3">
      <c r="B265" s="192"/>
      <c r="C265" s="221"/>
      <c r="D265" s="232"/>
      <c r="E265" s="232"/>
      <c r="F265" s="232"/>
      <c r="G265" s="232"/>
      <c r="H265" s="232"/>
      <c r="I265" s="232"/>
      <c r="J265" s="232"/>
      <c r="K265" s="232"/>
      <c r="L265" s="232"/>
      <c r="M265" s="232"/>
      <c r="N265" s="232"/>
      <c r="O265" s="232"/>
      <c r="P265" s="232"/>
      <c r="Q265" s="232"/>
      <c r="R265" s="232"/>
      <c r="S265" s="232"/>
      <c r="T265" s="232"/>
      <c r="U265" s="232"/>
      <c r="V265" s="232"/>
    </row>
    <row r="266" spans="2:22" x14ac:dyDescent="0.25">
      <c r="B266" s="192"/>
      <c r="C266" s="232"/>
      <c r="D266" s="232"/>
      <c r="E266" s="232"/>
      <c r="F266" s="232"/>
      <c r="G266" s="232"/>
      <c r="H266" s="232"/>
      <c r="I266" s="232"/>
      <c r="J266" s="232"/>
      <c r="K266" s="232"/>
      <c r="L266" s="232"/>
      <c r="M266" s="232"/>
      <c r="N266" s="232"/>
      <c r="O266" s="232"/>
      <c r="P266" s="232"/>
      <c r="Q266" s="232"/>
      <c r="R266" s="232"/>
      <c r="S266" s="232"/>
      <c r="T266" s="232"/>
      <c r="U266" s="232"/>
      <c r="V266" s="232"/>
    </row>
    <row r="267" spans="2:22" x14ac:dyDescent="0.25">
      <c r="B267" s="192"/>
      <c r="C267" s="232"/>
      <c r="D267" s="232"/>
      <c r="E267" s="313" t="s">
        <v>975</v>
      </c>
      <c r="F267" s="15"/>
      <c r="G267" s="15"/>
      <c r="H267" s="15"/>
      <c r="I267" s="16"/>
      <c r="J267" s="232"/>
      <c r="K267" s="232"/>
      <c r="L267" s="232"/>
      <c r="M267" s="232"/>
      <c r="N267" s="232"/>
      <c r="O267" s="313" t="s">
        <v>976</v>
      </c>
      <c r="P267" s="15"/>
      <c r="Q267" s="15"/>
      <c r="R267" s="15"/>
      <c r="S267" s="16"/>
      <c r="T267" s="232"/>
      <c r="U267" s="232"/>
      <c r="V267" s="232"/>
    </row>
    <row r="268" spans="2:22" x14ac:dyDescent="0.25">
      <c r="B268" s="192"/>
      <c r="C268" s="232"/>
      <c r="D268" s="232"/>
      <c r="E268" s="11" t="s">
        <v>978</v>
      </c>
      <c r="F268" s="2"/>
      <c r="G268" s="2"/>
      <c r="H268" s="2"/>
      <c r="I268" s="3"/>
      <c r="J268" s="847" t="str">
        <f>Input!G270</f>
        <v>N/A</v>
      </c>
      <c r="K268" s="848"/>
      <c r="L268" s="232"/>
      <c r="M268" s="232"/>
      <c r="N268" s="232"/>
      <c r="O268" s="11" t="s">
        <v>978</v>
      </c>
      <c r="P268" s="2"/>
      <c r="Q268" s="2"/>
      <c r="R268" s="2"/>
      <c r="S268" s="3"/>
      <c r="T268" s="847">
        <f>SUMPRODUCT(Input!$G$250:$G$269,Parameters!$J$240:$J$259)</f>
        <v>0</v>
      </c>
      <c r="U268" s="848"/>
      <c r="V268" s="232"/>
    </row>
    <row r="269" spans="2:22" x14ac:dyDescent="0.25">
      <c r="B269" s="192"/>
      <c r="C269" s="232"/>
      <c r="D269" s="232"/>
      <c r="E269" s="12" t="s">
        <v>245</v>
      </c>
      <c r="F269" s="4"/>
      <c r="G269" s="4"/>
      <c r="H269" s="4"/>
      <c r="I269" s="5"/>
      <c r="J269" s="847" t="str">
        <f>Input!G296</f>
        <v>N/A</v>
      </c>
      <c r="K269" s="848"/>
      <c r="L269" s="232"/>
      <c r="M269" s="232"/>
      <c r="N269" s="232"/>
      <c r="O269" s="12" t="s">
        <v>245</v>
      </c>
      <c r="P269" s="4"/>
      <c r="Q269" s="4"/>
      <c r="R269" s="4"/>
      <c r="S269" s="5"/>
      <c r="T269" s="847">
        <f>SUMPRODUCT(Input!$G$276:$G$295,Parameters!$J$240:$J$259)</f>
        <v>0</v>
      </c>
      <c r="U269" s="848"/>
      <c r="V269" s="232"/>
    </row>
    <row r="270" spans="2:22" x14ac:dyDescent="0.25">
      <c r="B270" s="192"/>
      <c r="C270" s="232"/>
      <c r="D270" s="232"/>
      <c r="E270" s="12" t="s">
        <v>979</v>
      </c>
      <c r="F270" s="4"/>
      <c r="G270" s="4"/>
      <c r="H270" s="4"/>
      <c r="I270" s="5"/>
      <c r="J270" s="847" t="str">
        <f>Input!G322</f>
        <v>N/A</v>
      </c>
      <c r="K270" s="848"/>
      <c r="L270" s="232"/>
      <c r="M270" s="232"/>
      <c r="N270" s="232"/>
      <c r="O270" s="12" t="s">
        <v>979</v>
      </c>
      <c r="P270" s="4"/>
      <c r="Q270" s="4"/>
      <c r="R270" s="4"/>
      <c r="S270" s="5"/>
      <c r="T270" s="847">
        <f>SUMPRODUCT(Input!$G$302:$G$321,Parameters!$J$240:$J$259)</f>
        <v>0</v>
      </c>
      <c r="U270" s="848"/>
      <c r="V270" s="232"/>
    </row>
    <row r="271" spans="2:22" x14ac:dyDescent="0.25">
      <c r="B271" s="192"/>
      <c r="C271" s="232"/>
      <c r="D271" s="232"/>
      <c r="E271" s="12" t="s">
        <v>127</v>
      </c>
      <c r="F271" s="4"/>
      <c r="G271" s="4"/>
      <c r="H271" s="4"/>
      <c r="I271" s="5"/>
      <c r="J271" s="847" t="str">
        <f>Input!G337</f>
        <v>N/A</v>
      </c>
      <c r="K271" s="848"/>
      <c r="L271" s="232"/>
      <c r="M271" s="232"/>
      <c r="N271" s="232"/>
      <c r="O271" s="12" t="s">
        <v>127</v>
      </c>
      <c r="P271" s="4"/>
      <c r="Q271" s="4"/>
      <c r="R271" s="4"/>
      <c r="S271" s="5"/>
      <c r="T271" s="847" t="str">
        <f>IF(ISNUMBER(Input!$G$337+1/3*(SUMPRODUCT(Input!$G$328:$G$335,Parameters!$I$272:$I$279)-Input!$G$337)),Input!$G$337+1/3*(SUMPRODUCT(Input!$G$328:$G$335,Parameters!$I$272:$I$279)-Input!$G$337),"N/A")</f>
        <v>N/A</v>
      </c>
      <c r="U271" s="848"/>
      <c r="V271" s="232"/>
    </row>
    <row r="272" spans="2:22" x14ac:dyDescent="0.25">
      <c r="B272" s="192"/>
      <c r="C272" s="232"/>
      <c r="D272" s="232"/>
      <c r="E272" s="14" t="s">
        <v>973</v>
      </c>
      <c r="F272" s="15"/>
      <c r="G272" s="15"/>
      <c r="H272" s="15"/>
      <c r="I272" s="16"/>
      <c r="J272" s="847" t="str">
        <f>IF(ISNUMBER((J268*Input!$G$249+Input!$G$275*Calculation!J269+Calculation!J270*Input!$G$301+Input!$G$327*Calculation!J271)/SUM(Input!$G$327+Input!$G$301+Input!$G$275+Input!$G$249)),(J268*Input!$G$249+Input!$G$275*Calculation!J269+Calculation!J270*Input!$G$301+Input!$G$327*Calculation!J271)/SUM(Input!$G$327+Input!$G$301+Input!$G$275+Input!$G$249),"N/A")</f>
        <v>N/A</v>
      </c>
      <c r="K272" s="848"/>
      <c r="L272" s="232"/>
      <c r="M272" s="232"/>
      <c r="N272" s="232"/>
      <c r="O272" s="14" t="s">
        <v>974</v>
      </c>
      <c r="P272" s="15"/>
      <c r="Q272" s="15"/>
      <c r="R272" s="15"/>
      <c r="S272" s="16"/>
      <c r="T272" s="847" t="str">
        <f>IF(ISNUMBER((T268*Input!$G$249+Input!$G$275*Calculation!T269+Calculation!T270*Input!$G$301+Input!$G$327*Calculation!T271)/SUM(Input!$G$327+Input!$G$301+Input!$G$275+Input!$G$249)),(T268*Input!$G$249+Input!$G$275*Calculation!T269+Calculation!T270*Input!$G$301+Input!$G$327*Calculation!T271)/SUM(Input!$G$327+Input!$G$301+Input!$G$275+Input!$G$249),"N/A")</f>
        <v>N/A</v>
      </c>
      <c r="U272" s="848"/>
      <c r="V272" s="232"/>
    </row>
    <row r="273" spans="2:22" x14ac:dyDescent="0.25">
      <c r="B273" s="192"/>
      <c r="C273" s="232"/>
      <c r="D273" s="232"/>
      <c r="E273" s="232"/>
      <c r="F273" s="232"/>
      <c r="G273" s="232"/>
      <c r="H273" s="232"/>
      <c r="I273" s="232"/>
      <c r="J273" s="232"/>
      <c r="K273" s="232"/>
      <c r="L273" s="232"/>
      <c r="M273" s="232"/>
      <c r="N273" s="232"/>
      <c r="O273" s="232"/>
      <c r="P273" s="232"/>
      <c r="Q273" s="232"/>
      <c r="R273" s="232"/>
      <c r="S273" s="232"/>
      <c r="T273" s="232"/>
      <c r="U273" s="232"/>
      <c r="V273" s="232"/>
    </row>
    <row r="274" spans="2:22" x14ac:dyDescent="0.25">
      <c r="B274" s="192"/>
      <c r="C274" s="232"/>
      <c r="D274" s="232"/>
      <c r="E274" s="313" t="s">
        <v>982</v>
      </c>
      <c r="F274" s="15"/>
      <c r="G274" s="15"/>
      <c r="H274" s="15"/>
      <c r="I274" s="16"/>
      <c r="J274" s="232"/>
      <c r="K274" s="232"/>
      <c r="L274" s="232"/>
      <c r="M274" s="232"/>
      <c r="N274" s="232"/>
      <c r="O274" s="313" t="s">
        <v>983</v>
      </c>
      <c r="P274" s="15"/>
      <c r="Q274" s="15"/>
      <c r="R274" s="15"/>
      <c r="S274" s="16"/>
      <c r="T274" s="232"/>
      <c r="U274" s="232"/>
      <c r="V274" s="232"/>
    </row>
    <row r="275" spans="2:22" x14ac:dyDescent="0.25">
      <c r="B275" s="192"/>
      <c r="C275" s="232"/>
      <c r="D275" s="232"/>
      <c r="E275" s="11" t="s">
        <v>978</v>
      </c>
      <c r="F275" s="2"/>
      <c r="G275" s="2"/>
      <c r="H275" s="2"/>
      <c r="I275" s="3"/>
      <c r="J275" s="847">
        <f>SUMPRODUCT(Input!$G$250:$G$269,Parameters!$J$241:$J$260)</f>
        <v>0</v>
      </c>
      <c r="K275" s="848"/>
      <c r="L275" s="232"/>
      <c r="M275" s="232"/>
      <c r="N275" s="232"/>
      <c r="O275" s="11" t="s">
        <v>978</v>
      </c>
      <c r="P275" s="2"/>
      <c r="Q275" s="2"/>
      <c r="R275" s="2"/>
      <c r="S275" s="3"/>
      <c r="T275" s="847">
        <f>SUMPRODUCT(Input!$G$250:$G$269,Parameters!$J$242:$J$261)</f>
        <v>0</v>
      </c>
      <c r="U275" s="848"/>
      <c r="V275" s="232"/>
    </row>
    <row r="276" spans="2:22" x14ac:dyDescent="0.25">
      <c r="B276" s="192"/>
      <c r="C276" s="232"/>
      <c r="D276" s="232"/>
      <c r="E276" s="12" t="s">
        <v>245</v>
      </c>
      <c r="F276" s="4"/>
      <c r="G276" s="4"/>
      <c r="H276" s="4"/>
      <c r="I276" s="5"/>
      <c r="J276" s="847">
        <f>SUMPRODUCT(Input!$G$276:$G$295,Parameters!$J$241:$J$260)</f>
        <v>0</v>
      </c>
      <c r="K276" s="848"/>
      <c r="L276" s="232"/>
      <c r="M276" s="232"/>
      <c r="N276" s="232"/>
      <c r="O276" s="12" t="s">
        <v>245</v>
      </c>
      <c r="P276" s="4"/>
      <c r="Q276" s="4"/>
      <c r="R276" s="4"/>
      <c r="S276" s="5"/>
      <c r="T276" s="847">
        <f>SUMPRODUCT(Input!$G$276:$G$295,Parameters!$J$242:$J$261)</f>
        <v>0</v>
      </c>
      <c r="U276" s="848"/>
      <c r="V276" s="232"/>
    </row>
    <row r="277" spans="2:22" x14ac:dyDescent="0.25">
      <c r="B277" s="192"/>
      <c r="C277" s="232"/>
      <c r="D277" s="232"/>
      <c r="E277" s="12" t="s">
        <v>979</v>
      </c>
      <c r="F277" s="4"/>
      <c r="G277" s="4"/>
      <c r="H277" s="4"/>
      <c r="I277" s="5"/>
      <c r="J277" s="847">
        <f>SUMPRODUCT(Input!$G$302:$G$321,Parameters!$J$241:$J$260)</f>
        <v>0</v>
      </c>
      <c r="K277" s="848"/>
      <c r="L277" s="232"/>
      <c r="M277" s="232"/>
      <c r="N277" s="232"/>
      <c r="O277" s="12" t="s">
        <v>979</v>
      </c>
      <c r="P277" s="4"/>
      <c r="Q277" s="4"/>
      <c r="R277" s="4"/>
      <c r="S277" s="5"/>
      <c r="T277" s="847">
        <f>SUMPRODUCT(Input!$G$302:$G$321,Parameters!$J$242:$J$261)</f>
        <v>0</v>
      </c>
      <c r="U277" s="848"/>
      <c r="V277" s="232"/>
    </row>
    <row r="278" spans="2:22" x14ac:dyDescent="0.25">
      <c r="B278" s="192"/>
      <c r="C278" s="232"/>
      <c r="D278" s="232"/>
      <c r="E278" s="12" t="s">
        <v>127</v>
      </c>
      <c r="F278" s="4"/>
      <c r="G278" s="4"/>
      <c r="H278" s="4"/>
      <c r="I278" s="5"/>
      <c r="J278" s="847" t="str">
        <f>IF(ISNUMBER(Input!$G$337+2/3*(SUMPRODUCT(Input!$G$328:$G$335,Parameters!$I$272:$I$279)-Input!$G$337)),Input!$G$337+2/3*(SUMPRODUCT(Input!$G$328:$G$335,Parameters!$I$272:$I$279)-Input!$G$337),"N/A")</f>
        <v>N/A</v>
      </c>
      <c r="K278" s="848"/>
      <c r="L278" s="232"/>
      <c r="M278" s="232"/>
      <c r="N278" s="232"/>
      <c r="O278" s="12" t="s">
        <v>127</v>
      </c>
      <c r="P278" s="4"/>
      <c r="Q278" s="4"/>
      <c r="R278" s="4"/>
      <c r="S278" s="5"/>
      <c r="T278" s="847" t="str">
        <f>IF(ISNUMBER(Input!$G$337+(SUMPRODUCT(Input!$G$328:$G$335,Parameters!$I$272:$I$279)-Input!$G$337)),Input!$G$337+(SUMPRODUCT(Input!$G$328:$G$335,Parameters!$I$272:$I$279)-Input!$G$337),"N/A")</f>
        <v>N/A</v>
      </c>
      <c r="U278" s="848"/>
      <c r="V278" s="232"/>
    </row>
    <row r="279" spans="2:22" x14ac:dyDescent="0.25">
      <c r="B279" s="192"/>
      <c r="C279" s="232"/>
      <c r="D279" s="232"/>
      <c r="E279" s="14" t="s">
        <v>977</v>
      </c>
      <c r="F279" s="15"/>
      <c r="G279" s="15"/>
      <c r="H279" s="15"/>
      <c r="I279" s="16"/>
      <c r="J279" s="847" t="str">
        <f>IF(ISNUMBER(J275*Input!$G$249+Input!$G$275*Calculation!J276+Calculation!J277*Input!$G$301+Input!$G$327*Calculation!J278)/SUM(Input!$G$327+Input!$G$301+Input!$G$275+Input!$G$249),(J275*Input!$G$249+Input!$G$275*Calculation!J276+Calculation!J277*Input!$G$301+Input!$G$327*Calculation!J278)/SUM(Input!$G$327+Input!$G$301+Input!$G$275+Input!$G$249),"N/A")</f>
        <v>N/A</v>
      </c>
      <c r="K279" s="848"/>
      <c r="L279" s="232"/>
      <c r="M279" s="232"/>
      <c r="N279" s="232"/>
      <c r="O279" s="14" t="s">
        <v>980</v>
      </c>
      <c r="P279" s="15"/>
      <c r="Q279" s="15"/>
      <c r="R279" s="15"/>
      <c r="S279" s="16"/>
      <c r="T279" s="847" t="str">
        <f>IF(ISNUMBER((T275*Input!$G$249+Input!$G$275*Calculation!T276+Calculation!T277*Input!$G$301+Input!$G$327*Calculation!T278)/SUM(Input!$G$327+Input!$G$301+Input!$G$275+Input!$G$249)),(T275*Input!$G$249+Input!$G$275*Calculation!T276+Calculation!T277*Input!$G$301+Input!$G$327*Calculation!T278)/SUM(Input!$G$327+Input!$G$301+Input!$G$275+Input!$G$249),"N/A")</f>
        <v>N/A</v>
      </c>
      <c r="U279" s="848"/>
      <c r="V279" s="232"/>
    </row>
    <row r="280" spans="2:22" x14ac:dyDescent="0.25">
      <c r="B280" s="192"/>
      <c r="C280" s="232"/>
      <c r="D280" s="232"/>
      <c r="E280" s="232"/>
      <c r="F280" s="232"/>
      <c r="G280" s="232"/>
      <c r="H280" s="232"/>
      <c r="I280" s="232"/>
      <c r="J280" s="232"/>
      <c r="K280" s="232"/>
      <c r="L280" s="232"/>
      <c r="M280" s="232"/>
      <c r="N280" s="232"/>
      <c r="O280" s="232"/>
      <c r="P280" s="232"/>
      <c r="Q280" s="232"/>
      <c r="R280" s="232"/>
      <c r="S280" s="232"/>
      <c r="T280" s="232"/>
      <c r="U280" s="232"/>
      <c r="V280" s="232"/>
    </row>
    <row r="281" spans="2:22" x14ac:dyDescent="0.25">
      <c r="B281" s="192"/>
      <c r="C281" s="232"/>
      <c r="D281" s="232"/>
      <c r="E281" s="313" t="s">
        <v>985</v>
      </c>
      <c r="F281" s="15"/>
      <c r="G281" s="15"/>
      <c r="H281" s="15"/>
      <c r="I281" s="16"/>
      <c r="J281" s="232"/>
      <c r="K281" s="232"/>
      <c r="L281" s="232"/>
      <c r="M281" s="232"/>
      <c r="N281" s="232"/>
      <c r="O281" s="313" t="s">
        <v>986</v>
      </c>
      <c r="P281" s="15"/>
      <c r="Q281" s="15"/>
      <c r="R281" s="15"/>
      <c r="S281" s="16"/>
      <c r="T281" s="232"/>
      <c r="U281" s="232"/>
      <c r="V281" s="232"/>
    </row>
    <row r="282" spans="2:22" x14ac:dyDescent="0.25">
      <c r="B282" s="192"/>
      <c r="C282" s="232"/>
      <c r="D282" s="232"/>
      <c r="E282" s="11" t="s">
        <v>978</v>
      </c>
      <c r="F282" s="2"/>
      <c r="G282" s="2"/>
      <c r="H282" s="2"/>
      <c r="I282" s="3"/>
      <c r="J282" s="847">
        <f>SUMPRODUCT(Input!$G$250:$G$269,Parameters!$J$243:$J$262)</f>
        <v>0</v>
      </c>
      <c r="K282" s="848"/>
      <c r="L282" s="232"/>
      <c r="M282" s="232"/>
      <c r="N282" s="232"/>
      <c r="O282" s="11" t="s">
        <v>978</v>
      </c>
      <c r="P282" s="2"/>
      <c r="Q282" s="2"/>
      <c r="R282" s="2"/>
      <c r="S282" s="3"/>
      <c r="T282" s="847">
        <f>SUMPRODUCT(Input!$G$250:$G$269,Parameters!$J$244:$J$263)</f>
        <v>0</v>
      </c>
      <c r="U282" s="848"/>
      <c r="V282" s="232"/>
    </row>
    <row r="283" spans="2:22" x14ac:dyDescent="0.25">
      <c r="B283" s="192"/>
      <c r="C283" s="232"/>
      <c r="D283" s="232"/>
      <c r="E283" s="12" t="s">
        <v>245</v>
      </c>
      <c r="F283" s="4"/>
      <c r="G283" s="4"/>
      <c r="H283" s="4"/>
      <c r="I283" s="5"/>
      <c r="J283" s="847">
        <f>SUMPRODUCT(Input!$G$276:$G$295,Parameters!$J$243:$J$262)</f>
        <v>0</v>
      </c>
      <c r="K283" s="848"/>
      <c r="L283" s="232"/>
      <c r="M283" s="232"/>
      <c r="N283" s="232"/>
      <c r="O283" s="12" t="s">
        <v>245</v>
      </c>
      <c r="P283" s="4"/>
      <c r="Q283" s="4"/>
      <c r="R283" s="4"/>
      <c r="S283" s="5"/>
      <c r="T283" s="847">
        <f>SUMPRODUCT(Input!$G$276:$G$295,Parameters!$J$244:$J$263)</f>
        <v>0</v>
      </c>
      <c r="U283" s="848"/>
      <c r="V283" s="232"/>
    </row>
    <row r="284" spans="2:22" x14ac:dyDescent="0.25">
      <c r="B284" s="192"/>
      <c r="C284" s="232"/>
      <c r="D284" s="232"/>
      <c r="E284" s="12" t="s">
        <v>979</v>
      </c>
      <c r="F284" s="4"/>
      <c r="G284" s="4"/>
      <c r="H284" s="4"/>
      <c r="I284" s="5"/>
      <c r="J284" s="847">
        <f>SUMPRODUCT(Input!$G$302:$G$321,Parameters!$J$243:$J$262)</f>
        <v>0</v>
      </c>
      <c r="K284" s="848"/>
      <c r="L284" s="232"/>
      <c r="M284" s="232"/>
      <c r="N284" s="232"/>
      <c r="O284" s="12" t="s">
        <v>979</v>
      </c>
      <c r="P284" s="4"/>
      <c r="Q284" s="4"/>
      <c r="R284" s="4"/>
      <c r="S284" s="5"/>
      <c r="T284" s="847">
        <f>SUMPRODUCT(Input!$G$302:$G$321,Parameters!$J$244:$J$263)</f>
        <v>0</v>
      </c>
      <c r="U284" s="848"/>
      <c r="V284" s="232"/>
    </row>
    <row r="285" spans="2:22" x14ac:dyDescent="0.25">
      <c r="B285" s="192"/>
      <c r="C285" s="232"/>
      <c r="D285" s="232"/>
      <c r="E285" s="12" t="s">
        <v>127</v>
      </c>
      <c r="F285" s="4"/>
      <c r="G285" s="4"/>
      <c r="H285" s="4"/>
      <c r="I285" s="5"/>
      <c r="J285" s="847" t="str">
        <f>IF(ISNUMBER(T278+1/3*(SUMPRODUCT(Input!$G$328:$G$335,Parameters!I273:I280)-T278)),T278+1/3*(SUMPRODUCT(Input!$G$328:$G$335,Parameters!I273:I280)-T278),"N/A")</f>
        <v>N/A</v>
      </c>
      <c r="K285" s="848"/>
      <c r="L285" s="232"/>
      <c r="M285" s="232"/>
      <c r="N285" s="232"/>
      <c r="O285" s="12" t="s">
        <v>127</v>
      </c>
      <c r="P285" s="4"/>
      <c r="Q285" s="4"/>
      <c r="R285" s="4"/>
      <c r="S285" s="5"/>
      <c r="T285" s="847" t="str">
        <f>IF(ISNUMBER(T278+2/3*(SUMPRODUCT(Input!$G$328:$G$335,Parameters!I273:I280)-T278)),T278+2/3*(SUMPRODUCT(Input!$G$328:$G$335,Parameters!I273:I280)-T278),"N/A")</f>
        <v>N/A</v>
      </c>
      <c r="U285" s="848"/>
      <c r="V285" s="232"/>
    </row>
    <row r="286" spans="2:22" x14ac:dyDescent="0.25">
      <c r="B286" s="192"/>
      <c r="C286" s="232"/>
      <c r="D286" s="232"/>
      <c r="E286" s="14" t="s">
        <v>981</v>
      </c>
      <c r="F286" s="15"/>
      <c r="G286" s="15"/>
      <c r="H286" s="15"/>
      <c r="I286" s="16"/>
      <c r="J286" s="847" t="str">
        <f>IF(ISNUMBER((J282*Input!$G$249+Input!$G$275*Calculation!J283+Calculation!J284*Input!$G$301+Input!$G$327*Calculation!J285)/SUM(Input!$G$327+Input!$G$301+Input!$G$275+Input!$G$249)),(J282*Input!$G$249+Input!$G$275*Calculation!J283+Calculation!J284*Input!$G$301+Input!$G$327*Calculation!J285)/SUM(Input!$G$327+Input!$G$301+Input!$G$275+Input!$G$249),"N/A")</f>
        <v>N/A</v>
      </c>
      <c r="K286" s="848"/>
      <c r="L286" s="232"/>
      <c r="M286" s="232"/>
      <c r="N286" s="232"/>
      <c r="O286" s="14" t="s">
        <v>984</v>
      </c>
      <c r="P286" s="15"/>
      <c r="Q286" s="15"/>
      <c r="R286" s="15"/>
      <c r="S286" s="16"/>
      <c r="T286" s="847" t="str">
        <f>IF(ISNUMBER((T282*Input!$G$249+Input!$G$275*Calculation!T283+Calculation!T284*Input!$G$301+Input!$G$327*Calculation!T285)/SUM(Input!$G$327+Input!$G$301+Input!$G$275+Input!$G$249)),(T282*Input!$G$249+Input!$G$275*Calculation!T283+Calculation!T284*Input!$G$301+Input!$G$327*Calculation!T285)/SUM(Input!$G$327+Input!$G$301+Input!$G$275+Input!$G$249),"N/A")</f>
        <v>N/A</v>
      </c>
      <c r="U286" s="848"/>
      <c r="V286" s="232"/>
    </row>
    <row r="287" spans="2:22" x14ac:dyDescent="0.25">
      <c r="B287" s="192"/>
      <c r="C287" s="232"/>
      <c r="D287" s="232"/>
      <c r="E287" s="232"/>
      <c r="F287" s="232"/>
      <c r="G287" s="232"/>
      <c r="H287" s="232"/>
      <c r="I287" s="232"/>
      <c r="J287" s="232"/>
      <c r="K287" s="232"/>
      <c r="L287" s="232"/>
      <c r="M287" s="232"/>
      <c r="N287" s="232"/>
      <c r="O287" s="232"/>
      <c r="P287" s="232"/>
      <c r="Q287" s="232"/>
      <c r="R287" s="232"/>
      <c r="S287" s="232"/>
      <c r="T287" s="232"/>
      <c r="U287" s="232"/>
      <c r="V287" s="232"/>
    </row>
    <row r="288" spans="2:22" x14ac:dyDescent="0.25">
      <c r="B288" s="192"/>
      <c r="C288" s="232"/>
      <c r="D288" s="232"/>
      <c r="E288" s="313" t="s">
        <v>987</v>
      </c>
      <c r="F288" s="15"/>
      <c r="G288" s="15"/>
      <c r="H288" s="15"/>
      <c r="I288" s="16"/>
      <c r="J288" s="232"/>
      <c r="K288" s="232"/>
      <c r="L288" s="232"/>
      <c r="M288" s="232"/>
      <c r="N288" s="232"/>
      <c r="O288" s="313" t="s">
        <v>988</v>
      </c>
      <c r="P288" s="15"/>
      <c r="Q288" s="15"/>
      <c r="R288" s="15"/>
      <c r="S288" s="16"/>
      <c r="T288" s="232"/>
      <c r="U288" s="232"/>
      <c r="V288" s="232"/>
    </row>
    <row r="289" spans="2:22" x14ac:dyDescent="0.25">
      <c r="B289" s="192"/>
      <c r="C289" s="232"/>
      <c r="D289" s="232"/>
      <c r="E289" s="11" t="s">
        <v>978</v>
      </c>
      <c r="F289" s="2"/>
      <c r="G289" s="2"/>
      <c r="H289" s="2"/>
      <c r="I289" s="3"/>
      <c r="J289" s="847">
        <f>SUMPRODUCT(Input!$G$250:$G$269,Parameters!$J$245:$J$264)</f>
        <v>0</v>
      </c>
      <c r="K289" s="848"/>
      <c r="L289" s="232"/>
      <c r="M289" s="232"/>
      <c r="N289" s="232"/>
      <c r="O289" s="11" t="s">
        <v>978</v>
      </c>
      <c r="P289" s="2"/>
      <c r="Q289" s="2"/>
      <c r="R289" s="2"/>
      <c r="S289" s="3"/>
      <c r="T289" s="847">
        <f>SUMPRODUCT(Input!$G$250:$G$269,Parameters!$J$246:$J$265)</f>
        <v>0</v>
      </c>
      <c r="U289" s="848"/>
      <c r="V289" s="232"/>
    </row>
    <row r="290" spans="2:22" x14ac:dyDescent="0.25">
      <c r="B290" s="192"/>
      <c r="C290" s="232"/>
      <c r="D290" s="232"/>
      <c r="E290" s="12" t="s">
        <v>245</v>
      </c>
      <c r="F290" s="4"/>
      <c r="G290" s="4"/>
      <c r="H290" s="4"/>
      <c r="I290" s="5"/>
      <c r="J290" s="847">
        <f>SUMPRODUCT(Input!$G$276:$G$295,Parameters!$J$245:$J$264)</f>
        <v>0</v>
      </c>
      <c r="K290" s="848"/>
      <c r="L290" s="232"/>
      <c r="M290" s="232"/>
      <c r="N290" s="232"/>
      <c r="O290" s="12" t="s">
        <v>245</v>
      </c>
      <c r="P290" s="4"/>
      <c r="Q290" s="4"/>
      <c r="R290" s="4"/>
      <c r="S290" s="5"/>
      <c r="T290" s="847">
        <f>SUMPRODUCT(Input!$G$276:$G$295,Parameters!$J$246:$J$265)</f>
        <v>0</v>
      </c>
      <c r="U290" s="848"/>
      <c r="V290" s="232"/>
    </row>
    <row r="291" spans="2:22" x14ac:dyDescent="0.25">
      <c r="B291" s="192"/>
      <c r="C291" s="232"/>
      <c r="D291" s="232"/>
      <c r="E291" s="12" t="s">
        <v>979</v>
      </c>
      <c r="F291" s="4"/>
      <c r="G291" s="4"/>
      <c r="H291" s="4"/>
      <c r="I291" s="5"/>
      <c r="J291" s="847">
        <f>SUMPRODUCT(Input!$G$302:$G$321,Parameters!$J$245:$J$264)</f>
        <v>0</v>
      </c>
      <c r="K291" s="848"/>
      <c r="L291" s="232"/>
      <c r="M291" s="232"/>
      <c r="N291" s="232"/>
      <c r="O291" s="12" t="s">
        <v>979</v>
      </c>
      <c r="P291" s="4"/>
      <c r="Q291" s="4"/>
      <c r="R291" s="4"/>
      <c r="S291" s="5"/>
      <c r="T291" s="847">
        <f>SUMPRODUCT(Input!$G$302:$G$321,Parameters!$J$246:$J$265)</f>
        <v>0</v>
      </c>
      <c r="U291" s="848"/>
      <c r="V291" s="232"/>
    </row>
    <row r="292" spans="2:22" x14ac:dyDescent="0.25">
      <c r="B292" s="192"/>
      <c r="C292" s="232"/>
      <c r="D292" s="232"/>
      <c r="E292" s="12" t="s">
        <v>127</v>
      </c>
      <c r="F292" s="4"/>
      <c r="G292" s="4"/>
      <c r="H292" s="4"/>
      <c r="I292" s="5"/>
      <c r="J292" s="847" t="str">
        <f>IF(ISNUMBER(T278+(SUMPRODUCT(Input!$G$328:$G$335,Parameters!I273:I280)-T278)),T278+(SUMPRODUCT(Input!$G$328:$G$335,Parameters!I273:I280)-T278),"N/A")</f>
        <v>N/A</v>
      </c>
      <c r="K292" s="848"/>
      <c r="L292" s="232"/>
      <c r="M292" s="232"/>
      <c r="N292" s="232"/>
      <c r="O292" s="12" t="s">
        <v>127</v>
      </c>
      <c r="P292" s="4"/>
      <c r="Q292" s="4"/>
      <c r="R292" s="4"/>
      <c r="S292" s="5"/>
      <c r="T292" s="847" t="str">
        <f>IF(ISNUMBER(J292+1/3*(SUMPRODUCT(Input!$G$328:$G$335,Parameters!I274:I281)-J292)),J292+1/3*(SUMPRODUCT(Input!$G$328:$G$335,Parameters!I274:I281)-J292),"N/A")</f>
        <v>N/A</v>
      </c>
      <c r="U292" s="848"/>
      <c r="V292" s="232"/>
    </row>
    <row r="293" spans="2:22" x14ac:dyDescent="0.25">
      <c r="B293" s="192"/>
      <c r="C293" s="232"/>
      <c r="D293" s="232"/>
      <c r="E293" s="14" t="s">
        <v>989</v>
      </c>
      <c r="F293" s="15"/>
      <c r="G293" s="15"/>
      <c r="H293" s="15"/>
      <c r="I293" s="16"/>
      <c r="J293" s="847" t="str">
        <f>IF(ISNUMBER((J289*Input!$G$249+Input!$G$275*Calculation!J290+Calculation!J291*Input!$G$301+Input!$G$327*Calculation!J292)/SUM(Input!$G$327+Input!$G$301+Input!$G$275+Input!$G$249)),(J289*Input!$G$249+Input!$G$275*Calculation!J290+Calculation!J291*Input!$G$301+Input!$G$327*Calculation!J292)/SUM(Input!$G$327+Input!$G$301+Input!$G$275+Input!$G$249),"N/A")</f>
        <v>N/A</v>
      </c>
      <c r="K293" s="848"/>
      <c r="L293" s="232"/>
      <c r="M293" s="232"/>
      <c r="N293" s="232"/>
      <c r="O293" s="14" t="s">
        <v>990</v>
      </c>
      <c r="P293" s="15"/>
      <c r="Q293" s="15"/>
      <c r="R293" s="15"/>
      <c r="S293" s="16"/>
      <c r="T293" s="847" t="str">
        <f>IF(ISNUMBER((T289*Input!$G$249+Input!$G$275*Calculation!T290+Calculation!T291*Input!$G$301+Input!$G$327*Calculation!T292)/SUM(Input!$G$327+Input!$G$301+Input!$G$275+Input!$G$249)),(T289*Input!$G$249+Input!$G$275*Calculation!T290+Calculation!T291*Input!$G$301+Input!$G$327*Calculation!T292)/SUM(Input!$G$327+Input!$G$301+Input!$G$275+Input!$G$249),"N/A")</f>
        <v>N/A</v>
      </c>
      <c r="U293" s="848"/>
      <c r="V293" s="232"/>
    </row>
    <row r="294" spans="2:22" x14ac:dyDescent="0.25">
      <c r="B294" s="192"/>
      <c r="C294" s="232"/>
      <c r="D294" s="232"/>
      <c r="E294" s="232"/>
      <c r="F294" s="232"/>
      <c r="G294" s="232"/>
      <c r="H294" s="232"/>
      <c r="I294" s="232"/>
      <c r="J294" s="232"/>
      <c r="K294" s="232"/>
      <c r="L294" s="232"/>
      <c r="M294" s="232"/>
      <c r="N294" s="232"/>
      <c r="O294" s="232"/>
      <c r="P294" s="232"/>
      <c r="Q294" s="232"/>
      <c r="R294" s="232"/>
      <c r="S294" s="232"/>
      <c r="T294" s="232"/>
      <c r="U294" s="232"/>
      <c r="V294" s="232"/>
    </row>
    <row r="295" spans="2:22" x14ac:dyDescent="0.25">
      <c r="B295" s="192"/>
      <c r="C295" s="232"/>
      <c r="D295" s="232"/>
      <c r="E295" s="313" t="s">
        <v>991</v>
      </c>
      <c r="F295" s="15"/>
      <c r="G295" s="15"/>
      <c r="H295" s="15"/>
      <c r="I295" s="16"/>
      <c r="J295" s="232"/>
      <c r="K295" s="232"/>
      <c r="L295" s="232"/>
      <c r="M295" s="232"/>
      <c r="N295" s="232"/>
      <c r="O295" s="313" t="s">
        <v>992</v>
      </c>
      <c r="P295" s="15"/>
      <c r="Q295" s="15"/>
      <c r="R295" s="15"/>
      <c r="S295" s="16"/>
      <c r="T295" s="232"/>
      <c r="U295" s="232"/>
      <c r="V295" s="232"/>
    </row>
    <row r="296" spans="2:22" x14ac:dyDescent="0.25">
      <c r="B296" s="192"/>
      <c r="C296" s="232"/>
      <c r="D296" s="232"/>
      <c r="E296" s="11" t="s">
        <v>978</v>
      </c>
      <c r="F296" s="2"/>
      <c r="G296" s="2"/>
      <c r="H296" s="2"/>
      <c r="I296" s="3"/>
      <c r="J296" s="847">
        <f>SUMPRODUCT(Input!$G$250:$G$269,Parameters!$J$247:$J$266)</f>
        <v>0</v>
      </c>
      <c r="K296" s="848"/>
      <c r="L296" s="232"/>
      <c r="M296" s="232"/>
      <c r="N296" s="232"/>
      <c r="O296" s="11" t="s">
        <v>978</v>
      </c>
      <c r="P296" s="2"/>
      <c r="Q296" s="2"/>
      <c r="R296" s="2"/>
      <c r="S296" s="3"/>
      <c r="T296" s="847">
        <f>SUMPRODUCT(Input!$G$250:$G$269,Parameters!$J$248:$J$267)</f>
        <v>0</v>
      </c>
      <c r="U296" s="848"/>
      <c r="V296" s="232"/>
    </row>
    <row r="297" spans="2:22" x14ac:dyDescent="0.25">
      <c r="B297" s="192"/>
      <c r="C297" s="232"/>
      <c r="D297" s="232"/>
      <c r="E297" s="12" t="s">
        <v>245</v>
      </c>
      <c r="F297" s="4"/>
      <c r="G297" s="4"/>
      <c r="H297" s="4"/>
      <c r="I297" s="5"/>
      <c r="J297" s="847">
        <f>SUMPRODUCT(Input!$G$276:$G$295,Parameters!$J$247:$J$266)</f>
        <v>0</v>
      </c>
      <c r="K297" s="848"/>
      <c r="L297" s="232"/>
      <c r="M297" s="232"/>
      <c r="N297" s="232"/>
      <c r="O297" s="12" t="s">
        <v>245</v>
      </c>
      <c r="P297" s="4"/>
      <c r="Q297" s="4"/>
      <c r="R297" s="4"/>
      <c r="S297" s="5"/>
      <c r="T297" s="847">
        <f>SUMPRODUCT(Input!$G$276:$G$295,Parameters!$J$248:$J$267)</f>
        <v>0</v>
      </c>
      <c r="U297" s="848"/>
      <c r="V297" s="232"/>
    </row>
    <row r="298" spans="2:22" x14ac:dyDescent="0.25">
      <c r="B298" s="192"/>
      <c r="C298" s="232"/>
      <c r="D298" s="232"/>
      <c r="E298" s="12" t="s">
        <v>979</v>
      </c>
      <c r="F298" s="4"/>
      <c r="G298" s="4"/>
      <c r="H298" s="4"/>
      <c r="I298" s="5"/>
      <c r="J298" s="847">
        <f>SUMPRODUCT(Input!$G$302:$G$321,Parameters!$J$247:$J$266)</f>
        <v>0</v>
      </c>
      <c r="K298" s="848"/>
      <c r="L298" s="232"/>
      <c r="M298" s="232"/>
      <c r="N298" s="232"/>
      <c r="O298" s="12" t="s">
        <v>979</v>
      </c>
      <c r="P298" s="4"/>
      <c r="Q298" s="4"/>
      <c r="R298" s="4"/>
      <c r="S298" s="5"/>
      <c r="T298" s="847">
        <f>SUMPRODUCT(Input!$G$302:$G$321,Parameters!$J$248:$J$267)</f>
        <v>0</v>
      </c>
      <c r="U298" s="848"/>
      <c r="V298" s="232"/>
    </row>
    <row r="299" spans="2:22" x14ac:dyDescent="0.25">
      <c r="B299" s="192"/>
      <c r="C299" s="232"/>
      <c r="D299" s="232"/>
      <c r="E299" s="12" t="s">
        <v>127</v>
      </c>
      <c r="F299" s="4"/>
      <c r="G299" s="4"/>
      <c r="H299" s="4"/>
      <c r="I299" s="5"/>
      <c r="J299" s="847" t="str">
        <f>IF(ISNUMBER(J292+2/3*(SUMPRODUCT(Input!$G$328:$G$335,Parameters!I274:I281)-J292)),J292+2/3*(SUMPRODUCT(Input!$G$328:$G$335,Parameters!I274:I281)-J292),"N/A")</f>
        <v>N/A</v>
      </c>
      <c r="K299" s="848"/>
      <c r="L299" s="232"/>
      <c r="M299" s="232"/>
      <c r="N299" s="232"/>
      <c r="O299" s="12" t="s">
        <v>127</v>
      </c>
      <c r="P299" s="4"/>
      <c r="Q299" s="4"/>
      <c r="R299" s="4"/>
      <c r="S299" s="5"/>
      <c r="T299" s="847" t="str">
        <f>IF(ISNUMBER(J292+(SUMPRODUCT(Input!$G$328:$G$335,Parameters!I274:I281)-J292)),J292+(SUMPRODUCT(Input!$G$328:$G$335,Parameters!I274:I281)-J292),"N/A")</f>
        <v>N/A</v>
      </c>
      <c r="U299" s="848"/>
      <c r="V299" s="232"/>
    </row>
    <row r="300" spans="2:22" x14ac:dyDescent="0.25">
      <c r="B300" s="192"/>
      <c r="C300" s="232"/>
      <c r="D300" s="232"/>
      <c r="E300" s="14" t="s">
        <v>993</v>
      </c>
      <c r="F300" s="15"/>
      <c r="G300" s="15"/>
      <c r="H300" s="15"/>
      <c r="I300" s="16"/>
      <c r="J300" s="847" t="str">
        <f>IF(ISNUMBER((J296*Input!$G$249+Input!$G$275*Calculation!J297+Calculation!J298*Input!$G$301+Input!$G$327*Calculation!J299)/SUM(Input!$G$327+Input!$G$301+Input!$G$275+Input!$G$249)),(J296*Input!$G$249+Input!$G$275*Calculation!J297+Calculation!J298*Input!$G$301+Input!$G$327*Calculation!J299)/SUM(Input!$G$327+Input!$G$301+Input!$G$275+Input!$G$249),"N/A")</f>
        <v>N/A</v>
      </c>
      <c r="K300" s="848"/>
      <c r="L300" s="232"/>
      <c r="M300" s="232"/>
      <c r="N300" s="232"/>
      <c r="O300" s="14" t="s">
        <v>990</v>
      </c>
      <c r="P300" s="15"/>
      <c r="Q300" s="15"/>
      <c r="R300" s="15"/>
      <c r="S300" s="16"/>
      <c r="T300" s="847" t="str">
        <f>IF(ISNUMBER((T296*Input!$G$249+Input!$G$275*Calculation!T297+Calculation!T298*Input!$G$301+Input!$G$327*Calculation!T299)/SUM(Input!$G$327+Input!$G$301+Input!$G$275+Input!$G$249)),(T296*Input!$G$249+Input!$G$275*Calculation!T297+Calculation!T298*Input!$G$301+Input!$G$327*Calculation!T299)/SUM(Input!$G$327+Input!$G$301+Input!$G$275+Input!$G$249),"N/A")</f>
        <v>N/A</v>
      </c>
      <c r="U300" s="848"/>
      <c r="V300" s="232"/>
    </row>
    <row r="301" spans="2:22" x14ac:dyDescent="0.25">
      <c r="B301" s="192"/>
      <c r="C301" s="232"/>
      <c r="D301" s="232"/>
      <c r="E301" s="232"/>
      <c r="F301" s="232"/>
      <c r="G301" s="232"/>
      <c r="H301" s="232"/>
      <c r="I301" s="232"/>
      <c r="J301" s="232"/>
      <c r="K301" s="232"/>
      <c r="L301" s="232"/>
      <c r="M301" s="232"/>
      <c r="N301" s="232"/>
      <c r="O301" s="232"/>
      <c r="P301" s="232"/>
      <c r="Q301" s="232"/>
      <c r="R301" s="232"/>
      <c r="S301" s="232"/>
      <c r="T301" s="232"/>
      <c r="U301" s="232"/>
      <c r="V301" s="232"/>
    </row>
    <row r="302" spans="2:22" x14ac:dyDescent="0.25">
      <c r="B302" s="192"/>
      <c r="C302" s="232"/>
      <c r="D302" s="232"/>
      <c r="E302" s="232"/>
      <c r="F302" s="232"/>
      <c r="G302" s="232"/>
      <c r="H302" s="232"/>
      <c r="I302" s="232"/>
      <c r="J302" s="232"/>
      <c r="K302" s="232"/>
      <c r="L302" s="232"/>
      <c r="M302" s="232"/>
      <c r="N302" s="232"/>
      <c r="O302" s="232"/>
      <c r="P302" s="232"/>
      <c r="Q302" s="232"/>
      <c r="R302" s="232"/>
      <c r="S302" s="232"/>
      <c r="T302" s="232"/>
      <c r="U302" s="232"/>
      <c r="V302" s="232"/>
    </row>
    <row r="303" spans="2:22" x14ac:dyDescent="0.25">
      <c r="B303" s="192"/>
      <c r="C303" s="232"/>
      <c r="D303" s="232"/>
      <c r="E303" s="232"/>
      <c r="F303" s="232"/>
      <c r="G303" s="232"/>
      <c r="H303" s="232"/>
      <c r="I303" s="232"/>
      <c r="J303" s="313" t="s">
        <v>995</v>
      </c>
      <c r="K303" s="15"/>
      <c r="L303" s="15"/>
      <c r="M303" s="15"/>
      <c r="N303" s="16"/>
      <c r="O303" s="232"/>
      <c r="P303" s="232"/>
      <c r="Q303" s="232"/>
      <c r="R303" s="232"/>
      <c r="S303" s="232"/>
      <c r="T303" s="232"/>
      <c r="U303" s="232"/>
      <c r="V303" s="232"/>
    </row>
    <row r="304" spans="2:22" x14ac:dyDescent="0.25">
      <c r="B304" s="192"/>
      <c r="C304" s="232"/>
      <c r="D304" s="232"/>
      <c r="E304" s="232"/>
      <c r="F304" s="232"/>
      <c r="G304" s="232"/>
      <c r="H304" s="232"/>
      <c r="I304" s="318">
        <v>0</v>
      </c>
      <c r="J304" s="11" t="s">
        <v>973</v>
      </c>
      <c r="K304" s="2"/>
      <c r="L304" s="2"/>
      <c r="M304" s="2"/>
      <c r="N304" s="3"/>
      <c r="O304" s="847" t="str">
        <f>J272</f>
        <v>N/A</v>
      </c>
      <c r="P304" s="848"/>
      <c r="Q304" s="232"/>
      <c r="R304" s="232"/>
      <c r="S304" s="232"/>
      <c r="T304" s="232"/>
      <c r="U304" s="232"/>
      <c r="V304" s="232"/>
    </row>
    <row r="305" spans="2:22" x14ac:dyDescent="0.25">
      <c r="B305" s="192"/>
      <c r="C305" s="232"/>
      <c r="D305" s="232"/>
      <c r="E305" s="232"/>
      <c r="F305" s="232"/>
      <c r="G305" s="232"/>
      <c r="H305" s="232"/>
      <c r="I305" s="318">
        <v>1</v>
      </c>
      <c r="J305" s="12" t="s">
        <v>974</v>
      </c>
      <c r="K305" s="4"/>
      <c r="L305" s="4"/>
      <c r="M305" s="4"/>
      <c r="N305" s="5"/>
      <c r="O305" s="847" t="str">
        <f>T272</f>
        <v>N/A</v>
      </c>
      <c r="P305" s="848"/>
      <c r="Q305" s="232"/>
      <c r="R305" s="232"/>
      <c r="S305" s="232"/>
      <c r="T305" s="232"/>
      <c r="U305" s="232"/>
      <c r="V305" s="232"/>
    </row>
    <row r="306" spans="2:22" x14ac:dyDescent="0.25">
      <c r="B306" s="192"/>
      <c r="C306" s="232"/>
      <c r="D306" s="232"/>
      <c r="E306" s="232"/>
      <c r="F306" s="232"/>
      <c r="G306" s="232"/>
      <c r="H306" s="232"/>
      <c r="I306" s="318">
        <v>2</v>
      </c>
      <c r="J306" s="12" t="s">
        <v>977</v>
      </c>
      <c r="K306" s="4"/>
      <c r="L306" s="4"/>
      <c r="M306" s="4"/>
      <c r="N306" s="5"/>
      <c r="O306" s="847" t="str">
        <f>J279</f>
        <v>N/A</v>
      </c>
      <c r="P306" s="848"/>
      <c r="Q306" s="232"/>
      <c r="R306" s="232"/>
      <c r="S306" s="232"/>
      <c r="T306" s="232"/>
      <c r="U306" s="232"/>
      <c r="V306" s="232"/>
    </row>
    <row r="307" spans="2:22" x14ac:dyDescent="0.25">
      <c r="B307" s="192"/>
      <c r="C307" s="232"/>
      <c r="D307" s="232"/>
      <c r="E307" s="232"/>
      <c r="F307" s="232"/>
      <c r="G307" s="232"/>
      <c r="H307" s="232"/>
      <c r="I307" s="318">
        <v>3</v>
      </c>
      <c r="J307" s="12" t="s">
        <v>980</v>
      </c>
      <c r="K307" s="4"/>
      <c r="L307" s="4"/>
      <c r="M307" s="4"/>
      <c r="N307" s="5"/>
      <c r="O307" s="847" t="str">
        <f>T279</f>
        <v>N/A</v>
      </c>
      <c r="P307" s="848"/>
      <c r="Q307" s="232"/>
      <c r="R307" s="232"/>
      <c r="S307" s="232"/>
      <c r="T307" s="232"/>
      <c r="U307" s="232"/>
      <c r="V307" s="232"/>
    </row>
    <row r="308" spans="2:22" x14ac:dyDescent="0.25">
      <c r="B308" s="192"/>
      <c r="C308" s="232"/>
      <c r="D308" s="232"/>
      <c r="E308" s="232"/>
      <c r="F308" s="232"/>
      <c r="G308" s="232"/>
      <c r="H308" s="232"/>
      <c r="I308" s="318">
        <v>4</v>
      </c>
      <c r="J308" s="12" t="s">
        <v>981</v>
      </c>
      <c r="K308" s="4"/>
      <c r="L308" s="4"/>
      <c r="M308" s="4"/>
      <c r="N308" s="5"/>
      <c r="O308" s="847" t="str">
        <f>J286</f>
        <v>N/A</v>
      </c>
      <c r="P308" s="848"/>
      <c r="Q308" s="232"/>
      <c r="R308" s="232"/>
      <c r="S308" s="232"/>
      <c r="T308" s="232"/>
      <c r="U308" s="232"/>
      <c r="V308" s="232"/>
    </row>
    <row r="309" spans="2:22" x14ac:dyDescent="0.25">
      <c r="B309" s="192"/>
      <c r="C309" s="232"/>
      <c r="D309" s="232"/>
      <c r="E309" s="232"/>
      <c r="F309" s="232"/>
      <c r="G309" s="232"/>
      <c r="H309" s="232"/>
      <c r="I309" s="318">
        <v>5</v>
      </c>
      <c r="J309" s="12" t="s">
        <v>984</v>
      </c>
      <c r="K309" s="4"/>
      <c r="L309" s="4"/>
      <c r="M309" s="4"/>
      <c r="N309" s="5"/>
      <c r="O309" s="847" t="str">
        <f>T286</f>
        <v>N/A</v>
      </c>
      <c r="P309" s="848"/>
      <c r="Q309" s="232"/>
      <c r="R309" s="232"/>
      <c r="S309" s="232"/>
      <c r="T309" s="232"/>
      <c r="U309" s="232"/>
      <c r="V309" s="232"/>
    </row>
    <row r="310" spans="2:22" x14ac:dyDescent="0.25">
      <c r="B310" s="192"/>
      <c r="C310" s="232"/>
      <c r="D310" s="232"/>
      <c r="E310" s="232"/>
      <c r="F310" s="232"/>
      <c r="G310" s="232"/>
      <c r="H310" s="232"/>
      <c r="I310" s="318">
        <v>6</v>
      </c>
      <c r="J310" s="12" t="s">
        <v>989</v>
      </c>
      <c r="K310" s="4"/>
      <c r="L310" s="4"/>
      <c r="M310" s="4"/>
      <c r="N310" s="5"/>
      <c r="O310" s="847" t="str">
        <f>J293</f>
        <v>N/A</v>
      </c>
      <c r="P310" s="848"/>
      <c r="Q310" s="232"/>
      <c r="R310" s="232"/>
      <c r="S310" s="232"/>
      <c r="T310" s="232"/>
      <c r="U310" s="232"/>
      <c r="V310" s="232"/>
    </row>
    <row r="311" spans="2:22" x14ac:dyDescent="0.25">
      <c r="B311" s="192"/>
      <c r="C311" s="232"/>
      <c r="D311" s="232"/>
      <c r="E311" s="232"/>
      <c r="F311" s="232"/>
      <c r="G311" s="232"/>
      <c r="H311" s="232"/>
      <c r="I311" s="318">
        <v>7</v>
      </c>
      <c r="J311" s="12" t="s">
        <v>990</v>
      </c>
      <c r="K311" s="4"/>
      <c r="L311" s="4"/>
      <c r="M311" s="4"/>
      <c r="N311" s="5"/>
      <c r="O311" s="847" t="str">
        <f>T293</f>
        <v>N/A</v>
      </c>
      <c r="P311" s="848"/>
      <c r="Q311" s="232"/>
      <c r="R311" s="232"/>
      <c r="S311" s="232"/>
      <c r="T311" s="232"/>
      <c r="U311" s="232"/>
      <c r="V311" s="232"/>
    </row>
    <row r="312" spans="2:22" x14ac:dyDescent="0.25">
      <c r="B312" s="192"/>
      <c r="C312" s="232"/>
      <c r="D312" s="232"/>
      <c r="E312" s="232"/>
      <c r="F312" s="232"/>
      <c r="G312" s="232"/>
      <c r="H312" s="232"/>
      <c r="I312" s="318">
        <v>8</v>
      </c>
      <c r="J312" s="12" t="s">
        <v>993</v>
      </c>
      <c r="K312" s="4"/>
      <c r="L312" s="4"/>
      <c r="M312" s="4"/>
      <c r="N312" s="5"/>
      <c r="O312" s="847" t="str">
        <f>J300</f>
        <v>N/A</v>
      </c>
      <c r="P312" s="848"/>
      <c r="Q312" s="232"/>
      <c r="R312" s="232"/>
      <c r="S312" s="232"/>
      <c r="T312" s="232"/>
      <c r="U312" s="232"/>
      <c r="V312" s="232"/>
    </row>
    <row r="313" spans="2:22" x14ac:dyDescent="0.25">
      <c r="B313" s="192"/>
      <c r="C313" s="232"/>
      <c r="D313" s="232"/>
      <c r="E313" s="232"/>
      <c r="F313" s="232"/>
      <c r="G313" s="232"/>
      <c r="H313" s="232"/>
      <c r="I313" s="318">
        <v>9</v>
      </c>
      <c r="J313" s="13" t="s">
        <v>994</v>
      </c>
      <c r="K313" s="6"/>
      <c r="L313" s="6"/>
      <c r="M313" s="6"/>
      <c r="N313" s="7"/>
      <c r="O313" s="847" t="str">
        <f>T300</f>
        <v>N/A</v>
      </c>
      <c r="P313" s="848"/>
      <c r="Q313" s="232"/>
      <c r="R313" s="232"/>
      <c r="S313" s="232"/>
      <c r="T313" s="232"/>
      <c r="U313" s="232"/>
      <c r="V313" s="232"/>
    </row>
    <row r="314" spans="2:22" x14ac:dyDescent="0.25">
      <c r="B314" s="192"/>
      <c r="C314" s="232"/>
      <c r="D314" s="232"/>
      <c r="E314" s="232"/>
      <c r="F314" s="232"/>
      <c r="G314" s="232"/>
      <c r="H314" s="232"/>
      <c r="I314" s="232"/>
      <c r="J314" s="232"/>
      <c r="K314" s="232"/>
      <c r="L314" s="232"/>
      <c r="M314" s="232"/>
      <c r="N314" s="232"/>
      <c r="O314" s="232"/>
      <c r="P314" s="232"/>
      <c r="Q314" s="232"/>
      <c r="R314" s="232"/>
      <c r="S314" s="232"/>
      <c r="T314" s="232"/>
      <c r="U314" s="232"/>
      <c r="V314" s="232"/>
    </row>
    <row r="315" spans="2:22" x14ac:dyDescent="0.25">
      <c r="B315" s="192"/>
      <c r="C315" s="232"/>
      <c r="D315" s="232"/>
      <c r="E315" s="232"/>
      <c r="F315" s="232"/>
      <c r="G315" s="232"/>
      <c r="H315" s="232"/>
      <c r="I315" s="232"/>
      <c r="J315" s="232"/>
      <c r="K315" s="232"/>
      <c r="L315" s="232"/>
      <c r="M315" s="232"/>
      <c r="N315" s="232"/>
      <c r="O315" s="232"/>
      <c r="P315" s="232"/>
      <c r="Q315" s="232"/>
      <c r="R315" s="232"/>
      <c r="S315" s="232"/>
      <c r="T315" s="232"/>
      <c r="U315" s="232"/>
      <c r="V315" s="232"/>
    </row>
    <row r="316" spans="2:22" ht="18.75" x14ac:dyDescent="0.25">
      <c r="B316" s="252" t="s">
        <v>996</v>
      </c>
      <c r="C316" s="199"/>
      <c r="D316" s="199"/>
      <c r="E316" s="199"/>
      <c r="F316" s="199"/>
      <c r="G316" s="199"/>
      <c r="H316" s="199"/>
      <c r="I316" s="200"/>
      <c r="J316" s="200"/>
      <c r="K316" s="199"/>
      <c r="L316" s="199"/>
      <c r="M316" s="199"/>
      <c r="N316" s="199"/>
      <c r="O316" s="199"/>
      <c r="P316" s="199"/>
      <c r="Q316" s="199"/>
      <c r="R316" s="199"/>
      <c r="S316" s="199"/>
      <c r="T316" s="199"/>
      <c r="U316" s="199"/>
      <c r="V316" s="199"/>
    </row>
    <row r="317" spans="2:22" ht="18.75" x14ac:dyDescent="0.3">
      <c r="B317" s="192"/>
      <c r="C317" s="221"/>
      <c r="D317" s="232"/>
      <c r="E317" s="232"/>
      <c r="F317" s="232"/>
      <c r="G317" s="232"/>
      <c r="H317" s="232"/>
      <c r="I317" s="232"/>
      <c r="J317" s="232"/>
      <c r="K317" s="232"/>
      <c r="L317" s="232"/>
      <c r="M317" s="232"/>
      <c r="N317" s="232"/>
      <c r="O317" s="232"/>
      <c r="P317" s="232"/>
      <c r="Q317" s="232"/>
      <c r="R317" s="232"/>
      <c r="S317" s="232"/>
      <c r="T317" s="232"/>
      <c r="U317" s="232"/>
      <c r="V317" s="232"/>
    </row>
    <row r="318" spans="2:22" x14ac:dyDescent="0.25">
      <c r="B318" s="192"/>
      <c r="C318" s="232"/>
      <c r="D318" s="232"/>
      <c r="E318" s="232"/>
      <c r="F318" s="232"/>
      <c r="G318" s="232"/>
      <c r="H318" s="232"/>
      <c r="I318" s="232"/>
      <c r="J318" s="232"/>
      <c r="K318" s="232"/>
      <c r="L318" s="232"/>
      <c r="M318" s="232"/>
      <c r="N318" s="232"/>
      <c r="O318" s="232"/>
      <c r="P318" s="232"/>
      <c r="Q318" s="232"/>
      <c r="R318" s="232"/>
      <c r="S318" s="232"/>
      <c r="T318" s="232"/>
      <c r="U318" s="232"/>
      <c r="V318" s="232"/>
    </row>
    <row r="319" spans="2:22" x14ac:dyDescent="0.25">
      <c r="B319" s="192"/>
      <c r="C319" s="232"/>
      <c r="D319" s="232"/>
      <c r="E319" s="232"/>
      <c r="F319" s="232"/>
      <c r="G319" s="232"/>
      <c r="H319" s="232"/>
      <c r="I319" s="232"/>
      <c r="J319" s="844" t="s">
        <v>997</v>
      </c>
      <c r="K319" s="846"/>
      <c r="L319" s="844" t="s">
        <v>998</v>
      </c>
      <c r="M319" s="846"/>
      <c r="N319" s="844" t="s">
        <v>999</v>
      </c>
      <c r="O319" s="846"/>
      <c r="P319" s="844" t="s">
        <v>1000</v>
      </c>
      <c r="Q319" s="846"/>
      <c r="R319" s="844" t="s">
        <v>1001</v>
      </c>
      <c r="S319" s="846"/>
      <c r="T319" s="844" t="s">
        <v>1002</v>
      </c>
      <c r="U319" s="846"/>
      <c r="V319" s="232"/>
    </row>
    <row r="320" spans="2:22" x14ac:dyDescent="0.25">
      <c r="B320" s="192"/>
      <c r="C320" s="232"/>
      <c r="D320" s="232"/>
      <c r="E320" s="11" t="s">
        <v>1003</v>
      </c>
      <c r="F320" s="2"/>
      <c r="G320" s="2"/>
      <c r="H320" s="2"/>
      <c r="I320" s="3"/>
      <c r="J320" s="849">
        <f>Parameters!$Q$191*12.5*IF(Assumptions!$J$53="Yes",(1+'Summary of Input Data'!$I$41),1)</f>
        <v>5308.1548026256132</v>
      </c>
      <c r="K320" s="850"/>
      <c r="L320" s="232"/>
      <c r="M320" s="232"/>
      <c r="N320" s="264"/>
      <c r="O320" s="264"/>
      <c r="P320" s="264"/>
      <c r="Q320" s="264"/>
      <c r="R320" s="264"/>
      <c r="S320" s="264"/>
      <c r="T320" s="264"/>
      <c r="U320" s="264"/>
      <c r="V320" s="232"/>
    </row>
    <row r="321" spans="2:22" x14ac:dyDescent="0.25">
      <c r="B321" s="192"/>
      <c r="C321" s="232"/>
      <c r="D321" s="232"/>
      <c r="E321" s="11" t="s">
        <v>1004</v>
      </c>
      <c r="F321" s="2"/>
      <c r="G321" s="2"/>
      <c r="H321" s="2"/>
      <c r="I321" s="3"/>
      <c r="J321" s="232"/>
      <c r="K321" s="232"/>
      <c r="L321" s="849">
        <f>'Y1 to Y5'!K34</f>
        <v>2705.8011681457983</v>
      </c>
      <c r="M321" s="850"/>
      <c r="N321" s="849">
        <f>'Y1 to Y5'!M34</f>
        <v>2583.6375836793709</v>
      </c>
      <c r="O321" s="850"/>
      <c r="P321" s="849">
        <f>'Y1 to Y5'!O34</f>
        <v>2449.9618664050568</v>
      </c>
      <c r="Q321" s="850"/>
      <c r="R321" s="849">
        <f>'Y1 to Y5'!Q34</f>
        <v>2304.7978230551362</v>
      </c>
      <c r="S321" s="850"/>
      <c r="T321" s="849">
        <f>'Y1 to Y5'!S34</f>
        <v>2148.5387458333207</v>
      </c>
      <c r="U321" s="850"/>
      <c r="V321" s="232"/>
    </row>
    <row r="322" spans="2:22" x14ac:dyDescent="0.25">
      <c r="B322" s="192"/>
      <c r="C322" s="232"/>
      <c r="D322" s="232"/>
      <c r="E322" s="12" t="s">
        <v>1005</v>
      </c>
      <c r="F322" s="4"/>
      <c r="G322" s="4"/>
      <c r="H322" s="4"/>
      <c r="I322" s="257"/>
      <c r="J322" s="232"/>
      <c r="K322" s="232"/>
      <c r="L322" s="847">
        <f>IF(Setup!$B$7="PD/LGD",Calculation!L53,Calculation!L53/L323)</f>
        <v>3.9375775921669492E-2</v>
      </c>
      <c r="M322" s="848"/>
      <c r="N322" s="847">
        <f>IF(Setup!$B$7="PD/LGD",Calculation!N53,Calculation!N53/N323)</f>
        <v>4.5148766252526396E-2</v>
      </c>
      <c r="O322" s="848"/>
      <c r="P322" s="847">
        <f>IF(Setup!$B$7="PD/LGD",Calculation!P53,Calculation!P53/P323)</f>
        <v>5.1739345378288518E-2</v>
      </c>
      <c r="Q322" s="848"/>
      <c r="R322" s="847">
        <f>IF(Setup!$B$7="PD/LGD",Calculation!R53,Calculation!R53/R323)</f>
        <v>5.9251552173310726E-2</v>
      </c>
      <c r="S322" s="848"/>
      <c r="T322" s="847">
        <f>IF(Setup!$B$7="PD/LGD",Calculation!T53,Calculation!T53/T323)</f>
        <v>6.7797303372443121E-2</v>
      </c>
      <c r="U322" s="848"/>
      <c r="V322" s="232"/>
    </row>
    <row r="323" spans="2:22" x14ac:dyDescent="0.25">
      <c r="B323" s="192"/>
      <c r="C323" s="232"/>
      <c r="D323" s="232"/>
      <c r="E323" s="12" t="s">
        <v>247</v>
      </c>
      <c r="F323" s="4"/>
      <c r="G323" s="4"/>
      <c r="H323" s="4"/>
      <c r="I323" s="257"/>
      <c r="J323" s="232"/>
      <c r="K323" s="232"/>
      <c r="L323" s="847">
        <f>IF(Setup!$B$7="PD/LGD",Calculation!L80,'Summary of Input Data'!$I$30)</f>
        <v>0.94608848326505846</v>
      </c>
      <c r="M323" s="848"/>
      <c r="N323" s="847">
        <f>IF(Setup!$B$7="PD/LGD",Calculation!N80,'Summary of Input Data'!$I$30)</f>
        <v>1</v>
      </c>
      <c r="O323" s="848"/>
      <c r="P323" s="847">
        <f>IF(Setup!$B$7="PD/LGD",Calculation!P80,'Summary of Input Data'!$I$30)</f>
        <v>1</v>
      </c>
      <c r="Q323" s="848"/>
      <c r="R323" s="847">
        <f>IF(Setup!$B$7="PD/LGD",Calculation!R80,'Summary of Input Data'!$I$30)</f>
        <v>1</v>
      </c>
      <c r="S323" s="848"/>
      <c r="T323" s="847">
        <f>IF(Setup!$B$7="PD/LGD",Calculation!T80,'Summary of Input Data'!$I$30)</f>
        <v>1</v>
      </c>
      <c r="U323" s="848"/>
      <c r="V323" s="232"/>
    </row>
    <row r="324" spans="2:22" x14ac:dyDescent="0.25">
      <c r="B324" s="192"/>
      <c r="C324" s="232"/>
      <c r="D324" s="232"/>
      <c r="E324" s="12" t="s">
        <v>1006</v>
      </c>
      <c r="F324" s="4"/>
      <c r="G324" s="4"/>
      <c r="H324" s="4"/>
      <c r="I324" s="257"/>
      <c r="J324" s="232"/>
      <c r="K324" s="232"/>
      <c r="L324" s="847">
        <f>0.12*(1-EXP(-50*L322))/(1-EXP(-50))+0.24*(1-(1-EXP(-50*L322))/(1-EXP(-50)))</f>
        <v>0.13675510430873294</v>
      </c>
      <c r="M324" s="848"/>
      <c r="N324" s="847">
        <f>0.12*(1-EXP(-50*N322))/(1-EXP(-50))+0.24*(1-(1-EXP(-50*N322))/(1-EXP(-50)))</f>
        <v>0.1325541768903751</v>
      </c>
      <c r="O324" s="848"/>
      <c r="P324" s="847">
        <f>0.12*(1-EXP(-50*P322))/(1-EXP(-50))+0.24*(1-(1-EXP(-50*P322))/(1-EXP(-50)))</f>
        <v>0.12902974812465456</v>
      </c>
      <c r="Q324" s="848"/>
      <c r="R324" s="847">
        <f>0.12*(1-EXP(-50*R322))/(1-EXP(-50))+0.24*(1-(1-EXP(-50*R322))/(1-EXP(-50)))</f>
        <v>0.12620226243349622</v>
      </c>
      <c r="S324" s="848"/>
      <c r="T324" s="847">
        <f>0.12*(1-EXP(-50*T322))/(1-EXP(-50))+0.24*(1-(1-EXP(-50*T322))/(1-EXP(-50)))</f>
        <v>0.12404558666320095</v>
      </c>
      <c r="U324" s="848"/>
      <c r="V324" s="232"/>
    </row>
    <row r="325" spans="2:22" x14ac:dyDescent="0.25">
      <c r="B325" s="192"/>
      <c r="C325" s="232"/>
      <c r="D325" s="232"/>
      <c r="E325" s="12" t="s">
        <v>1007</v>
      </c>
      <c r="F325" s="4"/>
      <c r="G325" s="4"/>
      <c r="H325" s="4"/>
      <c r="I325" s="257"/>
      <c r="J325" s="232"/>
      <c r="K325" s="232"/>
      <c r="L325" s="847">
        <f>0.03*(1-EXP(-35*L322))/(1-EXP(-35))+0.16*(1-(1-EXP(-35*L322))/(1-EXP(-35)))</f>
        <v>6.2765701856938985E-2</v>
      </c>
      <c r="M325" s="848"/>
      <c r="N325" s="847">
        <f>0.03*(1-EXP(-35*N322))/(1-EXP(-35))+0.16*(1-(1-EXP(-35*N322))/(1-EXP(-35)))</f>
        <v>5.677122540029822E-2</v>
      </c>
      <c r="O325" s="848"/>
      <c r="P325" s="847">
        <f>0.03*(1-EXP(-35*P322))/(1-EXP(-35))+0.16*(1-(1-EXP(-35*P322))/(1-EXP(-35)))</f>
        <v>5.1256385879781957E-2</v>
      </c>
      <c r="Q325" s="848"/>
      <c r="R325" s="847">
        <f>0.03*(1-EXP(-35*R322))/(1-EXP(-35))+0.16*(1-(1-EXP(-35*R322))/(1-EXP(-35)))</f>
        <v>4.6341863437457692E-2</v>
      </c>
      <c r="S325" s="848"/>
      <c r="T325" s="847">
        <f>0.03*(1-EXP(-35*T322))/(1-EXP(-35))+0.16*(1-(1-EXP(-35*T322))/(1-EXP(-35)))</f>
        <v>4.2117235158969028E-2</v>
      </c>
      <c r="U325" s="848"/>
      <c r="V325" s="232"/>
    </row>
    <row r="326" spans="2:22" x14ac:dyDescent="0.25">
      <c r="B326" s="192"/>
      <c r="C326" s="232"/>
      <c r="D326" s="232"/>
      <c r="E326" s="12" t="s">
        <v>1008</v>
      </c>
      <c r="F326" s="4"/>
      <c r="G326" s="4"/>
      <c r="H326" s="4"/>
      <c r="I326" s="257"/>
      <c r="J326" s="232"/>
      <c r="K326" s="232"/>
      <c r="L326" s="847">
        <f>(0.11852-0.05478*LN(L322))^2</f>
        <v>8.7445370009719803E-2</v>
      </c>
      <c r="M326" s="848"/>
      <c r="N326" s="847">
        <f>(0.11852-0.05478*LN(N322))^2</f>
        <v>8.3069075729732822E-2</v>
      </c>
      <c r="O326" s="848"/>
      <c r="P326" s="847">
        <f>(0.11852-0.05478*LN(P322))^2</f>
        <v>7.8822237692742908E-2</v>
      </c>
      <c r="Q326" s="848"/>
      <c r="R326" s="847">
        <f>(0.11852-0.05478*LN(R322))^2</f>
        <v>7.4707249707878176E-2</v>
      </c>
      <c r="S326" s="848"/>
      <c r="T326" s="847">
        <f>(0.11852-0.05478*LN(T322))^2</f>
        <v>7.0727134478720935E-2</v>
      </c>
      <c r="U326" s="848"/>
      <c r="V326" s="232"/>
    </row>
    <row r="327" spans="2:22" x14ac:dyDescent="0.25">
      <c r="B327" s="192"/>
      <c r="C327" s="232"/>
      <c r="D327" s="232"/>
      <c r="E327" s="12" t="s">
        <v>909</v>
      </c>
      <c r="F327" s="4"/>
      <c r="G327" s="4"/>
      <c r="H327" s="4"/>
      <c r="I327" s="257"/>
      <c r="J327" s="232"/>
      <c r="K327" s="591">
        <f>1.06*(('Summary of Input Data'!$S$25+0.85*'Summary of Input Data'!$S$26)*(Calculation!L323*NORMDIST((1-Calculation!L324)^-0.5*NORMINV(Calculation!L322,0,1)+(Calculation!L324/(1-Calculation!L324))^0.5*NORMINV(0.999,0,1),0,1,1)-Calculation!L322*Calculation!L323)*(1-1.5*Calculation!L326)^-1+'Summary of Input Data'!$S$26*0.5*(Calculation!L323*NORMDIST((1-Calculation!L325)^-0.5*NORMINV(Calculation!L322,0,1)+(Calculation!L325/(1-Calculation!L325))^0.5*NORMINV(0.999,0,1),0,1,1)-0.5*Calculation!L322*Calculation!L323)*(1-1.5*Calculation!L326)^-1)</f>
        <v>0.21708688514966179</v>
      </c>
      <c r="L327" s="847">
        <f>1.06*(('Summary of Input Data'!$S$25+0.85*'Summary of Input Data'!$S$26)*(Calculation!L323*NORMDIST((1-Calculation!L324)^-0.5*NORMINV(Calculation!L322,0,1)+(Calculation!L324/(1-Calculation!L324))^0.5*NORMINV(0.999,0,1),0,1,1)-Calculation!L322*Calculation!L323)*(1-1.5*Calculation!L326)^-1*(1+(IF(Input!$Z$113&gt;0,Input!$Z$113-2.5,0))*Calculation!L326)+'Summary of Input Data'!$S$26*0.5*(Calculation!L323*NORMDIST((1-Calculation!L325)^-0.5*NORMINV(Calculation!L322,0,1)+(Calculation!L325/(1-Calculation!L325))^0.5*NORMINV(0.999,0,1),0,1,1)-0.5*Calculation!L322*Calculation!L323)*(1-1.5*Calculation!L326)^-1*(1+(IF(Input!$Z$113&gt;0,Input!$Z$113-2.5,0))*Calculation!L326))</f>
        <v>0.21708688514966179</v>
      </c>
      <c r="M327" s="848"/>
      <c r="N327" s="847">
        <f>1.06*(('Summary of Input Data'!$S$25+0.85*'Summary of Input Data'!$S$26)*(Calculation!N323*NORMDIST((1-Calculation!N324)^-0.5*NORMINV(Calculation!N322,0,1)+(Calculation!N324/(1-Calculation!N324))^0.5*NORMINV(0.999,0,1),0,1,1)-Calculation!N322*Calculation!N323)*(1-1.5*Calculation!N326)^-1*(1+(IF(Input!$Z$113&gt;0,Input!$Z$113-2.5,0))*Calculation!N326)+'Summary of Input Data'!$S$26*0.5*(Calculation!N323*NORMDIST((1-Calculation!N325)^-0.5*NORMINV(Calculation!N322,0,1)+(Calculation!N325/(1-Calculation!N325))^0.5*NORMINV(0.999,0,1),0,1,1)-0.5*Calculation!N322*Calculation!N323)*(1-1.5*Calculation!N326)^-1*(1+(IF(Input!$Z$113&gt;0,Input!$Z$113-2.5,0))*Calculation!N326))</f>
        <v>0.239015493880433</v>
      </c>
      <c r="O327" s="848"/>
      <c r="P327" s="847">
        <f>1.06*(('Summary of Input Data'!$S$25+0.85*'Summary of Input Data'!$S$26)*(Calculation!P323*NORMDIST((1-Calculation!P324)^-0.5*NORMINV(Calculation!P322,0,1)+(Calculation!P324/(1-Calculation!P324))^0.5*NORMINV(0.999,0,1),0,1,1)-Calculation!P322*Calculation!P323)*(1-1.5*Calculation!P326)^-1*(1+(IF(Input!$Z$113&gt;0,Input!$Z$113-2.5,0))*Calculation!P326)+'Summary of Input Data'!$S$26*0.5*(Calculation!P323*NORMDIST((1-Calculation!P325)^-0.5*NORMINV(Calculation!P322,0,1)+(Calculation!P325/(1-Calculation!P325))^0.5*NORMINV(0.999,0,1),0,1,1)-0.5*Calculation!P322*Calculation!P323)*(1-1.5*Calculation!P326)^-1*(1+(IF(Input!$Z$113&gt;0,Input!$Z$113-2.5,0))*Calculation!P326))</f>
        <v>0.24955822957557972</v>
      </c>
      <c r="Q327" s="848"/>
      <c r="R327" s="847">
        <f>1.06*(('Summary of Input Data'!$S$25+0.85*'Summary of Input Data'!$S$26)*(Calculation!R323*NORMDIST((1-Calculation!R324)^-0.5*NORMINV(Calculation!R322,0,1)+(Calculation!R324/(1-Calculation!R324))^0.5*NORMINV(0.999,0,1),0,1,1)-Calculation!R322*Calculation!R323)*(1-1.5*Calculation!R326)^-1*(1+(IF(Input!$Z$113&gt;0,Input!$Z$113-2.5,0))*Calculation!R326)+'Summary of Input Data'!$S$26*0.5*(Calculation!R323*NORMDIST((1-Calculation!R325)^-0.5*NORMINV(Calculation!R322,0,1)+(Calculation!R325/(1-Calculation!R325))^0.5*NORMINV(0.999,0,1),0,1,1)-0.5*Calculation!R322*Calculation!R323)*(1-1.5*Calculation!R326)^-1*(1+(IF(Input!$Z$113&gt;0,Input!$Z$113-2.5,0))*Calculation!R326))</f>
        <v>0.26120508279803484</v>
      </c>
      <c r="S327" s="848"/>
      <c r="T327" s="847">
        <f>1.06*(('Summary of Input Data'!$S$25+0.85*'Summary of Input Data'!$S$26)*(Calculation!T323*NORMDIST((1-Calculation!T324)^-0.5*NORMINV(Calculation!T322,0,1)+(Calculation!T324/(1-Calculation!T324))^0.5*NORMINV(0.999,0,1),0,1,1)-Calculation!T322*Calculation!T323)*(1-1.5*Calculation!T326)^-1*(1+(IF(Input!$Z$113&gt;0,Input!$Z$113-2.5,0))*Calculation!T326)+'Summary of Input Data'!$S$26*0.5*(Calculation!T323*NORMDIST((1-Calculation!T325)^-0.5*NORMINV(Calculation!T322,0,1)+(Calculation!T325/(1-Calculation!T325))^0.5*NORMINV(0.999,0,1),0,1,1)-0.5*Calculation!T322*Calculation!T323)*(1-1.5*Calculation!T326)^-1*(1+(IF(Input!$Z$113&gt;0,Input!$Z$113-2.5,0))*Calculation!T326))</f>
        <v>0.27399411171040516</v>
      </c>
      <c r="U327" s="848"/>
      <c r="V327" s="232"/>
    </row>
    <row r="328" spans="2:22" x14ac:dyDescent="0.25">
      <c r="B328" s="192"/>
      <c r="C328" s="232"/>
      <c r="D328" s="232"/>
      <c r="E328" s="12" t="s">
        <v>1009</v>
      </c>
      <c r="F328" s="4"/>
      <c r="G328" s="4"/>
      <c r="H328" s="4"/>
      <c r="I328" s="257"/>
      <c r="J328" s="232"/>
      <c r="K328" s="232"/>
      <c r="L328" s="849">
        <f>L327*L321*12.5*IF(Assumptions!$H$30="Yes",(1+'Summary of Input Data'!$I$41),1)</f>
        <v>7342.4243428385953</v>
      </c>
      <c r="M328" s="850"/>
      <c r="N328" s="849">
        <f>N327*N321*12.5*IF(Assumptions!$H$30="Yes",(1+'Summary of Input Data'!$I$41),1)</f>
        <v>7719.1176633896675</v>
      </c>
      <c r="O328" s="850"/>
      <c r="P328" s="849">
        <f>P327*P321*12.5*IF(Assumptions!$H$30="Yes",(1+'Summary of Input Data'!$I$41),1)</f>
        <v>7642.6018238466113</v>
      </c>
      <c r="Q328" s="850"/>
      <c r="R328" s="849">
        <f>R327*R321*12.5*IF(Assumptions!$H$30="Yes",(1+'Summary of Input Data'!$I$41),1)</f>
        <v>7525.311327548091</v>
      </c>
      <c r="S328" s="850"/>
      <c r="T328" s="849">
        <f>T327*T321*12.5*IF(Assumptions!$H$30="Yes",(1+'Summary of Input Data'!$I$41),1)</f>
        <v>7358.5870642498594</v>
      </c>
      <c r="U328" s="850"/>
      <c r="V328" s="232"/>
    </row>
    <row r="329" spans="2:22" x14ac:dyDescent="0.25">
      <c r="B329" s="192"/>
      <c r="C329" s="232"/>
      <c r="D329" s="232"/>
      <c r="E329" s="258" t="s">
        <v>1010</v>
      </c>
      <c r="F329" s="6"/>
      <c r="G329" s="6"/>
      <c r="H329" s="6"/>
      <c r="I329" s="260"/>
      <c r="J329" s="232"/>
      <c r="K329" s="232"/>
      <c r="L329" s="1221">
        <f>'Y1 to Y5'!K44/$J$320</f>
        <v>0.39605955981267832</v>
      </c>
      <c r="M329" s="1222"/>
      <c r="N329" s="1221">
        <f>'Y1 to Y5'!M44/$J$320</f>
        <v>1.3832347804187541</v>
      </c>
      <c r="O329" s="1222"/>
      <c r="P329" s="1221">
        <f>'Y1 to Y5'!O44/$J$320</f>
        <v>1.4541998020802824</v>
      </c>
      <c r="Q329" s="1222"/>
      <c r="R329" s="1221">
        <f>'Y1 to Y5'!Q44/$J$320</f>
        <v>1.4397850303963051</v>
      </c>
      <c r="S329" s="1222"/>
      <c r="T329" s="1221">
        <f>'Y1 to Y5'!S44/$J$320</f>
        <v>1.417688746346619</v>
      </c>
      <c r="U329" s="1222"/>
      <c r="V329" s="232"/>
    </row>
    <row r="330" spans="2:22" x14ac:dyDescent="0.25">
      <c r="B330" s="192"/>
      <c r="C330" s="232"/>
      <c r="D330" s="232"/>
      <c r="E330" s="232"/>
      <c r="F330" s="232"/>
      <c r="G330" s="232"/>
      <c r="H330" s="232"/>
      <c r="I330" s="232"/>
      <c r="J330" s="232"/>
      <c r="K330" s="232"/>
      <c r="L330" s="232"/>
      <c r="M330" s="232"/>
      <c r="N330" s="232"/>
      <c r="O330" s="232"/>
      <c r="P330" s="232"/>
      <c r="Q330" s="232"/>
      <c r="R330" s="232"/>
      <c r="S330" s="232"/>
      <c r="T330" s="232"/>
      <c r="U330" s="232"/>
      <c r="V330" s="232"/>
    </row>
  </sheetData>
  <sheetProtection selectLockedCells="1" selectUnlockedCells="1"/>
  <mergeCells count="1106">
    <mergeCell ref="B6:F13"/>
    <mergeCell ref="O304:P304"/>
    <mergeCell ref="O305:P305"/>
    <mergeCell ref="O306:P306"/>
    <mergeCell ref="O307:P307"/>
    <mergeCell ref="O308:P308"/>
    <mergeCell ref="O309:P309"/>
    <mergeCell ref="O310:P310"/>
    <mergeCell ref="O311:P311"/>
    <mergeCell ref="O312:P312"/>
    <mergeCell ref="O313:P313"/>
    <mergeCell ref="N53:O53"/>
    <mergeCell ref="N54:O54"/>
    <mergeCell ref="N55:O55"/>
    <mergeCell ref="N56:O56"/>
    <mergeCell ref="N57:O57"/>
    <mergeCell ref="N58:O58"/>
    <mergeCell ref="N59:O59"/>
    <mergeCell ref="N60:O60"/>
    <mergeCell ref="N61:O61"/>
    <mergeCell ref="N62:O62"/>
    <mergeCell ref="N63:O63"/>
    <mergeCell ref="E20:F20"/>
    <mergeCell ref="J286:K286"/>
    <mergeCell ref="J275:K275"/>
    <mergeCell ref="J269:K269"/>
    <mergeCell ref="J270:K270"/>
    <mergeCell ref="J291:K291"/>
    <mergeCell ref="L229:M229"/>
    <mergeCell ref="N229:O229"/>
    <mergeCell ref="P229:Q229"/>
    <mergeCell ref="J206:K206"/>
    <mergeCell ref="L329:M329"/>
    <mergeCell ref="N329:O329"/>
    <mergeCell ref="P329:Q329"/>
    <mergeCell ref="R329:S329"/>
    <mergeCell ref="T329:U329"/>
    <mergeCell ref="L328:M328"/>
    <mergeCell ref="N328:O328"/>
    <mergeCell ref="P328:Q328"/>
    <mergeCell ref="R328:S328"/>
    <mergeCell ref="T328:U328"/>
    <mergeCell ref="T326:U326"/>
    <mergeCell ref="L327:M327"/>
    <mergeCell ref="N327:O327"/>
    <mergeCell ref="P327:Q327"/>
    <mergeCell ref="R327:S327"/>
    <mergeCell ref="T327:U327"/>
    <mergeCell ref="T324:U324"/>
    <mergeCell ref="L325:M325"/>
    <mergeCell ref="N325:O325"/>
    <mergeCell ref="P325:Q325"/>
    <mergeCell ref="R325:S325"/>
    <mergeCell ref="T325:U325"/>
    <mergeCell ref="L324:M324"/>
    <mergeCell ref="N324:O324"/>
    <mergeCell ref="P324:Q324"/>
    <mergeCell ref="R324:S324"/>
    <mergeCell ref="L326:M326"/>
    <mergeCell ref="N326:O326"/>
    <mergeCell ref="P326:Q326"/>
    <mergeCell ref="R326:S326"/>
    <mergeCell ref="L323:M323"/>
    <mergeCell ref="N323:O323"/>
    <mergeCell ref="P323:Q323"/>
    <mergeCell ref="R323:S323"/>
    <mergeCell ref="T323:U323"/>
    <mergeCell ref="L322:M322"/>
    <mergeCell ref="N322:O322"/>
    <mergeCell ref="P322:Q322"/>
    <mergeCell ref="R322:S322"/>
    <mergeCell ref="J319:K319"/>
    <mergeCell ref="J299:K299"/>
    <mergeCell ref="T299:U299"/>
    <mergeCell ref="J300:K300"/>
    <mergeCell ref="T300:U300"/>
    <mergeCell ref="J296:K296"/>
    <mergeCell ref="T296:U296"/>
    <mergeCell ref="J297:K297"/>
    <mergeCell ref="T297:U297"/>
    <mergeCell ref="J298:K298"/>
    <mergeCell ref="T298:U298"/>
    <mergeCell ref="L321:M321"/>
    <mergeCell ref="N321:O321"/>
    <mergeCell ref="P321:Q321"/>
    <mergeCell ref="R321:S321"/>
    <mergeCell ref="T321:U321"/>
    <mergeCell ref="T322:U322"/>
    <mergeCell ref="J320:K320"/>
    <mergeCell ref="T291:U291"/>
    <mergeCell ref="J292:K292"/>
    <mergeCell ref="T292:U292"/>
    <mergeCell ref="J293:K293"/>
    <mergeCell ref="T293:U293"/>
    <mergeCell ref="L319:M319"/>
    <mergeCell ref="N319:O319"/>
    <mergeCell ref="P319:Q319"/>
    <mergeCell ref="R319:S319"/>
    <mergeCell ref="T319:U319"/>
    <mergeCell ref="T286:U286"/>
    <mergeCell ref="J289:K289"/>
    <mergeCell ref="T289:U289"/>
    <mergeCell ref="J290:K290"/>
    <mergeCell ref="T290:U290"/>
    <mergeCell ref="J283:K283"/>
    <mergeCell ref="T283:U283"/>
    <mergeCell ref="J284:K284"/>
    <mergeCell ref="T284:U284"/>
    <mergeCell ref="J285:K285"/>
    <mergeCell ref="T285:U285"/>
    <mergeCell ref="T276:U276"/>
    <mergeCell ref="T277:U277"/>
    <mergeCell ref="J279:K279"/>
    <mergeCell ref="T279:U279"/>
    <mergeCell ref="J282:K282"/>
    <mergeCell ref="T282:U282"/>
    <mergeCell ref="J277:K277"/>
    <mergeCell ref="J278:K278"/>
    <mergeCell ref="T278:U278"/>
    <mergeCell ref="T275:U275"/>
    <mergeCell ref="J276:K276"/>
    <mergeCell ref="L261:M261"/>
    <mergeCell ref="N261:O261"/>
    <mergeCell ref="P261:Q261"/>
    <mergeCell ref="R261:S261"/>
    <mergeCell ref="T261:U261"/>
    <mergeCell ref="L254:M254"/>
    <mergeCell ref="N254:O254"/>
    <mergeCell ref="P254:Q254"/>
    <mergeCell ref="R254:S254"/>
    <mergeCell ref="T254:U254"/>
    <mergeCell ref="J271:K271"/>
    <mergeCell ref="J272:K272"/>
    <mergeCell ref="T271:U271"/>
    <mergeCell ref="T272:U272"/>
    <mergeCell ref="J268:K268"/>
    <mergeCell ref="R229:S229"/>
    <mergeCell ref="T229:U229"/>
    <mergeCell ref="R171:S171"/>
    <mergeCell ref="T171:U171"/>
    <mergeCell ref="L172:M172"/>
    <mergeCell ref="N172:O172"/>
    <mergeCell ref="P172:Q172"/>
    <mergeCell ref="R172:S172"/>
    <mergeCell ref="T172:U172"/>
    <mergeCell ref="P260:Q260"/>
    <mergeCell ref="R260:S260"/>
    <mergeCell ref="T250:U250"/>
    <mergeCell ref="T242:U242"/>
    <mergeCell ref="R259:S259"/>
    <mergeCell ref="T259:U259"/>
    <mergeCell ref="L250:M250"/>
    <mergeCell ref="N250:O250"/>
    <mergeCell ref="P250:Q250"/>
    <mergeCell ref="R250:S250"/>
    <mergeCell ref="L251:M251"/>
    <mergeCell ref="N251:O251"/>
    <mergeCell ref="P251:Q251"/>
    <mergeCell ref="R251:S251"/>
    <mergeCell ref="P252:Q252"/>
    <mergeCell ref="T251:U251"/>
    <mergeCell ref="L252:M252"/>
    <mergeCell ref="N252:O252"/>
    <mergeCell ref="N253:O253"/>
    <mergeCell ref="P253:Q253"/>
    <mergeCell ref="R253:S253"/>
    <mergeCell ref="T253:U253"/>
    <mergeCell ref="J209:K209"/>
    <mergeCell ref="L209:M209"/>
    <mergeCell ref="N209:O209"/>
    <mergeCell ref="P209:Q209"/>
    <mergeCell ref="R209:S209"/>
    <mergeCell ref="T209:U209"/>
    <mergeCell ref="J208:K208"/>
    <mergeCell ref="L208:M208"/>
    <mergeCell ref="N208:O208"/>
    <mergeCell ref="P208:Q208"/>
    <mergeCell ref="R208:S208"/>
    <mergeCell ref="J207:K207"/>
    <mergeCell ref="L207:M207"/>
    <mergeCell ref="T268:U268"/>
    <mergeCell ref="T269:U269"/>
    <mergeCell ref="T270:U270"/>
    <mergeCell ref="L239:M239"/>
    <mergeCell ref="N239:O239"/>
    <mergeCell ref="P239:Q239"/>
    <mergeCell ref="R239:S239"/>
    <mergeCell ref="T239:U239"/>
    <mergeCell ref="L230:M230"/>
    <mergeCell ref="N230:O230"/>
    <mergeCell ref="P230:Q230"/>
    <mergeCell ref="R230:S230"/>
    <mergeCell ref="T230:U230"/>
    <mergeCell ref="J249:K249"/>
    <mergeCell ref="J219:K219"/>
    <mergeCell ref="J218:K218"/>
    <mergeCell ref="R252:S252"/>
    <mergeCell ref="T252:U252"/>
    <mergeCell ref="L253:M253"/>
    <mergeCell ref="L163:M163"/>
    <mergeCell ref="N163:O163"/>
    <mergeCell ref="P163:Q163"/>
    <mergeCell ref="R163:S163"/>
    <mergeCell ref="T163:U163"/>
    <mergeCell ref="L166:M166"/>
    <mergeCell ref="N166:O166"/>
    <mergeCell ref="P166:Q166"/>
    <mergeCell ref="R166:S166"/>
    <mergeCell ref="T166:U166"/>
    <mergeCell ref="T208:U208"/>
    <mergeCell ref="T204:U204"/>
    <mergeCell ref="T198:U198"/>
    <mergeCell ref="T194:U194"/>
    <mergeCell ref="T190:U190"/>
    <mergeCell ref="T184:U184"/>
    <mergeCell ref="T180:U180"/>
    <mergeCell ref="N207:O207"/>
    <mergeCell ref="P207:Q207"/>
    <mergeCell ref="R207:S207"/>
    <mergeCell ref="T207:U207"/>
    <mergeCell ref="L206:M206"/>
    <mergeCell ref="N206:O206"/>
    <mergeCell ref="P206:Q206"/>
    <mergeCell ref="R206:S206"/>
    <mergeCell ref="T206:U206"/>
    <mergeCell ref="L147:M147"/>
    <mergeCell ref="N147:O147"/>
    <mergeCell ref="P147:Q147"/>
    <mergeCell ref="R147:S147"/>
    <mergeCell ref="T147:U147"/>
    <mergeCell ref="L146:M146"/>
    <mergeCell ref="N146:O146"/>
    <mergeCell ref="P146:Q146"/>
    <mergeCell ref="R146:S146"/>
    <mergeCell ref="T146:U146"/>
    <mergeCell ref="L140:M140"/>
    <mergeCell ref="N140:O140"/>
    <mergeCell ref="P140:Q140"/>
    <mergeCell ref="R140:S140"/>
    <mergeCell ref="T140:U140"/>
    <mergeCell ref="L139:M139"/>
    <mergeCell ref="N139:O139"/>
    <mergeCell ref="P139:Q139"/>
    <mergeCell ref="R139:S139"/>
    <mergeCell ref="T139:U139"/>
    <mergeCell ref="T142:U142"/>
    <mergeCell ref="L132:M132"/>
    <mergeCell ref="N132:O132"/>
    <mergeCell ref="P132:Q132"/>
    <mergeCell ref="R132:S132"/>
    <mergeCell ref="T132:U132"/>
    <mergeCell ref="L131:M131"/>
    <mergeCell ref="N131:O131"/>
    <mergeCell ref="P131:Q131"/>
    <mergeCell ref="R131:S131"/>
    <mergeCell ref="T131:U131"/>
    <mergeCell ref="L130:M130"/>
    <mergeCell ref="N130:O130"/>
    <mergeCell ref="P130:Q130"/>
    <mergeCell ref="R130:S130"/>
    <mergeCell ref="T130:U130"/>
    <mergeCell ref="L129:M129"/>
    <mergeCell ref="N129:O129"/>
    <mergeCell ref="P129:Q129"/>
    <mergeCell ref="R129:S129"/>
    <mergeCell ref="T129:U129"/>
    <mergeCell ref="L128:M128"/>
    <mergeCell ref="N128:O128"/>
    <mergeCell ref="P128:Q128"/>
    <mergeCell ref="R128:S128"/>
    <mergeCell ref="T128:U128"/>
    <mergeCell ref="L127:M127"/>
    <mergeCell ref="N127:O127"/>
    <mergeCell ref="P127:Q127"/>
    <mergeCell ref="R127:S127"/>
    <mergeCell ref="T127:U127"/>
    <mergeCell ref="L126:M126"/>
    <mergeCell ref="N126:O126"/>
    <mergeCell ref="P126:Q126"/>
    <mergeCell ref="R126:S126"/>
    <mergeCell ref="T126:U126"/>
    <mergeCell ref="L125:M125"/>
    <mergeCell ref="N125:O125"/>
    <mergeCell ref="P125:Q125"/>
    <mergeCell ref="R125:S125"/>
    <mergeCell ref="T125:U125"/>
    <mergeCell ref="L124:M124"/>
    <mergeCell ref="N124:O124"/>
    <mergeCell ref="P124:Q124"/>
    <mergeCell ref="R124:S124"/>
    <mergeCell ref="T124:U124"/>
    <mergeCell ref="L123:M123"/>
    <mergeCell ref="N123:O123"/>
    <mergeCell ref="P123:Q123"/>
    <mergeCell ref="R123:S123"/>
    <mergeCell ref="T123:U123"/>
    <mergeCell ref="L122:M122"/>
    <mergeCell ref="N122:O122"/>
    <mergeCell ref="P122:Q122"/>
    <mergeCell ref="R122:S122"/>
    <mergeCell ref="T122:U122"/>
    <mergeCell ref="L121:M121"/>
    <mergeCell ref="N121:O121"/>
    <mergeCell ref="P121:Q121"/>
    <mergeCell ref="R121:S121"/>
    <mergeCell ref="T121:U121"/>
    <mergeCell ref="L120:M120"/>
    <mergeCell ref="N120:O120"/>
    <mergeCell ref="P120:Q120"/>
    <mergeCell ref="R120:S120"/>
    <mergeCell ref="T120:U120"/>
    <mergeCell ref="L119:M119"/>
    <mergeCell ref="N119:O119"/>
    <mergeCell ref="P119:Q119"/>
    <mergeCell ref="R119:S119"/>
    <mergeCell ref="T119:U119"/>
    <mergeCell ref="L118:M118"/>
    <mergeCell ref="N118:O118"/>
    <mergeCell ref="P118:Q118"/>
    <mergeCell ref="R118:S118"/>
    <mergeCell ref="T118:U118"/>
    <mergeCell ref="L117:M117"/>
    <mergeCell ref="N117:O117"/>
    <mergeCell ref="P117:Q117"/>
    <mergeCell ref="R117:S117"/>
    <mergeCell ref="T117:U117"/>
    <mergeCell ref="L116:M116"/>
    <mergeCell ref="N116:O116"/>
    <mergeCell ref="P116:Q116"/>
    <mergeCell ref="R116:S116"/>
    <mergeCell ref="T116:U116"/>
    <mergeCell ref="L115:M115"/>
    <mergeCell ref="N115:O115"/>
    <mergeCell ref="P115:Q115"/>
    <mergeCell ref="R115:S115"/>
    <mergeCell ref="T115:U115"/>
    <mergeCell ref="L114:M114"/>
    <mergeCell ref="N114:O114"/>
    <mergeCell ref="P114:Q114"/>
    <mergeCell ref="R114:S114"/>
    <mergeCell ref="T114:U114"/>
    <mergeCell ref="L113:M113"/>
    <mergeCell ref="N113:O113"/>
    <mergeCell ref="P113:Q113"/>
    <mergeCell ref="R113:S113"/>
    <mergeCell ref="T113:U113"/>
    <mergeCell ref="R112:S112"/>
    <mergeCell ref="T112:U112"/>
    <mergeCell ref="T78:U78"/>
    <mergeCell ref="L104:M104"/>
    <mergeCell ref="N104:O104"/>
    <mergeCell ref="P104:Q104"/>
    <mergeCell ref="R104:S104"/>
    <mergeCell ref="T104:U104"/>
    <mergeCell ref="L78:M78"/>
    <mergeCell ref="N78:O78"/>
    <mergeCell ref="P78:Q78"/>
    <mergeCell ref="R78:S78"/>
    <mergeCell ref="T50:U50"/>
    <mergeCell ref="L51:M51"/>
    <mergeCell ref="N51:O51"/>
    <mergeCell ref="P51:Q51"/>
    <mergeCell ref="R51:S51"/>
    <mergeCell ref="T51:U51"/>
    <mergeCell ref="L50:M50"/>
    <mergeCell ref="N50:O50"/>
    <mergeCell ref="P50:Q50"/>
    <mergeCell ref="R50:S50"/>
    <mergeCell ref="R103:S103"/>
    <mergeCell ref="T103:U103"/>
    <mergeCell ref="T97:U97"/>
    <mergeCell ref="T93:U93"/>
    <mergeCell ref="T72:U72"/>
    <mergeCell ref="T68:U68"/>
    <mergeCell ref="T64:U64"/>
    <mergeCell ref="N87:O87"/>
    <mergeCell ref="P87:Q87"/>
    <mergeCell ref="R87:S87"/>
    <mergeCell ref="T46:U46"/>
    <mergeCell ref="L23:M23"/>
    <mergeCell ref="L24:M24"/>
    <mergeCell ref="L46:M46"/>
    <mergeCell ref="N46:O46"/>
    <mergeCell ref="P46:Q46"/>
    <mergeCell ref="R46:S46"/>
    <mergeCell ref="T44:U44"/>
    <mergeCell ref="L45:M45"/>
    <mergeCell ref="N45:O45"/>
    <mergeCell ref="P45:Q45"/>
    <mergeCell ref="R45:S45"/>
    <mergeCell ref="T45:U45"/>
    <mergeCell ref="L44:M44"/>
    <mergeCell ref="N44:O44"/>
    <mergeCell ref="P44:Q44"/>
    <mergeCell ref="R44:S44"/>
    <mergeCell ref="T42:U42"/>
    <mergeCell ref="L43:M43"/>
    <mergeCell ref="N43:O43"/>
    <mergeCell ref="P43:Q43"/>
    <mergeCell ref="R43:S43"/>
    <mergeCell ref="T43:U43"/>
    <mergeCell ref="L42:M42"/>
    <mergeCell ref="N42:O42"/>
    <mergeCell ref="P42:Q42"/>
    <mergeCell ref="R42:S42"/>
    <mergeCell ref="T40:U40"/>
    <mergeCell ref="L41:M41"/>
    <mergeCell ref="N41:O41"/>
    <mergeCell ref="P41:Q41"/>
    <mergeCell ref="R41:S41"/>
    <mergeCell ref="T41:U41"/>
    <mergeCell ref="L40:M40"/>
    <mergeCell ref="N40:O40"/>
    <mergeCell ref="P40:Q40"/>
    <mergeCell ref="R40:S40"/>
    <mergeCell ref="T38:U38"/>
    <mergeCell ref="L39:M39"/>
    <mergeCell ref="N39:O39"/>
    <mergeCell ref="P39:Q39"/>
    <mergeCell ref="R39:S39"/>
    <mergeCell ref="T39:U39"/>
    <mergeCell ref="L38:M38"/>
    <mergeCell ref="N38:O38"/>
    <mergeCell ref="P38:Q38"/>
    <mergeCell ref="R38:S38"/>
    <mergeCell ref="L37:M37"/>
    <mergeCell ref="N37:O37"/>
    <mergeCell ref="P37:Q37"/>
    <mergeCell ref="R37:S37"/>
    <mergeCell ref="T37:U37"/>
    <mergeCell ref="L36:M36"/>
    <mergeCell ref="N36:O36"/>
    <mergeCell ref="P36:Q36"/>
    <mergeCell ref="R36:S36"/>
    <mergeCell ref="T36:U36"/>
    <mergeCell ref="L35:M35"/>
    <mergeCell ref="N35:O35"/>
    <mergeCell ref="P35:Q35"/>
    <mergeCell ref="R35:S35"/>
    <mergeCell ref="T35:U35"/>
    <mergeCell ref="L34:M34"/>
    <mergeCell ref="N34:O34"/>
    <mergeCell ref="P34:Q34"/>
    <mergeCell ref="R34:S34"/>
    <mergeCell ref="T34:U34"/>
    <mergeCell ref="L33:M33"/>
    <mergeCell ref="N33:O33"/>
    <mergeCell ref="P33:Q33"/>
    <mergeCell ref="R33:S33"/>
    <mergeCell ref="T33:U33"/>
    <mergeCell ref="L32:M32"/>
    <mergeCell ref="N32:O32"/>
    <mergeCell ref="P32:Q32"/>
    <mergeCell ref="R32:S32"/>
    <mergeCell ref="T32:U32"/>
    <mergeCell ref="L31:M31"/>
    <mergeCell ref="N31:O31"/>
    <mergeCell ref="P31:Q31"/>
    <mergeCell ref="R31:S31"/>
    <mergeCell ref="T31:U31"/>
    <mergeCell ref="L30:M30"/>
    <mergeCell ref="N30:O30"/>
    <mergeCell ref="P30:Q30"/>
    <mergeCell ref="R30:S30"/>
    <mergeCell ref="T30:U30"/>
    <mergeCell ref="L29:M29"/>
    <mergeCell ref="N29:O29"/>
    <mergeCell ref="P29:Q29"/>
    <mergeCell ref="R29:S29"/>
    <mergeCell ref="T29:U29"/>
    <mergeCell ref="L28:M28"/>
    <mergeCell ref="N28:O28"/>
    <mergeCell ref="P28:Q28"/>
    <mergeCell ref="R28:S28"/>
    <mergeCell ref="T28:U28"/>
    <mergeCell ref="L27:M27"/>
    <mergeCell ref="N27:O27"/>
    <mergeCell ref="P27:Q27"/>
    <mergeCell ref="R27:S27"/>
    <mergeCell ref="T27:U27"/>
    <mergeCell ref="T260:U260"/>
    <mergeCell ref="G20:H20"/>
    <mergeCell ref="E22:I22"/>
    <mergeCell ref="J22:K22"/>
    <mergeCell ref="L22:M22"/>
    <mergeCell ref="N22:O22"/>
    <mergeCell ref="P22:Q22"/>
    <mergeCell ref="R22:S22"/>
    <mergeCell ref="T22:U22"/>
    <mergeCell ref="L26:M26"/>
    <mergeCell ref="N26:O26"/>
    <mergeCell ref="P26:Q26"/>
    <mergeCell ref="R26:S26"/>
    <mergeCell ref="T26:U26"/>
    <mergeCell ref="J260:K260"/>
    <mergeCell ref="L260:M260"/>
    <mergeCell ref="N260:O260"/>
    <mergeCell ref="E259:I259"/>
    <mergeCell ref="J259:K259"/>
    <mergeCell ref="L259:M259"/>
    <mergeCell ref="N259:O259"/>
    <mergeCell ref="P259:Q259"/>
    <mergeCell ref="E248:I248"/>
    <mergeCell ref="J248:K248"/>
    <mergeCell ref="L248:M248"/>
    <mergeCell ref="N248:O248"/>
    <mergeCell ref="P248:Q248"/>
    <mergeCell ref="R248:S248"/>
    <mergeCell ref="T248:U248"/>
    <mergeCell ref="J242:K242"/>
    <mergeCell ref="L242:M242"/>
    <mergeCell ref="N242:O242"/>
    <mergeCell ref="P242:Q242"/>
    <mergeCell ref="R242:S242"/>
    <mergeCell ref="T232:U232"/>
    <mergeCell ref="E238:I238"/>
    <mergeCell ref="J238:K238"/>
    <mergeCell ref="L238:M238"/>
    <mergeCell ref="N238:O238"/>
    <mergeCell ref="P238:Q238"/>
    <mergeCell ref="R238:S238"/>
    <mergeCell ref="T238:U238"/>
    <mergeCell ref="J232:K232"/>
    <mergeCell ref="L232:M232"/>
    <mergeCell ref="N232:O232"/>
    <mergeCell ref="P232:Q232"/>
    <mergeCell ref="R232:S232"/>
    <mergeCell ref="L240:M240"/>
    <mergeCell ref="N240:O240"/>
    <mergeCell ref="P240:Q240"/>
    <mergeCell ref="R240:S240"/>
    <mergeCell ref="T240:U240"/>
    <mergeCell ref="E228:I228"/>
    <mergeCell ref="J228:K228"/>
    <mergeCell ref="L228:M228"/>
    <mergeCell ref="N228:O228"/>
    <mergeCell ref="P228:Q228"/>
    <mergeCell ref="R228:S228"/>
    <mergeCell ref="T228:U228"/>
    <mergeCell ref="J222:K222"/>
    <mergeCell ref="J221:K221"/>
    <mergeCell ref="J220:K220"/>
    <mergeCell ref="J216:K216"/>
    <mergeCell ref="J215:K215"/>
    <mergeCell ref="J214:K214"/>
    <mergeCell ref="T210:U210"/>
    <mergeCell ref="J213:K213"/>
    <mergeCell ref="J210:K210"/>
    <mergeCell ref="L210:M210"/>
    <mergeCell ref="N210:O210"/>
    <mergeCell ref="P210:Q210"/>
    <mergeCell ref="R210:S210"/>
    <mergeCell ref="J217:K217"/>
    <mergeCell ref="J205:K205"/>
    <mergeCell ref="L205:M205"/>
    <mergeCell ref="N205:O205"/>
    <mergeCell ref="P205:Q205"/>
    <mergeCell ref="R205:S205"/>
    <mergeCell ref="T205:U205"/>
    <mergeCell ref="J204:K204"/>
    <mergeCell ref="L204:M204"/>
    <mergeCell ref="N204:O204"/>
    <mergeCell ref="P204:Q204"/>
    <mergeCell ref="R204:S204"/>
    <mergeCell ref="T202:U202"/>
    <mergeCell ref="J203:K203"/>
    <mergeCell ref="L203:M203"/>
    <mergeCell ref="N203:O203"/>
    <mergeCell ref="P203:Q203"/>
    <mergeCell ref="R203:S203"/>
    <mergeCell ref="T203:U203"/>
    <mergeCell ref="J202:K202"/>
    <mergeCell ref="L202:M202"/>
    <mergeCell ref="N202:O202"/>
    <mergeCell ref="P202:Q202"/>
    <mergeCell ref="R202:S202"/>
    <mergeCell ref="J201:K201"/>
    <mergeCell ref="L201:M201"/>
    <mergeCell ref="N201:O201"/>
    <mergeCell ref="P201:Q201"/>
    <mergeCell ref="R201:S201"/>
    <mergeCell ref="T201:U201"/>
    <mergeCell ref="J198:K198"/>
    <mergeCell ref="L198:M198"/>
    <mergeCell ref="N198:O198"/>
    <mergeCell ref="P198:Q198"/>
    <mergeCell ref="R198:S198"/>
    <mergeCell ref="T196:U196"/>
    <mergeCell ref="J197:K197"/>
    <mergeCell ref="L197:M197"/>
    <mergeCell ref="N197:O197"/>
    <mergeCell ref="P197:Q197"/>
    <mergeCell ref="R197:S197"/>
    <mergeCell ref="T197:U197"/>
    <mergeCell ref="J196:K196"/>
    <mergeCell ref="L196:M196"/>
    <mergeCell ref="N196:O196"/>
    <mergeCell ref="P196:Q196"/>
    <mergeCell ref="R196:S196"/>
    <mergeCell ref="J195:K195"/>
    <mergeCell ref="L195:M195"/>
    <mergeCell ref="N195:O195"/>
    <mergeCell ref="P195:Q195"/>
    <mergeCell ref="R195:S195"/>
    <mergeCell ref="T195:U195"/>
    <mergeCell ref="J194:K194"/>
    <mergeCell ref="L194:M194"/>
    <mergeCell ref="N194:O194"/>
    <mergeCell ref="P194:Q194"/>
    <mergeCell ref="R194:S194"/>
    <mergeCell ref="T192:U192"/>
    <mergeCell ref="J193:K193"/>
    <mergeCell ref="L193:M193"/>
    <mergeCell ref="N193:O193"/>
    <mergeCell ref="P193:Q193"/>
    <mergeCell ref="R193:S193"/>
    <mergeCell ref="T193:U193"/>
    <mergeCell ref="J192:K192"/>
    <mergeCell ref="L192:M192"/>
    <mergeCell ref="N192:O192"/>
    <mergeCell ref="P192:Q192"/>
    <mergeCell ref="R192:S192"/>
    <mergeCell ref="J191:K191"/>
    <mergeCell ref="L191:M191"/>
    <mergeCell ref="N191:O191"/>
    <mergeCell ref="P191:Q191"/>
    <mergeCell ref="R191:S191"/>
    <mergeCell ref="T191:U191"/>
    <mergeCell ref="J190:K190"/>
    <mergeCell ref="L190:M190"/>
    <mergeCell ref="N190:O190"/>
    <mergeCell ref="P190:Q190"/>
    <mergeCell ref="R190:S190"/>
    <mergeCell ref="T186:U186"/>
    <mergeCell ref="J189:K189"/>
    <mergeCell ref="L189:M189"/>
    <mergeCell ref="N189:O189"/>
    <mergeCell ref="P189:Q189"/>
    <mergeCell ref="R189:S189"/>
    <mergeCell ref="T189:U189"/>
    <mergeCell ref="J186:K186"/>
    <mergeCell ref="L186:M186"/>
    <mergeCell ref="N186:O186"/>
    <mergeCell ref="P186:Q186"/>
    <mergeCell ref="R186:S186"/>
    <mergeCell ref="J185:K185"/>
    <mergeCell ref="L185:M185"/>
    <mergeCell ref="N185:O185"/>
    <mergeCell ref="P185:Q185"/>
    <mergeCell ref="R185:S185"/>
    <mergeCell ref="T185:U185"/>
    <mergeCell ref="J184:K184"/>
    <mergeCell ref="L184:M184"/>
    <mergeCell ref="N184:O184"/>
    <mergeCell ref="P184:Q184"/>
    <mergeCell ref="R184:S184"/>
    <mergeCell ref="T182:U182"/>
    <mergeCell ref="J183:K183"/>
    <mergeCell ref="L183:M183"/>
    <mergeCell ref="N183:O183"/>
    <mergeCell ref="P183:Q183"/>
    <mergeCell ref="R183:S183"/>
    <mergeCell ref="T183:U183"/>
    <mergeCell ref="J182:K182"/>
    <mergeCell ref="L182:M182"/>
    <mergeCell ref="N182:O182"/>
    <mergeCell ref="P182:Q182"/>
    <mergeCell ref="R182:S182"/>
    <mergeCell ref="J181:K181"/>
    <mergeCell ref="L181:M181"/>
    <mergeCell ref="N181:O181"/>
    <mergeCell ref="P181:Q181"/>
    <mergeCell ref="R181:S181"/>
    <mergeCell ref="T181:U181"/>
    <mergeCell ref="J180:K180"/>
    <mergeCell ref="L180:M180"/>
    <mergeCell ref="N180:O180"/>
    <mergeCell ref="P180:Q180"/>
    <mergeCell ref="R180:S180"/>
    <mergeCell ref="T178:U178"/>
    <mergeCell ref="J179:K179"/>
    <mergeCell ref="L179:M179"/>
    <mergeCell ref="N179:O179"/>
    <mergeCell ref="P179:Q179"/>
    <mergeCell ref="R179:S179"/>
    <mergeCell ref="T179:U179"/>
    <mergeCell ref="J178:K178"/>
    <mergeCell ref="L178:M178"/>
    <mergeCell ref="N178:O178"/>
    <mergeCell ref="P178:Q178"/>
    <mergeCell ref="R178:S178"/>
    <mergeCell ref="J177:K177"/>
    <mergeCell ref="L177:M177"/>
    <mergeCell ref="N177:O177"/>
    <mergeCell ref="P177:Q177"/>
    <mergeCell ref="R177:S177"/>
    <mergeCell ref="T177:U177"/>
    <mergeCell ref="L105:M105"/>
    <mergeCell ref="N105:O105"/>
    <mergeCell ref="P105:Q105"/>
    <mergeCell ref="R105:S105"/>
    <mergeCell ref="T105:U105"/>
    <mergeCell ref="J111:K111"/>
    <mergeCell ref="L111:M111"/>
    <mergeCell ref="N111:O111"/>
    <mergeCell ref="R169:S169"/>
    <mergeCell ref="T169:U169"/>
    <mergeCell ref="J174:K174"/>
    <mergeCell ref="L174:M174"/>
    <mergeCell ref="N174:O174"/>
    <mergeCell ref="P174:Q174"/>
    <mergeCell ref="R174:S174"/>
    <mergeCell ref="T174:U174"/>
    <mergeCell ref="L170:M170"/>
    <mergeCell ref="N170:O170"/>
    <mergeCell ref="P170:Q170"/>
    <mergeCell ref="R170:S170"/>
    <mergeCell ref="T170:U170"/>
    <mergeCell ref="L171:M171"/>
    <mergeCell ref="N171:O171"/>
    <mergeCell ref="P171:Q171"/>
    <mergeCell ref="T159:U159"/>
    <mergeCell ref="T155:U155"/>
    <mergeCell ref="E169:I169"/>
    <mergeCell ref="J169:K169"/>
    <mergeCell ref="L169:M169"/>
    <mergeCell ref="N169:O169"/>
    <mergeCell ref="P169:Q169"/>
    <mergeCell ref="T164:U164"/>
    <mergeCell ref="J165:K165"/>
    <mergeCell ref="L165:M165"/>
    <mergeCell ref="N165:O165"/>
    <mergeCell ref="P165:Q165"/>
    <mergeCell ref="R165:S165"/>
    <mergeCell ref="T165:U165"/>
    <mergeCell ref="J164:K164"/>
    <mergeCell ref="L164:M164"/>
    <mergeCell ref="N164:O164"/>
    <mergeCell ref="P164:Q164"/>
    <mergeCell ref="R164:S164"/>
    <mergeCell ref="E162:I162"/>
    <mergeCell ref="J162:K162"/>
    <mergeCell ref="L162:M162"/>
    <mergeCell ref="N162:O162"/>
    <mergeCell ref="P162:Q162"/>
    <mergeCell ref="R162:S162"/>
    <mergeCell ref="T162:U162"/>
    <mergeCell ref="J159:K159"/>
    <mergeCell ref="L159:M159"/>
    <mergeCell ref="N159:O159"/>
    <mergeCell ref="P159:Q159"/>
    <mergeCell ref="R159:S159"/>
    <mergeCell ref="T157:U157"/>
    <mergeCell ref="J158:K158"/>
    <mergeCell ref="L158:M158"/>
    <mergeCell ref="N158:O158"/>
    <mergeCell ref="P158:Q158"/>
    <mergeCell ref="R158:S158"/>
    <mergeCell ref="T158:U158"/>
    <mergeCell ref="J157:K157"/>
    <mergeCell ref="L157:M157"/>
    <mergeCell ref="N157:O157"/>
    <mergeCell ref="P157:Q157"/>
    <mergeCell ref="R157:S157"/>
    <mergeCell ref="J156:K156"/>
    <mergeCell ref="L156:M156"/>
    <mergeCell ref="N156:O156"/>
    <mergeCell ref="P156:Q156"/>
    <mergeCell ref="R156:S156"/>
    <mergeCell ref="T156:U156"/>
    <mergeCell ref="J155:K155"/>
    <mergeCell ref="L155:M155"/>
    <mergeCell ref="N155:O155"/>
    <mergeCell ref="P155:Q155"/>
    <mergeCell ref="R155:S155"/>
    <mergeCell ref="T153:U153"/>
    <mergeCell ref="J154:K154"/>
    <mergeCell ref="L154:M154"/>
    <mergeCell ref="N154:O154"/>
    <mergeCell ref="P154:Q154"/>
    <mergeCell ref="R154:S154"/>
    <mergeCell ref="T154:U154"/>
    <mergeCell ref="J153:K153"/>
    <mergeCell ref="L153:M153"/>
    <mergeCell ref="N153:O153"/>
    <mergeCell ref="P153:Q153"/>
    <mergeCell ref="R153:S153"/>
    <mergeCell ref="T151:U151"/>
    <mergeCell ref="J152:K152"/>
    <mergeCell ref="L152:M152"/>
    <mergeCell ref="N152:O152"/>
    <mergeCell ref="P152:Q152"/>
    <mergeCell ref="R152:S152"/>
    <mergeCell ref="T152:U152"/>
    <mergeCell ref="J151:K151"/>
    <mergeCell ref="L151:M151"/>
    <mergeCell ref="N151:O151"/>
    <mergeCell ref="P151:Q151"/>
    <mergeCell ref="R151:S151"/>
    <mergeCell ref="T149:U149"/>
    <mergeCell ref="J150:K150"/>
    <mergeCell ref="L150:M150"/>
    <mergeCell ref="N150:O150"/>
    <mergeCell ref="P150:Q150"/>
    <mergeCell ref="R150:S150"/>
    <mergeCell ref="T150:U150"/>
    <mergeCell ref="L149:M149"/>
    <mergeCell ref="N149:O149"/>
    <mergeCell ref="P149:Q149"/>
    <mergeCell ref="R149:S149"/>
    <mergeCell ref="J149:K149"/>
    <mergeCell ref="E145:I145"/>
    <mergeCell ref="J145:K145"/>
    <mergeCell ref="L145:M145"/>
    <mergeCell ref="N145:O145"/>
    <mergeCell ref="P145:Q145"/>
    <mergeCell ref="R145:S145"/>
    <mergeCell ref="T145:U145"/>
    <mergeCell ref="J142:K142"/>
    <mergeCell ref="L142:M142"/>
    <mergeCell ref="N142:O142"/>
    <mergeCell ref="P142:Q142"/>
    <mergeCell ref="R142:S142"/>
    <mergeCell ref="T108:U108"/>
    <mergeCell ref="E138:I138"/>
    <mergeCell ref="J138:K138"/>
    <mergeCell ref="L138:M138"/>
    <mergeCell ref="N138:O138"/>
    <mergeCell ref="P138:Q138"/>
    <mergeCell ref="R138:S138"/>
    <mergeCell ref="T138:U138"/>
    <mergeCell ref="E111:I111"/>
    <mergeCell ref="P111:Q111"/>
    <mergeCell ref="R111:S111"/>
    <mergeCell ref="T111:U111"/>
    <mergeCell ref="J108:K108"/>
    <mergeCell ref="L108:M108"/>
    <mergeCell ref="N108:O108"/>
    <mergeCell ref="P108:Q108"/>
    <mergeCell ref="R108:S108"/>
    <mergeCell ref="L112:M112"/>
    <mergeCell ref="N112:O112"/>
    <mergeCell ref="P112:Q112"/>
    <mergeCell ref="J107:K107"/>
    <mergeCell ref="L107:M107"/>
    <mergeCell ref="N107:O107"/>
    <mergeCell ref="P107:Q107"/>
    <mergeCell ref="R107:S107"/>
    <mergeCell ref="T107:U107"/>
    <mergeCell ref="E103:I103"/>
    <mergeCell ref="J103:K103"/>
    <mergeCell ref="L103:M103"/>
    <mergeCell ref="N103:O103"/>
    <mergeCell ref="P103:Q103"/>
    <mergeCell ref="T99:U99"/>
    <mergeCell ref="J100:K100"/>
    <mergeCell ref="L100:M100"/>
    <mergeCell ref="N100:O100"/>
    <mergeCell ref="P100:Q100"/>
    <mergeCell ref="R100:S100"/>
    <mergeCell ref="T100:U100"/>
    <mergeCell ref="J99:K99"/>
    <mergeCell ref="L99:M99"/>
    <mergeCell ref="N99:O99"/>
    <mergeCell ref="P99:Q99"/>
    <mergeCell ref="R99:S99"/>
    <mergeCell ref="J98:K98"/>
    <mergeCell ref="L98:M98"/>
    <mergeCell ref="N98:O98"/>
    <mergeCell ref="P98:Q98"/>
    <mergeCell ref="R98:S98"/>
    <mergeCell ref="T98:U98"/>
    <mergeCell ref="J97:K97"/>
    <mergeCell ref="L97:M97"/>
    <mergeCell ref="N97:O97"/>
    <mergeCell ref="P97:Q97"/>
    <mergeCell ref="R97:S97"/>
    <mergeCell ref="T95:U95"/>
    <mergeCell ref="J96:K96"/>
    <mergeCell ref="L96:M96"/>
    <mergeCell ref="N96:O96"/>
    <mergeCell ref="P96:Q96"/>
    <mergeCell ref="R96:S96"/>
    <mergeCell ref="T96:U96"/>
    <mergeCell ref="J95:K95"/>
    <mergeCell ref="L95:M95"/>
    <mergeCell ref="N95:O95"/>
    <mergeCell ref="P95:Q95"/>
    <mergeCell ref="R95:S95"/>
    <mergeCell ref="J94:K94"/>
    <mergeCell ref="L94:M94"/>
    <mergeCell ref="N94:O94"/>
    <mergeCell ref="P94:Q94"/>
    <mergeCell ref="R94:S94"/>
    <mergeCell ref="T94:U94"/>
    <mergeCell ref="J93:K93"/>
    <mergeCell ref="L93:M93"/>
    <mergeCell ref="N93:O93"/>
    <mergeCell ref="P93:Q93"/>
    <mergeCell ref="R93:S93"/>
    <mergeCell ref="T91:U91"/>
    <mergeCell ref="J92:K92"/>
    <mergeCell ref="L92:M92"/>
    <mergeCell ref="N92:O92"/>
    <mergeCell ref="P92:Q92"/>
    <mergeCell ref="R92:S92"/>
    <mergeCell ref="T92:U92"/>
    <mergeCell ref="J91:K91"/>
    <mergeCell ref="L91:M91"/>
    <mergeCell ref="N91:O91"/>
    <mergeCell ref="P91:Q91"/>
    <mergeCell ref="R91:S91"/>
    <mergeCell ref="J73:K73"/>
    <mergeCell ref="L73:M73"/>
    <mergeCell ref="N73:O73"/>
    <mergeCell ref="P73:Q73"/>
    <mergeCell ref="R73:S73"/>
    <mergeCell ref="T73:U73"/>
    <mergeCell ref="J72:K72"/>
    <mergeCell ref="L72:M72"/>
    <mergeCell ref="N72:O72"/>
    <mergeCell ref="P72:Q72"/>
    <mergeCell ref="R72:S72"/>
    <mergeCell ref="T70:U70"/>
    <mergeCell ref="J71:K71"/>
    <mergeCell ref="L71:M71"/>
    <mergeCell ref="N71:O71"/>
    <mergeCell ref="P71:Q71"/>
    <mergeCell ref="R71:S71"/>
    <mergeCell ref="T71:U71"/>
    <mergeCell ref="J70:K70"/>
    <mergeCell ref="L70:M70"/>
    <mergeCell ref="N70:O70"/>
    <mergeCell ref="P70:Q70"/>
    <mergeCell ref="R70:S70"/>
    <mergeCell ref="J69:K69"/>
    <mergeCell ref="L69:M69"/>
    <mergeCell ref="N69:O69"/>
    <mergeCell ref="P69:Q69"/>
    <mergeCell ref="R69:S69"/>
    <mergeCell ref="T69:U69"/>
    <mergeCell ref="J68:K68"/>
    <mergeCell ref="L68:M68"/>
    <mergeCell ref="N68:O68"/>
    <mergeCell ref="P68:Q68"/>
    <mergeCell ref="R68:S68"/>
    <mergeCell ref="T66:U66"/>
    <mergeCell ref="J67:K67"/>
    <mergeCell ref="L67:M67"/>
    <mergeCell ref="N67:O67"/>
    <mergeCell ref="P67:Q67"/>
    <mergeCell ref="R67:S67"/>
    <mergeCell ref="T67:U67"/>
    <mergeCell ref="J66:K66"/>
    <mergeCell ref="L66:M66"/>
    <mergeCell ref="N66:O66"/>
    <mergeCell ref="P66:Q66"/>
    <mergeCell ref="R66:S66"/>
    <mergeCell ref="J65:K65"/>
    <mergeCell ref="L65:M65"/>
    <mergeCell ref="N65:O65"/>
    <mergeCell ref="P65:Q65"/>
    <mergeCell ref="R65:S65"/>
    <mergeCell ref="T65:U65"/>
    <mergeCell ref="J64:K64"/>
    <mergeCell ref="L64:M64"/>
    <mergeCell ref="N64:O64"/>
    <mergeCell ref="P64:Q64"/>
    <mergeCell ref="R64:S64"/>
    <mergeCell ref="T89:U89"/>
    <mergeCell ref="J90:K90"/>
    <mergeCell ref="L90:M90"/>
    <mergeCell ref="N90:O90"/>
    <mergeCell ref="P90:Q90"/>
    <mergeCell ref="R90:S90"/>
    <mergeCell ref="T90:U90"/>
    <mergeCell ref="J89:K89"/>
    <mergeCell ref="L89:M89"/>
    <mergeCell ref="N89:O89"/>
    <mergeCell ref="P89:Q89"/>
    <mergeCell ref="R89:S89"/>
    <mergeCell ref="T87:U87"/>
    <mergeCell ref="J88:K88"/>
    <mergeCell ref="L88:M88"/>
    <mergeCell ref="N88:O88"/>
    <mergeCell ref="P88:Q88"/>
    <mergeCell ref="R88:S88"/>
    <mergeCell ref="T88:U88"/>
    <mergeCell ref="J87:K87"/>
    <mergeCell ref="L87:M87"/>
    <mergeCell ref="T85:U85"/>
    <mergeCell ref="J86:K86"/>
    <mergeCell ref="L86:M86"/>
    <mergeCell ref="N86:O86"/>
    <mergeCell ref="P86:Q86"/>
    <mergeCell ref="R86:S86"/>
    <mergeCell ref="T86:U86"/>
    <mergeCell ref="J85:K85"/>
    <mergeCell ref="L85:M85"/>
    <mergeCell ref="N85:O85"/>
    <mergeCell ref="P85:Q85"/>
    <mergeCell ref="R85:S85"/>
    <mergeCell ref="T83:U83"/>
    <mergeCell ref="J84:K84"/>
    <mergeCell ref="L84:M84"/>
    <mergeCell ref="N84:O84"/>
    <mergeCell ref="P84:Q84"/>
    <mergeCell ref="R84:S84"/>
    <mergeCell ref="T84:U84"/>
    <mergeCell ref="J83:K83"/>
    <mergeCell ref="L83:M83"/>
    <mergeCell ref="N83:O83"/>
    <mergeCell ref="P83:Q83"/>
    <mergeCell ref="R83:S83"/>
    <mergeCell ref="N81:O81"/>
    <mergeCell ref="P81:Q81"/>
    <mergeCell ref="R81:S81"/>
    <mergeCell ref="T81:U81"/>
    <mergeCell ref="J82:K82"/>
    <mergeCell ref="L82:M82"/>
    <mergeCell ref="N82:O82"/>
    <mergeCell ref="P82:Q82"/>
    <mergeCell ref="R82:S82"/>
    <mergeCell ref="T82:U82"/>
    <mergeCell ref="N76:O76"/>
    <mergeCell ref="P76:Q76"/>
    <mergeCell ref="R76:S76"/>
    <mergeCell ref="T76:U76"/>
    <mergeCell ref="J80:K80"/>
    <mergeCell ref="L80:M80"/>
    <mergeCell ref="N80:O80"/>
    <mergeCell ref="P80:Q80"/>
    <mergeCell ref="R80:S80"/>
    <mergeCell ref="T80:U80"/>
    <mergeCell ref="L77:M77"/>
    <mergeCell ref="N77:O77"/>
    <mergeCell ref="P77:Q77"/>
    <mergeCell ref="R77:S77"/>
    <mergeCell ref="T77:U77"/>
    <mergeCell ref="P62:Q62"/>
    <mergeCell ref="R62:S62"/>
    <mergeCell ref="L63:M63"/>
    <mergeCell ref="P63:Q63"/>
    <mergeCell ref="R63:S63"/>
    <mergeCell ref="P60:Q60"/>
    <mergeCell ref="R60:S60"/>
    <mergeCell ref="L61:M61"/>
    <mergeCell ref="P61:Q61"/>
    <mergeCell ref="R61:S61"/>
    <mergeCell ref="P58:Q58"/>
    <mergeCell ref="R58:S58"/>
    <mergeCell ref="L59:M59"/>
    <mergeCell ref="P59:Q59"/>
    <mergeCell ref="R59:S59"/>
    <mergeCell ref="L58:M58"/>
    <mergeCell ref="L60:M60"/>
    <mergeCell ref="L62:M62"/>
    <mergeCell ref="R54:S54"/>
    <mergeCell ref="L55:M55"/>
    <mergeCell ref="P55:Q55"/>
    <mergeCell ref="R55:S55"/>
    <mergeCell ref="E49:I49"/>
    <mergeCell ref="J49:K49"/>
    <mergeCell ref="L49:M49"/>
    <mergeCell ref="L53:M53"/>
    <mergeCell ref="L54:M54"/>
    <mergeCell ref="L56:M56"/>
    <mergeCell ref="N49:O49"/>
    <mergeCell ref="P49:Q49"/>
    <mergeCell ref="R49:S49"/>
    <mergeCell ref="T49:U49"/>
    <mergeCell ref="P53:Q53"/>
    <mergeCell ref="R53:S53"/>
    <mergeCell ref="P54:Q54"/>
    <mergeCell ref="T58:U58"/>
    <mergeCell ref="T59:U59"/>
    <mergeCell ref="T60:U60"/>
    <mergeCell ref="T61:U61"/>
    <mergeCell ref="T62:U62"/>
    <mergeCell ref="E76:I76"/>
    <mergeCell ref="J76:K76"/>
    <mergeCell ref="L76:M76"/>
    <mergeCell ref="J81:K81"/>
    <mergeCell ref="L81:M81"/>
    <mergeCell ref="J57:K57"/>
    <mergeCell ref="J58:K58"/>
    <mergeCell ref="J53:K53"/>
    <mergeCell ref="J54:K54"/>
    <mergeCell ref="J55:K55"/>
    <mergeCell ref="J56:K56"/>
    <mergeCell ref="J59:K59"/>
    <mergeCell ref="J60:K60"/>
    <mergeCell ref="J61:K61"/>
    <mergeCell ref="J62:K62"/>
    <mergeCell ref="J63:K63"/>
    <mergeCell ref="T63:U63"/>
    <mergeCell ref="T53:U53"/>
    <mergeCell ref="T54:U54"/>
    <mergeCell ref="T55:U55"/>
    <mergeCell ref="T56:U56"/>
    <mergeCell ref="T57:U57"/>
    <mergeCell ref="P56:Q56"/>
    <mergeCell ref="R56:S56"/>
    <mergeCell ref="L57:M57"/>
    <mergeCell ref="P57:Q57"/>
    <mergeCell ref="R57:S57"/>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H134"/>
  <sheetViews>
    <sheetView showGridLines="0" topLeftCell="A37" workbookViewId="0">
      <selection activeCell="K51" sqref="K51:L51"/>
    </sheetView>
  </sheetViews>
  <sheetFormatPr defaultColWidth="0" defaultRowHeight="15" zeroHeight="1" x14ac:dyDescent="0.25"/>
  <cols>
    <col min="1" max="1" width="2.85546875" style="21" customWidth="1"/>
    <col min="2" max="2" width="8.85546875" customWidth="1"/>
    <col min="3" max="3" width="8.85546875" style="176" customWidth="1"/>
    <col min="4" max="22" width="8.85546875" customWidth="1"/>
    <col min="23" max="23" width="2.7109375" style="21" customWidth="1"/>
    <col min="24" max="34" width="0" style="1" hidden="1" customWidth="1"/>
    <col min="35"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878" t="s">
        <v>1389</v>
      </c>
      <c r="C6" s="879"/>
      <c r="D6" s="879"/>
      <c r="E6" s="879"/>
      <c r="F6" s="880"/>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881"/>
      <c r="C7" s="882"/>
      <c r="D7" s="882"/>
      <c r="E7" s="882"/>
      <c r="F7" s="883"/>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881"/>
      <c r="C8" s="882"/>
      <c r="D8" s="882"/>
      <c r="E8" s="882"/>
      <c r="F8" s="883"/>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881"/>
      <c r="C9" s="882"/>
      <c r="D9" s="882"/>
      <c r="E9" s="882"/>
      <c r="F9" s="883"/>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881"/>
      <c r="C10" s="882"/>
      <c r="D10" s="882"/>
      <c r="E10" s="882"/>
      <c r="F10" s="883"/>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881"/>
      <c r="C11" s="882"/>
      <c r="D11" s="882"/>
      <c r="E11" s="882"/>
      <c r="F11" s="883"/>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881"/>
      <c r="C12" s="882"/>
      <c r="D12" s="882"/>
      <c r="E12" s="882"/>
      <c r="F12" s="883"/>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884"/>
      <c r="C13" s="885"/>
      <c r="D13" s="885"/>
      <c r="E13" s="885"/>
      <c r="F13" s="886"/>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2:22" x14ac:dyDescent="0.25">
      <c r="B17" s="192"/>
      <c r="C17" s="212"/>
      <c r="D17" s="212"/>
      <c r="E17" s="212"/>
      <c r="F17" s="212"/>
      <c r="G17" s="212"/>
      <c r="H17" s="212"/>
      <c r="I17" s="212"/>
      <c r="J17" s="212"/>
      <c r="K17" s="212"/>
      <c r="L17" s="212"/>
      <c r="M17" s="212"/>
      <c r="N17" s="212"/>
      <c r="O17" s="212"/>
      <c r="P17" s="212"/>
      <c r="Q17" s="212"/>
      <c r="R17" s="212"/>
      <c r="S17" s="212"/>
      <c r="T17" s="212"/>
      <c r="U17" s="212"/>
      <c r="V17" s="212"/>
    </row>
    <row r="18" spans="2:22" x14ac:dyDescent="0.25">
      <c r="B18" s="201"/>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3">
      <c r="B19" s="212"/>
      <c r="C19" s="212"/>
      <c r="D19" s="213" t="s">
        <v>75</v>
      </c>
      <c r="E19" s="212"/>
      <c r="F19" s="212"/>
      <c r="G19" s="212"/>
      <c r="H19" s="212"/>
      <c r="I19" s="212"/>
      <c r="J19" s="212"/>
      <c r="K19" s="1124" t="s">
        <v>763</v>
      </c>
      <c r="L19" s="1125"/>
      <c r="M19" s="1124" t="s">
        <v>764</v>
      </c>
      <c r="N19" s="1125"/>
      <c r="O19" s="1124" t="s">
        <v>765</v>
      </c>
      <c r="P19" s="1125"/>
      <c r="Q19" s="1124" t="s">
        <v>766</v>
      </c>
      <c r="R19" s="1125"/>
      <c r="S19" s="1124" t="s">
        <v>767</v>
      </c>
      <c r="T19" s="1125"/>
      <c r="U19" s="212"/>
      <c r="V19" s="212"/>
    </row>
    <row r="20" spans="2:22" ht="18.75" x14ac:dyDescent="0.3">
      <c r="B20" s="212"/>
      <c r="C20" s="212"/>
      <c r="D20" s="221"/>
      <c r="E20" s="212"/>
      <c r="F20" s="212"/>
      <c r="G20" s="212"/>
      <c r="H20" s="212"/>
      <c r="I20" s="212"/>
      <c r="J20" s="212"/>
      <c r="K20" s="212"/>
      <c r="L20" s="212"/>
      <c r="M20" s="212"/>
      <c r="N20" s="212"/>
      <c r="O20" s="212"/>
      <c r="P20" s="212"/>
      <c r="Q20" s="212"/>
      <c r="R20" s="212"/>
      <c r="S20" s="212"/>
      <c r="T20" s="212"/>
      <c r="U20" s="212"/>
      <c r="V20" s="212"/>
    </row>
    <row r="21" spans="2:22" x14ac:dyDescent="0.25">
      <c r="B21" s="212"/>
      <c r="C21" s="212"/>
      <c r="D21" s="11" t="s">
        <v>1152</v>
      </c>
      <c r="E21" s="2"/>
      <c r="F21" s="2"/>
      <c r="G21" s="2"/>
      <c r="H21" s="2"/>
      <c r="I21" s="3"/>
      <c r="J21" s="212"/>
      <c r="K21" s="849">
        <f>IF(ISNUMBER('Summary of Input Data'!I17)=FALSE,"",'Summary of Input Data'!I17-IF(Assumptions!M88="Default of largest borrower",Input!T108,IF(Assumptions!M88="Default of 2 largest borrowers",Input!T109,IF(Assumptions!M88="Default of 3 largest borrowers",Input!T110,IF(Assumptions!M88="Default of 10 largest borrowers",Input!T111,IF(Assumptions!M88="Default of all large exposures",Input!T112,0))))))</f>
        <v>1906.1204545454548</v>
      </c>
      <c r="L21" s="850"/>
      <c r="M21" s="232"/>
      <c r="N21" s="232"/>
      <c r="O21" s="232"/>
      <c r="P21" s="232"/>
      <c r="Q21" s="232"/>
      <c r="R21" s="232"/>
      <c r="S21" s="232"/>
      <c r="T21" s="232"/>
      <c r="U21" s="212"/>
      <c r="V21" s="212"/>
    </row>
    <row r="22" spans="2:22" x14ac:dyDescent="0.25">
      <c r="B22" s="212"/>
      <c r="C22" s="212"/>
      <c r="D22" s="13" t="s">
        <v>1153</v>
      </c>
      <c r="E22" s="6"/>
      <c r="F22" s="6"/>
      <c r="G22" s="6"/>
      <c r="H22" s="6"/>
      <c r="I22" s="7"/>
      <c r="J22" s="212"/>
      <c r="K22" s="849">
        <f>IF(ISNUMBER(Input!G29),Input!G29,"N/A")</f>
        <v>1524.4</v>
      </c>
      <c r="L22" s="850"/>
      <c r="M22" s="232"/>
      <c r="N22" s="232"/>
      <c r="O22" s="232"/>
      <c r="P22" s="232"/>
      <c r="Q22" s="232"/>
      <c r="R22" s="232"/>
      <c r="S22" s="232"/>
      <c r="T22" s="232"/>
      <c r="U22" s="212"/>
      <c r="V22" s="212"/>
    </row>
    <row r="23" spans="2:22" x14ac:dyDescent="0.25">
      <c r="B23" s="212"/>
      <c r="C23" s="212"/>
      <c r="D23" s="212"/>
      <c r="E23" s="212"/>
      <c r="F23" s="212"/>
      <c r="G23" s="212"/>
      <c r="H23" s="212"/>
      <c r="I23" s="212"/>
      <c r="J23" s="212"/>
      <c r="K23" s="232"/>
      <c r="L23" s="232"/>
      <c r="M23" s="232"/>
      <c r="N23" s="232"/>
      <c r="O23" s="232"/>
      <c r="P23" s="232"/>
      <c r="Q23" s="232"/>
      <c r="R23" s="232"/>
      <c r="S23" s="232"/>
      <c r="T23" s="232"/>
      <c r="U23" s="212"/>
      <c r="V23" s="212"/>
    </row>
    <row r="24" spans="2:22" x14ac:dyDescent="0.25">
      <c r="B24" s="212"/>
      <c r="C24" s="212"/>
      <c r="D24" s="186" t="str">
        <f>IF(Setup!B7="Losses/Provisions","Losses/Provisions reported","PDs or NPLs reported ")</f>
        <v xml:space="preserve">PDs or NPLs reported </v>
      </c>
      <c r="E24" s="2"/>
      <c r="F24" s="2"/>
      <c r="G24" s="2"/>
      <c r="H24" s="2"/>
      <c r="I24" s="3"/>
      <c r="J24" s="212"/>
      <c r="K24" s="849">
        <f>IF(Setup!B7="Losses/Provisions",IF(ISNUMBER(Input!Z101)=FALSE,"",Input!Z101),IF(ISNUMBER(Input!Z99)=FALSE,"",Input!Z99))</f>
        <v>85.936363636363637</v>
      </c>
      <c r="L24" s="850"/>
      <c r="M24" s="232"/>
      <c r="N24" s="232"/>
      <c r="O24" s="232"/>
      <c r="P24" s="232"/>
      <c r="Q24" s="232"/>
      <c r="R24" s="232"/>
      <c r="S24" s="232"/>
      <c r="T24" s="232"/>
      <c r="U24" s="212"/>
      <c r="V24" s="212"/>
    </row>
    <row r="25" spans="2:22" x14ac:dyDescent="0.25">
      <c r="B25" s="212"/>
      <c r="C25" s="212"/>
      <c r="D25" s="181" t="str">
        <f>IF(Setup!B7="Losses/Provisions","Loss Rates","PD or NPL ratio")</f>
        <v>PD or NPL ratio</v>
      </c>
      <c r="E25" s="6"/>
      <c r="F25" s="6"/>
      <c r="G25" s="6"/>
      <c r="H25" s="6"/>
      <c r="I25" s="7"/>
      <c r="J25" s="212"/>
      <c r="K25" s="847">
        <f>IF(ISNUMBER('Summary of Input Data'!I25),'Summary of Input Data'!I25,IF(ISNUMBER('Summary of Input Data'!I24),'Summary of Input Data'!I24,""))</f>
        <v>3.4239805149277824E-2</v>
      </c>
      <c r="L25" s="848"/>
      <c r="M25" s="232"/>
      <c r="N25" s="232"/>
      <c r="O25" s="232"/>
      <c r="P25" s="232"/>
      <c r="Q25" s="232"/>
      <c r="R25" s="232"/>
      <c r="S25" s="232"/>
      <c r="T25" s="232"/>
      <c r="U25" s="212"/>
      <c r="V25" s="212"/>
    </row>
    <row r="26" spans="2:22" x14ac:dyDescent="0.25">
      <c r="B26" s="212"/>
      <c r="C26" s="212"/>
      <c r="D26" s="212"/>
      <c r="E26" s="212"/>
      <c r="F26" s="212"/>
      <c r="G26" s="212"/>
      <c r="H26" s="212"/>
      <c r="I26" s="212"/>
      <c r="J26" s="212"/>
      <c r="K26" s="212"/>
      <c r="L26" s="212"/>
      <c r="M26" s="232"/>
      <c r="N26" s="232"/>
      <c r="O26" s="232"/>
      <c r="P26" s="232"/>
      <c r="Q26" s="232"/>
      <c r="R26" s="232"/>
      <c r="S26" s="232"/>
      <c r="T26" s="232"/>
      <c r="U26" s="212"/>
      <c r="V26" s="212"/>
    </row>
    <row r="27" spans="2:22" x14ac:dyDescent="0.25">
      <c r="B27" s="212"/>
      <c r="C27" s="212"/>
      <c r="D27" s="186" t="s">
        <v>1154</v>
      </c>
      <c r="E27" s="2"/>
      <c r="F27" s="2"/>
      <c r="G27" s="2"/>
      <c r="H27" s="2"/>
      <c r="I27" s="3"/>
      <c r="J27" s="212"/>
      <c r="K27" s="849">
        <f>Calculation!L23</f>
        <v>2816.7113636363638</v>
      </c>
      <c r="L27" s="850"/>
      <c r="M27" s="849">
        <f>Calculation!N26</f>
        <v>2705.8011681457983</v>
      </c>
      <c r="N27" s="850"/>
      <c r="O27" s="851">
        <f>Calculation!P26</f>
        <v>2583.6375836793704</v>
      </c>
      <c r="P27" s="850"/>
      <c r="Q27" s="851">
        <f>Calculation!R26</f>
        <v>2449.9618664050572</v>
      </c>
      <c r="R27" s="850"/>
      <c r="S27" s="851">
        <f>Calculation!T26</f>
        <v>2304.7978230551362</v>
      </c>
      <c r="T27" s="850"/>
      <c r="U27" s="212"/>
      <c r="V27" s="212"/>
    </row>
    <row r="28" spans="2:22" x14ac:dyDescent="0.25">
      <c r="B28" s="212"/>
      <c r="C28" s="212"/>
      <c r="D28" s="181" t="str">
        <f>IF(Setup!B7="Losses/Provisions","Loss Rate (for total exposure included in tests)","PD (for total exposure included in tests)")</f>
        <v>PD (for total exposure included in tests)</v>
      </c>
      <c r="E28" s="6"/>
      <c r="F28" s="6"/>
      <c r="G28" s="6"/>
      <c r="H28" s="6"/>
      <c r="I28" s="7"/>
      <c r="J28" s="212"/>
      <c r="K28" s="847">
        <f>IF(AND(Summary!G21="Macro",Assumptions!H62="Yes"),Calculation!J53,IF(Assumptions!H77="Simulate Rating downgrade",Calculation!O304,Calculation!J53))</f>
        <v>3.4239805149277824E-2</v>
      </c>
      <c r="L28" s="848"/>
      <c r="M28" s="232"/>
      <c r="N28" s="232"/>
      <c r="O28" s="232"/>
      <c r="P28" s="232"/>
      <c r="Q28" s="232"/>
      <c r="R28" s="232"/>
      <c r="S28" s="232"/>
      <c r="T28" s="232"/>
      <c r="U28" s="212"/>
      <c r="V28" s="212"/>
    </row>
    <row r="29" spans="2:22" x14ac:dyDescent="0.25">
      <c r="B29" s="212"/>
      <c r="C29" s="212"/>
      <c r="D29" s="212"/>
      <c r="E29" s="212"/>
      <c r="F29" s="212"/>
      <c r="G29" s="212"/>
      <c r="H29" s="212"/>
      <c r="I29" s="212"/>
      <c r="J29" s="212"/>
      <c r="K29" s="212"/>
      <c r="L29" s="212"/>
      <c r="M29" s="232"/>
      <c r="N29" s="232"/>
      <c r="O29" s="232"/>
      <c r="P29" s="232"/>
      <c r="Q29" s="232"/>
      <c r="R29" s="232"/>
      <c r="S29" s="232"/>
      <c r="T29" s="232"/>
      <c r="U29" s="212"/>
      <c r="V29" s="212"/>
    </row>
    <row r="30" spans="2:22" x14ac:dyDescent="0.25">
      <c r="B30" s="212"/>
      <c r="C30" s="212"/>
      <c r="D30" s="186" t="s">
        <v>1155</v>
      </c>
      <c r="E30" s="2"/>
      <c r="F30" s="2"/>
      <c r="G30" s="2"/>
      <c r="H30" s="2"/>
      <c r="I30" s="3"/>
      <c r="J30" s="212"/>
      <c r="K30" s="849">
        <f>K27*Assumptions!AA90</f>
        <v>0</v>
      </c>
      <c r="L30" s="850"/>
      <c r="M30" s="851">
        <f>IF(ISNUMBER(M27*Assumptions!AC90),M27*Assumptions!AC90,"")</f>
        <v>0</v>
      </c>
      <c r="N30" s="850"/>
      <c r="O30" s="851">
        <f>IF(ISNUMBER(O27*Assumptions!AE90),O27*Assumptions!AE90,"")</f>
        <v>0</v>
      </c>
      <c r="P30" s="850"/>
      <c r="Q30" s="851">
        <f>IF(ISNUMBER(Q27*Assumptions!AG90),Q27*Assumptions!AG90,"")</f>
        <v>0</v>
      </c>
      <c r="R30" s="850"/>
      <c r="S30" s="851">
        <f>IF(ISNUMBER(S27*Assumptions!AI90),S27*Assumptions!AI90,"")</f>
        <v>0</v>
      </c>
      <c r="T30" s="850"/>
      <c r="U30" s="212"/>
      <c r="V30" s="212"/>
    </row>
    <row r="31" spans="2:22" x14ac:dyDescent="0.25">
      <c r="B31" s="212"/>
      <c r="C31" s="212"/>
      <c r="D31" s="187" t="str">
        <f>IF(Setup!B7="Losses/Provisions","Loss Rates (Stress)","PD (Stress)")</f>
        <v>PD (Stress)</v>
      </c>
      <c r="E31" s="4"/>
      <c r="F31" s="4"/>
      <c r="G31" s="4"/>
      <c r="H31" s="4"/>
      <c r="I31" s="5"/>
      <c r="J31" s="212"/>
      <c r="K31" s="847">
        <f>IF(AND(Summary!$G$21="Macro",Assumptions!$H$62="Yes"),Calculation!L53,IF(Assumptions!$H$77="Simulate Rating downgrade",VLOOKUP(Assumptions!M80,Calculation!$I$304:$P$313,7,0),Calculation!L53))</f>
        <v>3.9375775921669492E-2</v>
      </c>
      <c r="L31" s="848"/>
      <c r="M31" s="865">
        <f>IF(AND(Summary!$G$21="Macro",Assumptions!$H$62="Yes"),Calculation!N53,IF(Assumptions!$H$77="Simulate Rating downgrade",VLOOKUP(Assumptions!O80,Calculation!$I$304:$P$313,7,0),Calculation!N53))</f>
        <v>4.5148766252526396E-2</v>
      </c>
      <c r="N31" s="848"/>
      <c r="O31" s="865">
        <f>IF(AND(Summary!$G$21="Macro",Assumptions!$H$62="Yes"),Calculation!P53,IF(Assumptions!$H$77="Simulate Rating downgrade",VLOOKUP(Assumptions!Q80,Calculation!$I$304:$P$313,7,0),Calculation!P53))</f>
        <v>5.1739345378288518E-2</v>
      </c>
      <c r="P31" s="848"/>
      <c r="Q31" s="865">
        <f>IF(AND(Summary!$G$21="Macro",Assumptions!$H$62="Yes"),Calculation!R53,IF(Assumptions!$H$77="Simulate Rating downgrade",VLOOKUP(Assumptions!S80,Calculation!$I$304:$P$313,7,0),Calculation!R53))</f>
        <v>5.9251552173310726E-2</v>
      </c>
      <c r="R31" s="848"/>
      <c r="S31" s="865">
        <f>IF(AND(Summary!$G$21="Macro",Assumptions!$H$62="Yes"),Calculation!T53,IF(Assumptions!$H$77="Simulate Rating downgrade",VLOOKUP(Assumptions!U80,Calculation!$I$304:$P$313,7,0),Calculation!T53))</f>
        <v>6.7797303372443121E-2</v>
      </c>
      <c r="T31" s="848"/>
      <c r="U31" s="212"/>
      <c r="V31" s="212"/>
    </row>
    <row r="32" spans="2:22" x14ac:dyDescent="0.25">
      <c r="B32" s="212"/>
      <c r="C32" s="212"/>
      <c r="D32" s="187" t="s">
        <v>1156</v>
      </c>
      <c r="E32" s="4"/>
      <c r="F32" s="4"/>
      <c r="G32" s="4"/>
      <c r="H32" s="4"/>
      <c r="I32" s="5"/>
      <c r="J32" s="212"/>
      <c r="K32" s="849">
        <f>IF(ISNUMBER((1+0.5*Assumptions!M90)*K27*K31),(1+0.5*Assumptions!M90)*K27*K31,"Please Check")</f>
        <v>110.91019549056557</v>
      </c>
      <c r="L32" s="850" t="str">
        <f>IF(ISNUMBER((1+0.5*aaa)*L27*L31),(1+0.5*aaa)*L27*L31,"Please Check")</f>
        <v>Please Check</v>
      </c>
      <c r="M32" s="851">
        <f>IF(ISNUMBER((1+0.5*Assumptions!O90)*M27*M31),(1+0.5*Assumptions!O90)*M27*M31,"Please Check")</f>
        <v>122.16358446642752</v>
      </c>
      <c r="N32" s="850" t="str">
        <f>IF(ISNUMBER((1+0.5*aaa)*N27*N31),(1+0.5*aaa)*N27*N31,"Please Check")</f>
        <v>Please Check</v>
      </c>
      <c r="O32" s="851">
        <f>IF(ISNUMBER((1+0.5*Assumptions!Q90)*O27*O31),(1+0.5*Assumptions!Q90)*O27*O31,"Please Check")</f>
        <v>133.67571727431374</v>
      </c>
      <c r="P32" s="850" t="str">
        <f>IF(ISNUMBER((1+0.5*aaa)*P27*P31),(1+0.5*aaa)*P27*P31,"Please Check")</f>
        <v>Please Check</v>
      </c>
      <c r="Q32" s="851">
        <f>IF(ISNUMBER((1+0.5*Assumptions!S90)*Q27*Q31),(1+0.5*Assumptions!S90)*Q27*Q31,"Please Check")</f>
        <v>145.16404334992097</v>
      </c>
      <c r="R32" s="850" t="str">
        <f>IF(ISNUMBER((1+0.5*aaa)*R27*R31),(1+0.5*aaa)*R27*R31,"Please Check")</f>
        <v>Please Check</v>
      </c>
      <c r="S32" s="851">
        <f>IF(ISNUMBER((1+0.5*Assumptions!U90)*S27*S31),(1+0.5*Assumptions!U90)*S27*S31,"Please Check")</f>
        <v>156.25907722181555</v>
      </c>
      <c r="T32" s="850" t="str">
        <f>IF(ISNUMBER((1+0.5*aaa)*T27*T31),(1+0.5*aaa)*T27*T31,"Please Check")</f>
        <v>Please Check</v>
      </c>
      <c r="U32" s="212"/>
      <c r="V32" s="212"/>
    </row>
    <row r="33" spans="2:22" x14ac:dyDescent="0.25">
      <c r="B33" s="212"/>
      <c r="C33" s="212"/>
      <c r="D33" s="187" t="s">
        <v>1157</v>
      </c>
      <c r="E33" s="4"/>
      <c r="F33" s="4"/>
      <c r="G33" s="4"/>
      <c r="H33" s="4"/>
      <c r="I33" s="5"/>
      <c r="J33" s="212"/>
      <c r="K33" s="847">
        <f>IF(Setup!$B$7="Losses/Provisions",100%,Calculation!L80)</f>
        <v>0.94608848326505846</v>
      </c>
      <c r="L33" s="848"/>
      <c r="M33" s="865">
        <f>IF(Setup!$B$7="Losses/Provisions",100%,Calculation!N80)</f>
        <v>1</v>
      </c>
      <c r="N33" s="848"/>
      <c r="O33" s="865">
        <f>IF(Setup!$B$7="Losses/Provisions",100%,Calculation!P80)</f>
        <v>1</v>
      </c>
      <c r="P33" s="848"/>
      <c r="Q33" s="865">
        <f>IF(Setup!$B$7="Losses/Provisions",100%,Calculation!R80)</f>
        <v>1</v>
      </c>
      <c r="R33" s="848"/>
      <c r="S33" s="865">
        <f>IF(Setup!$B$7="Losses/Provisions",100%,Calculation!T80)</f>
        <v>1</v>
      </c>
      <c r="T33" s="848"/>
      <c r="U33" s="212"/>
      <c r="V33" s="212"/>
    </row>
    <row r="34" spans="2:22" x14ac:dyDescent="0.25">
      <c r="B34" s="212"/>
      <c r="C34" s="212"/>
      <c r="D34" s="181" t="s">
        <v>1158</v>
      </c>
      <c r="E34" s="6"/>
      <c r="F34" s="6"/>
      <c r="G34" s="6"/>
      <c r="H34" s="6"/>
      <c r="I34" s="7"/>
      <c r="J34" s="212"/>
      <c r="K34" s="849">
        <f>IF(ISNUMBER(K27+K30-K32)=FALSE,"N/A",K27+K30-K32)</f>
        <v>2705.8011681457983</v>
      </c>
      <c r="L34" s="850" t="str">
        <f t="shared" ref="L34:T34" si="0">IF(ISNUMBER(L27+L30-L32)=FALSE,"n.a.",L27+L30-L32)</f>
        <v>n.a.</v>
      </c>
      <c r="M34" s="851">
        <f>IF(ISNUMBER(M27+M30-M32)=FALSE,"N/A",M27+M30-M32)</f>
        <v>2583.6375836793709</v>
      </c>
      <c r="N34" s="850" t="str">
        <f t="shared" si="0"/>
        <v>n.a.</v>
      </c>
      <c r="O34" s="851">
        <f>IF(ISNUMBER(O27+O30-O32)=FALSE,"N/A",O27+O30-O32)</f>
        <v>2449.9618664050568</v>
      </c>
      <c r="P34" s="850" t="str">
        <f t="shared" si="0"/>
        <v>n.a.</v>
      </c>
      <c r="Q34" s="851">
        <f>IF(ISNUMBER(Q27+Q30-Q32)=FALSE,"N/A",Q27+Q30-Q32)</f>
        <v>2304.7978230551362</v>
      </c>
      <c r="R34" s="850" t="str">
        <f t="shared" si="0"/>
        <v>n.a.</v>
      </c>
      <c r="S34" s="851">
        <f>IF(ISNUMBER(S27+S30-S32)=FALSE,"N/A",S27+S30-S32)</f>
        <v>2148.5387458333207</v>
      </c>
      <c r="T34" s="850" t="str">
        <f t="shared" si="0"/>
        <v>n.a.</v>
      </c>
      <c r="U34" s="212"/>
      <c r="V34" s="212"/>
    </row>
    <row r="35" spans="2:22" x14ac:dyDescent="0.25">
      <c r="B35" s="212"/>
      <c r="C35" s="212"/>
      <c r="D35" s="212"/>
      <c r="E35" s="212"/>
      <c r="F35" s="212"/>
      <c r="G35" s="212"/>
      <c r="H35" s="212"/>
      <c r="I35" s="212"/>
      <c r="J35" s="212"/>
      <c r="K35" s="212"/>
      <c r="L35" s="212"/>
      <c r="M35" s="232"/>
      <c r="N35" s="232"/>
      <c r="O35" s="232"/>
      <c r="P35" s="232"/>
      <c r="Q35" s="232"/>
      <c r="R35" s="232"/>
      <c r="S35" s="232"/>
      <c r="T35" s="232"/>
      <c r="U35" s="212"/>
      <c r="V35" s="212"/>
    </row>
    <row r="36" spans="2:22" x14ac:dyDescent="0.25">
      <c r="B36" s="212"/>
      <c r="C36" s="212"/>
      <c r="D36" s="186" t="s">
        <v>1159</v>
      </c>
      <c r="E36" s="2"/>
      <c r="F36" s="2"/>
      <c r="G36" s="2"/>
      <c r="H36" s="2"/>
      <c r="I36" s="3"/>
      <c r="J36" s="212"/>
      <c r="K36" s="849">
        <f>IF(ISNUMBER(Input!O51),Input!O51,IF(ISNUMBER('Summary of Input Data'!S21),'Summary of Input Data'!S21*'Y1 to Y5'!K21,"N/A"))</f>
        <v>57.6</v>
      </c>
      <c r="L36" s="850"/>
      <c r="M36" s="851">
        <f>K36</f>
        <v>57.6</v>
      </c>
      <c r="N36" s="850"/>
      <c r="O36" s="851">
        <f>M36</f>
        <v>57.6</v>
      </c>
      <c r="P36" s="850"/>
      <c r="Q36" s="851">
        <f>O36</f>
        <v>57.6</v>
      </c>
      <c r="R36" s="850"/>
      <c r="S36" s="851">
        <f>Q36</f>
        <v>57.6</v>
      </c>
      <c r="T36" s="850"/>
      <c r="U36" s="212"/>
      <c r="V36" s="212"/>
    </row>
    <row r="37" spans="2:22" x14ac:dyDescent="0.25">
      <c r="B37" s="212"/>
      <c r="C37" s="212"/>
      <c r="D37" s="181" t="s">
        <v>1160</v>
      </c>
      <c r="E37" s="6"/>
      <c r="F37" s="6"/>
      <c r="G37" s="6"/>
      <c r="H37" s="6"/>
      <c r="I37" s="7"/>
      <c r="J37" s="212"/>
      <c r="K37" s="849">
        <f>IF(ISNUMBER(K27*(K33*K31))=FALSE,"",(K27*(K33*K31)))</f>
        <v>104.93085863030032</v>
      </c>
      <c r="L37" s="850">
        <f t="shared" ref="L37:T37" si="1">IF(ISNUMBER(L27*(L33*L31))=FALSE,"",(L27*(L33*L31)))</f>
        <v>0</v>
      </c>
      <c r="M37" s="851">
        <f t="shared" si="1"/>
        <v>122.16358446642752</v>
      </c>
      <c r="N37" s="850">
        <f t="shared" si="1"/>
        <v>0</v>
      </c>
      <c r="O37" s="851">
        <f t="shared" si="1"/>
        <v>133.67571727431374</v>
      </c>
      <c r="P37" s="850">
        <f t="shared" si="1"/>
        <v>0</v>
      </c>
      <c r="Q37" s="851">
        <f t="shared" si="1"/>
        <v>145.16404334992097</v>
      </c>
      <c r="R37" s="850">
        <f t="shared" si="1"/>
        <v>0</v>
      </c>
      <c r="S37" s="851">
        <f t="shared" si="1"/>
        <v>156.25907722181555</v>
      </c>
      <c r="T37" s="850">
        <f t="shared" si="1"/>
        <v>0</v>
      </c>
      <c r="U37" s="212"/>
      <c r="V37" s="212"/>
    </row>
    <row r="38" spans="2:22" x14ac:dyDescent="0.25">
      <c r="B38" s="212"/>
      <c r="C38" s="212"/>
      <c r="D38" s="212"/>
      <c r="E38" s="212"/>
      <c r="F38" s="212"/>
      <c r="G38" s="212"/>
      <c r="H38" s="212"/>
      <c r="I38" s="212"/>
      <c r="J38" s="212"/>
      <c r="K38" s="212"/>
      <c r="L38" s="212"/>
      <c r="M38" s="212"/>
      <c r="N38" s="212"/>
      <c r="O38" s="212"/>
      <c r="P38" s="212"/>
      <c r="Q38" s="212"/>
      <c r="R38" s="212"/>
      <c r="S38" s="212"/>
      <c r="T38" s="212"/>
      <c r="U38" s="212"/>
      <c r="V38" s="212"/>
    </row>
    <row r="39" spans="2:22" x14ac:dyDescent="0.25">
      <c r="B39" s="201"/>
      <c r="C39" s="214"/>
      <c r="D39" s="214"/>
      <c r="E39" s="214"/>
      <c r="F39" s="214"/>
      <c r="G39" s="214"/>
      <c r="H39" s="214"/>
      <c r="I39" s="214"/>
      <c r="J39" s="214"/>
      <c r="K39" s="214"/>
      <c r="L39" s="214"/>
      <c r="M39" s="214"/>
      <c r="N39" s="214"/>
      <c r="O39" s="214"/>
      <c r="P39" s="214"/>
      <c r="Q39" s="214"/>
      <c r="R39" s="214"/>
      <c r="S39" s="214"/>
      <c r="T39" s="214"/>
      <c r="U39" s="214"/>
      <c r="V39" s="214"/>
    </row>
    <row r="40" spans="2:22" ht="18.75" x14ac:dyDescent="0.3">
      <c r="B40" s="212"/>
      <c r="C40" s="212"/>
      <c r="D40" s="213" t="s">
        <v>1163</v>
      </c>
      <c r="E40" s="212"/>
      <c r="F40" s="212"/>
      <c r="G40" s="212"/>
      <c r="H40" s="212"/>
      <c r="I40" s="212"/>
      <c r="J40" s="212"/>
      <c r="K40" s="1124" t="s">
        <v>763</v>
      </c>
      <c r="L40" s="1125"/>
      <c r="M40" s="1124" t="s">
        <v>764</v>
      </c>
      <c r="N40" s="1125"/>
      <c r="O40" s="1124" t="s">
        <v>765</v>
      </c>
      <c r="P40" s="1125"/>
      <c r="Q40" s="1124" t="s">
        <v>766</v>
      </c>
      <c r="R40" s="1125"/>
      <c r="S40" s="1124" t="s">
        <v>767</v>
      </c>
      <c r="T40" s="1125"/>
      <c r="U40" s="212"/>
      <c r="V40" s="212"/>
    </row>
    <row r="41" spans="2:22" x14ac:dyDescent="0.25">
      <c r="B41" s="212"/>
      <c r="C41" s="212"/>
      <c r="D41" s="212"/>
      <c r="E41" s="212"/>
      <c r="F41" s="212"/>
      <c r="G41" s="212"/>
      <c r="H41" s="212"/>
      <c r="I41" s="212"/>
      <c r="J41" s="212"/>
      <c r="K41" s="212"/>
      <c r="L41" s="212"/>
      <c r="M41" s="212"/>
      <c r="N41" s="212"/>
      <c r="O41" s="212"/>
      <c r="P41" s="212"/>
      <c r="Q41" s="212"/>
      <c r="R41" s="212"/>
      <c r="S41" s="212"/>
      <c r="T41" s="212"/>
      <c r="U41" s="212"/>
      <c r="V41" s="212"/>
    </row>
    <row r="42" spans="2:22" x14ac:dyDescent="0.25">
      <c r="B42" s="212"/>
      <c r="C42" s="212"/>
      <c r="D42" s="19" t="s">
        <v>1169</v>
      </c>
      <c r="E42" s="2"/>
      <c r="F42" s="2"/>
      <c r="G42" s="2"/>
      <c r="H42" s="2"/>
      <c r="I42" s="3"/>
      <c r="J42" s="212"/>
      <c r="K42" s="849" t="str">
        <f>Input!G67</f>
        <v>Standardized</v>
      </c>
      <c r="L42" s="850"/>
      <c r="M42" s="212"/>
      <c r="N42" s="212"/>
      <c r="O42" s="212"/>
      <c r="P42" s="212"/>
      <c r="Q42" s="212"/>
      <c r="R42" s="212"/>
      <c r="S42" s="212"/>
      <c r="T42" s="212"/>
      <c r="U42" s="212"/>
      <c r="V42" s="212"/>
    </row>
    <row r="43" spans="2:22" x14ac:dyDescent="0.25">
      <c r="B43" s="212"/>
      <c r="C43" s="212"/>
      <c r="D43" s="20" t="s">
        <v>1170</v>
      </c>
      <c r="E43" s="4"/>
      <c r="F43" s="4"/>
      <c r="G43" s="4"/>
      <c r="H43" s="4"/>
      <c r="I43" s="5"/>
      <c r="J43" s="212"/>
      <c r="K43" s="849">
        <f>IF(ISNUMBER(IF(Assumptions!H27="Economic Capital Model",Input!W76,Input!O74))=FALSE,"",IF(Assumptions!H27="Economic Capital Model",Input!W76,Input!O74))</f>
        <v>2102.3454545454547</v>
      </c>
      <c r="L43" s="850"/>
      <c r="M43" s="212"/>
      <c r="N43" s="212"/>
      <c r="O43" s="212"/>
      <c r="P43" s="212"/>
      <c r="Q43" s="212"/>
      <c r="R43" s="212"/>
      <c r="S43" s="212"/>
      <c r="T43" s="212"/>
      <c r="U43" s="212"/>
      <c r="V43" s="212"/>
    </row>
    <row r="44" spans="2:22" x14ac:dyDescent="0.25">
      <c r="B44" s="212"/>
      <c r="C44" s="212"/>
      <c r="D44" s="20" t="s">
        <v>1171</v>
      </c>
      <c r="E44" s="4"/>
      <c r="F44" s="4"/>
      <c r="G44" s="4"/>
      <c r="H44" s="4"/>
      <c r="I44" s="5"/>
      <c r="J44" s="212"/>
      <c r="K44" s="849">
        <f>IF(ISNUMBER(IF(OR(K42="Standardized",K42="Basel I"),IF(Assumptions!H29="No",K43,Parameters!Q191*12.5),K43*IF(Assumptions!H30="Yes",(1+'Summary of Input Data'!I41),1))),IF(OR(K42="Standardized",K42="Basel I"),IF(Assumptions!H29="No",K43,Parameters!Q191*12.5),K43*IF(Assumptions!H30="Yes",(1+'Summary of Input Data'!I41),1)),"")</f>
        <v>2102.3454545454547</v>
      </c>
      <c r="L44" s="850"/>
      <c r="M44" s="849">
        <f>K50</f>
        <v>7342.4243428385953</v>
      </c>
      <c r="N44" s="850"/>
      <c r="O44" s="851">
        <f>M50</f>
        <v>7719.1176633896675</v>
      </c>
      <c r="P44" s="850"/>
      <c r="Q44" s="851">
        <f>O50</f>
        <v>7642.6018238466113</v>
      </c>
      <c r="R44" s="850"/>
      <c r="S44" s="851">
        <f>Q50</f>
        <v>7525.311327548091</v>
      </c>
      <c r="T44" s="850"/>
      <c r="U44" s="212"/>
      <c r="V44" s="212"/>
    </row>
    <row r="45" spans="2:22" x14ac:dyDescent="0.25">
      <c r="B45" s="212"/>
      <c r="C45" s="212"/>
      <c r="D45" s="12" t="s">
        <v>1172</v>
      </c>
      <c r="E45" s="4"/>
      <c r="F45" s="4"/>
      <c r="G45" s="4"/>
      <c r="H45" s="4"/>
      <c r="I45" s="5"/>
      <c r="J45" s="212"/>
      <c r="K45" s="849">
        <f>IF(ISNUMBER(IF(Assumptions!H33="Economic Capital Model",Input!W77,Input!O75))=FALSE,"",IF(Assumptions!H33="Economic Capital Model",Input!W77,Input!O75))</f>
        <v>12.027272727272729</v>
      </c>
      <c r="L45" s="850"/>
      <c r="M45" s="849">
        <f>K51</f>
        <v>12.388090909090911</v>
      </c>
      <c r="N45" s="850"/>
      <c r="O45" s="851">
        <f>M51</f>
        <v>12.388090909090911</v>
      </c>
      <c r="P45" s="850"/>
      <c r="Q45" s="851">
        <f>O51</f>
        <v>12.388090909090911</v>
      </c>
      <c r="R45" s="850"/>
      <c r="S45" s="851">
        <f>Q51</f>
        <v>12.388090909090911</v>
      </c>
      <c r="T45" s="850"/>
      <c r="U45" s="212"/>
      <c r="V45" s="212"/>
    </row>
    <row r="46" spans="2:22" x14ac:dyDescent="0.25">
      <c r="B46" s="212"/>
      <c r="C46" s="212"/>
      <c r="D46" s="12" t="s">
        <v>1173</v>
      </c>
      <c r="E46" s="4"/>
      <c r="F46" s="4"/>
      <c r="G46" s="4"/>
      <c r="H46" s="4"/>
      <c r="I46" s="5"/>
      <c r="J46" s="212"/>
      <c r="K46" s="849">
        <f>IF(ISNUMBER(Input!O76),Input!O76,"N/A")</f>
        <v>135.81818181818181</v>
      </c>
      <c r="L46" s="850"/>
      <c r="M46" s="849">
        <f>K52</f>
        <v>135.81818181818181</v>
      </c>
      <c r="N46" s="850"/>
      <c r="O46" s="851">
        <f>M52</f>
        <v>135.81818181818181</v>
      </c>
      <c r="P46" s="850"/>
      <c r="Q46" s="851">
        <f>O52</f>
        <v>135.81818181818181</v>
      </c>
      <c r="R46" s="850"/>
      <c r="S46" s="851">
        <f>Q52</f>
        <v>135.81818181818181</v>
      </c>
      <c r="T46" s="850"/>
      <c r="U46" s="212"/>
      <c r="V46" s="212"/>
    </row>
    <row r="47" spans="2:22" x14ac:dyDescent="0.25">
      <c r="B47" s="212"/>
      <c r="C47" s="212"/>
      <c r="D47" s="12" t="s">
        <v>1174</v>
      </c>
      <c r="E47" s="4"/>
      <c r="F47" s="4"/>
      <c r="G47" s="4"/>
      <c r="H47" s="4"/>
      <c r="I47" s="5"/>
      <c r="J47" s="212"/>
      <c r="K47" s="849">
        <f>IF(ISNUMBER(Input!O77+Input!O78),Input!O77+Input!O78,"")</f>
        <v>0</v>
      </c>
      <c r="L47" s="850"/>
      <c r="M47" s="849">
        <f>K53</f>
        <v>0</v>
      </c>
      <c r="N47" s="850"/>
      <c r="O47" s="851">
        <f>M53</f>
        <v>0</v>
      </c>
      <c r="P47" s="850"/>
      <c r="Q47" s="851">
        <f>O53</f>
        <v>0</v>
      </c>
      <c r="R47" s="850"/>
      <c r="S47" s="851">
        <f>Q53</f>
        <v>0</v>
      </c>
      <c r="T47" s="850"/>
      <c r="U47" s="212"/>
      <c r="V47" s="212"/>
    </row>
    <row r="48" spans="2:22" x14ac:dyDescent="0.25">
      <c r="B48" s="212"/>
      <c r="C48" s="212"/>
      <c r="D48" s="12" t="s">
        <v>1175</v>
      </c>
      <c r="E48" s="4"/>
      <c r="F48" s="4"/>
      <c r="G48" s="4"/>
      <c r="H48" s="4"/>
      <c r="I48" s="5"/>
      <c r="J48" s="212"/>
      <c r="K48" s="849">
        <f>IF(Assumptions!H36="Yes",Input!O79,0)</f>
        <v>0</v>
      </c>
      <c r="L48" s="850"/>
      <c r="M48" s="849">
        <f>K54</f>
        <v>0</v>
      </c>
      <c r="N48" s="850"/>
      <c r="O48" s="851">
        <f>M54</f>
        <v>0</v>
      </c>
      <c r="P48" s="850"/>
      <c r="Q48" s="851">
        <f>O54</f>
        <v>0</v>
      </c>
      <c r="R48" s="850"/>
      <c r="S48" s="851">
        <f>Q54</f>
        <v>0</v>
      </c>
      <c r="T48" s="850"/>
      <c r="U48" s="212"/>
      <c r="V48" s="212"/>
    </row>
    <row r="49" spans="2:22" x14ac:dyDescent="0.25">
      <c r="B49" s="212"/>
      <c r="C49" s="212"/>
      <c r="D49" s="188" t="s">
        <v>1161</v>
      </c>
      <c r="E49" s="4"/>
      <c r="F49" s="4"/>
      <c r="G49" s="4"/>
      <c r="H49" s="4"/>
      <c r="I49" s="5"/>
      <c r="J49" s="212"/>
      <c r="K49" s="849">
        <f>IF(Summary!G24="IRB",IF(ISNUMBER(K44+K45+K46+K47+K48),K44+K45+K46+K47+K48,""),IF(ISNUMBER(K43+K45+K46+K47+K48),K43+K45+K46+K47+K48,""))</f>
        <v>2250.1909090909094</v>
      </c>
      <c r="L49" s="850">
        <f>IF(K49="IRB",IF(ISNUMBER(L44+L45+L46+L47+L48),L44+L45+L46+L47+L48,""),IF(ISNUMBER(L43+L45+L46+L47+L48),L43+L45+L46+L47+L48,""))</f>
        <v>0</v>
      </c>
      <c r="M49" s="849">
        <f t="shared" ref="M49:T49" si="2">IF(ISNUMBER(M44+M45+M46+M47+M48)=FALSE,"",M44+M45+M46+M47+M48)</f>
        <v>7490.6306155658685</v>
      </c>
      <c r="N49" s="850">
        <f t="shared" si="2"/>
        <v>0</v>
      </c>
      <c r="O49" s="851">
        <f t="shared" si="2"/>
        <v>7867.3239361169408</v>
      </c>
      <c r="P49" s="850">
        <f t="shared" si="2"/>
        <v>0</v>
      </c>
      <c r="Q49" s="851">
        <f t="shared" si="2"/>
        <v>7790.8080965738845</v>
      </c>
      <c r="R49" s="850">
        <f t="shared" si="2"/>
        <v>0</v>
      </c>
      <c r="S49" s="851">
        <f t="shared" si="2"/>
        <v>7673.5176002753642</v>
      </c>
      <c r="T49" s="850">
        <f t="shared" si="2"/>
        <v>0</v>
      </c>
      <c r="U49" s="212"/>
      <c r="V49" s="212"/>
    </row>
    <row r="50" spans="2:22" x14ac:dyDescent="0.25">
      <c r="B50" s="212"/>
      <c r="C50" s="212"/>
      <c r="D50" s="12" t="s">
        <v>1176</v>
      </c>
      <c r="E50" s="4"/>
      <c r="F50" s="4"/>
      <c r="G50" s="4"/>
      <c r="H50" s="4"/>
      <c r="I50" s="5"/>
      <c r="J50" s="212"/>
      <c r="K50" s="849">
        <f>IF(Assumptions!$H$28="IRB",IF(Summary!$G$25="Reg IRB",Calculation!L328,'Y1 to Y5'!K44*(1+Calculation!L112)),'Y1 to Y5'!K43*(1+Calculation!L112))</f>
        <v>7342.4243428385953</v>
      </c>
      <c r="L50" s="850"/>
      <c r="M50" s="849">
        <f>IF(Assumptions!$H$28="IRB",IF(Summary!$G$25="Reg IRB",Calculation!N328,'Y1 to Y5'!M44*(1+Calculation!N112)),'Y1 to Y5'!M44*(1+Calculation!N112))</f>
        <v>7719.1176633896675</v>
      </c>
      <c r="N50" s="850"/>
      <c r="O50" s="849">
        <f>IF(Assumptions!$H$28="IRB",IF(Summary!$G$25="Reg IRB",Calculation!P328,'Y1 to Y5'!O44*(1+Calculation!P112)),'Y1 to Y5'!O44*(1+Calculation!P112))</f>
        <v>7642.6018238466113</v>
      </c>
      <c r="P50" s="850"/>
      <c r="Q50" s="849">
        <f>IF(Assumptions!$H$28="IRB",IF(Summary!$G$25="Reg IRB",Calculation!R328,'Y1 to Y5'!Q44*(1+Calculation!R112)),'Y1 to Y5'!Q44*(1+Calculation!R112))</f>
        <v>7525.311327548091</v>
      </c>
      <c r="R50" s="850"/>
      <c r="S50" s="849">
        <f>IF(Assumptions!$H$28="IRB",IF(Summary!$G$25="Reg IRB",Calculation!T328,'Y1 to Y5'!S44*(1+Calculation!T112)),'Y1 to Y5'!S44*(1+Calculation!T112))</f>
        <v>7358.5870642498594</v>
      </c>
      <c r="T50" s="850"/>
      <c r="U50" s="212"/>
      <c r="V50" s="212"/>
    </row>
    <row r="51" spans="2:22" x14ac:dyDescent="0.25">
      <c r="B51" s="212"/>
      <c r="C51" s="212"/>
      <c r="D51" s="12" t="s">
        <v>1177</v>
      </c>
      <c r="E51" s="4"/>
      <c r="F51" s="4"/>
      <c r="G51" s="4"/>
      <c r="H51" s="4"/>
      <c r="I51" s="5"/>
      <c r="J51" s="212"/>
      <c r="K51" s="849">
        <f>IF(ISNUMBER(K45*(1+Assumptions!M95)),K45*(1+Assumptions!M95),"")</f>
        <v>12.388090909090911</v>
      </c>
      <c r="L51" s="850"/>
      <c r="M51" s="849">
        <f>IF(ISNUMBER(M45*(1+Assumptions!O95)),M45*(1+Assumptions!O95),"")</f>
        <v>12.388090909090911</v>
      </c>
      <c r="N51" s="850"/>
      <c r="O51" s="851">
        <f>IF(ISNUMBER(O45*(1+Assumptions!Q95)),O45*(1+Assumptions!Q95),"")</f>
        <v>12.388090909090911</v>
      </c>
      <c r="P51" s="850"/>
      <c r="Q51" s="851">
        <f>IF(ISNUMBER(Q45*(1+Assumptions!S95)),Q45*(1+Assumptions!S95),"")</f>
        <v>12.388090909090911</v>
      </c>
      <c r="R51" s="850"/>
      <c r="S51" s="851">
        <f>IF(ISNUMBER(S45*(1+Assumptions!U95)),S45*(1+Assumptions!U95),"")</f>
        <v>12.388090909090911</v>
      </c>
      <c r="T51" s="850"/>
      <c r="U51" s="212"/>
      <c r="V51" s="212"/>
    </row>
    <row r="52" spans="2:22" x14ac:dyDescent="0.25">
      <c r="B52" s="212"/>
      <c r="C52" s="212"/>
      <c r="D52" s="12" t="s">
        <v>1178</v>
      </c>
      <c r="E52" s="4"/>
      <c r="F52" s="4"/>
      <c r="G52" s="4"/>
      <c r="H52" s="4"/>
      <c r="I52" s="5"/>
      <c r="J52" s="212"/>
      <c r="K52" s="849">
        <f>IF(ISNUMBER(K46*(1+IF(Assumptions!M109="Simple",MAX('Y1 to Y5'!K71/'Y1 to Y5'!K61,-0.5),Assumptions!M109))),K46*(1+IF(Assumptions!M109="Simple",MAX('Y1 to Y5'!K71/'Y1 to Y5'!K61,-0.5),Assumptions!M109)),"")</f>
        <v>135.81818181818181</v>
      </c>
      <c r="L52" s="850"/>
      <c r="M52" s="849">
        <f>IF(ISNUMBER(M46*(1+IF(Assumptions!O109="Simple",MAX(M71/M61,-0.5),Assumptions!O109))),M46*(1+IF(Assumptions!O109="Simple",MAX(M71/M61,-0.5),Assumptions!O109)),"")</f>
        <v>135.81818181818181</v>
      </c>
      <c r="N52" s="850"/>
      <c r="O52" s="851">
        <f>IF(ISNUMBER(O46*(1+IF(Assumptions!Q109="Simple",MAX(O71/O61,-0.5),Assumptions!Q109))),O46*(1+IF(Assumptions!Q109="Simple",MAX(O71/O61,-0.5),Assumptions!Q109)),"")</f>
        <v>135.81818181818181</v>
      </c>
      <c r="P52" s="850"/>
      <c r="Q52" s="851">
        <f>IF(ISNUMBER(Q46*(1+IF(Assumptions!S109="Simple",MAX(Q71/Q61,-0.5),Assumptions!S109))),Q46*(1+IF(Assumptions!S109="Simple",MAX(Q71/Q61,-0.5),Assumptions!S109)),"")</f>
        <v>135.81818181818181</v>
      </c>
      <c r="R52" s="850"/>
      <c r="S52" s="851">
        <f>IF(ISNUMBER(S46*(1+IF(Assumptions!U109="Simple",MAX(S71/S61,-0.5),Assumptions!U109))),S46*(1+IF(Assumptions!U109="Simple",MAX(S71/S61,-0.5),Assumptions!U109)),"")</f>
        <v>135.81818181818181</v>
      </c>
      <c r="T52" s="850"/>
      <c r="U52" s="212"/>
      <c r="V52" s="212"/>
    </row>
    <row r="53" spans="2:22" x14ac:dyDescent="0.25">
      <c r="B53" s="212"/>
      <c r="C53" s="212"/>
      <c r="D53" s="12" t="s">
        <v>1179</v>
      </c>
      <c r="E53" s="4"/>
      <c r="F53" s="4"/>
      <c r="G53" s="4"/>
      <c r="H53" s="4"/>
      <c r="I53" s="5"/>
      <c r="J53" s="212"/>
      <c r="K53" s="849">
        <f>IF(ISNUMBER(K47*Assumptions!M110),K47*Assumptions!M110,"")</f>
        <v>0</v>
      </c>
      <c r="L53" s="850"/>
      <c r="M53" s="849">
        <f>IF(ISNUMBER(M47*Assumptions!O110),M47*Assumptions!O110,"")</f>
        <v>0</v>
      </c>
      <c r="N53" s="850"/>
      <c r="O53" s="851">
        <f>IF(ISNUMBER(O47*Assumptions!Q110),O47*Assumptions!Q110,"")</f>
        <v>0</v>
      </c>
      <c r="P53" s="850"/>
      <c r="Q53" s="851">
        <f>IF(ISNUMBER(Q47*Assumptions!S110),Q47*Assumptions!S110,"")</f>
        <v>0</v>
      </c>
      <c r="R53" s="850"/>
      <c r="S53" s="851">
        <f>IF(ISNUMBER(S47*Assumptions!U110),S47*Assumptions!U110,"")</f>
        <v>0</v>
      </c>
      <c r="T53" s="850"/>
      <c r="U53" s="212"/>
      <c r="V53" s="212"/>
    </row>
    <row r="54" spans="2:22" x14ac:dyDescent="0.25">
      <c r="B54" s="212"/>
      <c r="C54" s="212"/>
      <c r="D54" s="12" t="s">
        <v>1180</v>
      </c>
      <c r="E54" s="4"/>
      <c r="F54" s="4"/>
      <c r="G54" s="4"/>
      <c r="H54" s="4"/>
      <c r="I54" s="5"/>
      <c r="J54" s="212"/>
      <c r="K54" s="849">
        <f>IF(ISNUMBER(K48*Assumptions!M110),K48*Assumptions!M110,"")</f>
        <v>0</v>
      </c>
      <c r="L54" s="850"/>
      <c r="M54" s="849">
        <f>IF(ISNUMBER(M48*Assumptions!O110),M48*Assumptions!O110,"")</f>
        <v>0</v>
      </c>
      <c r="N54" s="850"/>
      <c r="O54" s="851">
        <f>IF(ISNUMBER(O48*Assumptions!Q110),O48*Assumptions!Q110,"")</f>
        <v>0</v>
      </c>
      <c r="P54" s="850"/>
      <c r="Q54" s="851">
        <f>IF(ISNUMBER(Q48*Assumptions!S110),Q48*Assumptions!S110,"")</f>
        <v>0</v>
      </c>
      <c r="R54" s="850"/>
      <c r="S54" s="851">
        <f>IF(ISNUMBER(S48*Assumptions!U110),S48*Assumptions!U110,"")</f>
        <v>0</v>
      </c>
      <c r="T54" s="850"/>
      <c r="U54" s="212"/>
      <c r="V54" s="212"/>
    </row>
    <row r="55" spans="2:22" x14ac:dyDescent="0.25">
      <c r="B55" s="212"/>
      <c r="C55" s="212"/>
      <c r="D55" s="189" t="s">
        <v>1162</v>
      </c>
      <c r="E55" s="6"/>
      <c r="F55" s="6"/>
      <c r="G55" s="6"/>
      <c r="H55" s="6"/>
      <c r="I55" s="7"/>
      <c r="J55" s="212"/>
      <c r="K55" s="849">
        <f>IF(ISNUMBER(SUM(K50:L54)),SUM(K50:L54),"")</f>
        <v>7490.6306155658685</v>
      </c>
      <c r="L55" s="850"/>
      <c r="M55" s="849">
        <f>IF(ISNUMBER(SUM(M50:N54)),SUM(M50:N54),"")</f>
        <v>7867.3239361169408</v>
      </c>
      <c r="N55" s="850"/>
      <c r="O55" s="851">
        <f>IF(ISNUMBER(SUM(O50:P54)),SUM(O50:P54),"")</f>
        <v>7790.8080965738845</v>
      </c>
      <c r="P55" s="850"/>
      <c r="Q55" s="851">
        <f>IF(ISNUMBER(SUM(Q50:R54)),SUM(Q50:R54),"")</f>
        <v>7673.5176002753642</v>
      </c>
      <c r="R55" s="850"/>
      <c r="S55" s="851">
        <f>IF(ISNUMBER(SUM(S50:T54)),SUM(S50:T54),"")</f>
        <v>7506.7933369771326</v>
      </c>
      <c r="T55" s="850"/>
      <c r="U55" s="212"/>
      <c r="V55" s="212"/>
    </row>
    <row r="56" spans="2:22" x14ac:dyDescent="0.25">
      <c r="B56" s="212"/>
      <c r="C56" s="212"/>
      <c r="D56" s="212"/>
      <c r="E56" s="212"/>
      <c r="F56" s="212"/>
      <c r="G56" s="212"/>
      <c r="H56" s="212"/>
      <c r="I56" s="212"/>
      <c r="J56" s="212"/>
      <c r="K56" s="212"/>
      <c r="L56" s="212"/>
      <c r="M56" s="212"/>
      <c r="N56" s="212"/>
      <c r="O56" s="212"/>
      <c r="P56" s="212"/>
      <c r="Q56" s="212"/>
      <c r="R56" s="212"/>
      <c r="S56" s="212"/>
      <c r="T56" s="212"/>
      <c r="U56" s="212"/>
      <c r="V56" s="212"/>
    </row>
    <row r="57" spans="2:22" x14ac:dyDescent="0.25">
      <c r="B57" s="201"/>
      <c r="C57" s="214"/>
      <c r="D57" s="214"/>
      <c r="E57" s="214"/>
      <c r="F57" s="214"/>
      <c r="G57" s="214"/>
      <c r="H57" s="214"/>
      <c r="I57" s="214"/>
      <c r="J57" s="214"/>
      <c r="K57" s="214"/>
      <c r="L57" s="214"/>
      <c r="M57" s="214"/>
      <c r="N57" s="214"/>
      <c r="O57" s="214"/>
      <c r="P57" s="214"/>
      <c r="Q57" s="214"/>
      <c r="R57" s="214"/>
      <c r="S57" s="214"/>
      <c r="T57" s="214"/>
      <c r="U57" s="214"/>
      <c r="V57" s="214"/>
    </row>
    <row r="58" spans="2:22" ht="18.75" x14ac:dyDescent="0.3">
      <c r="B58" s="212"/>
      <c r="C58" s="212"/>
      <c r="D58" s="213" t="s">
        <v>1164</v>
      </c>
      <c r="E58" s="212"/>
      <c r="F58" s="212"/>
      <c r="G58" s="212"/>
      <c r="H58" s="212"/>
      <c r="I58" s="212"/>
      <c r="J58" s="212"/>
      <c r="K58" s="1124" t="s">
        <v>763</v>
      </c>
      <c r="L58" s="1125"/>
      <c r="M58" s="1124" t="s">
        <v>764</v>
      </c>
      <c r="N58" s="1125"/>
      <c r="O58" s="1124" t="s">
        <v>765</v>
      </c>
      <c r="P58" s="1125"/>
      <c r="Q58" s="1124" t="s">
        <v>766</v>
      </c>
      <c r="R58" s="1125"/>
      <c r="S58" s="1124" t="s">
        <v>767</v>
      </c>
      <c r="T58" s="1125"/>
      <c r="U58" s="212"/>
      <c r="V58" s="212"/>
    </row>
    <row r="59" spans="2:22" x14ac:dyDescent="0.25">
      <c r="B59" s="212"/>
      <c r="C59" s="212"/>
      <c r="D59" s="212"/>
      <c r="E59" s="212"/>
      <c r="F59" s="212"/>
      <c r="G59" s="212"/>
      <c r="H59" s="212"/>
      <c r="I59" s="212"/>
      <c r="J59" s="212"/>
      <c r="K59" s="212"/>
      <c r="L59" s="212"/>
      <c r="M59" s="212"/>
      <c r="N59" s="212"/>
      <c r="O59" s="212"/>
      <c r="P59" s="212"/>
      <c r="Q59" s="212"/>
      <c r="R59" s="212"/>
      <c r="S59" s="212"/>
      <c r="T59" s="212"/>
      <c r="U59" s="212"/>
      <c r="V59" s="212"/>
    </row>
    <row r="60" spans="2:22" x14ac:dyDescent="0.25">
      <c r="B60" s="212"/>
      <c r="C60" s="212"/>
      <c r="D60" s="11" t="s">
        <v>905</v>
      </c>
      <c r="E60" s="2"/>
      <c r="F60" s="2"/>
      <c r="G60" s="2"/>
      <c r="H60" s="2"/>
      <c r="I60" s="3"/>
      <c r="J60" s="212"/>
      <c r="K60" s="849">
        <f>IF(Assumptions!H39="Yes",IF(ISNUMBER(Input!O52),Input!O52,Input!O56),Input!O58)</f>
        <v>25.8</v>
      </c>
      <c r="L60" s="850"/>
      <c r="M60" s="851">
        <f>IF(ISNUMBER(K60*(1+Assumptions!AA90)),K60*(1+Assumptions!AA90),"N/A")</f>
        <v>25.8</v>
      </c>
      <c r="N60" s="850"/>
      <c r="O60" s="851">
        <f>IF(ISNUMBER(M60*(1+Assumptions!AC90)),M60*(1+Assumptions!AC90),"N/A")</f>
        <v>25.8</v>
      </c>
      <c r="P60" s="850"/>
      <c r="Q60" s="851">
        <f>IF(ISNUMBER(O60*(1+Assumptions!AE90)),O60*(1+Assumptions!AE90),"N/A")</f>
        <v>25.8</v>
      </c>
      <c r="R60" s="850"/>
      <c r="S60" s="851">
        <f>IF(ISNUMBER(Q60*(1+Assumptions!AG90)),Q60*(1+Assumptions!AG90),"N/A")</f>
        <v>25.8</v>
      </c>
      <c r="T60" s="850"/>
      <c r="U60" s="212"/>
      <c r="V60" s="212"/>
    </row>
    <row r="61" spans="2:22" x14ac:dyDescent="0.25">
      <c r="B61" s="212"/>
      <c r="C61" s="212"/>
      <c r="D61" s="188" t="s">
        <v>1165</v>
      </c>
      <c r="E61" s="4"/>
      <c r="F61" s="4"/>
      <c r="G61" s="4"/>
      <c r="H61" s="4"/>
      <c r="I61" s="5"/>
      <c r="J61" s="212"/>
      <c r="K61" s="849">
        <f>IF(Assumptions!H22="No",K60,K60*(12/Input!M18))</f>
        <v>25.8</v>
      </c>
      <c r="L61" s="850"/>
      <c r="M61" s="851">
        <f>IF(ISNUMBER(K61*(1+Assumptions!AA90)),K61*(1+Assumptions!AA90),"N/A")</f>
        <v>25.8</v>
      </c>
      <c r="N61" s="850"/>
      <c r="O61" s="851">
        <f>IF(ISNUMBER(M61*(1+Assumptions!AC90)),M61*(1+Assumptions!AC90),"N/A")</f>
        <v>25.8</v>
      </c>
      <c r="P61" s="850"/>
      <c r="Q61" s="851">
        <f>IF(ISNUMBER(O61*(1+Assumptions!AE90)),O61*(1+Assumptions!AE90),"N/A")</f>
        <v>25.8</v>
      </c>
      <c r="R61" s="850"/>
      <c r="S61" s="851">
        <f>IF(ISNUMBER(Q61*(1+Assumptions!AG90)),Q61*(1+Assumptions!AG90),"N/A")</f>
        <v>25.8</v>
      </c>
      <c r="T61" s="850"/>
      <c r="U61" s="212"/>
      <c r="V61" s="212"/>
    </row>
    <row r="62" spans="2:22" x14ac:dyDescent="0.25">
      <c r="B62" s="212"/>
      <c r="C62" s="212"/>
      <c r="D62" s="12" t="s">
        <v>1181</v>
      </c>
      <c r="E62" s="4"/>
      <c r="F62" s="4"/>
      <c r="G62" s="4"/>
      <c r="H62" s="4"/>
      <c r="I62" s="5"/>
      <c r="J62" s="212"/>
      <c r="K62" s="849">
        <f>((-1)*(K37-K36))-IF(Assumptions!M88="Default of largest borrower",'Summary of Input Data'!S31,IF(Assumptions!M88="Default of 2 largest borrowers",'Summary of Input Data'!S32,IF(Assumptions!M88="Default of 3 largest borrowers",'Summary of Input Data'!S33,IF(Assumptions!M88="Default of 10 largest borrowers",'Summary of Input Data'!S34,IF(Assumptions!M88="Default of all large exposures",'Summary of Input Data'!S35,0)))))</f>
        <v>-47.33085863030032</v>
      </c>
      <c r="L62" s="850"/>
      <c r="M62" s="851">
        <f>IF(ISNUMBER(M37-M36),(-1)*(M37-M36),"N/A")</f>
        <v>-64.563584466427528</v>
      </c>
      <c r="N62" s="850">
        <f>IF(ISNUMBER(N40-N39),(-1)*(N40-N39),"n.a.")</f>
        <v>0</v>
      </c>
      <c r="O62" s="851">
        <f>IF(ISNUMBER(O37-O36),(-1)*(O37-O36),"N/A")</f>
        <v>-76.075717274313746</v>
      </c>
      <c r="P62" s="850">
        <f>IF(ISNUMBER(P40-P39),(-1)*(P40-P39),"n.a.")</f>
        <v>0</v>
      </c>
      <c r="Q62" s="851">
        <f>IF(ISNUMBER(Q37-Q36),(-1)*(Q37-Q36),"N/A")</f>
        <v>-87.564043349920979</v>
      </c>
      <c r="R62" s="850">
        <f>IF(ISNUMBER(R40-R39),(-1)*(R40-R39),"n.a.")</f>
        <v>0</v>
      </c>
      <c r="S62" s="851">
        <f>IF(ISNUMBER(S37-S36),(-1)*(S37-S36),"N/A")</f>
        <v>-98.659077221815551</v>
      </c>
      <c r="T62" s="850">
        <f>IF(ISNUMBER(T40-T39),(-1)*(T40-T39),"n.a.")</f>
        <v>0</v>
      </c>
      <c r="U62" s="212"/>
      <c r="V62" s="212"/>
    </row>
    <row r="63" spans="2:22" x14ac:dyDescent="0.25">
      <c r="B63" s="212"/>
      <c r="C63" s="212"/>
      <c r="D63" s="12" t="s">
        <v>43</v>
      </c>
      <c r="E63" s="4"/>
      <c r="F63" s="4"/>
      <c r="G63" s="4"/>
      <c r="H63" s="4"/>
      <c r="I63" s="5"/>
      <c r="J63" s="212"/>
      <c r="K63" s="849">
        <f>IF(ISNUMBER(Calculation!L251*(Input!$G$50)*IF(Assumptions!$H$22="Yes",12/Input!$M$18,1)),Calculation!L251*(Input!$G$50)*IF(Assumptions!$H$22="Yes",12/Input!$M$18,1),"N/A")</f>
        <v>0</v>
      </c>
      <c r="L63" s="850"/>
      <c r="M63" s="851">
        <f>IF(ISNUMBER(Calculation!N251*(Input!$G$50)*IF(Assumptions!$H$22="Yes",12/Input!$M$18,1)),Calculation!N251*(Input!$G$50)*IF(Assumptions!$H$22="Yes",12/Input!$M$18,1),"N/A")</f>
        <v>0</v>
      </c>
      <c r="N63" s="850"/>
      <c r="O63" s="851">
        <f>IF(ISNUMBER(Calculation!P251*(Input!$G$50)*IF(Assumptions!$H$22="Yes",12/Input!$M$18,1)),Calculation!P251*(Input!$G$50)*IF(Assumptions!$H$22="Yes",12/Input!$M$18,1),"N/A")</f>
        <v>0</v>
      </c>
      <c r="P63" s="850"/>
      <c r="Q63" s="851">
        <f>IF(ISNUMBER(Calculation!R251*(Input!$G$50)*IF(Assumptions!$H$22="Yes",12/Input!$M$18,1)),Calculation!R251*(Input!$G$50)*IF(Assumptions!$H$22="Yes",12/Input!$M$18,1),"N/A")</f>
        <v>0</v>
      </c>
      <c r="R63" s="850"/>
      <c r="S63" s="851">
        <f>IF(ISNUMBER(Calculation!T251*(Input!$G$50)*IF(Assumptions!$H$22="Yes",12/Input!$M$18,1)),Calculation!T251*(Input!$G$50)*IF(Assumptions!$H$22="Yes",12/Input!$M$18,1),"N/A")</f>
        <v>0</v>
      </c>
      <c r="T63" s="850"/>
      <c r="U63" s="212"/>
      <c r="V63" s="212"/>
    </row>
    <row r="64" spans="2:22" x14ac:dyDescent="0.25">
      <c r="B64" s="212"/>
      <c r="C64" s="212"/>
      <c r="D64" s="12" t="s">
        <v>968</v>
      </c>
      <c r="E64" s="4"/>
      <c r="F64" s="4"/>
      <c r="G64" s="4"/>
      <c r="H64" s="4"/>
      <c r="I64" s="5"/>
      <c r="J64" s="212"/>
      <c r="K64" s="849">
        <f>IF(ISNUMBER(Calculation!L252*(Input!$G$53)*IF(Assumptions!$H$22="Yes",12/Input!$M$18,1)),Calculation!L252*(Input!$G$53)*IF(Assumptions!$H$22="Yes",12/Input!$M$18,1),"N/A")</f>
        <v>0</v>
      </c>
      <c r="L64" s="850"/>
      <c r="M64" s="851">
        <f>IF(ISNUMBER(Calculation!N252*(Input!$G$53)*IF(Assumptions!$H$22="Yes",12/Input!$M$18,1)),Calculation!N252*(Input!$G$53)*IF(Assumptions!$H$22="Yes",12/Input!$M$18,1),"N/A")</f>
        <v>0</v>
      </c>
      <c r="N64" s="850"/>
      <c r="O64" s="851">
        <f>IF(ISNUMBER(Calculation!P252*(Input!$G$53)*IF(Assumptions!$H$22="Yes",12/Input!$M$18,1)),Calculation!P252*(Input!$G$53)*IF(Assumptions!$H$22="Yes",12/Input!$M$18,1),"N/A")</f>
        <v>0</v>
      </c>
      <c r="P64" s="850"/>
      <c r="Q64" s="851">
        <f>IF(ISNUMBER(Calculation!R252*(Input!$G$53)*IF(Assumptions!$H$22="Yes",12/Input!$M$18,1)),Calculation!R252*(Input!$G$53)*IF(Assumptions!$H$22="Yes",12/Input!$M$18,1),"N/A")</f>
        <v>0</v>
      </c>
      <c r="R64" s="850"/>
      <c r="S64" s="851">
        <f>IF(ISNUMBER(Calculation!T252*(Input!$G$53)*IF(Assumptions!$H$22="Yes",12/Input!$M$18,1)),Calculation!T252*(Input!$G$53)*IF(Assumptions!$H$22="Yes",12/Input!$M$18,1),"N/A")</f>
        <v>0</v>
      </c>
      <c r="T64" s="850"/>
      <c r="U64" s="212"/>
      <c r="V64" s="212"/>
    </row>
    <row r="65" spans="2:22" x14ac:dyDescent="0.25">
      <c r="B65" s="212"/>
      <c r="C65" s="212"/>
      <c r="D65" s="12" t="s">
        <v>49</v>
      </c>
      <c r="E65" s="4"/>
      <c r="F65" s="4"/>
      <c r="G65" s="4"/>
      <c r="H65" s="4"/>
      <c r="I65" s="5"/>
      <c r="J65" s="212"/>
      <c r="K65" s="849">
        <f>IF(ISNUMBER(Calculation!L253*(Input!$G$53)*IF(Assumptions!$H$22="Yes",12/Input!$M$18,1)),Calculation!L253*(Input!$G$53)*IF(Assumptions!$H$22="Yes",12/Input!$M$18,1),"N/A")</f>
        <v>0</v>
      </c>
      <c r="L65" s="850"/>
      <c r="M65" s="851">
        <f>IF(ISNUMBER(Calculation!N253*(Input!$G$53)*IF(Assumptions!$H$22="Yes",12/Input!$M$18,1)),Calculation!N253*(Input!$G$53)*IF(Assumptions!$H$22="Yes",12/Input!$M$18,1),"N/A")</f>
        <v>0</v>
      </c>
      <c r="N65" s="850"/>
      <c r="O65" s="851">
        <f>IF(ISNUMBER(Calculation!P253*(Input!$G$53)*IF(Assumptions!$H$22="Yes",12/Input!$M$18,1)),Calculation!P253*(Input!$G$53)*IF(Assumptions!$H$22="Yes",12/Input!$M$18,1),"N/A")</f>
        <v>0</v>
      </c>
      <c r="P65" s="850"/>
      <c r="Q65" s="851">
        <f>IF(ISNUMBER(Calculation!R253*(Input!$G$53)*IF(Assumptions!$H$22="Yes",12/Input!$M$18,1)),Calculation!R253*(Input!$G$53)*IF(Assumptions!$H$22="Yes",12/Input!$M$18,1),"N/A")</f>
        <v>0</v>
      </c>
      <c r="R65" s="850"/>
      <c r="S65" s="851">
        <f>IF(ISNUMBER(Calculation!T253*(Input!$G$53)*IF(Assumptions!$H$22="Yes",12/Input!$M$18,1)),Calculation!T253*(Input!$G$53)*IF(Assumptions!$H$22="Yes",12/Input!$M$18,1),"N/A")</f>
        <v>0</v>
      </c>
      <c r="T65" s="850"/>
      <c r="U65" s="212"/>
      <c r="V65" s="212"/>
    </row>
    <row r="66" spans="2:22" x14ac:dyDescent="0.25">
      <c r="B66" s="212"/>
      <c r="C66" s="212"/>
      <c r="D66" s="12" t="s">
        <v>1182</v>
      </c>
      <c r="E66" s="4"/>
      <c r="F66" s="4"/>
      <c r="G66" s="4"/>
      <c r="H66" s="4"/>
      <c r="I66" s="5"/>
      <c r="J66" s="212"/>
      <c r="K66" s="849">
        <f>IF(((SUMPRODUCT(Calculation!L177:L186,Input!$F$118:$F$127)+SUMPRODUCT(Calculation!L189:L198,Input!$AA$118:$AA$127)+SUMPRODUCT(Calculation!L201:L210,Input!$M$118:$M$127)-Input!$G$142))=0,IF(ISNUMBER(Input!$G$35)=TRUE,(-1)*Input!$G$35*Calculation!L174,""),(SUMPRODUCT(Calculation!L177:L186,Input!$F$118:$F$127)+SUMPRODUCT(Calculation!L189:L198,Input!$AA$118:$AA$127)+SUMPRODUCT(Calculation!L201:L210,Input!$M$118:$M$127)-Input!$G$142))</f>
        <v>36.559090909090912</v>
      </c>
      <c r="L66" s="850"/>
      <c r="M66" s="849">
        <f>IF(((SUMPRODUCT(Calculation!N177:N186,Input!$F$118:$F$127)+SUMPRODUCT(Calculation!N189:N198,Input!$AA$118:$AA$127)+SUMPRODUCT(Calculation!N201:N210,Input!$M$118:$M$127)-Input!$G$142))=0,IF(ISNUMBER(Input!$G$35)=TRUE,(-1)*Input!$G$35*Calculation!N174,""),(SUMPRODUCT(Calculation!N177:N186,Input!$F$118:$F$127)+SUMPRODUCT(Calculation!N189:N198,Input!$AA$118:$AA$127)+SUMPRODUCT(Calculation!N201:N210,Input!$M$118:$M$127)-Input!$G$142))</f>
        <v>36.559090909090912</v>
      </c>
      <c r="N66" s="850"/>
      <c r="O66" s="849">
        <f>IF(((SUMPRODUCT(Calculation!P177:P186,Input!$F$118:$F$127)+SUMPRODUCT(Calculation!P189:P198,Input!$AA$118:$AA$127)+SUMPRODUCT(Calculation!P201:P210,Input!$M$118:$M$127)-Input!$G$142))=0,IF(ISNUMBER(Input!$G$35)=TRUE,(-1)*Input!$G$35*Calculation!P174,""),(SUMPRODUCT(Calculation!P177:P186,Input!$F$118:$F$127)+SUMPRODUCT(Calculation!P189:P198,Input!$AA$118:$AA$127)+SUMPRODUCT(Calculation!P201:P210,Input!$M$118:$M$127)-Input!$G$142))</f>
        <v>36.559090909090912</v>
      </c>
      <c r="P66" s="850"/>
      <c r="Q66" s="849">
        <f>IF(((SUMPRODUCT(Calculation!R177:R186,Input!$F$118:$F$127)+SUMPRODUCT(Calculation!R189:R198,Input!$AA$118:$AA$127)+SUMPRODUCT(Calculation!R201:R210,Input!$M$118:$M$127)-Input!$G$142))=0,IF(ISNUMBER(Input!$G$35)=TRUE,(-1)*Input!$G$35*Calculation!R174,""),(SUMPRODUCT(Calculation!R177:R186,Input!$F$118:$F$127)+SUMPRODUCT(Calculation!R189:R198,Input!$AA$118:$AA$127)+SUMPRODUCT(Calculation!R201:R210,Input!$M$118:$M$127)-Input!$G$142))</f>
        <v>36.559090909090912</v>
      </c>
      <c r="R66" s="850"/>
      <c r="S66" s="849">
        <f>IF(((SUMPRODUCT(Calculation!T177:T186,Input!$F$118:$F$127)+SUMPRODUCT(Calculation!T189:T198,Input!$AA$118:$AA$127)+SUMPRODUCT(Calculation!T201:T210,Input!$M$118:$M$127)-Input!$G$142))=0,IF(ISNUMBER(Input!$G$35)=TRUE,(-1)*Input!$G$35*Calculation!T174,""),(SUMPRODUCT(Calculation!T177:T186,Input!$F$118:$F$127)+SUMPRODUCT(Calculation!T189:T198,Input!$AA$118:$AA$127)+SUMPRODUCT(Calculation!T201:T210,Input!$M$118:$M$127)-Input!$G$142))</f>
        <v>36.559090909090912</v>
      </c>
      <c r="T66" s="850"/>
      <c r="U66" s="212"/>
      <c r="V66" s="212"/>
    </row>
    <row r="67" spans="2:22" x14ac:dyDescent="0.25">
      <c r="B67" s="212"/>
      <c r="C67" s="212"/>
      <c r="D67" s="12" t="s">
        <v>1183</v>
      </c>
      <c r="E67" s="4"/>
      <c r="F67" s="4"/>
      <c r="G67" s="4"/>
      <c r="H67" s="4"/>
      <c r="I67" s="5"/>
      <c r="J67" s="212"/>
      <c r="K67" s="849">
        <f>IF(ISNUMBER(Calculation!L166),Calculation!L166,"N/A")</f>
        <v>0</v>
      </c>
      <c r="L67" s="850"/>
      <c r="M67" s="851">
        <f>IF(ISNUMBER(Calculation!N166),Calculation!N166,"N/A")</f>
        <v>0</v>
      </c>
      <c r="N67" s="850"/>
      <c r="O67" s="851">
        <f>IF(ISNUMBER(Calculation!P166),Calculation!P166,"N/A")</f>
        <v>0</v>
      </c>
      <c r="P67" s="850"/>
      <c r="Q67" s="851">
        <f>IF(ISNUMBER(Calculation!R166),Calculation!R166,"N/A")</f>
        <v>0</v>
      </c>
      <c r="R67" s="850"/>
      <c r="S67" s="851">
        <f>IF(ISNUMBER(Calculation!T166),Calculation!T166,"N/A")</f>
        <v>0</v>
      </c>
      <c r="T67" s="850"/>
      <c r="U67" s="212"/>
      <c r="V67" s="212"/>
    </row>
    <row r="68" spans="2:22" x14ac:dyDescent="0.25">
      <c r="B68" s="212"/>
      <c r="C68" s="212"/>
      <c r="D68" s="12" t="s">
        <v>1184</v>
      </c>
      <c r="E68" s="4"/>
      <c r="F68" s="4"/>
      <c r="G68" s="4"/>
      <c r="H68" s="4"/>
      <c r="I68" s="5"/>
      <c r="J68" s="212"/>
      <c r="K68" s="849" t="str">
        <f>IF(SUMPRODUCT(Calculation!L150:L159,Input!$T119:$T128)=0,"N/A",SUMPRODUCT(Calculation!L150:L159,Input!$T119:$T128))</f>
        <v>N/A</v>
      </c>
      <c r="L68" s="850"/>
      <c r="M68" s="851" t="str">
        <f>IF(SUMPRODUCT(Calculation!N150:N159,Input!$T119:$T128)=0,"N/A",SUMPRODUCT(Calculation!N150:N159,Input!$T119:$T128))</f>
        <v>N/A</v>
      </c>
      <c r="N68" s="850"/>
      <c r="O68" s="851" t="str">
        <f>IF(SUMPRODUCT(Calculation!P150:P159,Input!$T119:$T128)=0,"N/A",SUMPRODUCT(Calculation!P150:P159,Input!$T119:$T128))</f>
        <v>N/A</v>
      </c>
      <c r="P68" s="850"/>
      <c r="Q68" s="851" t="str">
        <f>IF(SUMPRODUCT(Calculation!R150:R159,Input!$T119:$T128)=0,"N/A",SUMPRODUCT(Calculation!R150:R159,Input!$T119:$T128))</f>
        <v>N/A</v>
      </c>
      <c r="R68" s="850"/>
      <c r="S68" s="851" t="str">
        <f>IF(SUMPRODUCT(Calculation!T150:T159,Input!$T119:$T128)=0,"N/A",SUMPRODUCT(Calculation!T150:T159,Input!$T119:$T128))</f>
        <v>N/A</v>
      </c>
      <c r="T68" s="850"/>
      <c r="U68" s="212"/>
      <c r="V68" s="212"/>
    </row>
    <row r="69" spans="2:22" x14ac:dyDescent="0.25">
      <c r="B69" s="212"/>
      <c r="C69" s="212"/>
      <c r="D69" s="190" t="s">
        <v>1168</v>
      </c>
      <c r="E69" s="4"/>
      <c r="F69" s="4"/>
      <c r="G69" s="4"/>
      <c r="H69" s="4"/>
      <c r="I69" s="5"/>
      <c r="J69" s="212"/>
      <c r="K69" s="849">
        <f>IF(ISNUMBER(Calculation!L254*(Input!$G$59+Input!$O$53)*IF(Assumptions!$H$22="Yes",12/Input!$M$18,1)),Calculation!L254*(Input!$G$59+Input!$O$53)*IF(Assumptions!$H$22="Yes",12/Input!$M$18,1),"N/A")</f>
        <v>0</v>
      </c>
      <c r="L69" s="850"/>
      <c r="M69" s="851">
        <f>IF(ISNUMBER(Calculation!N254*(Input!$G$59+Input!$O$53)*IF(Assumptions!$H$22="Yes",12/Input!$M$18,1)),Calculation!N254*(Input!$G$59+Input!$O$53)*IF(Assumptions!$H$22="Yes",12/Input!$M$18,1),"N/A")</f>
        <v>0</v>
      </c>
      <c r="N69" s="850"/>
      <c r="O69" s="851">
        <f>IF(ISNUMBER(Calculation!P254*(Input!$G$59+Input!$O$53)*IF(Assumptions!$H$22="Yes",12/Input!$M$18,1)),Calculation!P254*(Input!$G$59+Input!$O$53)*IF(Assumptions!$H$22="Yes",12/Input!$M$18,1),"N/A")</f>
        <v>0</v>
      </c>
      <c r="P69" s="850"/>
      <c r="Q69" s="851">
        <f>IF(ISNUMBER(Calculation!R254*(Input!$G$59+Input!$O$53)*IF(Assumptions!$H$22="Yes",12/Input!$M$18,1)),Calculation!R254*(Input!$G$59+Input!$O$53)*IF(Assumptions!$H$22="Yes",12/Input!$M$18,1),"N/A")</f>
        <v>0</v>
      </c>
      <c r="R69" s="850"/>
      <c r="S69" s="851">
        <f>IF(ISNUMBER(Calculation!T254*(Input!$G$59+Input!$O$53)*IF(Assumptions!$H$22="Yes",12/Input!$M$18,1)),Calculation!T254*(Input!$G$59+Input!$O$53)*IF(Assumptions!$H$22="Yes",12/Input!$M$18,1),"N/A")</f>
        <v>0</v>
      </c>
      <c r="T69" s="850"/>
      <c r="U69" s="212"/>
      <c r="V69" s="212"/>
    </row>
    <row r="70" spans="2:22" x14ac:dyDescent="0.25">
      <c r="B70" s="212"/>
      <c r="C70" s="212"/>
      <c r="D70" s="12" t="s">
        <v>1166</v>
      </c>
      <c r="E70" s="4"/>
      <c r="F70" s="4"/>
      <c r="G70" s="4"/>
      <c r="H70" s="4"/>
      <c r="I70" s="5"/>
      <c r="J70" s="212"/>
      <c r="K70" s="849">
        <f>IF(ISNUMBER(SUM(K62:K69)),SUM(K62:K69),"N/A")</f>
        <v>-10.771767721209407</v>
      </c>
      <c r="L70" s="850">
        <f t="shared" ref="L70:T70" si="3">IF(ISNUMBER(SUM(L62:L69)),SUM(L62:L69),"n.a.")</f>
        <v>0</v>
      </c>
      <c r="M70" s="851">
        <f>IF(ISNUMBER(SUM(M62:M69)),SUM(M62:M69),"N/A")</f>
        <v>-28.004493557336616</v>
      </c>
      <c r="N70" s="850">
        <f t="shared" si="3"/>
        <v>0</v>
      </c>
      <c r="O70" s="851">
        <f>IF(ISNUMBER(SUM(O62:O69)),SUM(O62:O69),"N/A")</f>
        <v>-39.516626365222834</v>
      </c>
      <c r="P70" s="850">
        <f t="shared" si="3"/>
        <v>0</v>
      </c>
      <c r="Q70" s="851">
        <f>IF(ISNUMBER(SUM(Q62:Q69)),SUM(Q62:Q69),"N/A")</f>
        <v>-51.004952440830067</v>
      </c>
      <c r="R70" s="850">
        <f t="shared" si="3"/>
        <v>0</v>
      </c>
      <c r="S70" s="851">
        <f>IF(ISNUMBER(SUM(S62:S69)),SUM(S62:S69),"N/A")</f>
        <v>-62.099986312724639</v>
      </c>
      <c r="T70" s="850">
        <f t="shared" si="3"/>
        <v>0</v>
      </c>
      <c r="U70" s="212"/>
      <c r="V70" s="212"/>
    </row>
    <row r="71" spans="2:22" x14ac:dyDescent="0.25">
      <c r="B71" s="212"/>
      <c r="C71" s="212"/>
      <c r="D71" s="189" t="s">
        <v>1167</v>
      </c>
      <c r="E71" s="6"/>
      <c r="F71" s="6"/>
      <c r="G71" s="6"/>
      <c r="H71" s="6"/>
      <c r="I71" s="7"/>
      <c r="J71" s="212"/>
      <c r="K71" s="849">
        <f>IF(ISNUMBER(IF((K61+K70)&gt;0,(IF(Assumptions!$H$39="Yes",(1-Assumptions!K39),1))*(K61+K70)*Assumptions!M40,K61+K70)),IF((K61+K70)&gt;0,(IF(Assumptions!$H$39="Yes",(1-Assumptions!K39),1))*(K61+K70)*Assumptions!M40,K61+K70),"N/A")</f>
        <v>7.5141161393952967</v>
      </c>
      <c r="L71" s="850"/>
      <c r="M71" s="851">
        <f>IF(ISNUMBER(IF((M61+M70)&gt;0,(IF(Assumptions!$H$39="Yes",(1-Assumptions!M39),1))*(M61+M70)*Assumptions!O40,M61+M70)),IF((M61+M70)&gt;0,(IF(Assumptions!$H$39="Yes",(1-Assumptions!M39),1))*(M61+M70)*Assumptions!O40,M61+M70),"N/A")</f>
        <v>-2.2044935573366153</v>
      </c>
      <c r="N71" s="850"/>
      <c r="O71" s="851">
        <f>IF(ISNUMBER(IF((O61+O70)&gt;0,(IF(Assumptions!$H$39="Yes",(1-Assumptions!O39),1))*(O61+O70)*Assumptions!Q40,O61+O70)),IF((O61+O70)&gt;0,(IF(Assumptions!$H$39="Yes",(1-Assumptions!O39),1))*(O61+O70)*Assumptions!Q40,O61+O70),"N/A")</f>
        <v>-13.716626365222833</v>
      </c>
      <c r="P71" s="850"/>
      <c r="Q71" s="851">
        <f>IF(ISNUMBER(IF((Q61+Q70)&gt;0,(IF(Assumptions!$H$39="Yes",(1-Assumptions!Q39),1))*(Q61+Q70)*Assumptions!S40,Q61+Q70)),IF((Q61+Q70)&gt;0,(IF(Assumptions!$H$39="Yes",(1-Assumptions!Q39),1))*(Q61+Q70)*Assumptions!S40,Q61+Q70),"N/A")</f>
        <v>-25.204952440830066</v>
      </c>
      <c r="R71" s="850"/>
      <c r="S71" s="851">
        <f>IF(ISNUMBER(IF((S61+S70)&gt;0,(IF(Assumptions!$H$39="Yes",(1-Assumptions!S39),1))*(S61+S70)*Assumptions!U40,S61+S70)),IF((S61+S70)&gt;0,(IF(Assumptions!$H$39="Yes",(1-Assumptions!S39),1))*(S61+S70)*Assumptions!U40,S61+S70),"N/A")</f>
        <v>-36.299986312724641</v>
      </c>
      <c r="T71" s="850"/>
      <c r="U71" s="212"/>
      <c r="V71" s="212"/>
    </row>
    <row r="72" spans="2:22" x14ac:dyDescent="0.25">
      <c r="B72" s="212"/>
      <c r="C72" s="212"/>
      <c r="D72" s="212"/>
      <c r="E72" s="212"/>
      <c r="F72" s="212"/>
      <c r="G72" s="212"/>
      <c r="H72" s="212"/>
      <c r="I72" s="212"/>
      <c r="J72" s="212"/>
      <c r="K72" s="212"/>
      <c r="L72" s="212"/>
      <c r="M72" s="212"/>
      <c r="N72" s="212"/>
      <c r="O72" s="212"/>
      <c r="P72" s="212"/>
      <c r="Q72" s="212"/>
      <c r="R72" s="212"/>
      <c r="S72" s="212"/>
      <c r="T72" s="212"/>
      <c r="U72" s="212"/>
      <c r="V72" s="212"/>
    </row>
    <row r="73" spans="2:22" x14ac:dyDescent="0.25">
      <c r="B73" s="201"/>
      <c r="C73" s="214"/>
      <c r="D73" s="214"/>
      <c r="E73" s="214"/>
      <c r="F73" s="214"/>
      <c r="G73" s="214"/>
      <c r="H73" s="214"/>
      <c r="I73" s="214"/>
      <c r="J73" s="214"/>
      <c r="K73" s="214"/>
      <c r="L73" s="214"/>
      <c r="M73" s="214"/>
      <c r="N73" s="214"/>
      <c r="O73" s="214"/>
      <c r="P73" s="214"/>
      <c r="Q73" s="214"/>
      <c r="R73" s="214"/>
      <c r="S73" s="214"/>
      <c r="T73" s="214"/>
      <c r="U73" s="214"/>
      <c r="V73" s="214"/>
    </row>
    <row r="74" spans="2:22" ht="18.75" x14ac:dyDescent="0.3">
      <c r="B74" s="212"/>
      <c r="C74" s="212"/>
      <c r="D74" s="213" t="s">
        <v>1185</v>
      </c>
      <c r="E74" s="212"/>
      <c r="F74" s="212"/>
      <c r="G74" s="212"/>
      <c r="H74" s="212"/>
      <c r="I74" s="212"/>
      <c r="J74" s="212"/>
      <c r="K74" s="1124" t="s">
        <v>763</v>
      </c>
      <c r="L74" s="1125"/>
      <c r="M74" s="1124" t="s">
        <v>764</v>
      </c>
      <c r="N74" s="1125"/>
      <c r="O74" s="1124" t="s">
        <v>765</v>
      </c>
      <c r="P74" s="1125"/>
      <c r="Q74" s="1124" t="s">
        <v>766</v>
      </c>
      <c r="R74" s="1125"/>
      <c r="S74" s="1124" t="s">
        <v>767</v>
      </c>
      <c r="T74" s="1125"/>
      <c r="U74" s="212"/>
      <c r="V74" s="212"/>
    </row>
    <row r="75" spans="2:22" x14ac:dyDescent="0.25">
      <c r="B75" s="212"/>
      <c r="C75" s="212"/>
      <c r="D75" s="212"/>
      <c r="E75" s="212"/>
      <c r="F75" s="212"/>
      <c r="G75" s="212"/>
      <c r="H75" s="212"/>
      <c r="I75" s="212"/>
      <c r="J75" s="212"/>
      <c r="K75" s="212"/>
      <c r="L75" s="212"/>
      <c r="M75" s="212"/>
      <c r="N75" s="212"/>
      <c r="O75" s="212"/>
      <c r="P75" s="212"/>
      <c r="Q75" s="212"/>
      <c r="R75" s="212"/>
      <c r="S75" s="212"/>
      <c r="T75" s="212"/>
      <c r="U75" s="212"/>
      <c r="V75" s="212"/>
    </row>
    <row r="76" spans="2:22" x14ac:dyDescent="0.25">
      <c r="B76" s="212"/>
      <c r="C76" s="212"/>
      <c r="D76" s="11" t="s">
        <v>1186</v>
      </c>
      <c r="E76" s="2"/>
      <c r="F76" s="2"/>
      <c r="G76" s="2"/>
      <c r="H76" s="2"/>
      <c r="I76" s="3"/>
      <c r="J76" s="212"/>
      <c r="K76" s="849">
        <f>IF(ISNUMBER(Input!$G$73),Input!$G$73,"")</f>
        <v>455.07272727272732</v>
      </c>
      <c r="L76" s="850"/>
      <c r="M76" s="851">
        <f>K77</f>
        <v>462.58684341212262</v>
      </c>
      <c r="N76" s="850"/>
      <c r="O76" s="851">
        <f>M77</f>
        <v>460.38234985478601</v>
      </c>
      <c r="P76" s="850"/>
      <c r="Q76" s="851">
        <f>O77</f>
        <v>446.66572348956316</v>
      </c>
      <c r="R76" s="850"/>
      <c r="S76" s="851">
        <f>Q77</f>
        <v>421.46077104873308</v>
      </c>
      <c r="T76" s="850"/>
      <c r="U76" s="212"/>
      <c r="V76" s="212"/>
    </row>
    <row r="77" spans="2:22" x14ac:dyDescent="0.25">
      <c r="B77" s="212"/>
      <c r="C77" s="212"/>
      <c r="D77" s="12" t="s">
        <v>1187</v>
      </c>
      <c r="E77" s="4"/>
      <c r="F77" s="4"/>
      <c r="G77" s="4"/>
      <c r="H77" s="4"/>
      <c r="I77" s="257"/>
      <c r="J77" s="212"/>
      <c r="K77" s="849">
        <f>IF(ISNUMBER((K76+K71))=TRUE,MAX(K76+K71-IF(ISNUMBER(K121),K121,0),0),"")</f>
        <v>462.58684341212262</v>
      </c>
      <c r="L77" s="850"/>
      <c r="M77" s="851">
        <f>IF(ISNUMBER((M76+M71))=TRUE,MAX(M76+M71-IF(ISNUMBER(M121),M121,0),0),"")</f>
        <v>460.38234985478601</v>
      </c>
      <c r="N77" s="850"/>
      <c r="O77" s="849">
        <f>IF(ISNUMBER((O76+O71))=TRUE,MAX(O76+O71-IF(ISNUMBER(O121),O121,0),0),"")</f>
        <v>446.66572348956316</v>
      </c>
      <c r="P77" s="850"/>
      <c r="Q77" s="849">
        <f>IF(ISNUMBER((Q76+Q71))=TRUE,MAX(Q76+Q71-IF(ISNUMBER(Q121),Q121,0),0),"")</f>
        <v>421.46077104873308</v>
      </c>
      <c r="R77" s="850"/>
      <c r="S77" s="849">
        <f>IF(ISNUMBER((S76+S71))=TRUE,MAX(S76+S71-IF(ISNUMBER(S121),S121,0),0),"")</f>
        <v>385.16078473600845</v>
      </c>
      <c r="T77" s="850"/>
      <c r="U77" s="212"/>
      <c r="V77" s="212"/>
    </row>
    <row r="78" spans="2:22" x14ac:dyDescent="0.25">
      <c r="B78" s="212"/>
      <c r="C78" s="212"/>
      <c r="D78" s="12" t="s">
        <v>1188</v>
      </c>
      <c r="E78" s="4"/>
      <c r="F78" s="4"/>
      <c r="G78" s="4"/>
      <c r="H78" s="4"/>
      <c r="I78" s="257"/>
      <c r="J78" s="212"/>
      <c r="K78" s="849">
        <f>IF(ISNUMBER(Input!G74),Input!G74,"")</f>
        <v>315.54545454545456</v>
      </c>
      <c r="L78" s="850"/>
      <c r="M78" s="851">
        <f>K79</f>
        <v>323.05957068484986</v>
      </c>
      <c r="N78" s="850"/>
      <c r="O78" s="851">
        <f>M79</f>
        <v>320.85507712751325</v>
      </c>
      <c r="P78" s="850"/>
      <c r="Q78" s="851">
        <f>O79</f>
        <v>307.1384507622904</v>
      </c>
      <c r="R78" s="850"/>
      <c r="S78" s="851">
        <f>Q79</f>
        <v>281.93349832146032</v>
      </c>
      <c r="T78" s="850"/>
      <c r="U78" s="212"/>
      <c r="V78" s="212"/>
    </row>
    <row r="79" spans="2:22" x14ac:dyDescent="0.25">
      <c r="B79" s="212"/>
      <c r="C79" s="212"/>
      <c r="D79" s="12" t="s">
        <v>1189</v>
      </c>
      <c r="E79" s="4"/>
      <c r="F79" s="4"/>
      <c r="G79" s="4"/>
      <c r="H79" s="4"/>
      <c r="I79" s="257"/>
      <c r="J79" s="212"/>
      <c r="K79" s="849">
        <f>IF(ISNUMBER((K78+K71))=TRUE,MAX(K78+K71-IF(ISNUMBER(K122),K122,0),0),"")</f>
        <v>323.05957068484986</v>
      </c>
      <c r="L79" s="850"/>
      <c r="M79" s="851">
        <f>IF(ISNUMBER((M78+M71))=TRUE,MAX(M78+M71-IF(ISNUMBER(M122),M122,0),0),"")</f>
        <v>320.85507712751325</v>
      </c>
      <c r="N79" s="850"/>
      <c r="O79" s="851">
        <f>IF(ISNUMBER((O78+O71))=TRUE,MAX(O78+O71-IF(ISNUMBER(O122),O122,0),0),"")</f>
        <v>307.1384507622904</v>
      </c>
      <c r="P79" s="850"/>
      <c r="Q79" s="851">
        <f>IF(ISNUMBER((Q78+Q71))=TRUE,MAX(Q78+Q71-IF(ISNUMBER(Q122),Q122,0),0),"")</f>
        <v>281.93349832146032</v>
      </c>
      <c r="R79" s="850"/>
      <c r="S79" s="851">
        <f>IF(ISNUMBER((S78+S71))=TRUE,MAX(S78+S71-IF(ISNUMBER(S122),S122,0),0),"")</f>
        <v>245.63351200873569</v>
      </c>
      <c r="T79" s="850"/>
      <c r="U79" s="212"/>
      <c r="V79" s="212"/>
    </row>
    <row r="80" spans="2:22" x14ac:dyDescent="0.25">
      <c r="B80" s="212"/>
      <c r="C80" s="212"/>
      <c r="D80" s="12" t="s">
        <v>1190</v>
      </c>
      <c r="E80" s="4"/>
      <c r="F80" s="4"/>
      <c r="G80" s="4"/>
      <c r="H80" s="4"/>
      <c r="I80" s="257"/>
      <c r="J80" s="212"/>
      <c r="K80" s="849" t="str">
        <f>IF(ISNUMBER(Input!G75),Input!G75,"")</f>
        <v/>
      </c>
      <c r="L80" s="850"/>
      <c r="M80" s="851" t="str">
        <f>K81</f>
        <v/>
      </c>
      <c r="N80" s="850"/>
      <c r="O80" s="851" t="str">
        <f>M81</f>
        <v/>
      </c>
      <c r="P80" s="850"/>
      <c r="Q80" s="851" t="str">
        <f>O81</f>
        <v/>
      </c>
      <c r="R80" s="850"/>
      <c r="S80" s="851" t="str">
        <f>Q81</f>
        <v/>
      </c>
      <c r="T80" s="850"/>
      <c r="U80" s="212"/>
      <c r="V80" s="212"/>
    </row>
    <row r="81" spans="2:22" x14ac:dyDescent="0.25">
      <c r="B81" s="212"/>
      <c r="C81" s="212"/>
      <c r="D81" s="258" t="s">
        <v>1191</v>
      </c>
      <c r="E81" s="259"/>
      <c r="F81" s="259"/>
      <c r="G81" s="259"/>
      <c r="H81" s="259"/>
      <c r="I81" s="260"/>
      <c r="J81" s="212"/>
      <c r="K81" s="849" t="str">
        <f>IF(ISNUMBER((K80+K71))=TRUE,MAX(K80+K71-IF(ISNUMBER(K123),K123,0),0),"")</f>
        <v/>
      </c>
      <c r="L81" s="850"/>
      <c r="M81" s="851" t="str">
        <f>IF(ISNUMBER((M80+M71))=TRUE,MAX(M80+M71-IF(ISNUMBER(M123),M123,0),0),"")</f>
        <v/>
      </c>
      <c r="N81" s="850"/>
      <c r="O81" s="851" t="str">
        <f>IF(ISNUMBER((O80+O71))=TRUE,MAX(O80+O71-IF(ISNUMBER(O123),O123,0),0),"")</f>
        <v/>
      </c>
      <c r="P81" s="850"/>
      <c r="Q81" s="851" t="str">
        <f>IF(ISNUMBER((Q80+Q71))=TRUE,MAX(Q80+Q71-IF(ISNUMBER(Q123),Q123,0),0),"")</f>
        <v/>
      </c>
      <c r="R81" s="850"/>
      <c r="S81" s="851" t="str">
        <f>IF(ISNUMBER((S80+S71))=TRUE,MAX(S80+S71-IF(ISNUMBER(S123),S123,0),0),"")</f>
        <v/>
      </c>
      <c r="T81" s="850"/>
      <c r="U81" s="212"/>
      <c r="V81" s="212"/>
    </row>
    <row r="82" spans="2:22" x14ac:dyDescent="0.25">
      <c r="B82" s="212"/>
      <c r="C82" s="212"/>
      <c r="D82" s="212"/>
      <c r="E82" s="212"/>
      <c r="F82" s="212"/>
      <c r="G82" s="212"/>
      <c r="H82" s="212"/>
      <c r="I82" s="212"/>
      <c r="J82" s="212"/>
      <c r="K82" s="212"/>
      <c r="L82" s="212"/>
      <c r="M82" s="212"/>
      <c r="N82" s="212"/>
      <c r="O82" s="212"/>
      <c r="P82" s="212"/>
      <c r="Q82" s="212"/>
      <c r="R82" s="212"/>
      <c r="S82" s="212"/>
      <c r="T82" s="212"/>
      <c r="U82" s="212"/>
      <c r="V82" s="212"/>
    </row>
    <row r="83" spans="2:22" x14ac:dyDescent="0.25">
      <c r="B83" s="201"/>
      <c r="C83" s="214"/>
      <c r="D83" s="214"/>
      <c r="E83" s="214"/>
      <c r="F83" s="214"/>
      <c r="G83" s="214"/>
      <c r="H83" s="214"/>
      <c r="I83" s="214"/>
      <c r="J83" s="214"/>
      <c r="K83" s="214"/>
      <c r="L83" s="214"/>
      <c r="M83" s="214"/>
      <c r="N83" s="214"/>
      <c r="O83" s="214"/>
      <c r="P83" s="214"/>
      <c r="Q83" s="214"/>
      <c r="R83" s="214"/>
      <c r="S83" s="214"/>
      <c r="T83" s="214"/>
      <c r="U83" s="214"/>
      <c r="V83" s="214"/>
    </row>
    <row r="84" spans="2:22" ht="18.75" x14ac:dyDescent="0.3">
      <c r="B84" s="212"/>
      <c r="C84" s="212"/>
      <c r="D84" s="213" t="s">
        <v>1201</v>
      </c>
      <c r="E84" s="212"/>
      <c r="F84" s="212"/>
      <c r="G84" s="212"/>
      <c r="H84" s="212"/>
      <c r="I84" s="212"/>
      <c r="J84" s="212"/>
      <c r="K84" s="1124" t="s">
        <v>763</v>
      </c>
      <c r="L84" s="1125"/>
      <c r="M84" s="1124" t="s">
        <v>764</v>
      </c>
      <c r="N84" s="1125"/>
      <c r="O84" s="1124" t="s">
        <v>765</v>
      </c>
      <c r="P84" s="1125"/>
      <c r="Q84" s="1124" t="s">
        <v>766</v>
      </c>
      <c r="R84" s="1125"/>
      <c r="S84" s="1124" t="s">
        <v>767</v>
      </c>
      <c r="T84" s="1125"/>
      <c r="U84" s="212"/>
      <c r="V84" s="212"/>
    </row>
    <row r="85" spans="2:22" x14ac:dyDescent="0.25">
      <c r="B85" s="212"/>
      <c r="C85" s="212"/>
      <c r="D85" s="212"/>
      <c r="E85" s="212"/>
      <c r="F85" s="212"/>
      <c r="G85" s="212"/>
      <c r="H85" s="212"/>
      <c r="I85" s="212"/>
      <c r="J85" s="212"/>
      <c r="K85" s="212"/>
      <c r="L85" s="212"/>
      <c r="M85" s="212"/>
      <c r="N85" s="212"/>
      <c r="O85" s="212"/>
      <c r="P85" s="212"/>
      <c r="Q85" s="212"/>
      <c r="R85" s="212"/>
      <c r="S85" s="212"/>
      <c r="T85" s="212"/>
      <c r="U85" s="212"/>
      <c r="V85" s="212"/>
    </row>
    <row r="86" spans="2:22" x14ac:dyDescent="0.25">
      <c r="B86" s="212"/>
      <c r="C86" s="212"/>
      <c r="D86" s="11" t="s">
        <v>1192</v>
      </c>
      <c r="E86" s="2"/>
      <c r="F86" s="2"/>
      <c r="G86" s="2"/>
      <c r="H86" s="2"/>
      <c r="I86" s="3"/>
      <c r="J86" s="212"/>
      <c r="K86" s="847">
        <f>IF(ISNUMBER(K76/K$49),K76/K$49,"")</f>
        <v>0.20223738591877052</v>
      </c>
      <c r="L86" s="848" t="str">
        <f>IF(ISNUMBER(L78/L55)=FALSE,"",L78/L55)</f>
        <v/>
      </c>
      <c r="M86" s="865">
        <f>IF(ISNUMBER(M76/M$49),M76/M$49,"")</f>
        <v>6.1755393791658376E-2</v>
      </c>
      <c r="N86" s="848" t="str">
        <f>IF(ISNUMBER(N78/N55)=FALSE,"",N78/N55)</f>
        <v/>
      </c>
      <c r="O86" s="865">
        <f>IF(ISNUMBER(O76/O$49),O76/O$49,"")</f>
        <v>5.8518290792792242E-2</v>
      </c>
      <c r="P86" s="848" t="str">
        <f>IF(ISNUMBER(P78/P55)=FALSE,"",P78/P55)</f>
        <v/>
      </c>
      <c r="Q86" s="865">
        <f>IF(ISNUMBER(Q76/Q$49),Q76/Q$49,"")</f>
        <v>5.7332399662878439E-2</v>
      </c>
      <c r="R86" s="848" t="str">
        <f>IF(ISNUMBER(R78/R55)=FALSE,"",R78/R55)</f>
        <v/>
      </c>
      <c r="S86" s="865">
        <f>IF(ISNUMBER(S76/S$49),S76/S$49,"")</f>
        <v>5.4924063904357105E-2</v>
      </c>
      <c r="T86" s="848" t="str">
        <f>IF(ISNUMBER(T78/T55)=FALSE,"",T78/T55)</f>
        <v/>
      </c>
      <c r="U86" s="212"/>
      <c r="V86" s="212"/>
    </row>
    <row r="87" spans="2:22" x14ac:dyDescent="0.25">
      <c r="B87" s="212"/>
      <c r="C87" s="212"/>
      <c r="D87" s="12" t="s">
        <v>1193</v>
      </c>
      <c r="E87" s="4"/>
      <c r="F87" s="4"/>
      <c r="G87" s="4"/>
      <c r="H87" s="4"/>
      <c r="I87" s="5"/>
      <c r="J87" s="212"/>
      <c r="K87" s="847">
        <f>IF(ISNUMBER(K77/K$55),K77/K$55,"")</f>
        <v>6.1755393791658376E-2</v>
      </c>
      <c r="L87" s="848"/>
      <c r="M87" s="865">
        <f>IF(ISNUMBER(M77/M$55),M77/M$55,"")</f>
        <v>5.8518290792792242E-2</v>
      </c>
      <c r="N87" s="848"/>
      <c r="O87" s="865">
        <f>IF(ISNUMBER(O77/O$55),O77/O$55,"")</f>
        <v>5.7332399662878439E-2</v>
      </c>
      <c r="P87" s="848"/>
      <c r="Q87" s="865">
        <f>IF(ISNUMBER(Q77/Q$55),Q77/Q$55,"")</f>
        <v>5.4924063904357105E-2</v>
      </c>
      <c r="R87" s="848"/>
      <c r="S87" s="865">
        <f>IF(ISNUMBER(S77/S$55),S77/S$55,"")</f>
        <v>5.1308297357644674E-2</v>
      </c>
      <c r="T87" s="848"/>
      <c r="U87" s="212"/>
      <c r="V87" s="212"/>
    </row>
    <row r="88" spans="2:22" x14ac:dyDescent="0.25">
      <c r="B88" s="212"/>
      <c r="C88" s="212"/>
      <c r="D88" s="12" t="s">
        <v>1194</v>
      </c>
      <c r="E88" s="4"/>
      <c r="F88" s="4"/>
      <c r="G88" s="4"/>
      <c r="H88" s="4"/>
      <c r="I88" s="5"/>
      <c r="J88" s="212"/>
      <c r="K88" s="847">
        <f>IF(ISNUMBER(K78/K$49),K78/K$49,"")</f>
        <v>0.14023052589477256</v>
      </c>
      <c r="L88" s="848" t="str">
        <f>IF(ISNUMBER(L80/L57)=FALSE,"",L80/L57)</f>
        <v/>
      </c>
      <c r="M88" s="865">
        <f>IF(ISNUMBER(M78/M$49),M78/M$49,"")</f>
        <v>4.3128487742209246E-2</v>
      </c>
      <c r="N88" s="848" t="str">
        <f>IF(ISNUMBER(N80/N57)=FALSE,"",N80/N57)</f>
        <v/>
      </c>
      <c r="O88" s="865">
        <f>IF(ISNUMBER(O78/O$49),O78/O$49,"")</f>
        <v>4.0783254856781331E-2</v>
      </c>
      <c r="P88" s="848" t="str">
        <f>IF(ISNUMBER(P80/P57)=FALSE,"",P80/P57)</f>
        <v/>
      </c>
      <c r="Q88" s="865">
        <f>IF(ISNUMBER(Q78/Q$49),Q78/Q$49,"")</f>
        <v>3.9423182673098925E-2</v>
      </c>
      <c r="R88" s="848" t="str">
        <f>IF(ISNUMBER(R80/R57)=FALSE,"",R80/R57)</f>
        <v/>
      </c>
      <c r="S88" s="865">
        <f>IF(ISNUMBER(S78/S$49),S78/S$49,"")</f>
        <v>3.6741102712964796E-2</v>
      </c>
      <c r="T88" s="848" t="str">
        <f>IF(ISNUMBER(T80/T57)=FALSE,"",T80/T57)</f>
        <v/>
      </c>
      <c r="U88" s="212"/>
      <c r="V88" s="212"/>
    </row>
    <row r="89" spans="2:22" x14ac:dyDescent="0.25">
      <c r="B89" s="212"/>
      <c r="C89" s="212"/>
      <c r="D89" s="12" t="s">
        <v>1195</v>
      </c>
      <c r="E89" s="4"/>
      <c r="F89" s="4"/>
      <c r="G89" s="4"/>
      <c r="H89" s="4"/>
      <c r="I89" s="5"/>
      <c r="J89" s="212"/>
      <c r="K89" s="847">
        <f>IF(ISNUMBER(K79/K$55),K79/K$55,"")</f>
        <v>4.3128487742209246E-2</v>
      </c>
      <c r="L89" s="848"/>
      <c r="M89" s="865">
        <f>IF(ISNUMBER(M79/M$55),M79/M$55,"")</f>
        <v>4.0783254856781331E-2</v>
      </c>
      <c r="N89" s="848"/>
      <c r="O89" s="865">
        <f>IF(ISNUMBER(O79/O$55),O79/O$55,"")</f>
        <v>3.9423182673098925E-2</v>
      </c>
      <c r="P89" s="848"/>
      <c r="Q89" s="865">
        <f>IF(ISNUMBER(Q79/Q$55),Q79/Q$55,"")</f>
        <v>3.6741102712964796E-2</v>
      </c>
      <c r="R89" s="848"/>
      <c r="S89" s="865">
        <f>IF(ISNUMBER(S79/S$55),S79/S$55,"")</f>
        <v>3.2721496514202489E-2</v>
      </c>
      <c r="T89" s="848"/>
      <c r="U89" s="212"/>
      <c r="V89" s="212"/>
    </row>
    <row r="90" spans="2:22" x14ac:dyDescent="0.25">
      <c r="B90" s="212"/>
      <c r="C90" s="212"/>
      <c r="D90" s="12" t="s">
        <v>1196</v>
      </c>
      <c r="E90" s="4"/>
      <c r="F90" s="4"/>
      <c r="G90" s="4"/>
      <c r="H90" s="4"/>
      <c r="I90" s="5"/>
      <c r="J90" s="212"/>
      <c r="K90" s="847" t="str">
        <f>IF(ISNUMBER(K80/K$49),K80/K$49,"")</f>
        <v/>
      </c>
      <c r="L90" s="848" t="str">
        <f>IF(ISNUMBER(L82/L59)=FALSE,"",L82/L59)</f>
        <v/>
      </c>
      <c r="M90" s="865" t="str">
        <f>IF(ISNUMBER(M80/M$49),M80/M$49,"")</f>
        <v/>
      </c>
      <c r="N90" s="848" t="str">
        <f>IF(ISNUMBER(N82/N59)=FALSE,"",N82/N59)</f>
        <v/>
      </c>
      <c r="O90" s="865" t="str">
        <f>IF(ISNUMBER(O80/O$49),O80/O$49,"")</f>
        <v/>
      </c>
      <c r="P90" s="848" t="str">
        <f>IF(ISNUMBER(P82/P59)=FALSE,"",P82/P59)</f>
        <v/>
      </c>
      <c r="Q90" s="865" t="str">
        <f>IF(ISNUMBER(Q80/Q$49),Q80/Q$49,"")</f>
        <v/>
      </c>
      <c r="R90" s="848" t="str">
        <f>IF(ISNUMBER(R82/R59)=FALSE,"",R82/R59)</f>
        <v/>
      </c>
      <c r="S90" s="865" t="str">
        <f>IF(ISNUMBER(S80/S$49),S80/S$49,"")</f>
        <v/>
      </c>
      <c r="T90" s="848" t="str">
        <f>IF(ISNUMBER(T82/T59)=FALSE,"",T82/T59)</f>
        <v/>
      </c>
      <c r="U90" s="212"/>
      <c r="V90" s="212"/>
    </row>
    <row r="91" spans="2:22" x14ac:dyDescent="0.25">
      <c r="B91" s="212"/>
      <c r="C91" s="212"/>
      <c r="D91" s="12" t="s">
        <v>1197</v>
      </c>
      <c r="E91" s="4"/>
      <c r="F91" s="4"/>
      <c r="G91" s="4"/>
      <c r="H91" s="4"/>
      <c r="I91" s="5"/>
      <c r="J91" s="212"/>
      <c r="K91" s="847" t="str">
        <f>IF(ISNUMBER(K81/K$55),K81/K$55,"")</f>
        <v/>
      </c>
      <c r="L91" s="848"/>
      <c r="M91" s="865" t="str">
        <f>IF(ISNUMBER(M81/M$55),M81/M$55,"")</f>
        <v/>
      </c>
      <c r="N91" s="848"/>
      <c r="O91" s="865" t="str">
        <f>IF(ISNUMBER(O81/O$55),O81/O$55,"")</f>
        <v/>
      </c>
      <c r="P91" s="848"/>
      <c r="Q91" s="865" t="str">
        <f>IF(ISNUMBER(Q81/Q$55),Q81/Q$55,"")</f>
        <v/>
      </c>
      <c r="R91" s="848"/>
      <c r="S91" s="865" t="str">
        <f>IF(ISNUMBER(S81/S$55),S81/S$55,"")</f>
        <v/>
      </c>
      <c r="T91" s="848"/>
      <c r="U91" s="212"/>
      <c r="V91" s="212"/>
    </row>
    <row r="92" spans="2:22" x14ac:dyDescent="0.25">
      <c r="B92" s="212"/>
      <c r="C92" s="212"/>
      <c r="D92" s="12" t="s">
        <v>1198</v>
      </c>
      <c r="E92" s="4"/>
      <c r="F92" s="4"/>
      <c r="G92" s="4"/>
      <c r="H92" s="4"/>
      <c r="I92" s="5"/>
      <c r="J92" s="212"/>
      <c r="K92" s="849">
        <f>IF(ISNUMBER(K$55*Summary!M77)=FALSE,"",K$55*IF(Summary!$G$23="No",Summary!M77,HLOOKUP(MAX(Input!$M$17+1,2011),Parameters!$I$318:$T$321,2,FALSE)))</f>
        <v>898.8756738679042</v>
      </c>
      <c r="L92" s="850"/>
      <c r="M92" s="851">
        <f>IF(ISNUMBER(M$55*Summary!O77)=FALSE,"",M$55*IF(Summary!$G$23="No",Summary!O77,HLOOKUP(MAX(Input!$M$17+2,2011),Parameters!$I$318:$T$321,2,FALSE)))</f>
        <v>944.07887233403289</v>
      </c>
      <c r="N92" s="850"/>
      <c r="O92" s="851">
        <f>IF(ISNUMBER(O$55*Summary!Q77)=FALSE,"",O$55*IF(Summary!$G$23="No",Summary!Q77,HLOOKUP(MAX(Input!$M$17+2,2011),Parameters!$I$318:$T$321,2,FALSE)))</f>
        <v>934.89697158886611</v>
      </c>
      <c r="P92" s="850"/>
      <c r="Q92" s="851">
        <f>IF(ISNUMBER(Q$55*Summary!S77)=FALSE,"",Q$55*IF(Summary!$G$23="No",Summary!S77,HLOOKUP(MAX(Input!$M$17+2,2011),Parameters!$I$318:$T$321,2,FALSE)))</f>
        <v>920.82211203304371</v>
      </c>
      <c r="R92" s="850"/>
      <c r="S92" s="851">
        <f>IF(ISNUMBER(S$55*Summary!U77)=FALSE,"",S$55*IF(Summary!$G$23="No",Summary!U77,HLOOKUP(MAX(Input!$M$17+2,2011),Parameters!$I$318:$T$321,2,FALSE)))</f>
        <v>900.81520043725584</v>
      </c>
      <c r="T92" s="850"/>
      <c r="U92" s="212"/>
      <c r="V92" s="212"/>
    </row>
    <row r="93" spans="2:22" x14ac:dyDescent="0.25">
      <c r="B93" s="212"/>
      <c r="C93" s="212"/>
      <c r="D93" s="12" t="s">
        <v>1199</v>
      </c>
      <c r="E93" s="4"/>
      <c r="F93" s="4"/>
      <c r="G93" s="4"/>
      <c r="H93" s="4"/>
      <c r="I93" s="5"/>
      <c r="J93" s="212"/>
      <c r="K93" s="849">
        <f>IF(ISNUMBER(K$55*Summary!M78)=FALSE,"",K$55*IF(Summary!$G$23="No",Summary!M78,HLOOKUP(MAX(Input!$M$17+1,2011),Parameters!$I$318:$T$321,2,FALSE)))</f>
        <v>599.25044924526946</v>
      </c>
      <c r="L93" s="850"/>
      <c r="M93" s="851">
        <f>IF(ISNUMBER(M$55*Summary!O78)=FALSE,"",M$55*IF(Summary!$G$23="No",Summary!O78,HLOOKUP(MAX(Input!$M$17+2,2011),Parameters!$I$318:$T$321,2,FALSE)))</f>
        <v>629.38591488935526</v>
      </c>
      <c r="N93" s="850"/>
      <c r="O93" s="851">
        <f>IF(ISNUMBER(O$55*Summary!Q78)=FALSE,"",O$55*IF(Summary!$G$23="No",Summary!Q78,HLOOKUP(MAX(Input!$M$17+2,2011),Parameters!$I$318:$T$321,2,FALSE)))</f>
        <v>623.26464772591078</v>
      </c>
      <c r="P93" s="850"/>
      <c r="Q93" s="851">
        <f>IF(ISNUMBER(Q$55*Summary!S78)=FALSE,"",Q$55*IF(Summary!$G$23="No",Summary!S78,HLOOKUP(MAX(Input!$M$17+2,2011),Parameters!$I$318:$T$321,2,FALSE)))</f>
        <v>613.88140802202918</v>
      </c>
      <c r="R93" s="850"/>
      <c r="S93" s="851">
        <f>IF(ISNUMBER(S$55*Summary!U78)=FALSE,"",S$55*IF(Summary!$G$23="No",Summary!U78,HLOOKUP(MAX(Input!$M$17+2,2011),Parameters!$I$318:$T$321,2,FALSE)))</f>
        <v>600.5434669581706</v>
      </c>
      <c r="T93" s="850"/>
      <c r="U93" s="212"/>
      <c r="V93" s="212"/>
    </row>
    <row r="94" spans="2:22" x14ac:dyDescent="0.25">
      <c r="B94" s="212"/>
      <c r="C94" s="212"/>
      <c r="D94" s="13" t="s">
        <v>1200</v>
      </c>
      <c r="E94" s="6"/>
      <c r="F94" s="6"/>
      <c r="G94" s="6"/>
      <c r="H94" s="6"/>
      <c r="I94" s="7"/>
      <c r="J94" s="212"/>
      <c r="K94" s="849">
        <f>IF(ISNUMBER(K$55*Summary!M79)=FALSE,"",K$55*IF(Summary!$G$23="No",Summary!M79,HLOOKUP(MAX(Input!$M$17+1,2011),Parameters!$I$318:$T$321,2,FALSE)))</f>
        <v>299.62522462263473</v>
      </c>
      <c r="L94" s="850"/>
      <c r="M94" s="851">
        <f>IF(ISNUMBER(M$55*Summary!O79)=FALSE,"",M$55*IF(Summary!$G$23="No",Summary!O79,HLOOKUP(MAX(Input!$M$17+2,2011),Parameters!$I$318:$T$321,2,FALSE)))</f>
        <v>314.69295744467763</v>
      </c>
      <c r="N94" s="850"/>
      <c r="O94" s="851">
        <f>IF(ISNUMBER(O$55*Summary!Q79)=FALSE,"",O$55*IF(Summary!$G$23="No",Summary!Q79,HLOOKUP(MAX(Input!$M$17+2,2011),Parameters!$I$318:$T$321,2,FALSE)))</f>
        <v>311.63232386295539</v>
      </c>
      <c r="P94" s="850"/>
      <c r="Q94" s="851">
        <f>IF(ISNUMBER(Q$55*Summary!S79)=FALSE,"",Q$55*IF(Summary!$G$23="No",Summary!S79,HLOOKUP(MAX(Input!$M$17+2,2011),Parameters!$I$318:$T$321,2,FALSE)))</f>
        <v>306.94070401101459</v>
      </c>
      <c r="R94" s="850"/>
      <c r="S94" s="851">
        <f>IF(ISNUMBER(S$55*Summary!U79)=FALSE,"",S$55*IF(Summary!$G$23="No",Summary!U79,HLOOKUP(MAX(Input!$M$17+2,2011),Parameters!$I$318:$T$321,2,FALSE)))</f>
        <v>300.2717334790853</v>
      </c>
      <c r="T94" s="850"/>
      <c r="U94" s="212"/>
      <c r="V94" s="212"/>
    </row>
    <row r="95" spans="2:22" x14ac:dyDescent="0.25">
      <c r="B95" s="212"/>
      <c r="C95" s="212"/>
      <c r="D95" s="212"/>
      <c r="E95" s="212"/>
      <c r="F95" s="212"/>
      <c r="G95" s="212"/>
      <c r="H95" s="212"/>
      <c r="I95" s="212"/>
      <c r="J95" s="212"/>
      <c r="K95" s="212"/>
      <c r="L95" s="212"/>
      <c r="M95" s="212"/>
      <c r="N95" s="212"/>
      <c r="O95" s="212"/>
      <c r="P95" s="212"/>
      <c r="Q95" s="212"/>
      <c r="R95" s="212"/>
      <c r="S95" s="212"/>
      <c r="T95" s="212"/>
      <c r="U95" s="212"/>
      <c r="V95" s="212"/>
    </row>
    <row r="96" spans="2:22" x14ac:dyDescent="0.25">
      <c r="B96" s="201"/>
      <c r="C96" s="214"/>
      <c r="D96" s="214"/>
      <c r="E96" s="214"/>
      <c r="F96" s="214"/>
      <c r="G96" s="214"/>
      <c r="H96" s="214"/>
      <c r="I96" s="214"/>
      <c r="J96" s="214"/>
      <c r="K96" s="214"/>
      <c r="L96" s="214"/>
      <c r="M96" s="214"/>
      <c r="N96" s="214"/>
      <c r="O96" s="214"/>
      <c r="P96" s="214"/>
      <c r="Q96" s="214"/>
      <c r="R96" s="214"/>
      <c r="S96" s="214"/>
      <c r="T96" s="214"/>
      <c r="U96" s="214"/>
      <c r="V96" s="214"/>
    </row>
    <row r="97" spans="2:22" ht="18.75" x14ac:dyDescent="0.3">
      <c r="B97" s="212"/>
      <c r="C97" s="212"/>
      <c r="D97" s="213" t="s">
        <v>1206</v>
      </c>
      <c r="E97" s="228"/>
      <c r="F97" s="228"/>
      <c r="G97" s="228"/>
      <c r="H97" s="228"/>
      <c r="I97" s="228"/>
      <c r="J97" s="212"/>
      <c r="K97" s="1124" t="s">
        <v>763</v>
      </c>
      <c r="L97" s="1125"/>
      <c r="M97" s="1124" t="s">
        <v>764</v>
      </c>
      <c r="N97" s="1125"/>
      <c r="O97" s="1124" t="s">
        <v>765</v>
      </c>
      <c r="P97" s="1125"/>
      <c r="Q97" s="1124" t="s">
        <v>766</v>
      </c>
      <c r="R97" s="1125"/>
      <c r="S97" s="1124" t="s">
        <v>767</v>
      </c>
      <c r="T97" s="1125"/>
      <c r="U97" s="212"/>
      <c r="V97" s="212"/>
    </row>
    <row r="98" spans="2:22" x14ac:dyDescent="0.25">
      <c r="B98" s="212"/>
      <c r="C98" s="212"/>
      <c r="D98" s="228"/>
      <c r="E98" s="228"/>
      <c r="F98" s="228"/>
      <c r="G98" s="228"/>
      <c r="H98" s="228"/>
      <c r="I98" s="228"/>
      <c r="J98" s="212"/>
      <c r="K98" s="212"/>
      <c r="L98" s="212"/>
      <c r="M98" s="212"/>
      <c r="N98" s="212"/>
      <c r="O98" s="212"/>
      <c r="P98" s="212"/>
      <c r="Q98" s="212"/>
      <c r="R98" s="212"/>
      <c r="S98" s="212"/>
      <c r="T98" s="212"/>
      <c r="U98" s="212"/>
      <c r="V98" s="212"/>
    </row>
    <row r="99" spans="2:22" x14ac:dyDescent="0.25">
      <c r="B99" s="212"/>
      <c r="C99" s="212"/>
      <c r="D99" s="11" t="s">
        <v>1202</v>
      </c>
      <c r="E99" s="2"/>
      <c r="F99" s="2"/>
      <c r="G99" s="2"/>
      <c r="H99" s="2"/>
      <c r="I99" s="3"/>
      <c r="J99" s="212"/>
      <c r="K99" s="1223">
        <f>IF(ISNUMBER(K86)=FALSE,"N/A",IF(K86&gt;Summary!K77,0,1))</f>
        <v>0</v>
      </c>
      <c r="L99" s="1224"/>
      <c r="M99" s="1223">
        <f>IF(ISNUMBER(M86)=FALSE,"N/A",IF(M86&gt;Summary!M77,0,1))</f>
        <v>1</v>
      </c>
      <c r="N99" s="1224"/>
      <c r="O99" s="1223">
        <f>IF(ISNUMBER(O86)=FALSE,"N/A",IF(O86&gt;Summary!O77,0,1))</f>
        <v>1</v>
      </c>
      <c r="P99" s="1224"/>
      <c r="Q99" s="1223">
        <f>IF(ISNUMBER(Q86)=FALSE,"N/A",IF(Q86&gt;Summary!Q77,0,1))</f>
        <v>1</v>
      </c>
      <c r="R99" s="1224"/>
      <c r="S99" s="1223">
        <f>IF(ISNUMBER(S86)=FALSE,"N/A",IF(S86&gt;Summary!S77,0,1))</f>
        <v>1</v>
      </c>
      <c r="T99" s="1224"/>
      <c r="U99" s="212"/>
      <c r="V99" s="212"/>
    </row>
    <row r="100" spans="2:22" x14ac:dyDescent="0.25">
      <c r="B100" s="212"/>
      <c r="C100" s="212"/>
      <c r="D100" s="12" t="s">
        <v>1203</v>
      </c>
      <c r="E100" s="4"/>
      <c r="F100" s="4"/>
      <c r="G100" s="4"/>
      <c r="H100" s="4"/>
      <c r="I100" s="5"/>
      <c r="J100" s="212"/>
      <c r="K100" s="849">
        <f>IF(K99=1,Summary!K77*K49-K76,0)</f>
        <v>0</v>
      </c>
      <c r="L100" s="850"/>
      <c r="M100" s="849">
        <f>IF(M99=1,Summary!M77*M49-M76,0)</f>
        <v>436.28883045578158</v>
      </c>
      <c r="N100" s="850"/>
      <c r="O100" s="849">
        <f>IF(O99=1,Summary!O77*O49-O76,0)</f>
        <v>483.69652247924688</v>
      </c>
      <c r="P100" s="850"/>
      <c r="Q100" s="849">
        <f>IF(Q99=1,Summary!Q77*Q49-Q76,0)</f>
        <v>488.23124809930295</v>
      </c>
      <c r="R100" s="850"/>
      <c r="S100" s="849">
        <f>IF(S99=1,Summary!S77*S49-S76,0)</f>
        <v>499.36134098431063</v>
      </c>
      <c r="T100" s="850"/>
      <c r="U100" s="212"/>
      <c r="V100" s="212"/>
    </row>
    <row r="101" spans="2:22" x14ac:dyDescent="0.25">
      <c r="B101" s="212"/>
      <c r="C101" s="212"/>
      <c r="D101" s="12" t="s">
        <v>1204</v>
      </c>
      <c r="E101" s="4"/>
      <c r="F101" s="4"/>
      <c r="G101" s="4"/>
      <c r="H101" s="4"/>
      <c r="I101" s="5"/>
      <c r="J101" s="212"/>
      <c r="K101" s="1223">
        <f>IF(ISNUMBER(K87)=FALSE,"N/A",IF(K87&gt;Summary!K77,0,1))</f>
        <v>1</v>
      </c>
      <c r="L101" s="1224"/>
      <c r="M101" s="1223">
        <f>IF(ISNUMBER(M87)=FALSE,"N/A",IF(M87&gt;Summary!M77,0,1))</f>
        <v>1</v>
      </c>
      <c r="N101" s="1224"/>
      <c r="O101" s="1223">
        <f>IF(ISNUMBER(O87)=FALSE,"N/A",IF(O87&gt;Summary!O77,0,1))</f>
        <v>1</v>
      </c>
      <c r="P101" s="1224"/>
      <c r="Q101" s="1223">
        <f>IF(ISNUMBER(Q87)=FALSE,"N/A",IF(Q87&gt;Summary!Q77,0,1))</f>
        <v>1</v>
      </c>
      <c r="R101" s="1224"/>
      <c r="S101" s="1223">
        <f>IF(ISNUMBER(S87)=FALSE,"N/A",IF(S87&gt;Summary!S77,0,1))</f>
        <v>1</v>
      </c>
      <c r="T101" s="1224"/>
      <c r="U101" s="212"/>
      <c r="V101" s="212"/>
    </row>
    <row r="102" spans="2:22" x14ac:dyDescent="0.25">
      <c r="B102" s="212"/>
      <c r="C102" s="212"/>
      <c r="D102" s="13" t="s">
        <v>1205</v>
      </c>
      <c r="E102" s="6"/>
      <c r="F102" s="6"/>
      <c r="G102" s="6"/>
      <c r="H102" s="6"/>
      <c r="I102" s="7"/>
      <c r="J102" s="212"/>
      <c r="K102" s="849">
        <f>IF(K101=1,K92-K77,0)</f>
        <v>436.28883045578158</v>
      </c>
      <c r="L102" s="850">
        <f>IF(L101=1,L94-L81,0)</f>
        <v>0</v>
      </c>
      <c r="M102" s="849">
        <f>IF(M101=1,M92-M77,0)</f>
        <v>483.69652247924688</v>
      </c>
      <c r="N102" s="850">
        <f>IF(N101=1,N94-N81,0)</f>
        <v>0</v>
      </c>
      <c r="O102" s="849">
        <f>IF(O101=1,O92-O77,0)</f>
        <v>488.23124809930295</v>
      </c>
      <c r="P102" s="850">
        <f>IF(P101=1,P94-P81,0)</f>
        <v>0</v>
      </c>
      <c r="Q102" s="849">
        <f>IF(Q101=1,Q92-Q77,0)</f>
        <v>499.36134098431063</v>
      </c>
      <c r="R102" s="850">
        <f>IF(R101=1,R94-R81,0)</f>
        <v>0</v>
      </c>
      <c r="S102" s="849">
        <f>IF(S101=1,S92-S77,0)</f>
        <v>515.65441570124744</v>
      </c>
      <c r="T102" s="850">
        <f>IF(T101=1,T94-T81,0)</f>
        <v>0</v>
      </c>
      <c r="U102" s="212"/>
      <c r="V102" s="212"/>
    </row>
    <row r="103" spans="2:22" x14ac:dyDescent="0.25">
      <c r="B103" s="212"/>
      <c r="C103" s="212"/>
      <c r="D103" s="212"/>
      <c r="E103" s="212"/>
      <c r="F103" s="212"/>
      <c r="G103" s="212"/>
      <c r="H103" s="212"/>
      <c r="I103" s="212"/>
      <c r="J103" s="212"/>
      <c r="K103" s="212"/>
      <c r="L103" s="212"/>
      <c r="M103" s="212"/>
      <c r="N103" s="212"/>
      <c r="O103" s="212"/>
      <c r="P103" s="212"/>
      <c r="Q103" s="212"/>
      <c r="R103" s="212"/>
      <c r="S103" s="212"/>
      <c r="T103" s="212"/>
      <c r="U103" s="212"/>
      <c r="V103" s="212"/>
    </row>
    <row r="104" spans="2:22" ht="18.75" x14ac:dyDescent="0.3">
      <c r="B104" s="212"/>
      <c r="C104" s="212"/>
      <c r="D104" s="275" t="s">
        <v>1385</v>
      </c>
      <c r="E104" s="212"/>
      <c r="F104" s="212"/>
      <c r="G104" s="212"/>
      <c r="H104" s="212"/>
      <c r="I104" s="212"/>
      <c r="J104" s="212"/>
      <c r="K104" s="212"/>
      <c r="L104" s="212"/>
      <c r="M104" s="212"/>
      <c r="N104" s="212"/>
      <c r="O104" s="212"/>
      <c r="P104" s="212"/>
      <c r="Q104" s="212"/>
      <c r="R104" s="212"/>
      <c r="S104" s="212"/>
      <c r="T104" s="212"/>
      <c r="U104" s="212"/>
      <c r="V104" s="212"/>
    </row>
    <row r="105" spans="2:22" x14ac:dyDescent="0.25">
      <c r="B105" s="212"/>
      <c r="C105" s="212"/>
      <c r="D105" s="212"/>
      <c r="E105" s="212"/>
      <c r="F105" s="212"/>
      <c r="G105" s="212"/>
      <c r="H105" s="212"/>
      <c r="I105" s="212"/>
      <c r="J105" s="212"/>
      <c r="K105" s="212"/>
      <c r="L105" s="212"/>
      <c r="M105" s="212"/>
      <c r="N105" s="212"/>
      <c r="O105" s="212"/>
      <c r="P105" s="212"/>
      <c r="Q105" s="212"/>
      <c r="R105" s="212"/>
      <c r="S105" s="212"/>
      <c r="T105" s="212"/>
      <c r="U105" s="212"/>
      <c r="V105" s="212"/>
    </row>
    <row r="106" spans="2:22" x14ac:dyDescent="0.25">
      <c r="B106" s="212"/>
      <c r="C106" s="212"/>
      <c r="D106" s="11" t="s">
        <v>1202</v>
      </c>
      <c r="E106" s="2"/>
      <c r="F106" s="2"/>
      <c r="G106" s="2"/>
      <c r="H106" s="2"/>
      <c r="I106" s="3"/>
      <c r="J106" s="212"/>
      <c r="K106" s="1223">
        <f>IF(ISNUMBER(K88)=FALSE,"N/A",IF(K88&gt;Summary!K78,0,1))</f>
        <v>0</v>
      </c>
      <c r="L106" s="1224"/>
      <c r="M106" s="1223">
        <f>IF(ISNUMBER(M88)=FALSE,"N/A",IF(M88&gt;Summary!M78,0,1))</f>
        <v>1</v>
      </c>
      <c r="N106" s="1224"/>
      <c r="O106" s="1223">
        <f>IF(ISNUMBER(O88)=FALSE,"N/A",IF(O88&gt;Summary!O78,0,1))</f>
        <v>1</v>
      </c>
      <c r="P106" s="1224"/>
      <c r="Q106" s="1223">
        <f>IF(ISNUMBER(Q88)=FALSE,"N/A",IF(Q88&gt;Summary!Q78,0,1))</f>
        <v>1</v>
      </c>
      <c r="R106" s="1224"/>
      <c r="S106" s="1223">
        <f>IF(ISNUMBER(S88)=FALSE,"N/A",IF(S88&gt;Summary!S78,0,1))</f>
        <v>1</v>
      </c>
      <c r="T106" s="1224"/>
      <c r="U106" s="212"/>
      <c r="V106" s="212"/>
    </row>
    <row r="107" spans="2:22" x14ac:dyDescent="0.25">
      <c r="B107" s="212"/>
      <c r="C107" s="212"/>
      <c r="D107" s="12" t="s">
        <v>1203</v>
      </c>
      <c r="E107" s="4"/>
      <c r="F107" s="4"/>
      <c r="G107" s="4"/>
      <c r="H107" s="4"/>
      <c r="I107" s="5"/>
      <c r="J107" s="212"/>
      <c r="K107" s="849">
        <f>IF(K106=1,Summary!K78*K49-K78,0)</f>
        <v>0</v>
      </c>
      <c r="L107" s="850"/>
      <c r="M107" s="851">
        <f>IF(M106=1,Summary!M78*M49-M78,0)</f>
        <v>276.19087856041961</v>
      </c>
      <c r="N107" s="850"/>
      <c r="O107" s="851">
        <f>IF(O106=1,Summary!O78*O49-O78,0)</f>
        <v>308.53083776184201</v>
      </c>
      <c r="P107" s="850"/>
      <c r="Q107" s="851">
        <f>IF(Q106=1,Summary!Q78*Q49-Q78,0)</f>
        <v>316.12619696362037</v>
      </c>
      <c r="R107" s="850"/>
      <c r="S107" s="851">
        <f>IF(S106=1,Summary!S78*S49-S78,0)</f>
        <v>331.94790970056886</v>
      </c>
      <c r="T107" s="850"/>
      <c r="U107" s="212"/>
      <c r="V107" s="212"/>
    </row>
    <row r="108" spans="2:22" x14ac:dyDescent="0.25">
      <c r="B108" s="212"/>
      <c r="C108" s="212"/>
      <c r="D108" s="12" t="s">
        <v>1204</v>
      </c>
      <c r="E108" s="4"/>
      <c r="F108" s="4"/>
      <c r="G108" s="4"/>
      <c r="H108" s="4"/>
      <c r="I108" s="5"/>
      <c r="J108" s="212"/>
      <c r="K108" s="1223">
        <f>IF(ISNUMBER(K89)=FALSE,"N/A",IF(K89&gt;Summary!K78,0,1))</f>
        <v>1</v>
      </c>
      <c r="L108" s="1224"/>
      <c r="M108" s="1223">
        <f>IF(ISNUMBER(M89)=FALSE,"N/A",IF(M89&gt;Summary!M78,0,1))</f>
        <v>1</v>
      </c>
      <c r="N108" s="1224"/>
      <c r="O108" s="1223">
        <f>IF(ISNUMBER(O89)=FALSE,"N/A",IF(O89&gt;Summary!O78,0,1))</f>
        <v>1</v>
      </c>
      <c r="P108" s="1224"/>
      <c r="Q108" s="1223">
        <f>IF(ISNUMBER(Q89)=FALSE,"N/A",IF(Q89&gt;Summary!Q78,0,1))</f>
        <v>1</v>
      </c>
      <c r="R108" s="1224"/>
      <c r="S108" s="1223">
        <f>IF(ISNUMBER(S89)=FALSE,"N/A",IF(S89&gt;Summary!S78,0,1))</f>
        <v>1</v>
      </c>
      <c r="T108" s="1224"/>
      <c r="U108" s="212"/>
      <c r="V108" s="212"/>
    </row>
    <row r="109" spans="2:22" x14ac:dyDescent="0.25">
      <c r="B109" s="212"/>
      <c r="C109" s="212"/>
      <c r="D109" s="13" t="s">
        <v>1205</v>
      </c>
      <c r="E109" s="6"/>
      <c r="F109" s="6"/>
      <c r="G109" s="6"/>
      <c r="H109" s="6"/>
      <c r="I109" s="7"/>
      <c r="J109" s="212"/>
      <c r="K109" s="849">
        <f>IF(K108=1,K93-K79,0)</f>
        <v>276.19087856041961</v>
      </c>
      <c r="L109" s="850"/>
      <c r="M109" s="851">
        <f>IF(M108=1,M93-M79,0)</f>
        <v>308.53083776184201</v>
      </c>
      <c r="N109" s="850"/>
      <c r="O109" s="851">
        <f>IF(O108=1,O93-O79,0)</f>
        <v>316.12619696362037</v>
      </c>
      <c r="P109" s="850"/>
      <c r="Q109" s="851">
        <f>IF(Q108=1,Q93-Q79,0)</f>
        <v>331.94790970056886</v>
      </c>
      <c r="R109" s="850"/>
      <c r="S109" s="851">
        <f>IF(S108=1,S93-S79,0)</f>
        <v>354.9099549494349</v>
      </c>
      <c r="T109" s="850"/>
      <c r="U109" s="212"/>
      <c r="V109" s="212"/>
    </row>
    <row r="110" spans="2:22" x14ac:dyDescent="0.25">
      <c r="B110" s="212"/>
      <c r="C110" s="212"/>
      <c r="D110" s="212"/>
      <c r="E110" s="212"/>
      <c r="F110" s="212"/>
      <c r="G110" s="212"/>
      <c r="H110" s="212"/>
      <c r="I110" s="212"/>
      <c r="J110" s="212"/>
      <c r="K110" s="212"/>
      <c r="L110" s="212"/>
      <c r="M110" s="212"/>
      <c r="N110" s="212"/>
      <c r="O110" s="212"/>
      <c r="P110" s="212"/>
      <c r="Q110" s="212"/>
      <c r="R110" s="212"/>
      <c r="S110" s="212"/>
      <c r="T110" s="212"/>
      <c r="U110" s="212"/>
      <c r="V110" s="212"/>
    </row>
    <row r="111" spans="2:22" ht="18.75" x14ac:dyDescent="0.3">
      <c r="B111" s="232"/>
      <c r="C111" s="232"/>
      <c r="D111" s="213" t="s">
        <v>1207</v>
      </c>
      <c r="E111" s="232"/>
      <c r="F111" s="232"/>
      <c r="G111" s="232"/>
      <c r="H111" s="232"/>
      <c r="I111" s="232"/>
      <c r="J111" s="232"/>
      <c r="K111" s="232"/>
      <c r="L111" s="232"/>
      <c r="M111" s="232"/>
      <c r="N111" s="232"/>
      <c r="O111" s="232"/>
      <c r="P111" s="232"/>
      <c r="Q111" s="232"/>
      <c r="R111" s="232"/>
      <c r="S111" s="232"/>
      <c r="T111" s="232"/>
      <c r="U111" s="232"/>
      <c r="V111" s="232"/>
    </row>
    <row r="112" spans="2:22" x14ac:dyDescent="0.25">
      <c r="B112" s="232"/>
      <c r="C112" s="232"/>
      <c r="D112" s="232"/>
      <c r="E112" s="232"/>
      <c r="F112" s="232"/>
      <c r="G112" s="232"/>
      <c r="H112" s="232"/>
      <c r="I112" s="232"/>
      <c r="J112" s="232"/>
      <c r="K112" s="232"/>
      <c r="L112" s="232"/>
      <c r="M112" s="232"/>
      <c r="N112" s="232"/>
      <c r="O112" s="232"/>
      <c r="P112" s="232"/>
      <c r="Q112" s="232"/>
      <c r="R112" s="232"/>
      <c r="S112" s="232"/>
      <c r="T112" s="232"/>
      <c r="U112" s="232"/>
      <c r="V112" s="232"/>
    </row>
    <row r="113" spans="2:27" x14ac:dyDescent="0.25">
      <c r="B113" s="232"/>
      <c r="C113" s="232"/>
      <c r="D113" s="11" t="s">
        <v>1202</v>
      </c>
      <c r="E113" s="2"/>
      <c r="F113" s="2"/>
      <c r="G113" s="2"/>
      <c r="H113" s="2"/>
      <c r="I113" s="3"/>
      <c r="J113" s="232"/>
      <c r="K113" s="1223" t="str">
        <f>IF(ISNUMBER(K90)=FALSE,"N/A",IF(K90&gt;Summary!K79,0,1))</f>
        <v>N/A</v>
      </c>
      <c r="L113" s="1224"/>
      <c r="M113" s="1223" t="str">
        <f>IF(ISNUMBER(M90)=FALSE,"N/A",IF(M90&gt;Summary!M79,0,1))</f>
        <v>N/A</v>
      </c>
      <c r="N113" s="1224"/>
      <c r="O113" s="1223" t="str">
        <f>IF(ISNUMBER(O90)=FALSE,"N/A",IF(O90&gt;Summary!O79,0,1))</f>
        <v>N/A</v>
      </c>
      <c r="P113" s="1224"/>
      <c r="Q113" s="1223" t="str">
        <f>IF(ISNUMBER(Q90)=FALSE,"N/A",IF(Q90&gt;Summary!Q79,0,1))</f>
        <v>N/A</v>
      </c>
      <c r="R113" s="1224"/>
      <c r="S113" s="1223" t="str">
        <f>IF(ISNUMBER(S90)=FALSE,"N/A",IF(S90&gt;Summary!S79,0,1))</f>
        <v>N/A</v>
      </c>
      <c r="T113" s="1224"/>
      <c r="U113" s="232"/>
      <c r="V113" s="232"/>
    </row>
    <row r="114" spans="2:27" x14ac:dyDescent="0.25">
      <c r="B114" s="232"/>
      <c r="C114" s="232"/>
      <c r="D114" s="12" t="s">
        <v>1203</v>
      </c>
      <c r="E114" s="4"/>
      <c r="F114" s="4"/>
      <c r="G114" s="4"/>
      <c r="H114" s="4"/>
      <c r="I114" s="5"/>
      <c r="J114" s="232"/>
      <c r="K114" s="849">
        <f>IF(K113=1,Summary!K79*K49-K80,0)</f>
        <v>0</v>
      </c>
      <c r="L114" s="850"/>
      <c r="M114" s="851">
        <f>IF(M113=1,Summary!M79*M49-M80,0)</f>
        <v>0</v>
      </c>
      <c r="N114" s="850"/>
      <c r="O114" s="851">
        <f>IF(O113=1,Summary!O79*O49-O80,0)</f>
        <v>0</v>
      </c>
      <c r="P114" s="850"/>
      <c r="Q114" s="851">
        <f>IF(Q113=1,Summary!Q79*Q49-Q80,0)</f>
        <v>0</v>
      </c>
      <c r="R114" s="850"/>
      <c r="S114" s="851">
        <f>IF(S113=1,Summary!S79*S49-S80,0)</f>
        <v>0</v>
      </c>
      <c r="T114" s="850"/>
      <c r="U114" s="232"/>
      <c r="V114" s="232"/>
    </row>
    <row r="115" spans="2:27" x14ac:dyDescent="0.25">
      <c r="B115" s="232"/>
      <c r="C115" s="232"/>
      <c r="D115" s="12" t="s">
        <v>1204</v>
      </c>
      <c r="E115" s="4"/>
      <c r="F115" s="4"/>
      <c r="G115" s="4"/>
      <c r="H115" s="4"/>
      <c r="I115" s="5"/>
      <c r="J115" s="232"/>
      <c r="K115" s="1223" t="str">
        <f>IF(ISNUMBER(K91)=FALSE,"N/A",IF(K91&gt;Summary!K79,0,1))</f>
        <v>N/A</v>
      </c>
      <c r="L115" s="1224"/>
      <c r="M115" s="1223" t="str">
        <f>IF(ISNUMBER(M91)=FALSE,"N/A",IF(M91&gt;Summary!M79,0,1))</f>
        <v>N/A</v>
      </c>
      <c r="N115" s="1224"/>
      <c r="O115" s="1223" t="str">
        <f>IF(ISNUMBER(O91)=FALSE,"N/A",IF(O91&gt;Summary!O79,0,1))</f>
        <v>N/A</v>
      </c>
      <c r="P115" s="1224"/>
      <c r="Q115" s="1223" t="str">
        <f>IF(ISNUMBER(Q91)=FALSE,"N/A",IF(Q91&gt;Summary!Q79,0,1))</f>
        <v>N/A</v>
      </c>
      <c r="R115" s="1224"/>
      <c r="S115" s="1223" t="str">
        <f>IF(ISNUMBER(S91)=FALSE,"N/A",IF(S91&gt;Summary!S79,0,1))</f>
        <v>N/A</v>
      </c>
      <c r="T115" s="1224"/>
      <c r="U115" s="232"/>
      <c r="V115" s="232"/>
    </row>
    <row r="116" spans="2:27" x14ac:dyDescent="0.25">
      <c r="B116" s="232"/>
      <c r="C116" s="232"/>
      <c r="D116" s="13" t="s">
        <v>1205</v>
      </c>
      <c r="E116" s="6"/>
      <c r="F116" s="6"/>
      <c r="G116" s="6"/>
      <c r="H116" s="6"/>
      <c r="I116" s="7"/>
      <c r="J116" s="232"/>
      <c r="K116" s="849">
        <f>IF(K115=1,K94-K81,0)</f>
        <v>0</v>
      </c>
      <c r="L116" s="850"/>
      <c r="M116" s="851">
        <f>IF(M115=1,M94-M81,0)</f>
        <v>0</v>
      </c>
      <c r="N116" s="850"/>
      <c r="O116" s="851">
        <f>IF(O115=1,O94-O81,0)</f>
        <v>0</v>
      </c>
      <c r="P116" s="850"/>
      <c r="Q116" s="851">
        <f>IF(Q115=1,Q94-Q81,0)</f>
        <v>0</v>
      </c>
      <c r="R116" s="850"/>
      <c r="S116" s="851">
        <f>IF(S115=1,S94-S81,0)</f>
        <v>0</v>
      </c>
      <c r="T116" s="850"/>
      <c r="U116" s="232"/>
      <c r="V116" s="232"/>
    </row>
    <row r="117" spans="2:27" x14ac:dyDescent="0.25">
      <c r="B117" s="212"/>
      <c r="C117" s="212"/>
      <c r="D117" s="212"/>
      <c r="E117" s="212"/>
      <c r="F117" s="212"/>
      <c r="G117" s="212"/>
      <c r="H117" s="212"/>
      <c r="I117" s="212"/>
      <c r="J117" s="212"/>
      <c r="K117" s="212"/>
      <c r="L117" s="212"/>
      <c r="M117" s="212"/>
      <c r="N117" s="212"/>
      <c r="O117" s="212"/>
      <c r="P117" s="212"/>
      <c r="Q117" s="212"/>
      <c r="R117" s="212"/>
      <c r="S117" s="212"/>
      <c r="T117" s="212"/>
      <c r="U117" s="212"/>
      <c r="V117" s="212"/>
    </row>
    <row r="118" spans="2:27" x14ac:dyDescent="0.25">
      <c r="B118" s="212"/>
      <c r="C118" s="212"/>
      <c r="D118" s="313" t="s">
        <v>1208</v>
      </c>
      <c r="E118" s="325"/>
      <c r="F118" s="325"/>
      <c r="G118" s="325"/>
      <c r="H118" s="325"/>
      <c r="I118" s="326"/>
      <c r="J118" s="212"/>
      <c r="K118" s="847">
        <f>IF(ISNUMBER(K77/(K21+K30)),K77/(K21+K30),"N/A")</f>
        <v>0.24268500047256139</v>
      </c>
      <c r="L118" s="848"/>
      <c r="M118" s="865">
        <f>IF(ISNUMBER(M77/(M27+SUM($K30:N30))),M77/(M27+SUM($K30:N30)),"N/A")</f>
        <v>0.17014640812291162</v>
      </c>
      <c r="N118" s="848"/>
      <c r="O118" s="865">
        <f>IF(ISNUMBER(O77/(Input!$G27+SUM($K30:P30))),O77/(Input!$G27+SUM($K30:P30)),"N/A")</f>
        <v>9.7877883968349552E-2</v>
      </c>
      <c r="P118" s="848"/>
      <c r="Q118" s="865">
        <f>IF(ISNUMBER(Q77/(Input!$G27+SUM($K30:R30))),Q77/(Input!$G27+SUM($K30:R30)),"N/A")</f>
        <v>9.2354721386815622E-2</v>
      </c>
      <c r="R118" s="848"/>
      <c r="S118" s="865">
        <f>IF(ISNUMBER(S77/(Input!$G27+SUM($K30:T30))),S77/(Input!$G27+SUM($K30:T30)),"N/A")</f>
        <v>8.4400303437275878E-2</v>
      </c>
      <c r="T118" s="848"/>
      <c r="U118" s="212"/>
      <c r="V118" s="212"/>
    </row>
    <row r="119" spans="2:27" x14ac:dyDescent="0.25">
      <c r="B119" s="212"/>
      <c r="C119" s="212"/>
      <c r="D119" s="313" t="s">
        <v>1209</v>
      </c>
      <c r="E119" s="325"/>
      <c r="F119" s="325"/>
      <c r="G119" s="325"/>
      <c r="H119" s="325"/>
      <c r="I119" s="326"/>
      <c r="J119" s="212"/>
      <c r="K119" s="847">
        <f>IF(ISNUMBER(K79/(K21+K30)),K79/(K21+K30),"N/A")</f>
        <v>0.16948539108032845</v>
      </c>
      <c r="L119" s="848"/>
      <c r="M119" s="865">
        <f>IF(ISNUMBER(M79/(M27+M30)),M79/(M27+M30),"N/A")</f>
        <v>0.11858043410757535</v>
      </c>
      <c r="N119" s="848"/>
      <c r="O119" s="865">
        <f>IF(ISNUMBER(O79/(O27+O30)),O79/(O27+O30),"N/A")</f>
        <v>0.11887830270873095</v>
      </c>
      <c r="P119" s="848"/>
      <c r="Q119" s="847">
        <f>IF(ISNUMBER(Q79/(Q27+Q30)),Q79/(Q27+Q30),"N/A")</f>
        <v>0.11507668841195248</v>
      </c>
      <c r="R119" s="848"/>
      <c r="S119" s="865">
        <f>IF(ISNUMBER(S79/(S27+S30)),S79/(S27+S30),"N/A")</f>
        <v>0.10657486290191605</v>
      </c>
      <c r="T119" s="848"/>
      <c r="U119" s="212"/>
      <c r="V119" s="212"/>
    </row>
    <row r="120" spans="2:27" x14ac:dyDescent="0.25">
      <c r="B120" s="212"/>
      <c r="C120" s="212"/>
      <c r="D120" s="212"/>
      <c r="E120" s="212"/>
      <c r="F120" s="212"/>
      <c r="G120" s="212"/>
      <c r="H120" s="212"/>
      <c r="I120" s="212"/>
      <c r="J120" s="212"/>
      <c r="K120" s="212"/>
      <c r="L120" s="212"/>
      <c r="M120" s="212"/>
      <c r="N120" s="212"/>
      <c r="O120" s="212"/>
      <c r="P120" s="212"/>
      <c r="Q120" s="212"/>
      <c r="R120" s="212"/>
      <c r="S120" s="212"/>
      <c r="T120" s="212"/>
      <c r="U120" s="212"/>
      <c r="V120" s="212"/>
    </row>
    <row r="121" spans="2:27" x14ac:dyDescent="0.25">
      <c r="B121" s="212"/>
      <c r="C121" s="212"/>
      <c r="D121" s="11" t="s">
        <v>1210</v>
      </c>
      <c r="E121" s="2"/>
      <c r="F121" s="2"/>
      <c r="G121" s="2"/>
      <c r="H121" s="2"/>
      <c r="I121" s="3"/>
      <c r="J121" s="212"/>
      <c r="K121" s="849" t="str">
        <f>IF(ISNUMBER(IF(Summary!$G$23="Yes",'Y1 to Y5'!$K$76*IF('Summary of Input Data'!$S$37="Group 1",Parameters!$I$346,Parameters!$I$347)*HLOOKUP(MAX(Assumptions!M44,2011),Parameters!$I$348:$T$349,2,FALSE))),IF(Summary!$G$23="Yes",'Y1 to Y5'!$K$76*IF('Summary of Input Data'!$S$37="Group 1",Parameters!$I$346,Parameters!$I$347)*HLOOKUP(MAX(Assumptions!M44,2011),Parameters!$I$348:$T$349,2,FALSE)),"N/A")</f>
        <v>N/A</v>
      </c>
      <c r="L121" s="850"/>
      <c r="M121" s="849" t="str">
        <f>IF(ISNUMBER(IF(Summary!$G$23="Yes",'Y1 to Y5'!$K$76*IF('Summary of Input Data'!$S$37="Group 1",Parameters!$I$346,Parameters!$I$347)*HLOOKUP(MAX(Assumptions!O44,2011),Parameters!$I$348:$T$349,2,FALSE))),IF(Summary!$G$23="Yes",'Y1 to Y5'!$K$76*IF('Summary of Input Data'!$S$37="Group 1",Parameters!$I$346,Parameters!$I$347)*HLOOKUP(MAX(Assumptions!O44,2011),Parameters!$I$348:$T$349,2,FALSE)),"N/A")</f>
        <v>N/A</v>
      </c>
      <c r="N121" s="850"/>
      <c r="O121" s="849" t="str">
        <f>IF(ISNUMBER(IF(Summary!$G$23="Yes",'Y1 to Y5'!$K$76*IF('Summary of Input Data'!$S$37="Group 1",Parameters!$I$346,Parameters!$I$347)*HLOOKUP(MAX(Assumptions!Q44,2011),Parameters!$I$348:$T$349,2,FALSE))),IF(Summary!$G$23="Yes",'Y1 to Y5'!$K$76*IF('Summary of Input Data'!$S$37="Group 1",Parameters!$I$346,Parameters!$I$347)*HLOOKUP(MAX(Assumptions!Q44,2011),Parameters!$I$348:$T$349,2,FALSE)),"N/A")</f>
        <v>N/A</v>
      </c>
      <c r="P121" s="850"/>
      <c r="Q121" s="849" t="str">
        <f>IF(ISNUMBER(IF(Summary!$G$23="Yes",'Y1 to Y5'!$K$76*IF('Summary of Input Data'!$S$37="Group 1",Parameters!$I$346,Parameters!$I$347)*HLOOKUP(MAX(Assumptions!S44,2011),Parameters!$I$348:$T$349,2,FALSE))),IF(Summary!$G$23="Yes",'Y1 to Y5'!$K$76*IF('Summary of Input Data'!$S$37="Group 1",Parameters!$I$346,Parameters!$I$347)*HLOOKUP(MAX(Assumptions!S44,2011),Parameters!$I$348:$T$349,2,FALSE)),"N/A")</f>
        <v>N/A</v>
      </c>
      <c r="R121" s="850"/>
      <c r="S121" s="849" t="str">
        <f>IF(ISNUMBER(IF(Summary!$G$23="Yes",'Y1 to Y5'!$K$76*IF('Summary of Input Data'!$S$37="Group 1",Parameters!$I$346,Parameters!$I$347)*HLOOKUP(MAX(Assumptions!U44,2011),Parameters!$I$348:$T$349,2,FALSE))),IF(Summary!$G$23="Yes",'Y1 to Y5'!$K$76*IF('Summary of Input Data'!$S$37="Group 1",Parameters!$I$346,Parameters!$I$347)*HLOOKUP(MAX(Assumptions!U44,2011),Parameters!$I$348:$T$349,2,FALSE)),"N/A")</f>
        <v>N/A</v>
      </c>
      <c r="T121" s="850"/>
      <c r="U121" s="212"/>
      <c r="V121" s="212"/>
    </row>
    <row r="122" spans="2:27" x14ac:dyDescent="0.25">
      <c r="B122" s="212"/>
      <c r="C122" s="212"/>
      <c r="D122" s="12" t="s">
        <v>1211</v>
      </c>
      <c r="E122" s="4"/>
      <c r="F122" s="4"/>
      <c r="G122" s="4"/>
      <c r="H122" s="4"/>
      <c r="I122" s="5"/>
      <c r="J122" s="212"/>
      <c r="K122" s="849" t="str">
        <f>IF(ISNUMBER(IF(Summary!$G$23="Yes",'Y1 to Y5'!$K78*IF('Summary of Input Data'!$S$37="Group 1",Parameters!$I$340,Parameters!$I$341)*HLOOKUP(MAX(Assumptions!M44,2011),Parameters!$I$342:$T$343,2,FALSE))),IF(Summary!$G$23="Yes",'Y1 to Y5'!$K78*IF('Summary of Input Data'!$S$37="Group 1",Parameters!$I$340,Parameters!$I$341)*HLOOKUP(MAX(Assumptions!M44,2011),Parameters!$I$342:$T$343,2,FALSE)),"N/A")</f>
        <v>N/A</v>
      </c>
      <c r="L122" s="850"/>
      <c r="M122" s="849" t="str">
        <f>IF(ISNUMBER(IF(Summary!$G$23="Yes",'Y1 to Y5'!$K78*IF('Summary of Input Data'!$S$37="Group 1",Parameters!$I$340,Parameters!$I$341)*HLOOKUP(MAX(Assumptions!O44,2011),Parameters!$I$342:$T$343,2,FALSE))),IF(Summary!$G$23="Yes",'Y1 to Y5'!$K78*IF('Summary of Input Data'!$S$37="Group 1",Parameters!$I$340,Parameters!$I$341)*HLOOKUP(MAX(Assumptions!O44,2011),Parameters!$I$342:$T$343,2,FALSE)),"N/A")</f>
        <v>N/A</v>
      </c>
      <c r="N122" s="850"/>
      <c r="O122" s="849" t="str">
        <f>IF(ISNUMBER(IF(Summary!$G$23="Yes",'Y1 to Y5'!$K78*IF('Summary of Input Data'!$S$37="Group 1",Parameters!$I$340,Parameters!$I$341)*HLOOKUP(MAX(Assumptions!Q44,2011),Parameters!$I$342:$T$343,2,FALSE))),IF(Summary!$G$23="Yes",'Y1 to Y5'!$K78*IF('Summary of Input Data'!$S$37="Group 1",Parameters!$I$340,Parameters!$I$341)*HLOOKUP(MAX(Assumptions!Q44,2011),Parameters!$I$342:$T$343,2,FALSE)),"N/A")</f>
        <v>N/A</v>
      </c>
      <c r="P122" s="850"/>
      <c r="Q122" s="849" t="str">
        <f>IF(ISNUMBER(IF(Summary!$G$23="Yes",'Y1 to Y5'!$K78*IF('Summary of Input Data'!$S$37="Group 1",Parameters!$I$340,Parameters!$I$341)*HLOOKUP(MAX(Assumptions!S44,2011),Parameters!$I$342:$T$343,2,FALSE))),IF(Summary!$G$23="Yes",'Y1 to Y5'!$K78*IF('Summary of Input Data'!$S$37="Group 1",Parameters!$I$340,Parameters!$I$341)*HLOOKUP(MAX(Assumptions!S44,2011),Parameters!$I$342:$T$343,2,FALSE)),"N/A")</f>
        <v>N/A</v>
      </c>
      <c r="R122" s="850"/>
      <c r="S122" s="849" t="str">
        <f>IF(ISNUMBER(IF(Summary!$G$23="Yes",'Y1 to Y5'!$K78*IF('Summary of Input Data'!$S$37="Group 1",Parameters!$I$340,Parameters!$I$341)*HLOOKUP(MAX(Assumptions!U44,2011),Parameters!$I$342:$T$343,2,FALSE))),IF(Summary!$G$23="Yes",'Y1 to Y5'!$K78*IF('Summary of Input Data'!$S$37="Group 1",Parameters!$I$340,Parameters!$I$341)*HLOOKUP(MAX(Assumptions!U44,2011),Parameters!$I$342:$T$343,2,FALSE)),"N/A")</f>
        <v>N/A</v>
      </c>
      <c r="T122" s="850"/>
      <c r="U122" s="212"/>
      <c r="V122" s="212"/>
    </row>
    <row r="123" spans="2:27" x14ac:dyDescent="0.25">
      <c r="B123" s="212"/>
      <c r="C123" s="212"/>
      <c r="D123" s="13" t="s">
        <v>1212</v>
      </c>
      <c r="E123" s="6"/>
      <c r="F123" s="6"/>
      <c r="G123" s="6"/>
      <c r="H123" s="6"/>
      <c r="I123" s="7"/>
      <c r="J123" s="212"/>
      <c r="K123" s="849" t="str">
        <f>IF(ISNUMBER(IF(Summary!$G$23="Yes",'Y1 to Y5'!$K80*IF('Summary of Input Data'!$S$37="Group 1",Parameters!$I$334,Parameters!$I$335)*HLOOKUP(MAX(Assumptions!M44,2011),Parameters!$I$336:$T$337,2,FALSE))),IF(Summary!$G$23="Yes",'Y1 to Y5'!$K80*IF('Summary of Input Data'!$S$37="Group 1",Parameters!$I$334,Parameters!$I$335)*HLOOKUP(MAX(Assumptions!M44,2011),Parameters!$I$336:$T$337,2,FALSE)),"N/A")</f>
        <v>N/A</v>
      </c>
      <c r="L123" s="850"/>
      <c r="M123" s="849" t="str">
        <f>IF(ISNUMBER(IF(Summary!$G$23="Yes",'Y1 to Y5'!$K80*IF('Summary of Input Data'!$S$37="Group 1",Parameters!$I$334,Parameters!$I$335)*HLOOKUP(MAX(Assumptions!O44,2011),Parameters!$I$336:$T$337,2,FALSE))),IF(Summary!$G$23="Yes",'Y1 to Y5'!$K80*IF('Summary of Input Data'!$S$37="Group 1",Parameters!$I$334,Parameters!$I$335)*HLOOKUP(MAX(Assumptions!O44,2011),Parameters!$I$336:$T$337,2,FALSE)),"N/A")</f>
        <v>N/A</v>
      </c>
      <c r="N123" s="850"/>
      <c r="O123" s="849" t="str">
        <f>IF(ISNUMBER(IF(Summary!$G$23="Yes",'Y1 to Y5'!$K80*IF('Summary of Input Data'!$S$37="Group 1",Parameters!$I$334,Parameters!$I$335)*HLOOKUP(MAX(Assumptions!Q44,2011),Parameters!$I$336:$T$337,2,FALSE))),IF(Summary!$G$23="Yes",'Y1 to Y5'!$K80*IF('Summary of Input Data'!$S$37="Group 1",Parameters!$I$334,Parameters!$I$335)*HLOOKUP(MAX(Assumptions!Q44,2011),Parameters!$I$336:$T$337,2,FALSE)),"N/A")</f>
        <v>N/A</v>
      </c>
      <c r="P123" s="850"/>
      <c r="Q123" s="849" t="str">
        <f>IF(ISNUMBER(IF(Summary!$G$23="Yes",'Y1 to Y5'!$K80*IF('Summary of Input Data'!$S$37="Group 1",Parameters!$I$334,Parameters!$I$335)*HLOOKUP(MAX(Assumptions!S44,2011),Parameters!$I$336:$T$337,2,FALSE))),IF(Summary!$G$23="Yes",'Y1 to Y5'!$K80*IF('Summary of Input Data'!$S$37="Group 1",Parameters!$I$334,Parameters!$I$335)*HLOOKUP(MAX(Assumptions!S44,2011),Parameters!$I$336:$T$337,2,FALSE)),"N/A")</f>
        <v>N/A</v>
      </c>
      <c r="R123" s="850"/>
      <c r="S123" s="849" t="str">
        <f>IF(ISNUMBER(IF(Summary!$G$23="Yes",'Y1 to Y5'!$K80*IF('Summary of Input Data'!$S$37="Group 1",Parameters!$I$334,Parameters!$I$335)*HLOOKUP(MAX(Assumptions!U44,2011),Parameters!$I$336:$T$337,2,FALSE))),IF(Summary!$G$23="Yes",'Y1 to Y5'!$K80*IF('Summary of Input Data'!$S$37="Group 1",Parameters!$I$334,Parameters!$I$335)*HLOOKUP(MAX(Assumptions!U44,2011),Parameters!$I$336:$T$337,2,FALSE)),"N/A")</f>
        <v>N/A</v>
      </c>
      <c r="T123" s="850"/>
      <c r="U123" s="212"/>
      <c r="V123" s="212"/>
    </row>
    <row r="124" spans="2:27" x14ac:dyDescent="0.25">
      <c r="B124" s="212"/>
      <c r="C124" s="212"/>
      <c r="D124" s="212"/>
      <c r="E124" s="212"/>
      <c r="F124" s="212"/>
      <c r="G124" s="212"/>
      <c r="H124" s="212"/>
      <c r="I124" s="212"/>
      <c r="J124" s="212"/>
      <c r="K124" s="212"/>
      <c r="L124" s="212"/>
      <c r="M124" s="212"/>
      <c r="N124" s="212"/>
      <c r="O124" s="212"/>
      <c r="P124" s="212"/>
      <c r="Q124" s="212"/>
      <c r="R124" s="212"/>
      <c r="S124" s="212"/>
      <c r="T124" s="212"/>
      <c r="U124" s="212"/>
      <c r="V124" s="212"/>
    </row>
    <row r="125" spans="2:27" x14ac:dyDescent="0.25">
      <c r="B125" s="212"/>
      <c r="C125" s="212"/>
      <c r="D125" s="11" t="s">
        <v>1213</v>
      </c>
      <c r="E125" s="2"/>
      <c r="F125" s="2"/>
      <c r="G125" s="2"/>
      <c r="H125" s="2"/>
      <c r="I125" s="3"/>
      <c r="J125" s="212"/>
      <c r="K125" s="1223">
        <f>IF(OR(K101=1,K108=1,K115=1),1,IF(ISNUMBER(K92),0,"N/A"))</f>
        <v>1</v>
      </c>
      <c r="L125" s="1224"/>
      <c r="M125" s="1223">
        <f>IF(OR(M101=1,M108=1,M115=1),1,IF(ISNUMBER(M92),0,"N/A"))</f>
        <v>1</v>
      </c>
      <c r="N125" s="1224"/>
      <c r="O125" s="1223">
        <f>IF(OR(O101=1,O108=1,O115=1),1,IF(ISNUMBER(O92),0,"N/A"))</f>
        <v>1</v>
      </c>
      <c r="P125" s="1224"/>
      <c r="Q125" s="1223">
        <f>IF(OR(Q101=1,Q108=1,Q115=1),1,IF(ISNUMBER(Q92),0,"N/A"))</f>
        <v>1</v>
      </c>
      <c r="R125" s="1224"/>
      <c r="S125" s="1223">
        <f>IF(OR(S101=1,S108=1,S115=1),1,IF(ISNUMBER(S92),0,"N/A"))</f>
        <v>1</v>
      </c>
      <c r="T125" s="1224"/>
      <c r="U125" s="212"/>
      <c r="V125" s="212"/>
    </row>
    <row r="126" spans="2:27" x14ac:dyDescent="0.25">
      <c r="B126" s="212"/>
      <c r="C126" s="212"/>
      <c r="D126" s="13" t="s">
        <v>1214</v>
      </c>
      <c r="E126" s="6"/>
      <c r="F126" s="6"/>
      <c r="G126" s="6"/>
      <c r="H126" s="6"/>
      <c r="I126" s="7"/>
      <c r="J126" s="212"/>
      <c r="K126" s="1223">
        <f>IF(OR(K99=1,K106=1,K113=1),1,IF(ISNUMBER(K92),0,"N/A"))</f>
        <v>0</v>
      </c>
      <c r="L126" s="1224"/>
      <c r="M126" s="1223">
        <f>IF(OR(M99=1,M106=1,M113=1),1,IF(ISNUMBER(M92),0,"N/A"))</f>
        <v>1</v>
      </c>
      <c r="N126" s="1224"/>
      <c r="O126" s="1223">
        <f>IF(OR(O99=1,O106=1,O113=1),1,IF(ISNUMBER(O92),0,"N/A"))</f>
        <v>1</v>
      </c>
      <c r="P126" s="1224"/>
      <c r="Q126" s="1223">
        <f>IF(OR(Q99=1,Q106=1,Q113=1),1,IF(ISNUMBER(Q92),0,"N/A"))</f>
        <v>1</v>
      </c>
      <c r="R126" s="1224"/>
      <c r="S126" s="1223">
        <f>IF(OR(S99=1,S106=1,S113=1),1,IF(ISNUMBER(S92),0,"N/A"))</f>
        <v>1</v>
      </c>
      <c r="T126" s="1224"/>
      <c r="U126" s="212"/>
      <c r="V126" s="212"/>
    </row>
    <row r="127" spans="2:27" x14ac:dyDescent="0.25">
      <c r="B127" s="212"/>
      <c r="C127" s="212"/>
      <c r="D127" s="212"/>
      <c r="E127" s="212"/>
      <c r="F127" s="212"/>
      <c r="G127" s="212"/>
      <c r="H127" s="212"/>
      <c r="I127" s="212"/>
      <c r="J127" s="212"/>
      <c r="K127" s="212"/>
      <c r="L127" s="212"/>
      <c r="M127" s="212"/>
      <c r="N127" s="212"/>
      <c r="O127" s="212"/>
      <c r="P127" s="212"/>
      <c r="Q127" s="212"/>
      <c r="R127" s="212"/>
      <c r="S127" s="212"/>
      <c r="T127" s="212"/>
      <c r="U127" s="212"/>
      <c r="V127" s="212"/>
    </row>
    <row r="128" spans="2:27" s="21" customFormat="1" x14ac:dyDescent="0.25">
      <c r="B128" s="210"/>
      <c r="C128" s="210"/>
      <c r="D128" s="210"/>
      <c r="E128" s="210"/>
      <c r="F128" s="210"/>
      <c r="G128" s="210"/>
      <c r="H128" s="210"/>
      <c r="I128" s="210"/>
      <c r="J128" s="210"/>
      <c r="K128" s="210"/>
      <c r="L128" s="210"/>
      <c r="M128" s="210"/>
      <c r="N128" s="210"/>
      <c r="O128" s="210"/>
      <c r="P128" s="210"/>
      <c r="Q128" s="210"/>
      <c r="R128" s="210"/>
      <c r="S128" s="210"/>
      <c r="T128" s="210"/>
      <c r="U128" s="210"/>
      <c r="V128" s="210"/>
      <c r="W128" s="206"/>
      <c r="X128" s="210"/>
      <c r="Y128" s="210"/>
      <c r="Z128" s="210"/>
      <c r="AA128" s="210"/>
    </row>
    <row r="129" spans="2:27" s="21" customFormat="1" x14ac:dyDescent="0.25">
      <c r="B129" s="192"/>
      <c r="C129" s="192"/>
      <c r="D129" s="192"/>
      <c r="E129" s="192"/>
      <c r="F129" s="192"/>
      <c r="G129" s="192"/>
      <c r="H129" s="192"/>
      <c r="I129" s="207"/>
      <c r="J129" s="207"/>
      <c r="K129" s="192"/>
      <c r="L129" s="192"/>
      <c r="M129" s="192"/>
      <c r="N129" s="192"/>
      <c r="O129" s="192"/>
      <c r="P129" s="192"/>
      <c r="Q129" s="192"/>
      <c r="R129" s="192"/>
      <c r="S129" s="192"/>
      <c r="T129" s="192"/>
      <c r="U129" s="192"/>
      <c r="V129" s="192"/>
      <c r="W129" s="206"/>
      <c r="X129" s="192"/>
      <c r="Y129" s="192"/>
      <c r="Z129" s="192"/>
      <c r="AA129" s="192"/>
    </row>
    <row r="130" spans="2:27" s="21" customFormat="1" x14ac:dyDescent="0.25">
      <c r="B130" s="192"/>
      <c r="C130" s="192"/>
      <c r="D130" s="192"/>
      <c r="E130" s="192"/>
      <c r="F130" s="192"/>
      <c r="G130" s="192"/>
      <c r="H130" s="192"/>
      <c r="I130" s="207"/>
      <c r="J130" s="207"/>
      <c r="K130" s="192"/>
      <c r="L130" s="192"/>
      <c r="M130" s="192"/>
      <c r="N130" s="192"/>
      <c r="O130" s="192"/>
      <c r="P130" s="192"/>
      <c r="Q130" s="192"/>
      <c r="R130" s="192"/>
      <c r="S130" s="192"/>
      <c r="T130" s="192"/>
      <c r="U130" s="192"/>
      <c r="V130" s="192"/>
      <c r="W130" s="206"/>
      <c r="X130" s="192"/>
      <c r="Y130" s="192"/>
      <c r="Z130" s="192"/>
      <c r="AA130" s="192"/>
    </row>
    <row r="131" spans="2:27" s="21" customFormat="1" ht="9.9499999999999993" customHeight="1" x14ac:dyDescent="0.25">
      <c r="B131" s="199"/>
      <c r="C131" s="199"/>
      <c r="D131" s="199"/>
      <c r="E131" s="199"/>
      <c r="F131" s="199"/>
      <c r="G131" s="199"/>
      <c r="H131" s="199"/>
      <c r="I131" s="200"/>
      <c r="J131" s="200"/>
      <c r="K131" s="199"/>
      <c r="L131" s="199"/>
      <c r="M131" s="199"/>
      <c r="N131" s="199"/>
      <c r="O131" s="199"/>
      <c r="P131" s="199"/>
      <c r="Q131" s="199"/>
      <c r="R131" s="199"/>
      <c r="S131" s="199"/>
      <c r="T131" s="199"/>
      <c r="U131" s="199"/>
      <c r="V131" s="199"/>
      <c r="W131" s="206"/>
      <c r="X131" s="199"/>
      <c r="Y131" s="199"/>
      <c r="Z131" s="199"/>
      <c r="AA131" s="199"/>
    </row>
    <row r="132" spans="2:27" x14ac:dyDescent="0.25">
      <c r="B132" s="21"/>
      <c r="C132" s="208"/>
      <c r="D132" s="208"/>
      <c r="E132" s="208"/>
      <c r="F132" s="208"/>
      <c r="G132" s="208"/>
      <c r="H132" s="208"/>
      <c r="I132" s="208"/>
      <c r="J132" s="208"/>
      <c r="K132" s="208"/>
      <c r="L132" s="208"/>
      <c r="M132" s="208"/>
      <c r="N132" s="208"/>
      <c r="O132" s="208"/>
      <c r="P132" s="208"/>
      <c r="Q132" s="208"/>
      <c r="R132" s="208"/>
      <c r="S132" s="208"/>
      <c r="T132" s="208"/>
      <c r="U132" s="208"/>
      <c r="V132" s="208"/>
    </row>
    <row r="133" spans="2:27" x14ac:dyDescent="0.25"/>
    <row r="134" spans="2:27" x14ac:dyDescent="0.25"/>
  </sheetData>
  <sheetProtection selectLockedCells="1" selectUnlockedCells="1"/>
  <mergeCells count="368">
    <mergeCell ref="O115:P115"/>
    <mergeCell ref="Q115:R115"/>
    <mergeCell ref="S115:T115"/>
    <mergeCell ref="K113:L113"/>
    <mergeCell ref="M113:N113"/>
    <mergeCell ref="O113:P113"/>
    <mergeCell ref="Q113:R113"/>
    <mergeCell ref="S113:T113"/>
    <mergeCell ref="K114:L114"/>
    <mergeCell ref="M114:N114"/>
    <mergeCell ref="O114:P114"/>
    <mergeCell ref="Q114:R114"/>
    <mergeCell ref="S114:T114"/>
    <mergeCell ref="O116:P116"/>
    <mergeCell ref="Q116:R116"/>
    <mergeCell ref="S116:T116"/>
    <mergeCell ref="K76:L76"/>
    <mergeCell ref="B6:F13"/>
    <mergeCell ref="K40:L40"/>
    <mergeCell ref="M40:N40"/>
    <mergeCell ref="O40:P40"/>
    <mergeCell ref="Q40:R40"/>
    <mergeCell ref="S40:T40"/>
    <mergeCell ref="K58:L58"/>
    <mergeCell ref="M58:N58"/>
    <mergeCell ref="O58:P58"/>
    <mergeCell ref="Q58:R58"/>
    <mergeCell ref="S58:T58"/>
    <mergeCell ref="M54:N54"/>
    <mergeCell ref="O54:P54"/>
    <mergeCell ref="Q54:R54"/>
    <mergeCell ref="S54:T54"/>
    <mergeCell ref="M55:N55"/>
    <mergeCell ref="O55:P55"/>
    <mergeCell ref="Q55:R55"/>
    <mergeCell ref="K115:L115"/>
    <mergeCell ref="M115:N115"/>
    <mergeCell ref="O52:P52"/>
    <mergeCell ref="Q52:R52"/>
    <mergeCell ref="S52:T52"/>
    <mergeCell ref="M53:N53"/>
    <mergeCell ref="K126:L126"/>
    <mergeCell ref="M126:N126"/>
    <mergeCell ref="O126:P126"/>
    <mergeCell ref="Q126:R126"/>
    <mergeCell ref="S126:T126"/>
    <mergeCell ref="K123:L123"/>
    <mergeCell ref="M123:N123"/>
    <mergeCell ref="O123:P123"/>
    <mergeCell ref="Q123:R123"/>
    <mergeCell ref="S123:T123"/>
    <mergeCell ref="K125:L125"/>
    <mergeCell ref="M125:N125"/>
    <mergeCell ref="O125:P125"/>
    <mergeCell ref="Q125:R125"/>
    <mergeCell ref="S125:T125"/>
    <mergeCell ref="K121:L121"/>
    <mergeCell ref="M121:N121"/>
    <mergeCell ref="O121:P121"/>
    <mergeCell ref="K116:L116"/>
    <mergeCell ref="M116:N116"/>
    <mergeCell ref="Q121:R121"/>
    <mergeCell ref="S121:T121"/>
    <mergeCell ref="K122:L122"/>
    <mergeCell ref="M122:N122"/>
    <mergeCell ref="O122:P122"/>
    <mergeCell ref="Q122:R122"/>
    <mergeCell ref="S122:T122"/>
    <mergeCell ref="K118:L118"/>
    <mergeCell ref="M118:N118"/>
    <mergeCell ref="O118:P118"/>
    <mergeCell ref="Q118:R118"/>
    <mergeCell ref="S118:T118"/>
    <mergeCell ref="K119:L119"/>
    <mergeCell ref="M119:N119"/>
    <mergeCell ref="O119:P119"/>
    <mergeCell ref="Q119:R119"/>
    <mergeCell ref="S119:T119"/>
    <mergeCell ref="K108:L108"/>
    <mergeCell ref="M108:N108"/>
    <mergeCell ref="O108:P108"/>
    <mergeCell ref="Q108:R108"/>
    <mergeCell ref="S108:T108"/>
    <mergeCell ref="K109:L109"/>
    <mergeCell ref="M109:N109"/>
    <mergeCell ref="O109:P109"/>
    <mergeCell ref="Q109:R109"/>
    <mergeCell ref="S109:T109"/>
    <mergeCell ref="K106:L106"/>
    <mergeCell ref="M106:N106"/>
    <mergeCell ref="O106:P106"/>
    <mergeCell ref="Q106:R106"/>
    <mergeCell ref="S106:T106"/>
    <mergeCell ref="K107:L107"/>
    <mergeCell ref="M107:N107"/>
    <mergeCell ref="O107:P107"/>
    <mergeCell ref="Q107:R107"/>
    <mergeCell ref="S107:T107"/>
    <mergeCell ref="M78:N78"/>
    <mergeCell ref="O78:P78"/>
    <mergeCell ref="Q78:R78"/>
    <mergeCell ref="S78:T78"/>
    <mergeCell ref="K78:L78"/>
    <mergeCell ref="M79:N79"/>
    <mergeCell ref="O79:P79"/>
    <mergeCell ref="Q79:R79"/>
    <mergeCell ref="M76:N76"/>
    <mergeCell ref="O76:P76"/>
    <mergeCell ref="Q76:R76"/>
    <mergeCell ref="S76:T76"/>
    <mergeCell ref="M77:N77"/>
    <mergeCell ref="O77:P77"/>
    <mergeCell ref="Q77:R77"/>
    <mergeCell ref="S77:T77"/>
    <mergeCell ref="K97:L97"/>
    <mergeCell ref="M97:N97"/>
    <mergeCell ref="O97:P97"/>
    <mergeCell ref="Q97:R97"/>
    <mergeCell ref="S97:T97"/>
    <mergeCell ref="K101:L101"/>
    <mergeCell ref="M101:N101"/>
    <mergeCell ref="O101:P101"/>
    <mergeCell ref="Q101:R101"/>
    <mergeCell ref="S101:T101"/>
    <mergeCell ref="K102:L102"/>
    <mergeCell ref="M102:N102"/>
    <mergeCell ref="O102:P102"/>
    <mergeCell ref="Q102:R102"/>
    <mergeCell ref="S102:T102"/>
    <mergeCell ref="K99:L99"/>
    <mergeCell ref="M99:N99"/>
    <mergeCell ref="O99:P99"/>
    <mergeCell ref="Q99:R99"/>
    <mergeCell ref="S99:T99"/>
    <mergeCell ref="K100:L100"/>
    <mergeCell ref="M100:N100"/>
    <mergeCell ref="O100:P100"/>
    <mergeCell ref="Q100:R100"/>
    <mergeCell ref="S100:T100"/>
    <mergeCell ref="K93:L93"/>
    <mergeCell ref="M93:N93"/>
    <mergeCell ref="O93:P93"/>
    <mergeCell ref="Q93:R93"/>
    <mergeCell ref="S93:T93"/>
    <mergeCell ref="K94:L94"/>
    <mergeCell ref="M94:N94"/>
    <mergeCell ref="O94:P94"/>
    <mergeCell ref="Q94:R94"/>
    <mergeCell ref="S94:T94"/>
    <mergeCell ref="K91:L91"/>
    <mergeCell ref="M91:N91"/>
    <mergeCell ref="O91:P91"/>
    <mergeCell ref="Q91:R91"/>
    <mergeCell ref="S91:T91"/>
    <mergeCell ref="K92:L92"/>
    <mergeCell ref="M92:N92"/>
    <mergeCell ref="O92:P92"/>
    <mergeCell ref="Q92:R92"/>
    <mergeCell ref="S92:T92"/>
    <mergeCell ref="K89:L89"/>
    <mergeCell ref="M89:N89"/>
    <mergeCell ref="O89:P89"/>
    <mergeCell ref="Q89:R89"/>
    <mergeCell ref="S89:T89"/>
    <mergeCell ref="K90:L90"/>
    <mergeCell ref="M90:N90"/>
    <mergeCell ref="O90:P90"/>
    <mergeCell ref="Q90:R90"/>
    <mergeCell ref="S90:T90"/>
    <mergeCell ref="K87:L87"/>
    <mergeCell ref="M87:N87"/>
    <mergeCell ref="O87:P87"/>
    <mergeCell ref="Q87:R87"/>
    <mergeCell ref="S87:T87"/>
    <mergeCell ref="K88:L88"/>
    <mergeCell ref="M88:N88"/>
    <mergeCell ref="O88:P88"/>
    <mergeCell ref="Q88:R88"/>
    <mergeCell ref="S88:T88"/>
    <mergeCell ref="Q71:R71"/>
    <mergeCell ref="S71:T71"/>
    <mergeCell ref="K86:L86"/>
    <mergeCell ref="M86:N86"/>
    <mergeCell ref="O86:P86"/>
    <mergeCell ref="Q86:R86"/>
    <mergeCell ref="S86:T86"/>
    <mergeCell ref="K79:L79"/>
    <mergeCell ref="M80:N80"/>
    <mergeCell ref="O80:P80"/>
    <mergeCell ref="Q80:R80"/>
    <mergeCell ref="S80:T80"/>
    <mergeCell ref="K80:L80"/>
    <mergeCell ref="M81:N81"/>
    <mergeCell ref="O81:P81"/>
    <mergeCell ref="Q81:R81"/>
    <mergeCell ref="S81:T81"/>
    <mergeCell ref="S79:T79"/>
    <mergeCell ref="K84:L84"/>
    <mergeCell ref="M84:N84"/>
    <mergeCell ref="O84:P84"/>
    <mergeCell ref="Q84:R84"/>
    <mergeCell ref="S84:T84"/>
    <mergeCell ref="K81:L81"/>
    <mergeCell ref="K74:L74"/>
    <mergeCell ref="M74:N74"/>
    <mergeCell ref="O74:P74"/>
    <mergeCell ref="Q74:R74"/>
    <mergeCell ref="S74:T74"/>
    <mergeCell ref="K77:L77"/>
    <mergeCell ref="K68:L68"/>
    <mergeCell ref="M68:N68"/>
    <mergeCell ref="O68:P68"/>
    <mergeCell ref="Q68:R68"/>
    <mergeCell ref="S68:T68"/>
    <mergeCell ref="K69:L69"/>
    <mergeCell ref="M69:N69"/>
    <mergeCell ref="O69:P69"/>
    <mergeCell ref="Q69:R69"/>
    <mergeCell ref="S69:T69"/>
    <mergeCell ref="K70:L70"/>
    <mergeCell ref="M70:N70"/>
    <mergeCell ref="O70:P70"/>
    <mergeCell ref="Q70:R70"/>
    <mergeCell ref="S70:T70"/>
    <mergeCell ref="K71:L71"/>
    <mergeCell ref="M71:N71"/>
    <mergeCell ref="O71:P71"/>
    <mergeCell ref="K66:L66"/>
    <mergeCell ref="M66:N66"/>
    <mergeCell ref="O66:P66"/>
    <mergeCell ref="Q66:R66"/>
    <mergeCell ref="S66:T66"/>
    <mergeCell ref="K67:L67"/>
    <mergeCell ref="M67:N67"/>
    <mergeCell ref="O67:P67"/>
    <mergeCell ref="Q67:R67"/>
    <mergeCell ref="S67:T67"/>
    <mergeCell ref="K64:L64"/>
    <mergeCell ref="M64:N64"/>
    <mergeCell ref="O64:P64"/>
    <mergeCell ref="Q64:R64"/>
    <mergeCell ref="S64:T64"/>
    <mergeCell ref="K65:L65"/>
    <mergeCell ref="M65:N65"/>
    <mergeCell ref="O65:P65"/>
    <mergeCell ref="Q65:R65"/>
    <mergeCell ref="S65:T65"/>
    <mergeCell ref="K62:L62"/>
    <mergeCell ref="M62:N62"/>
    <mergeCell ref="O62:P62"/>
    <mergeCell ref="Q62:R62"/>
    <mergeCell ref="S62:T62"/>
    <mergeCell ref="K63:L63"/>
    <mergeCell ref="M63:N63"/>
    <mergeCell ref="O63:P63"/>
    <mergeCell ref="Q63:R63"/>
    <mergeCell ref="S63:T63"/>
    <mergeCell ref="K60:L60"/>
    <mergeCell ref="M60:N60"/>
    <mergeCell ref="O60:P60"/>
    <mergeCell ref="Q60:R60"/>
    <mergeCell ref="S60:T60"/>
    <mergeCell ref="K61:L61"/>
    <mergeCell ref="M61:N61"/>
    <mergeCell ref="O61:P61"/>
    <mergeCell ref="Q61:R61"/>
    <mergeCell ref="S61:T61"/>
    <mergeCell ref="M49:N49"/>
    <mergeCell ref="O49:P49"/>
    <mergeCell ref="Q49:R49"/>
    <mergeCell ref="S49:T49"/>
    <mergeCell ref="K55:L55"/>
    <mergeCell ref="K49:L49"/>
    <mergeCell ref="K50:L50"/>
    <mergeCell ref="K51:L51"/>
    <mergeCell ref="K52:L52"/>
    <mergeCell ref="K53:L53"/>
    <mergeCell ref="K54:L54"/>
    <mergeCell ref="O53:P53"/>
    <mergeCell ref="Q53:R53"/>
    <mergeCell ref="S53:T53"/>
    <mergeCell ref="M50:N50"/>
    <mergeCell ref="O50:P50"/>
    <mergeCell ref="Q50:R50"/>
    <mergeCell ref="S50:T50"/>
    <mergeCell ref="M51:N51"/>
    <mergeCell ref="O51:P51"/>
    <mergeCell ref="Q51:R51"/>
    <mergeCell ref="S51:T51"/>
    <mergeCell ref="S55:T55"/>
    <mergeCell ref="M52:N52"/>
    <mergeCell ref="M45:N45"/>
    <mergeCell ref="O45:P45"/>
    <mergeCell ref="Q45:R45"/>
    <mergeCell ref="S45:T45"/>
    <mergeCell ref="K48:L48"/>
    <mergeCell ref="M46:N46"/>
    <mergeCell ref="O46:P46"/>
    <mergeCell ref="Q46:R46"/>
    <mergeCell ref="S46:T46"/>
    <mergeCell ref="M47:N47"/>
    <mergeCell ref="O47:P47"/>
    <mergeCell ref="Q47:R47"/>
    <mergeCell ref="S47:T47"/>
    <mergeCell ref="M48:N48"/>
    <mergeCell ref="O48:P48"/>
    <mergeCell ref="Q48:R48"/>
    <mergeCell ref="S48:T48"/>
    <mergeCell ref="K45:L45"/>
    <mergeCell ref="K46:L46"/>
    <mergeCell ref="K47:L47"/>
    <mergeCell ref="M32:N32"/>
    <mergeCell ref="O32:P32"/>
    <mergeCell ref="Q32:R32"/>
    <mergeCell ref="S32:T32"/>
    <mergeCell ref="K42:L42"/>
    <mergeCell ref="K43:L43"/>
    <mergeCell ref="K44:L44"/>
    <mergeCell ref="Q44:R44"/>
    <mergeCell ref="S44:T44"/>
    <mergeCell ref="Q37:R37"/>
    <mergeCell ref="S37:T37"/>
    <mergeCell ref="K33:L33"/>
    <mergeCell ref="M33:N33"/>
    <mergeCell ref="O33:P33"/>
    <mergeCell ref="K37:L37"/>
    <mergeCell ref="M37:N37"/>
    <mergeCell ref="O37:P37"/>
    <mergeCell ref="M44:N44"/>
    <mergeCell ref="O44:P44"/>
    <mergeCell ref="K30:L30"/>
    <mergeCell ref="M30:N30"/>
    <mergeCell ref="O30:P30"/>
    <mergeCell ref="Q30:R30"/>
    <mergeCell ref="S30:T30"/>
    <mergeCell ref="K28:L28"/>
    <mergeCell ref="K36:L36"/>
    <mergeCell ref="M36:N36"/>
    <mergeCell ref="O36:P36"/>
    <mergeCell ref="Q36:R36"/>
    <mergeCell ref="S36:T36"/>
    <mergeCell ref="Q33:R33"/>
    <mergeCell ref="S33:T33"/>
    <mergeCell ref="K34:L34"/>
    <mergeCell ref="M34:N34"/>
    <mergeCell ref="O34:P34"/>
    <mergeCell ref="Q34:R34"/>
    <mergeCell ref="S34:T34"/>
    <mergeCell ref="K31:L31"/>
    <mergeCell ref="M31:N31"/>
    <mergeCell ref="O31:P31"/>
    <mergeCell ref="Q31:R31"/>
    <mergeCell ref="S31:T31"/>
    <mergeCell ref="K32:L32"/>
    <mergeCell ref="K25:L25"/>
    <mergeCell ref="K27:L27"/>
    <mergeCell ref="M27:N27"/>
    <mergeCell ref="O27:P27"/>
    <mergeCell ref="Q27:R27"/>
    <mergeCell ref="S27:T27"/>
    <mergeCell ref="K22:L22"/>
    <mergeCell ref="K24:L24"/>
    <mergeCell ref="S19:T19"/>
    <mergeCell ref="K21:L21"/>
    <mergeCell ref="K19:L19"/>
    <mergeCell ref="M19:N19"/>
    <mergeCell ref="O19:P19"/>
    <mergeCell ref="Q19:R19"/>
  </mergeCells>
  <pageMargins left="0.7" right="0.7" top="0.75" bottom="0.75" header="0.3" footer="0.3"/>
  <pageSetup orientation="portrait" horizontalDpi="4294967292" verticalDpi="429496729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H101"/>
  <sheetViews>
    <sheetView showGridLines="0" workbookViewId="0">
      <selection activeCell="G24" sqref="G24:I24"/>
    </sheetView>
  </sheetViews>
  <sheetFormatPr defaultColWidth="0" defaultRowHeight="15" zeroHeight="1" x14ac:dyDescent="0.25"/>
  <cols>
    <col min="1" max="1" width="2.85546875" style="21" customWidth="1"/>
    <col min="2" max="2" width="9.140625" style="21" customWidth="1"/>
    <col min="3" max="22" width="8.85546875" customWidth="1"/>
    <col min="23" max="23" width="2.85546875" style="21" customWidth="1"/>
    <col min="24" max="34" width="0" style="1" hidden="1" customWidth="1"/>
    <col min="35" max="16384" width="8.85546875" style="1" hidden="1"/>
  </cols>
  <sheetData>
    <row r="1" spans="1:28" x14ac:dyDescent="0.25">
      <c r="C1" s="233"/>
      <c r="D1" s="233"/>
      <c r="E1" s="233"/>
      <c r="F1" s="233"/>
      <c r="G1" s="233"/>
      <c r="H1" s="233"/>
      <c r="I1" s="233"/>
      <c r="J1" s="233"/>
      <c r="K1" s="233"/>
      <c r="L1" s="233"/>
      <c r="M1" s="233"/>
      <c r="N1" s="233"/>
      <c r="O1" s="233"/>
      <c r="P1" s="233"/>
      <c r="Q1" s="233"/>
      <c r="R1" s="233"/>
      <c r="S1" s="233"/>
      <c r="T1" s="233"/>
      <c r="U1" s="233"/>
      <c r="V1" s="233"/>
    </row>
    <row r="2" spans="1:28" x14ac:dyDescent="0.25">
      <c r="C2" s="233"/>
      <c r="D2" s="233"/>
      <c r="E2" s="233"/>
      <c r="F2" s="233"/>
      <c r="G2" s="233"/>
      <c r="H2" s="233"/>
      <c r="I2" s="233"/>
      <c r="J2" s="233"/>
      <c r="K2" s="233"/>
      <c r="L2" s="233"/>
      <c r="M2" s="233"/>
      <c r="N2" s="233"/>
      <c r="O2" s="233"/>
      <c r="P2" s="233"/>
      <c r="Q2" s="233"/>
      <c r="R2" s="233"/>
      <c r="S2" s="233"/>
      <c r="T2" s="233"/>
      <c r="U2" s="233"/>
      <c r="V2" s="233"/>
    </row>
    <row r="3" spans="1:28" x14ac:dyDescent="0.25">
      <c r="C3" s="233"/>
      <c r="D3" s="233"/>
      <c r="E3" s="233"/>
      <c r="F3" s="233"/>
      <c r="G3" s="233"/>
      <c r="H3" s="233"/>
      <c r="I3" s="233"/>
      <c r="J3" s="233"/>
      <c r="K3" s="233"/>
      <c r="L3" s="233"/>
      <c r="M3" s="233"/>
      <c r="N3" s="233"/>
      <c r="O3" s="233"/>
      <c r="P3" s="233"/>
      <c r="Q3" s="233"/>
      <c r="R3" s="233"/>
      <c r="S3" s="233"/>
      <c r="T3" s="233"/>
      <c r="U3" s="233"/>
      <c r="V3" s="233"/>
    </row>
    <row r="4" spans="1:28" x14ac:dyDescent="0.25">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843" t="s">
        <v>1390</v>
      </c>
      <c r="C6" s="621"/>
      <c r="D6" s="621"/>
      <c r="E6" s="621"/>
      <c r="F6" s="622"/>
      <c r="G6" s="286"/>
      <c r="H6" s="287"/>
      <c r="I6" s="287"/>
      <c r="J6" s="287"/>
      <c r="K6" s="287"/>
      <c r="L6" s="287"/>
      <c r="M6" s="287"/>
      <c r="N6" s="287"/>
      <c r="O6" s="287"/>
      <c r="P6" s="287"/>
      <c r="Q6" s="288"/>
      <c r="R6" s="288"/>
      <c r="S6" s="288"/>
      <c r="T6" s="288"/>
      <c r="U6" s="288"/>
      <c r="V6" s="289"/>
      <c r="W6" s="21"/>
      <c r="X6" s="21"/>
      <c r="Y6" s="21"/>
      <c r="Z6" s="21"/>
      <c r="AA6" s="21"/>
      <c r="AB6" s="21"/>
    </row>
    <row r="7" spans="1:28" s="24" customFormat="1" ht="15" customHeight="1" x14ac:dyDescent="0.25">
      <c r="A7" s="21"/>
      <c r="B7" s="623"/>
      <c r="C7" s="624"/>
      <c r="D7" s="624"/>
      <c r="E7" s="624"/>
      <c r="F7" s="625"/>
      <c r="G7" s="290"/>
      <c r="H7" s="291"/>
      <c r="I7" s="291"/>
      <c r="J7" s="291"/>
      <c r="K7" s="291"/>
      <c r="L7" s="291"/>
      <c r="M7" s="291"/>
      <c r="N7" s="291"/>
      <c r="O7" s="291"/>
      <c r="P7" s="291"/>
      <c r="Q7" s="292"/>
      <c r="R7" s="292"/>
      <c r="S7" s="292"/>
      <c r="T7" s="292"/>
      <c r="U7" s="292"/>
      <c r="V7" s="293"/>
      <c r="W7" s="21"/>
      <c r="X7" s="21"/>
      <c r="Y7" s="21"/>
      <c r="Z7" s="21"/>
      <c r="AA7" s="21"/>
      <c r="AB7" s="21"/>
    </row>
    <row r="8" spans="1:28" s="24" customFormat="1" ht="15" customHeight="1" x14ac:dyDescent="0.25">
      <c r="A8" s="21"/>
      <c r="B8" s="623"/>
      <c r="C8" s="624"/>
      <c r="D8" s="624"/>
      <c r="E8" s="624"/>
      <c r="F8" s="625"/>
      <c r="G8" s="290"/>
      <c r="H8" s="291"/>
      <c r="I8" s="291"/>
      <c r="J8" s="291"/>
      <c r="K8" s="291"/>
      <c r="L8" s="291"/>
      <c r="M8" s="291"/>
      <c r="N8" s="291"/>
      <c r="O8" s="291"/>
      <c r="P8" s="291"/>
      <c r="Q8" s="292"/>
      <c r="R8" s="292"/>
      <c r="S8" s="292"/>
      <c r="T8" s="292"/>
      <c r="U8" s="292"/>
      <c r="V8" s="293"/>
      <c r="W8" s="21"/>
      <c r="X8" s="21"/>
      <c r="Y8" s="21"/>
      <c r="Z8" s="21"/>
      <c r="AA8" s="21"/>
      <c r="AB8" s="21"/>
    </row>
    <row r="9" spans="1:28" s="24" customFormat="1" ht="15" customHeight="1" x14ac:dyDescent="0.25">
      <c r="A9" s="21"/>
      <c r="B9" s="623"/>
      <c r="C9" s="624"/>
      <c r="D9" s="624"/>
      <c r="E9" s="624"/>
      <c r="F9" s="625"/>
      <c r="G9" s="290"/>
      <c r="H9" s="291"/>
      <c r="I9" s="291"/>
      <c r="J9" s="291"/>
      <c r="K9" s="291"/>
      <c r="L9" s="291"/>
      <c r="M9" s="291"/>
      <c r="N9" s="291"/>
      <c r="O9" s="291"/>
      <c r="P9" s="291"/>
      <c r="Q9" s="292"/>
      <c r="R9" s="292"/>
      <c r="S9" s="292"/>
      <c r="T9" s="292"/>
      <c r="U9" s="292"/>
      <c r="V9" s="293"/>
      <c r="W9" s="21"/>
      <c r="X9" s="21"/>
      <c r="Y9" s="21"/>
      <c r="Z9" s="21"/>
      <c r="AA9" s="21"/>
      <c r="AB9" s="21"/>
    </row>
    <row r="10" spans="1:28" s="24" customFormat="1" ht="15" customHeight="1" x14ac:dyDescent="0.25">
      <c r="A10" s="21"/>
      <c r="B10" s="623"/>
      <c r="C10" s="624"/>
      <c r="D10" s="624"/>
      <c r="E10" s="624"/>
      <c r="F10" s="625"/>
      <c r="G10" s="290"/>
      <c r="H10" s="291"/>
      <c r="I10" s="291"/>
      <c r="J10" s="291"/>
      <c r="K10" s="291"/>
      <c r="L10" s="291"/>
      <c r="M10" s="291"/>
      <c r="N10" s="291"/>
      <c r="O10" s="291"/>
      <c r="P10" s="291"/>
      <c r="Q10" s="292"/>
      <c r="R10" s="292"/>
      <c r="S10" s="292"/>
      <c r="T10" s="292"/>
      <c r="U10" s="292"/>
      <c r="V10" s="293"/>
      <c r="W10" s="21"/>
      <c r="X10" s="21"/>
      <c r="Y10" s="21"/>
      <c r="Z10" s="21"/>
      <c r="AA10" s="21"/>
      <c r="AB10" s="21"/>
    </row>
    <row r="11" spans="1:28" s="24" customFormat="1" ht="15" customHeight="1" x14ac:dyDescent="0.25">
      <c r="A11" s="21"/>
      <c r="B11" s="623"/>
      <c r="C11" s="624"/>
      <c r="D11" s="624"/>
      <c r="E11" s="624"/>
      <c r="F11" s="625"/>
      <c r="G11" s="290"/>
      <c r="H11" s="291"/>
      <c r="I11" s="291"/>
      <c r="J11" s="291"/>
      <c r="K11" s="291"/>
      <c r="L11" s="291"/>
      <c r="M11" s="291"/>
      <c r="N11" s="291"/>
      <c r="O11" s="291"/>
      <c r="P11" s="291"/>
      <c r="Q11" s="292"/>
      <c r="R11" s="292"/>
      <c r="S11" s="292"/>
      <c r="T11" s="292"/>
      <c r="U11" s="292"/>
      <c r="V11" s="293"/>
      <c r="W11" s="21"/>
      <c r="X11" s="21"/>
      <c r="Y11" s="21"/>
      <c r="Z11" s="21"/>
      <c r="AA11" s="21"/>
      <c r="AB11" s="21"/>
    </row>
    <row r="12" spans="1:28" s="24" customFormat="1" ht="15" customHeight="1" x14ac:dyDescent="0.25">
      <c r="A12" s="21"/>
      <c r="B12" s="623"/>
      <c r="C12" s="624"/>
      <c r="D12" s="624"/>
      <c r="E12" s="624"/>
      <c r="F12" s="625"/>
      <c r="G12" s="290"/>
      <c r="H12" s="291"/>
      <c r="I12" s="291"/>
      <c r="J12" s="291"/>
      <c r="K12" s="291"/>
      <c r="L12" s="291"/>
      <c r="M12" s="291"/>
      <c r="N12" s="291"/>
      <c r="O12" s="291"/>
      <c r="P12" s="291"/>
      <c r="Q12" s="292"/>
      <c r="R12" s="292"/>
      <c r="S12" s="292"/>
      <c r="T12" s="292"/>
      <c r="U12" s="292"/>
      <c r="V12" s="293"/>
      <c r="W12" s="21"/>
      <c r="X12" s="21"/>
      <c r="Y12" s="21"/>
      <c r="Z12" s="21"/>
      <c r="AA12" s="21"/>
      <c r="AB12" s="21"/>
    </row>
    <row r="13" spans="1:28" s="24" customFormat="1" ht="15" customHeight="1" thickBot="1" x14ac:dyDescent="0.3">
      <c r="A13" s="21"/>
      <c r="B13" s="626"/>
      <c r="C13" s="627"/>
      <c r="D13" s="627"/>
      <c r="E13" s="627"/>
      <c r="F13" s="628"/>
      <c r="G13" s="294"/>
      <c r="H13" s="295"/>
      <c r="I13" s="295"/>
      <c r="J13" s="295"/>
      <c r="K13" s="295"/>
      <c r="L13" s="295"/>
      <c r="M13" s="295"/>
      <c r="N13" s="295"/>
      <c r="O13" s="295"/>
      <c r="P13" s="295"/>
      <c r="Q13" s="296"/>
      <c r="R13" s="296"/>
      <c r="S13" s="296"/>
      <c r="T13" s="296"/>
      <c r="U13" s="296"/>
      <c r="V13" s="297"/>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1:28" ht="18.75" x14ac:dyDescent="0.3">
      <c r="B17" s="213" t="s">
        <v>1012</v>
      </c>
      <c r="C17" s="221"/>
      <c r="D17" s="212"/>
      <c r="E17" s="212"/>
      <c r="F17" s="212"/>
      <c r="G17" s="212"/>
      <c r="H17" s="212"/>
      <c r="I17" s="212"/>
      <c r="J17" s="212"/>
      <c r="K17" s="212"/>
      <c r="L17" s="212"/>
      <c r="M17" s="212"/>
      <c r="N17" s="212"/>
      <c r="O17" s="212"/>
      <c r="P17" s="212"/>
      <c r="Q17" s="212"/>
      <c r="R17" s="212"/>
      <c r="S17" s="212"/>
      <c r="T17" s="212"/>
      <c r="U17" s="212"/>
      <c r="V17" s="212"/>
    </row>
    <row r="18" spans="1:28" x14ac:dyDescent="0.25">
      <c r="B18" s="192"/>
      <c r="C18" s="212"/>
      <c r="D18" s="212"/>
      <c r="E18" s="212"/>
      <c r="F18" s="212"/>
      <c r="G18" s="212"/>
      <c r="H18" s="212"/>
      <c r="I18" s="212"/>
      <c r="J18" s="212"/>
      <c r="K18" s="212"/>
      <c r="L18" s="212"/>
      <c r="M18" s="212"/>
      <c r="N18" s="212"/>
      <c r="O18" s="212"/>
      <c r="P18" s="212"/>
      <c r="Q18" s="212"/>
      <c r="R18" s="212"/>
      <c r="S18" s="212"/>
      <c r="T18" s="212"/>
      <c r="U18" s="212"/>
      <c r="V18" s="212"/>
    </row>
    <row r="19" spans="1:28" x14ac:dyDescent="0.25">
      <c r="B19" s="1239" t="s">
        <v>1011</v>
      </c>
      <c r="C19" s="1239"/>
      <c r="D19" s="1239"/>
      <c r="E19" s="1239"/>
      <c r="F19" s="1239"/>
      <c r="G19" s="1239"/>
      <c r="H19" s="1239"/>
      <c r="I19" s="1239"/>
      <c r="J19" s="232"/>
      <c r="K19" s="232"/>
      <c r="L19" s="212"/>
      <c r="M19" s="212"/>
      <c r="N19" s="298"/>
      <c r="O19" s="232"/>
      <c r="P19" s="232"/>
      <c r="Q19" s="232"/>
      <c r="R19" s="232"/>
      <c r="S19" s="232"/>
      <c r="T19" s="232"/>
      <c r="U19" s="232"/>
      <c r="V19" s="212"/>
    </row>
    <row r="20" spans="1:28" x14ac:dyDescent="0.25">
      <c r="B20" s="1240"/>
      <c r="C20" s="1240"/>
      <c r="D20" s="1240"/>
      <c r="E20" s="1240"/>
      <c r="F20" s="1240"/>
      <c r="G20" s="1240"/>
      <c r="H20" s="1240"/>
      <c r="I20" s="1240"/>
      <c r="J20" s="232"/>
      <c r="K20" s="232"/>
      <c r="L20" s="212"/>
      <c r="M20" s="298"/>
      <c r="N20" s="298"/>
      <c r="O20" s="298"/>
      <c r="P20" s="298"/>
      <c r="Q20" s="298"/>
      <c r="R20" s="298"/>
      <c r="S20" s="298"/>
      <c r="T20" s="298"/>
      <c r="U20" s="298"/>
      <c r="V20" s="212"/>
    </row>
    <row r="21" spans="1:28" x14ac:dyDescent="0.25">
      <c r="B21" s="11" t="s">
        <v>1013</v>
      </c>
      <c r="C21" s="2"/>
      <c r="D21" s="2"/>
      <c r="E21" s="2"/>
      <c r="F21" s="2"/>
      <c r="G21" s="1099" t="s">
        <v>855</v>
      </c>
      <c r="H21" s="1100"/>
      <c r="I21" s="1101"/>
      <c r="J21" s="232"/>
      <c r="K21" s="232"/>
      <c r="L21" s="212"/>
      <c r="M21" s="298"/>
      <c r="N21" s="298"/>
      <c r="O21" s="298"/>
      <c r="P21" s="298"/>
      <c r="Q21" s="298"/>
      <c r="R21" s="298"/>
      <c r="S21" s="298"/>
      <c r="T21" s="298"/>
      <c r="U21" s="298"/>
      <c r="V21" s="212"/>
    </row>
    <row r="22" spans="1:28" ht="30" customHeight="1" x14ac:dyDescent="0.25">
      <c r="B22" s="175" t="s">
        <v>1014</v>
      </c>
      <c r="C22" s="4"/>
      <c r="D22" s="4"/>
      <c r="E22" s="4"/>
      <c r="F22" s="4"/>
      <c r="G22" s="1241" t="s">
        <v>330</v>
      </c>
      <c r="H22" s="1242"/>
      <c r="I22" s="1243"/>
      <c r="J22" s="232"/>
      <c r="K22" s="232"/>
      <c r="L22" s="212"/>
      <c r="M22" s="298"/>
      <c r="N22" s="298"/>
      <c r="O22" s="298"/>
      <c r="P22" s="298"/>
      <c r="Q22" s="298"/>
      <c r="R22" s="298"/>
      <c r="S22" s="298"/>
      <c r="T22" s="298"/>
      <c r="U22" s="298"/>
      <c r="V22" s="212"/>
    </row>
    <row r="23" spans="1:28" x14ac:dyDescent="0.25">
      <c r="B23" s="12" t="s">
        <v>1015</v>
      </c>
      <c r="C23" s="4"/>
      <c r="D23" s="4"/>
      <c r="E23" s="4"/>
      <c r="F23" s="4"/>
      <c r="G23" s="1099" t="s">
        <v>833</v>
      </c>
      <c r="H23" s="1100"/>
      <c r="I23" s="1101"/>
      <c r="J23" s="232"/>
      <c r="K23" s="232"/>
      <c r="L23" s="212"/>
      <c r="M23" s="298"/>
      <c r="N23" s="298"/>
      <c r="O23" s="298"/>
      <c r="P23" s="298"/>
      <c r="Q23" s="298"/>
      <c r="R23" s="298"/>
      <c r="S23" s="298"/>
      <c r="T23" s="298"/>
      <c r="U23" s="298"/>
      <c r="V23" s="212"/>
    </row>
    <row r="24" spans="1:28" x14ac:dyDescent="0.25">
      <c r="B24" s="12" t="s">
        <v>1016</v>
      </c>
      <c r="C24" s="4"/>
      <c r="D24" s="4"/>
      <c r="E24" s="4"/>
      <c r="F24" s="4"/>
      <c r="G24" s="1099" t="s">
        <v>854</v>
      </c>
      <c r="H24" s="1100"/>
      <c r="I24" s="1101"/>
      <c r="J24" s="232"/>
      <c r="K24" s="232"/>
      <c r="L24" s="212"/>
      <c r="M24" s="298"/>
      <c r="N24" s="298"/>
      <c r="O24" s="298"/>
      <c r="P24" s="298"/>
      <c r="Q24" s="298"/>
      <c r="R24" s="298"/>
      <c r="S24" s="298"/>
      <c r="T24" s="298"/>
      <c r="U24" s="298"/>
      <c r="V24" s="212"/>
    </row>
    <row r="25" spans="1:28" x14ac:dyDescent="0.25">
      <c r="B25" s="20" t="str">
        <f>IF(G24="IRB","If IRB; type?","If IRB; type? (Not applicable under this setting)")</f>
        <v>If IRB; type?</v>
      </c>
      <c r="C25" s="4"/>
      <c r="D25" s="4"/>
      <c r="E25" s="4"/>
      <c r="F25" s="4"/>
      <c r="G25" s="1099" t="s">
        <v>867</v>
      </c>
      <c r="H25" s="1100"/>
      <c r="I25" s="1101"/>
      <c r="J25" s="232"/>
      <c r="K25" s="232"/>
      <c r="L25" s="212"/>
      <c r="M25" s="298"/>
      <c r="N25" s="298"/>
      <c r="O25" s="298"/>
      <c r="P25" s="298"/>
      <c r="Q25" s="298"/>
      <c r="R25" s="298"/>
      <c r="S25" s="298"/>
      <c r="T25" s="298"/>
      <c r="U25" s="298"/>
      <c r="V25" s="212"/>
    </row>
    <row r="26" spans="1:28" x14ac:dyDescent="0.25">
      <c r="B26" s="13" t="s">
        <v>1018</v>
      </c>
      <c r="C26" s="6"/>
      <c r="D26" s="6"/>
      <c r="E26" s="6"/>
      <c r="F26" s="6"/>
      <c r="G26" s="1099" t="s">
        <v>833</v>
      </c>
      <c r="H26" s="1100"/>
      <c r="I26" s="1101"/>
      <c r="J26" s="232"/>
      <c r="K26" s="232"/>
      <c r="L26" s="212"/>
      <c r="M26" s="298"/>
      <c r="N26" s="298"/>
      <c r="O26" s="298"/>
      <c r="P26" s="298"/>
      <c r="Q26" s="298"/>
      <c r="R26" s="298"/>
      <c r="S26" s="298"/>
      <c r="T26" s="298"/>
      <c r="U26" s="298"/>
      <c r="V26" s="212"/>
    </row>
    <row r="27" spans="1:28" x14ac:dyDescent="0.25">
      <c r="B27" s="192"/>
      <c r="C27" s="192"/>
      <c r="D27" s="192"/>
      <c r="E27" s="192"/>
      <c r="F27" s="192"/>
      <c r="G27" s="192"/>
      <c r="H27" s="192"/>
      <c r="I27" s="192"/>
      <c r="J27" s="234"/>
      <c r="K27" s="234"/>
      <c r="L27" s="234"/>
      <c r="M27" s="298"/>
      <c r="N27" s="298"/>
      <c r="O27" s="298"/>
      <c r="P27" s="298"/>
      <c r="Q27" s="298"/>
      <c r="R27" s="298"/>
      <c r="S27" s="298"/>
      <c r="T27" s="298"/>
      <c r="U27" s="298"/>
      <c r="V27" s="234"/>
    </row>
    <row r="28" spans="1:28" x14ac:dyDescent="0.25">
      <c r="B28" s="192"/>
      <c r="C28" s="192"/>
      <c r="D28" s="192"/>
      <c r="E28" s="192"/>
      <c r="F28" s="192"/>
      <c r="G28" s="192"/>
      <c r="H28" s="192"/>
      <c r="I28" s="192"/>
      <c r="J28" s="234"/>
      <c r="K28" s="234"/>
      <c r="L28" s="234"/>
      <c r="M28" s="298"/>
      <c r="N28" s="298"/>
      <c r="O28" s="298"/>
      <c r="P28" s="298"/>
      <c r="Q28" s="298"/>
      <c r="R28" s="298"/>
      <c r="S28" s="298"/>
      <c r="T28" s="298"/>
      <c r="U28" s="298"/>
      <c r="V28" s="234"/>
    </row>
    <row r="29" spans="1:28" x14ac:dyDescent="0.25">
      <c r="B29" s="192"/>
      <c r="C29" s="212"/>
      <c r="D29" s="212"/>
      <c r="E29" s="212"/>
      <c r="F29" s="212"/>
      <c r="G29" s="212"/>
      <c r="H29" s="212"/>
      <c r="I29" s="212"/>
      <c r="J29" s="212"/>
      <c r="K29" s="212"/>
      <c r="L29" s="212"/>
      <c r="M29" s="212"/>
      <c r="N29" s="212"/>
      <c r="O29" s="212"/>
      <c r="P29" s="212"/>
      <c r="Q29" s="212"/>
      <c r="R29" s="212"/>
      <c r="S29" s="212"/>
      <c r="T29" s="212"/>
      <c r="U29" s="212"/>
      <c r="V29" s="212"/>
    </row>
    <row r="30" spans="1:28" x14ac:dyDescent="0.25">
      <c r="B30" s="192"/>
      <c r="C30" s="234"/>
      <c r="D30" s="234"/>
      <c r="E30" s="234"/>
      <c r="F30" s="234"/>
      <c r="G30" s="234"/>
      <c r="H30" s="234"/>
      <c r="I30" s="234"/>
      <c r="J30" s="234"/>
      <c r="K30" s="234"/>
      <c r="L30" s="234"/>
      <c r="M30" s="234"/>
      <c r="N30" s="234"/>
      <c r="O30" s="234"/>
      <c r="P30" s="234"/>
      <c r="Q30" s="234"/>
      <c r="R30" s="234"/>
      <c r="S30" s="234"/>
      <c r="T30" s="234"/>
      <c r="U30" s="234"/>
      <c r="V30" s="234"/>
    </row>
    <row r="31" spans="1:28" s="24" customFormat="1" x14ac:dyDescent="0.25">
      <c r="A31" s="21"/>
      <c r="B31" s="192"/>
      <c r="C31" s="192"/>
      <c r="D31" s="192"/>
      <c r="E31" s="192"/>
      <c r="F31" s="192"/>
      <c r="G31" s="192"/>
      <c r="H31" s="192"/>
      <c r="I31" s="207"/>
      <c r="J31" s="207"/>
      <c r="K31" s="192"/>
      <c r="L31" s="192"/>
      <c r="M31" s="192"/>
      <c r="N31" s="192"/>
      <c r="O31" s="192"/>
      <c r="P31" s="192"/>
      <c r="Q31" s="192"/>
      <c r="R31" s="192"/>
      <c r="S31" s="192"/>
      <c r="T31" s="192"/>
      <c r="U31" s="192"/>
      <c r="V31" s="192"/>
      <c r="W31" s="21"/>
      <c r="X31" s="199"/>
      <c r="Y31" s="199"/>
      <c r="Z31" s="199"/>
      <c r="AA31" s="199"/>
      <c r="AB31" s="21"/>
    </row>
    <row r="32" spans="1:28" x14ac:dyDescent="0.25">
      <c r="B32" s="201"/>
      <c r="C32" s="214"/>
      <c r="D32" s="214"/>
      <c r="E32" s="214"/>
      <c r="F32" s="214"/>
      <c r="G32" s="214"/>
      <c r="H32" s="214"/>
      <c r="I32" s="214"/>
      <c r="J32" s="214"/>
      <c r="K32" s="214"/>
      <c r="L32" s="214"/>
      <c r="M32" s="214"/>
      <c r="N32" s="214"/>
      <c r="O32" s="214"/>
      <c r="P32" s="214"/>
      <c r="Q32" s="214"/>
      <c r="R32" s="214"/>
      <c r="S32" s="214"/>
      <c r="T32" s="214"/>
      <c r="U32" s="214"/>
      <c r="V32" s="214"/>
    </row>
    <row r="33" spans="2:22" ht="18.75" x14ac:dyDescent="0.3">
      <c r="B33" s="213" t="str">
        <f>"Outcome of Scenario Analysis for "&amp;IF(G21="Expert","Expert Scenario",G22)</f>
        <v>Outcome of Scenario Analysis for Expert Scenario</v>
      </c>
      <c r="C33" s="213"/>
      <c r="D33" s="213"/>
      <c r="E33" s="213"/>
      <c r="F33" s="213"/>
      <c r="G33" s="213"/>
      <c r="H33" s="213"/>
      <c r="I33" s="213"/>
      <c r="J33" s="212"/>
      <c r="K33" s="232"/>
      <c r="L33" s="232"/>
      <c r="M33" s="232"/>
      <c r="N33" s="232"/>
      <c r="O33" s="212"/>
      <c r="P33" s="212"/>
      <c r="Q33" s="212"/>
      <c r="R33" s="212"/>
      <c r="S33" s="212"/>
      <c r="T33" s="212"/>
      <c r="U33" s="212"/>
      <c r="V33" s="212"/>
    </row>
    <row r="34" spans="2:22" x14ac:dyDescent="0.25">
      <c r="B34" s="192"/>
      <c r="C34" s="212"/>
      <c r="D34" s="212"/>
      <c r="E34" s="212"/>
      <c r="F34" s="212"/>
      <c r="G34" s="212"/>
      <c r="H34" s="212"/>
      <c r="I34" s="212"/>
      <c r="J34" s="212"/>
      <c r="K34" s="212"/>
      <c r="L34" s="212"/>
      <c r="M34" s="212"/>
      <c r="N34" s="212"/>
      <c r="O34" s="212"/>
      <c r="P34" s="212"/>
      <c r="Q34" s="212"/>
      <c r="R34" s="212"/>
      <c r="S34" s="212"/>
      <c r="T34" s="212"/>
      <c r="U34" s="212"/>
      <c r="V34" s="212"/>
    </row>
    <row r="35" spans="2:22" x14ac:dyDescent="0.25">
      <c r="B35" s="192"/>
      <c r="C35" s="212"/>
      <c r="D35" s="212"/>
      <c r="E35" s="212"/>
      <c r="F35" s="212"/>
      <c r="G35" s="212"/>
      <c r="H35" s="212"/>
      <c r="I35" s="949" t="s">
        <v>1019</v>
      </c>
      <c r="J35" s="951"/>
      <c r="K35" s="932">
        <f>Assumptions!K20</f>
        <v>2014</v>
      </c>
      <c r="L35" s="934"/>
      <c r="M35" s="932">
        <f>Assumptions!M20</f>
        <v>2015</v>
      </c>
      <c r="N35" s="934"/>
      <c r="O35" s="932">
        <f>Assumptions!O20</f>
        <v>2016</v>
      </c>
      <c r="P35" s="934"/>
      <c r="Q35" s="932">
        <f>Assumptions!Q20</f>
        <v>2017</v>
      </c>
      <c r="R35" s="934"/>
      <c r="S35" s="932">
        <f>Assumptions!S20</f>
        <v>2018</v>
      </c>
      <c r="T35" s="934"/>
      <c r="U35" s="932">
        <f>Assumptions!U20</f>
        <v>2019</v>
      </c>
      <c r="V35" s="934"/>
    </row>
    <row r="36" spans="2:22" ht="15" customHeight="1" x14ac:dyDescent="0.25">
      <c r="B36" s="1232" t="s">
        <v>1028</v>
      </c>
      <c r="C36" s="924"/>
      <c r="D36" s="319" t="s">
        <v>1022</v>
      </c>
      <c r="E36" s="320"/>
      <c r="F36" s="320"/>
      <c r="G36" s="320"/>
      <c r="H36" s="320"/>
      <c r="I36" s="2"/>
      <c r="J36" s="3"/>
      <c r="K36" s="1225">
        <f>'Y1 to Y5'!K86</f>
        <v>0.20223738591877052</v>
      </c>
      <c r="L36" s="888"/>
      <c r="M36" s="1225">
        <f>'Y1 to Y5'!K87</f>
        <v>6.1755393791658376E-2</v>
      </c>
      <c r="N36" s="888"/>
      <c r="O36" s="1225">
        <f>IF(ISNUMBER(O35),'Y1 to Y5'!M87,"N/A")</f>
        <v>5.8518290792792242E-2</v>
      </c>
      <c r="P36" s="888"/>
      <c r="Q36" s="1225">
        <f>IF(ISNUMBER(Q35),'Y1 to Y5'!O87,"N/A")</f>
        <v>5.7332399662878439E-2</v>
      </c>
      <c r="R36" s="888"/>
      <c r="S36" s="1225">
        <f>IF(ISNUMBER(S35),'Y1 to Y5'!Q87,"N/A")</f>
        <v>5.4924063904357105E-2</v>
      </c>
      <c r="T36" s="888"/>
      <c r="U36" s="1225">
        <f>IF(ISNUMBER(U35),'Y1 to Y5'!S87,"N/A")</f>
        <v>5.1308297357644674E-2</v>
      </c>
      <c r="V36" s="888"/>
    </row>
    <row r="37" spans="2:22" x14ac:dyDescent="0.25">
      <c r="B37" s="1233"/>
      <c r="C37" s="1234"/>
      <c r="D37" s="321" t="s">
        <v>1023</v>
      </c>
      <c r="E37" s="322"/>
      <c r="F37" s="322"/>
      <c r="G37" s="322"/>
      <c r="H37" s="322"/>
      <c r="I37" s="4"/>
      <c r="J37" s="5"/>
      <c r="K37" s="1225">
        <f>'Y1 to Y5'!K88</f>
        <v>0.14023052589477256</v>
      </c>
      <c r="L37" s="888"/>
      <c r="M37" s="1226">
        <f>'Y1 to Y5'!K89</f>
        <v>4.3128487742209246E-2</v>
      </c>
      <c r="N37" s="1227"/>
      <c r="O37" s="1226">
        <f>IF(ISNUMBER(O35),'Y1 to Y5'!M89,"N/A")</f>
        <v>4.0783254856781331E-2</v>
      </c>
      <c r="P37" s="1227"/>
      <c r="Q37" s="1226">
        <f>IF(ISNUMBER(Q35),'Y1 to Y5'!O89,"N/A")</f>
        <v>3.9423182673098925E-2</v>
      </c>
      <c r="R37" s="1227"/>
      <c r="S37" s="1226">
        <f>IF(ISNUMBER(S35),'Y1 to Y5'!Q89,"N/A")</f>
        <v>3.6741102712964796E-2</v>
      </c>
      <c r="T37" s="1227"/>
      <c r="U37" s="1226">
        <f>IF(ISNUMBER(U35),'Y1 to Y5'!S89,"N/A")</f>
        <v>3.2721496514202489E-2</v>
      </c>
      <c r="V37" s="1227"/>
    </row>
    <row r="38" spans="2:22" x14ac:dyDescent="0.25">
      <c r="B38" s="1233"/>
      <c r="C38" s="1234"/>
      <c r="D38" s="323" t="s">
        <v>1024</v>
      </c>
      <c r="E38" s="324"/>
      <c r="F38" s="324"/>
      <c r="G38" s="324"/>
      <c r="H38" s="324"/>
      <c r="I38" s="6"/>
      <c r="J38" s="7"/>
      <c r="K38" s="1225" t="str">
        <f>'Y1 to Y5'!K90</f>
        <v/>
      </c>
      <c r="L38" s="888"/>
      <c r="M38" s="1226" t="str">
        <f>'Y1 to Y5'!K91</f>
        <v/>
      </c>
      <c r="N38" s="1227"/>
      <c r="O38" s="1226" t="str">
        <f>IF(ISNUMBER(O37),'Y1 to Y5'!M91,"N/A")</f>
        <v/>
      </c>
      <c r="P38" s="1227"/>
      <c r="Q38" s="1226" t="str">
        <f>IF(ISNUMBER(Q37),'Y1 to Y5'!O91,"N/A")</f>
        <v/>
      </c>
      <c r="R38" s="1227"/>
      <c r="S38" s="1226" t="str">
        <f>IF(ISNUMBER(S37),'Y1 to Y5'!Q91,"N/A")</f>
        <v/>
      </c>
      <c r="T38" s="1227"/>
      <c r="U38" s="1226" t="str">
        <f>IF(ISNUMBER(U37),'Y1 to Y5'!S91,"N/A")</f>
        <v/>
      </c>
      <c r="V38" s="1227"/>
    </row>
    <row r="39" spans="2:22" x14ac:dyDescent="0.25">
      <c r="B39" s="1233"/>
      <c r="C39" s="1234"/>
      <c r="D39" s="1233" t="s">
        <v>1020</v>
      </c>
      <c r="E39" s="925"/>
      <c r="F39" s="1234"/>
      <c r="G39" s="1237" t="s">
        <v>1021</v>
      </c>
      <c r="H39" s="1237"/>
      <c r="I39" s="1230">
        <f>M77</f>
        <v>0.12</v>
      </c>
      <c r="J39" s="1231"/>
      <c r="K39" s="986">
        <f>'Y1 to Y5'!K100</f>
        <v>0</v>
      </c>
      <c r="L39" s="987"/>
      <c r="M39" s="986">
        <f>'Y1 to Y5'!K102</f>
        <v>436.28883045578158</v>
      </c>
      <c r="N39" s="987"/>
      <c r="O39" s="986">
        <f>IF(ISNUMBER(O35),'Y1 to Y5'!M102,"N/A")</f>
        <v>483.69652247924688</v>
      </c>
      <c r="P39" s="987"/>
      <c r="Q39" s="986">
        <f>IF(ISNUMBER(Q35),'Y1 to Y5'!O102,"N/A")</f>
        <v>488.23124809930295</v>
      </c>
      <c r="R39" s="987"/>
      <c r="S39" s="986">
        <f>IF(ISNUMBER(S35),'Y1 to Y5'!Q102,"N/A")</f>
        <v>499.36134098431063</v>
      </c>
      <c r="T39" s="987"/>
      <c r="U39" s="986">
        <f>IF(ISNUMBER(U35),'Y1 to Y5'!S102,"N/A")</f>
        <v>515.65441570124744</v>
      </c>
      <c r="V39" s="987"/>
    </row>
    <row r="40" spans="2:22" x14ac:dyDescent="0.25">
      <c r="B40" s="1233"/>
      <c r="C40" s="1234"/>
      <c r="D40" s="1233"/>
      <c r="E40" s="925"/>
      <c r="F40" s="1234"/>
      <c r="G40" s="1229" t="s">
        <v>1025</v>
      </c>
      <c r="H40" s="1229"/>
      <c r="I40" s="1230">
        <f>M78</f>
        <v>0.08</v>
      </c>
      <c r="J40" s="1231"/>
      <c r="K40" s="986">
        <f>'Y1 to Y5'!K107</f>
        <v>0</v>
      </c>
      <c r="L40" s="987"/>
      <c r="M40" s="986">
        <f>'Y1 to Y5'!K109</f>
        <v>276.19087856041961</v>
      </c>
      <c r="N40" s="987"/>
      <c r="O40" s="986">
        <f>IF(ISNUMBER(O35),'Y1 to Y5'!M109,"N/A")</f>
        <v>308.53083776184201</v>
      </c>
      <c r="P40" s="987"/>
      <c r="Q40" s="986">
        <f>IF(ISNUMBER(Q35),'Y1 to Y5'!O109,"N/A")</f>
        <v>316.12619696362037</v>
      </c>
      <c r="R40" s="987"/>
      <c r="S40" s="986">
        <f>IF(ISNUMBER(S35),'Y1 to Y5'!Q109,"N/A")</f>
        <v>331.94790970056886</v>
      </c>
      <c r="T40" s="987"/>
      <c r="U40" s="986">
        <f>IF(ISNUMBER(U35),'Y1 to Y5'!S109,"N/A")</f>
        <v>354.9099549494349</v>
      </c>
      <c r="V40" s="987"/>
    </row>
    <row r="41" spans="2:22" x14ac:dyDescent="0.25">
      <c r="B41" s="1233"/>
      <c r="C41" s="1234"/>
      <c r="D41" s="1235"/>
      <c r="E41" s="1238"/>
      <c r="F41" s="1236"/>
      <c r="G41" s="1229" t="s">
        <v>1026</v>
      </c>
      <c r="H41" s="1229"/>
      <c r="I41" s="1230">
        <f>M79</f>
        <v>0.04</v>
      </c>
      <c r="J41" s="1231"/>
      <c r="K41" s="986">
        <f>'Y1 to Y5'!K114</f>
        <v>0</v>
      </c>
      <c r="L41" s="987"/>
      <c r="M41" s="986">
        <f>'Y1 to Y5'!K116</f>
        <v>0</v>
      </c>
      <c r="N41" s="987"/>
      <c r="O41" s="986">
        <f>IF(ISNUMBER(O35),'Y1 to Y5'!M116,"N/A")</f>
        <v>0</v>
      </c>
      <c r="P41" s="987"/>
      <c r="Q41" s="986">
        <f>IF(ISNUMBER(Q35),'Y1 to Y5'!O116,"N/A")</f>
        <v>0</v>
      </c>
      <c r="R41" s="987"/>
      <c r="S41" s="986">
        <f>IF(ISNUMBER(S35),'Y1 to Y5'!Q116,"N/A")</f>
        <v>0</v>
      </c>
      <c r="T41" s="987"/>
      <c r="U41" s="986">
        <f>IF(ISNUMBER(U35),'Y1 to Y5'!S116,"N/A")</f>
        <v>0</v>
      </c>
      <c r="V41" s="987"/>
    </row>
    <row r="42" spans="2:22" x14ac:dyDescent="0.25">
      <c r="B42" s="1233"/>
      <c r="C42" s="1234"/>
      <c r="D42" s="1232" t="s">
        <v>1027</v>
      </c>
      <c r="E42" s="923"/>
      <c r="F42" s="924"/>
      <c r="G42" s="1237" t="s">
        <v>1021</v>
      </c>
      <c r="H42" s="1237"/>
      <c r="I42" s="1226">
        <f>I39</f>
        <v>0.12</v>
      </c>
      <c r="J42" s="888"/>
      <c r="K42" s="1225">
        <f>IF(Assumptions!$H$21="Yes",K39/Assumptions!K21,K39/Input!$G$27)</f>
        <v>0</v>
      </c>
      <c r="L42" s="888"/>
      <c r="M42" s="1225">
        <f>IF(Assumptions!$H$21="Yes",M39/Assumptions!M21,M39/Input!$G$27)</f>
        <v>9.673922676234406E-2</v>
      </c>
      <c r="N42" s="888"/>
      <c r="O42" s="1225">
        <f>IF(Assumptions!$H$21="Yes",O39/Assumptions!O21,O39/Input!$G$27)</f>
        <v>0.10412721610326031</v>
      </c>
      <c r="P42" s="888"/>
      <c r="Q42" s="1225">
        <f>IF(Assumptions!$H$21="Yes",Q39/Assumptions!Q21,Q39/Input!$G$27)</f>
        <v>0.10204215920270472</v>
      </c>
      <c r="R42" s="888"/>
      <c r="S42" s="1225">
        <f>IF(Assumptions!$H$21="Yes",S39/Assumptions!S21,S39/Input!$G$27)</f>
        <v>0.1013285342680922</v>
      </c>
      <c r="T42" s="888"/>
      <c r="U42" s="1225">
        <f>IF(Assumptions!$H$21="Yes",U39/Assumptions!U21,U39/Input!$G$27)</f>
        <v>0.10158705243378344</v>
      </c>
      <c r="V42" s="888"/>
    </row>
    <row r="43" spans="2:22" x14ac:dyDescent="0.25">
      <c r="B43" s="1233"/>
      <c r="C43" s="1234"/>
      <c r="D43" s="1233"/>
      <c r="E43" s="925"/>
      <c r="F43" s="1234"/>
      <c r="G43" s="1229" t="s">
        <v>1025</v>
      </c>
      <c r="H43" s="1229"/>
      <c r="I43" s="1226">
        <f>I40</f>
        <v>0.08</v>
      </c>
      <c r="J43" s="888"/>
      <c r="K43" s="1225">
        <f>IF(Assumptions!$H$21="Yes",K40/Assumptions!K21,K40/Input!$G$27)</f>
        <v>0</v>
      </c>
      <c r="L43" s="888"/>
      <c r="M43" s="1225">
        <f>IF(Assumptions!$H$21="Yes",M40/Assumptions!M21,M40/Input!$G$27)</f>
        <v>6.1240376020709093E-2</v>
      </c>
      <c r="N43" s="888"/>
      <c r="O43" s="1225">
        <f>IF(Assumptions!$H$21="Yes",O40/Assumptions!O21,O40/Input!$G$27)</f>
        <v>6.6418623506902849E-2</v>
      </c>
      <c r="P43" s="888"/>
      <c r="Q43" s="1225">
        <f>IF(Assumptions!$H$21="Yes",Q40/Assumptions!Q21,Q40/Input!$G$27)</f>
        <v>6.6071559008747102E-2</v>
      </c>
      <c r="R43" s="888"/>
      <c r="S43" s="1225">
        <f>IF(Assumptions!$H$21="Yes",S40/Assumptions!S21,S40/Input!$G$27)</f>
        <v>6.7357627398658526E-2</v>
      </c>
      <c r="T43" s="888"/>
      <c r="U43" s="1225">
        <f>IF(Assumptions!$H$21="Yes",U40/Assumptions!U21,U40/Input!$G$27)</f>
        <v>6.9919417161761616E-2</v>
      </c>
      <c r="V43" s="888"/>
    </row>
    <row r="44" spans="2:22" x14ac:dyDescent="0.25">
      <c r="B44" s="1235"/>
      <c r="C44" s="1236"/>
      <c r="D44" s="1235"/>
      <c r="E44" s="1238"/>
      <c r="F44" s="1236"/>
      <c r="G44" s="1229" t="s">
        <v>1026</v>
      </c>
      <c r="H44" s="1229"/>
      <c r="I44" s="1226">
        <f>I41</f>
        <v>0.04</v>
      </c>
      <c r="J44" s="888"/>
      <c r="K44" s="1225">
        <f>IF(Assumptions!$H$21="Yes",K41/Assumptions!K21,K41/Input!$G$27)</f>
        <v>0</v>
      </c>
      <c r="L44" s="888"/>
      <c r="M44" s="1225">
        <f>IF(Assumptions!$H$21="Yes",M41/Assumptions!M21,M41/Input!$G$27)</f>
        <v>0</v>
      </c>
      <c r="N44" s="888"/>
      <c r="O44" s="1225">
        <f>IF(Assumptions!$H$21="Yes",O41/Assumptions!O21,O41/Input!$G$27)</f>
        <v>0</v>
      </c>
      <c r="P44" s="888"/>
      <c r="Q44" s="1225">
        <f>IF(Assumptions!$H$21="Yes",Q41/Assumptions!Q21,Q41/Input!$G$27)</f>
        <v>0</v>
      </c>
      <c r="R44" s="888"/>
      <c r="S44" s="1225">
        <f>IF(Assumptions!$H$21="Yes",S41/Assumptions!S21,S41/Input!$G$27)</f>
        <v>0</v>
      </c>
      <c r="T44" s="888"/>
      <c r="U44" s="1225">
        <f>IF(Assumptions!$H$21="Yes",U41/Assumptions!U21,U41/Input!$G$27)</f>
        <v>0</v>
      </c>
      <c r="V44" s="888"/>
    </row>
    <row r="45" spans="2:22" x14ac:dyDescent="0.25">
      <c r="B45" s="192"/>
      <c r="C45" s="212"/>
      <c r="D45" s="212"/>
      <c r="E45" s="212"/>
      <c r="F45" s="212"/>
      <c r="G45" s="212"/>
      <c r="H45" s="212"/>
      <c r="I45" s="212"/>
      <c r="J45" s="212"/>
      <c r="K45" s="212"/>
      <c r="L45" s="212"/>
      <c r="M45" s="212"/>
      <c r="N45" s="212"/>
      <c r="O45" s="212"/>
      <c r="P45" s="212"/>
      <c r="Q45" s="212"/>
      <c r="R45" s="212"/>
      <c r="S45" s="212"/>
      <c r="T45" s="212"/>
      <c r="U45" s="212"/>
      <c r="V45" s="212"/>
    </row>
    <row r="46" spans="2:22" ht="15" customHeight="1" x14ac:dyDescent="0.25">
      <c r="B46" s="1232" t="s">
        <v>1039</v>
      </c>
      <c r="C46" s="924"/>
      <c r="D46" s="319" t="s">
        <v>1029</v>
      </c>
      <c r="E46" s="320"/>
      <c r="F46" s="320"/>
      <c r="G46" s="320"/>
      <c r="H46" s="320"/>
      <c r="I46" s="2"/>
      <c r="J46" s="3"/>
      <c r="K46" s="986">
        <f>'Y1 to Y5'!K36+IF(Assumptions!$H$39="Yes",IF(ISNUMBER(Input!O52),Input!O52,Input!O56),Input!O58)-Input!G56</f>
        <v>83.4</v>
      </c>
      <c r="L46" s="987"/>
      <c r="M46" s="986">
        <f>K46+'Y1 to Y5'!K63+'Y1 to Y5'!K64+'Y1 to Y5'!K69</f>
        <v>83.4</v>
      </c>
      <c r="N46" s="987"/>
      <c r="O46" s="986">
        <f>IF(ISNUMBER(O35),$K46+'Y1 to Y5'!M63+'Y1 to Y5'!M64+'Y1 to Y5'!M69,"N/A")</f>
        <v>83.4</v>
      </c>
      <c r="P46" s="987"/>
      <c r="Q46" s="986">
        <f>IF(ISNUMBER(Q35),$K46+'Y1 to Y5'!O63+'Y1 to Y5'!O64+'Y1 to Y5'!O69,"N/A")</f>
        <v>83.4</v>
      </c>
      <c r="R46" s="987"/>
      <c r="S46" s="986">
        <f>IF(ISNUMBER(S35),$K46+'Y1 to Y5'!Q63+'Y1 to Y5'!Q64+'Y1 to Y5'!Q69,"N/A")</f>
        <v>83.4</v>
      </c>
      <c r="T46" s="987"/>
      <c r="U46" s="986">
        <f>IF(ISNUMBER(U35),$K46+'Y1 to Y5'!S63+'Y1 to Y5'!S64+'Y1 to Y5'!S69,"N/A")</f>
        <v>83.4</v>
      </c>
      <c r="V46" s="987"/>
    </row>
    <row r="47" spans="2:22" x14ac:dyDescent="0.25">
      <c r="B47" s="1233"/>
      <c r="C47" s="1234"/>
      <c r="D47" s="321" t="s">
        <v>1030</v>
      </c>
      <c r="E47" s="322"/>
      <c r="F47" s="322"/>
      <c r="G47" s="322"/>
      <c r="H47" s="322"/>
      <c r="I47" s="4"/>
      <c r="J47" s="5"/>
      <c r="K47" s="986">
        <f>-'Y1 to Y5'!K36</f>
        <v>-57.6</v>
      </c>
      <c r="L47" s="987"/>
      <c r="M47" s="986">
        <f>-'Y1 to Y5'!K37</f>
        <v>-104.93085863030032</v>
      </c>
      <c r="N47" s="987"/>
      <c r="O47" s="986">
        <f>IF(ISNUMBER(O35),-'Y1 to Y5'!M37,"N/A")</f>
        <v>-122.16358446642752</v>
      </c>
      <c r="P47" s="987"/>
      <c r="Q47" s="986">
        <f>IF(ISNUMBER(Q35),-'Y1 to Y5'!O37,"N/A")</f>
        <v>-133.67571727431374</v>
      </c>
      <c r="R47" s="987"/>
      <c r="S47" s="986">
        <f>IF(ISNUMBER(S35),-'Y1 to Y5'!Q37,"N/A")</f>
        <v>-145.16404334992097</v>
      </c>
      <c r="T47" s="987"/>
      <c r="U47" s="986">
        <f>IF(ISNUMBER(U35),-'Y1 to Y5'!S37,"N/A")</f>
        <v>-156.25907722181555</v>
      </c>
      <c r="V47" s="987"/>
    </row>
    <row r="48" spans="2:22" x14ac:dyDescent="0.25">
      <c r="B48" s="1233"/>
      <c r="C48" s="1234"/>
      <c r="D48" s="321" t="s">
        <v>1031</v>
      </c>
      <c r="E48" s="322"/>
      <c r="F48" s="322"/>
      <c r="G48" s="322"/>
      <c r="H48" s="322"/>
      <c r="I48" s="4"/>
      <c r="J48" s="5"/>
      <c r="K48" s="986">
        <f>Input!G56</f>
        <v>0</v>
      </c>
      <c r="L48" s="987"/>
      <c r="M48" s="889">
        <f>$K48+SUM('Y1 to Y5'!K65:K68)</f>
        <v>36.559090909090912</v>
      </c>
      <c r="N48" s="888"/>
      <c r="O48" s="889">
        <f>IF(ISNUMBER(O35),$K48+SUM('Y1 to Y5'!M65:M68),"N/A")</f>
        <v>36.559090909090912</v>
      </c>
      <c r="P48" s="888"/>
      <c r="Q48" s="889">
        <f>IF(ISNUMBER(Q35),$K48+SUM('Y1 to Y5'!O65:O68),"N/A")</f>
        <v>36.559090909090912</v>
      </c>
      <c r="R48" s="888"/>
      <c r="S48" s="889">
        <f>IF(ISNUMBER(S35),$K48+SUM('Y1 to Y5'!Q65:Q68),"N/A")</f>
        <v>36.559090909090912</v>
      </c>
      <c r="T48" s="888"/>
      <c r="U48" s="889">
        <f>IF(ISNUMBER(U35),$K48+SUM('Y1 to Y5'!S65:S68),"N/A")</f>
        <v>36.559090909090912</v>
      </c>
      <c r="V48" s="888"/>
    </row>
    <row r="49" spans="2:22" x14ac:dyDescent="0.25">
      <c r="B49" s="1233"/>
      <c r="C49" s="1234"/>
      <c r="D49" s="321" t="s">
        <v>1032</v>
      </c>
      <c r="E49" s="322"/>
      <c r="F49" s="322"/>
      <c r="G49" s="322"/>
      <c r="H49" s="322"/>
      <c r="I49" s="4"/>
      <c r="J49" s="5"/>
      <c r="K49" s="986">
        <f>SUM(K46:K48)</f>
        <v>25.800000000000004</v>
      </c>
      <c r="L49" s="987">
        <f>SUM(L46:L48)</f>
        <v>0</v>
      </c>
      <c r="M49" s="986">
        <f>SUM(M46:M48)</f>
        <v>15.028232278790597</v>
      </c>
      <c r="N49" s="987">
        <f>SUM(N46:N48)</f>
        <v>0</v>
      </c>
      <c r="O49" s="986">
        <f>IF(ISNUMBER(O35),SUM(O46:O48),"N/A")</f>
        <v>-2.2044935573366047</v>
      </c>
      <c r="P49" s="987">
        <f>SUM(P46:P48)</f>
        <v>0</v>
      </c>
      <c r="Q49" s="986">
        <f>IF(ISNUMBER(Q35),SUM(Q46:Q48),"N/A")</f>
        <v>-13.716626365222822</v>
      </c>
      <c r="R49" s="987">
        <f>SUM(R46:R48)</f>
        <v>0</v>
      </c>
      <c r="S49" s="986">
        <f>IF(ISNUMBER(S35),SUM(S46:S48),"N/A")</f>
        <v>-25.204952440830056</v>
      </c>
      <c r="T49" s="987">
        <f>SUM(T46:T48)</f>
        <v>0</v>
      </c>
      <c r="U49" s="986">
        <f>IF(ISNUMBER(U35),SUM(U46:U48),"N/A")</f>
        <v>-36.299986312724627</v>
      </c>
      <c r="V49" s="987">
        <f>SUM(V46:V48)</f>
        <v>0</v>
      </c>
    </row>
    <row r="50" spans="2:22" x14ac:dyDescent="0.25">
      <c r="B50" s="1235"/>
      <c r="C50" s="1236"/>
      <c r="D50" s="323" t="s">
        <v>1033</v>
      </c>
      <c r="E50" s="324"/>
      <c r="F50" s="324"/>
      <c r="G50" s="324"/>
      <c r="H50" s="324"/>
      <c r="I50" s="6"/>
      <c r="J50" s="7"/>
      <c r="K50" s="986">
        <f>'Y1 to Y5'!K49</f>
        <v>2250.1909090909094</v>
      </c>
      <c r="L50" s="987"/>
      <c r="M50" s="986">
        <f>'Y1 to Y5'!K55</f>
        <v>7490.6306155658685</v>
      </c>
      <c r="N50" s="987"/>
      <c r="O50" s="986">
        <f>IF(ISNUMBER(O35),'Y1 to Y5'!M55,"N/A")</f>
        <v>7867.3239361169408</v>
      </c>
      <c r="P50" s="987"/>
      <c r="Q50" s="986">
        <f>IF(ISNUMBER(Q35),'Y1 to Y5'!O55,"N/A")</f>
        <v>7790.8080965738845</v>
      </c>
      <c r="R50" s="987"/>
      <c r="S50" s="986">
        <f>IF(ISNUMBER(S35),'Y1 to Y5'!Q55,"N/A")</f>
        <v>7673.5176002753642</v>
      </c>
      <c r="T50" s="987"/>
      <c r="U50" s="986">
        <f>IF(ISNUMBER(U35),'Y1 to Y5'!S55,"N/A")</f>
        <v>7506.7933369771326</v>
      </c>
      <c r="V50" s="987"/>
    </row>
    <row r="51" spans="2:22" x14ac:dyDescent="0.25">
      <c r="B51" s="192"/>
      <c r="C51" s="212"/>
      <c r="D51" s="212"/>
      <c r="E51" s="212"/>
      <c r="F51" s="212"/>
      <c r="G51" s="212"/>
      <c r="H51" s="212"/>
      <c r="I51" s="212"/>
      <c r="J51" s="212"/>
      <c r="K51" s="212"/>
      <c r="L51" s="212"/>
      <c r="M51" s="212"/>
      <c r="N51" s="212"/>
      <c r="O51" s="212"/>
      <c r="P51" s="212"/>
      <c r="Q51" s="212"/>
      <c r="R51" s="212"/>
      <c r="S51" s="212"/>
      <c r="T51" s="212"/>
      <c r="U51" s="212"/>
      <c r="V51" s="212"/>
    </row>
    <row r="52" spans="2:22" ht="15" customHeight="1" x14ac:dyDescent="0.25">
      <c r="B52" s="1232" t="str">
        <f>"Risk Drivers: Changes compared to " &amp; K35</f>
        <v>Risk Drivers: Changes compared to 2014</v>
      </c>
      <c r="C52" s="924"/>
      <c r="D52" s="319" t="s">
        <v>1034</v>
      </c>
      <c r="E52" s="320"/>
      <c r="F52" s="320"/>
      <c r="G52" s="320"/>
      <c r="H52" s="320"/>
      <c r="I52" s="2"/>
      <c r="J52" s="3"/>
      <c r="K52" s="212"/>
      <c r="L52" s="212"/>
      <c r="M52" s="1226">
        <f>IF(ISNUMBER(IF(M46&lt;0,(-M46+$K46)/$K46,(M46-$K46)/$K46)),IF($K46&lt;0,(-M46+$K46)/$K46,(M46-$K46)/$K46),"n.a.")</f>
        <v>0</v>
      </c>
      <c r="N52" s="888" t="str">
        <f>IF(ISNUMBER(IF(N46&lt;0,(-N46+$G46)/$G46,(N46-$G46)/$G46)),IF($G46&lt;0,(-N46+$G46)/$G46,(N46-$G46)/$G46),"n.a.")</f>
        <v>n.a.</v>
      </c>
      <c r="O52" s="1225">
        <f>IF(ISNUMBER(O35),IF(ISNUMBER(IF(O46&lt;0,(-O46+$K46)/$K46,(O46-$K46)/$K46)),IF($K46&lt;0,(-O46+$K46)/$K46,(O46-$K46)/$K46),"N/A"),"N/A")</f>
        <v>0</v>
      </c>
      <c r="P52" s="888" t="str">
        <f>IF(ISNUMBER(IF(P46&lt;0,(-P46+$G46)/$G46,(P46-$G46)/$G46)),IF($G46&lt;0,(-P46+$G46)/$G46,(P46-$G46)/$G46),"n.a.")</f>
        <v>n.a.</v>
      </c>
      <c r="Q52" s="1225">
        <f>IF(ISNUMBER(Q35),IF(ISNUMBER(IF(Q46&lt;0,(-Q46+$K46)/$K46,(Q46-$K46)/$K46)),IF($K46&lt;0,(-Q46+$K46)/$K46,(Q46-$K46)/$K46),"N/A"),"N/A")</f>
        <v>0</v>
      </c>
      <c r="R52" s="888" t="str">
        <f>IF(ISNUMBER(IF(R46&lt;0,(-R46+$G46)/$G46,(R46-$G46)/$G46)),IF($G46&lt;0,(-R46+$G46)/$G46,(R46-$G46)/$G46),"n.a.")</f>
        <v>n.a.</v>
      </c>
      <c r="S52" s="1225">
        <f>IF(ISNUMBER(S35),IF(ISNUMBER(IF(S46&lt;0,(-S46+$K46)/$K46,(S46-$K46)/$K46)),IF($K46&lt;0,(-S46+$K46)/$K46,(S46-$K46)/$K46),"N/A"),"N/A")</f>
        <v>0</v>
      </c>
      <c r="T52" s="888" t="str">
        <f>IF(ISNUMBER(IF(T46&lt;0,(-T46+$G46)/$G46,(T46-$G46)/$G46)),IF($G46&lt;0,(-T46+$G46)/$G46,(T46-$G46)/$G46),"n.a.")</f>
        <v>n.a.</v>
      </c>
      <c r="U52" s="1225">
        <f>IF(ISNUMBER(U35),IF(ISNUMBER(IF(U46&lt;0,(-U46+$K46)/$K46,(U46-$K46)/$K46)),IF($K46&lt;0,(-U46+$K46)/$K46,(U46-$K46)/$K46),"N/A"),"N/A")</f>
        <v>0</v>
      </c>
      <c r="V52" s="888" t="str">
        <f>IF(ISNUMBER(IF(V46&lt;0,(-V46+$G46)/$G46,(V46-$G46)/$G46)),IF($G46&lt;0,(-V46+$G46)/$G46,(V46-$G46)/$G46),"n.a.")</f>
        <v>n.a.</v>
      </c>
    </row>
    <row r="53" spans="2:22" x14ac:dyDescent="0.25">
      <c r="B53" s="1233"/>
      <c r="C53" s="1234"/>
      <c r="D53" s="321" t="s">
        <v>1035</v>
      </c>
      <c r="E53" s="322"/>
      <c r="F53" s="322"/>
      <c r="G53" s="322"/>
      <c r="H53" s="322"/>
      <c r="I53" s="4"/>
      <c r="J53" s="5"/>
      <c r="K53" s="212"/>
      <c r="L53" s="212"/>
      <c r="M53" s="1226">
        <f>IF(ISNUMBER(IF(M47&lt;0,-(-M47+$K47)/$K47,-(M47-$K47)/$K47)),IF($K47&lt;0,-(-M47+$K47)/$K47,-(M47-$K47)/$K47),"n.a.")</f>
        <v>0.82171629566493609</v>
      </c>
      <c r="N53" s="888" t="str">
        <f>IF(ISNUMBER(IF(N47&lt;0,-(-N47+$G47)/$G47,-(N47-$G47)/$G47)),IF($G47&lt;0,-(-N47+$G47)/$G47,-(N47-$G47)/$G47),"n.a.")</f>
        <v>n.a.</v>
      </c>
      <c r="O53" s="1225">
        <f>IF(ISNUMBER(O35),IF(ISNUMBER(IF(O47&lt;0,-(-O47+$K47)/$K47,-(O47-$K47)/$K47)),IF($K47&lt;0,-(-O47+$K47)/$K47,-(O47-$K47)/$K47),"N/A"),"N/A")</f>
        <v>1.1208955636532556</v>
      </c>
      <c r="P53" s="888" t="str">
        <f>IF(ISNUMBER(IF(P47&lt;0,-(-P47+$G47)/$G47,-(P47-$G47)/$G47)),IF($G47&lt;0,-(-P47+$G47)/$G47,-(P47-$G47)/$G47),"n.a.")</f>
        <v>n.a.</v>
      </c>
      <c r="Q53" s="1225">
        <f>IF(ISNUMBER(Q35),IF(ISNUMBER(IF(Q47&lt;0,-(-Q47+$K47)/$K47,-(Q47-$K47)/$K47)),IF($K47&lt;0,-(-Q47+$K47)/$K47,-(Q47-$K47)/$K47),"N/A"),"N/A")</f>
        <v>1.3207589804568358</v>
      </c>
      <c r="R53" s="888" t="str">
        <f>IF(ISNUMBER(IF(R47&lt;0,-(-R47+$G47)/$G47,-(R47-$G47)/$G47)),IF($G47&lt;0,-(-R47+$G47)/$G47,-(R47-$G47)/$G47),"n.a.")</f>
        <v>n.a.</v>
      </c>
      <c r="S53" s="1225">
        <f>IF(ISNUMBER(S35),IF(ISNUMBER(IF(S47&lt;0,-(-S47+$K47)/$K47,-(S47-$K47)/$K47)),IF($K47&lt;0,-(-S47+$K47)/$K47,-(S47-$K47)/$K47),"N/A"),"N/A")</f>
        <v>1.5202090859361281</v>
      </c>
      <c r="T53" s="888" t="str">
        <f>IF(ISNUMBER(IF(T47&lt;0,-(-T47+$G47)/$G47,-(T47-$G47)/$G47)),IF($G47&lt;0,-(-T47+$G47)/$G47,-(T47-$G47)/$G47),"n.a.")</f>
        <v>n.a.</v>
      </c>
      <c r="U53" s="1225">
        <f>IF(ISNUMBER(U35),IF(ISNUMBER(IF(U47&lt;0,-(-U47+$K47)/$K47,-(U47-$K47)/$K47)),IF($K47&lt;0,-(-U47+$K47)/$K47,-(U47-$K47)/$K47),"N/A"),"N/A")</f>
        <v>1.712831201767631</v>
      </c>
      <c r="V53" s="888" t="str">
        <f>IF(ISNUMBER(IF(V47&lt;0,-(-V47+$G47)/$G47,-(V47-$G47)/$G47)),IF($G47&lt;0,-(-V47+$G47)/$G47,-(V47-$G47)/$G47),"n.a.")</f>
        <v>n.a.</v>
      </c>
    </row>
    <row r="54" spans="2:22" x14ac:dyDescent="0.25">
      <c r="B54" s="1233"/>
      <c r="C54" s="1234"/>
      <c r="D54" s="321" t="s">
        <v>1036</v>
      </c>
      <c r="E54" s="322"/>
      <c r="F54" s="322"/>
      <c r="G54" s="322"/>
      <c r="H54" s="322"/>
      <c r="I54" s="4"/>
      <c r="J54" s="5"/>
      <c r="K54" s="212"/>
      <c r="L54" s="212"/>
      <c r="M54" s="1226" t="str">
        <f>IF(ISNUMBER(IF(M48&lt;0,-(-M48+$K48)/$K48,-(M48-$K48)/$K48)),IF($K48&lt;0,-(-M48+$K48)/$K48,-(M48-$K48)/$K48),"n.a.")</f>
        <v>n.a.</v>
      </c>
      <c r="N54" s="888" t="str">
        <f>IF(ISNUMBER(IF(N48&lt;0,-(-N48+$G48)/$G48,-(N48-$G48)/$G48)),IF($G48&lt;0,-(-N48+$G48)/$G48,-(N48-$G48)/$G48),"n.a.")</f>
        <v>n.a.</v>
      </c>
      <c r="O54" s="1225" t="str">
        <f>IF(ISNUMBER(O35),IF(ISNUMBER(IF(O48&lt;0,-(-O48+$K48)/$K48,-(O48-$K48)/$K48)),IF($K48&lt;0,-(-O48+$K48)/$K48,-(O48-$K48)/$K48),"N/A"),"N/A")</f>
        <v>N/A</v>
      </c>
      <c r="P54" s="888" t="str">
        <f>IF(ISNUMBER(IF(P48&lt;0,-(-P48+$G48)/$G48,-(P48-$G48)/$G48)),IF($G48&lt;0,-(-P48+$G48)/$G48,-(P48-$G48)/$G48),"n.a.")</f>
        <v>n.a.</v>
      </c>
      <c r="Q54" s="1225" t="str">
        <f>IF(ISNUMBER(Q35),IF(ISNUMBER(IF(Q48&lt;0,-(-Q48+$K48)/$K48,-(Q48-$K48)/$K48)),IF($K48&lt;0,-(-Q48+$K48)/$K48,-(Q48-$K48)/$K48),"N/A"),"N/A")</f>
        <v>N/A</v>
      </c>
      <c r="R54" s="888" t="str">
        <f>IF(ISNUMBER(IF(R48&lt;0,-(-R48+$G48)/$G48,-(R48-$G48)/$G48)),IF($G48&lt;0,-(-R48+$G48)/$G48,-(R48-$G48)/$G48),"n.a.")</f>
        <v>n.a.</v>
      </c>
      <c r="S54" s="1225" t="str">
        <f>IF(ISNUMBER(S35),IF(ISNUMBER(IF(S48&lt;0,-(-S48+$K48)/$K48,-(S48-$K48)/$K48)),IF($K48&lt;0,-(-S48+$K48)/$K48,-(S48-$K48)/$K48),"N/A"),"N/A")</f>
        <v>N/A</v>
      </c>
      <c r="T54" s="888" t="str">
        <f>IF(ISNUMBER(IF(T48&lt;0,-(-T48+$G48)/$G48,-(T48-$G48)/$G48)),IF($G48&lt;0,-(-T48+$G48)/$G48,-(T48-$G48)/$G48),"n.a.")</f>
        <v>n.a.</v>
      </c>
      <c r="U54" s="1225" t="str">
        <f>IF(ISNUMBER(U35),IF(ISNUMBER(IF(U48&lt;0,-(-U48+$K48)/$K48,-(U48-$K48)/$K48)),IF($K48&lt;0,-(-U48+$K48)/$K48,-(U48-$K48)/$K48),"N/A"),"N/A")</f>
        <v>N/A</v>
      </c>
      <c r="V54" s="888" t="str">
        <f>IF(ISNUMBER(IF(V48&lt;0,-(-V48+$G48)/$G48,-(V48-$G48)/$G48)),IF($G48&lt;0,-(-V48+$G48)/$G48,-(V48-$G48)/$G48),"n.a.")</f>
        <v>n.a.</v>
      </c>
    </row>
    <row r="55" spans="2:22" x14ac:dyDescent="0.25">
      <c r="B55" s="1233"/>
      <c r="C55" s="1234"/>
      <c r="D55" s="321" t="s">
        <v>1037</v>
      </c>
      <c r="E55" s="322"/>
      <c r="F55" s="322"/>
      <c r="G55" s="322"/>
      <c r="H55" s="322"/>
      <c r="I55" s="4"/>
      <c r="J55" s="5"/>
      <c r="K55" s="212"/>
      <c r="L55" s="212"/>
      <c r="M55" s="1226">
        <f>IF(ISNUMBER(IF(M49&lt;0,-(-M49+$K49)/$K49,-(M49-$K49)/$K49)),IF($K49&lt;0,-(-M49+$K49)/$K49,-(M49-$K49)/$K49),"n.a.")</f>
        <v>0.41751037679106223</v>
      </c>
      <c r="N55" s="888" t="str">
        <f>IF(ISNUMBER(IF(N49&lt;0,-(-N49+$G49)/$G49,-(N49-$G49)/$G49)),IF($G49&lt;0,-(-N49+$G49)/$G49,-(N49-$G49)/$G49),"n.a.")</f>
        <v>n.a.</v>
      </c>
      <c r="O55" s="1225">
        <f>IF(ISNUMBER(O35),IF(ISNUMBER(IF(O49&lt;0,-(-O49+$K49)/$K49,-(O49-$K49)/$K49)),IF($K49&lt;0,-(-O49+$K49)/$K49,-(O49-$K49)/$K49),"N/A"),"N/A")</f>
        <v>1.0854454867184731</v>
      </c>
      <c r="P55" s="888" t="str">
        <f>IF(ISNUMBER(IF(P49&lt;0,-(-P49+$G49)/$G49,-(P49-$G49)/$G49)),IF($G49&lt;0,-(-P49+$G49)/$G49,-(P49-$G49)/$G49),"n.a.")</f>
        <v>n.a.</v>
      </c>
      <c r="Q55" s="1225">
        <f>IF(ISNUMBER(Q35),IF(ISNUMBER(IF(Q49&lt;0,-(-Q49+$K49)/$K49,-(Q49-$K49)/$K49)),IF($K49&lt;0,-(-Q49+$K49)/$K49,-(Q49-$K49)/$K49),"N/A"),"N/A")</f>
        <v>1.5316521846985589</v>
      </c>
      <c r="R55" s="888" t="str">
        <f>IF(ISNUMBER(IF(R49&lt;0,-(-R49+$G49)/$G49,-(R49-$G49)/$G49)),IF($G49&lt;0,-(-R49+$G49)/$G49,-(R49-$G49)/$G49),"n.a.")</f>
        <v>n.a.</v>
      </c>
      <c r="S55" s="1225">
        <f>IF(ISNUMBER(S35),IF(ISNUMBER(IF(S49&lt;0,-(-S49+$K49)/$K49,-(S49-$K49)/$K49)),IF($K49&lt;0,-(-S49+$K49)/$K49,-(S49-$K49)/$K49),"N/A"),"N/A")</f>
        <v>1.9769361411174438</v>
      </c>
      <c r="T55" s="888" t="str">
        <f>IF(ISNUMBER(IF(T49&lt;0,-(-T49+$G49)/$G49,-(T49-$G49)/$G49)),IF($G49&lt;0,-(-T49+$G49)/$G49,-(T49-$G49)/$G49),"n.a.")</f>
        <v>n.a.</v>
      </c>
      <c r="U55" s="1225">
        <f>IF(ISNUMBER(U35),IF(ISNUMBER(IF(U49&lt;0,-(-U49+$K49)/$K49,-(U49-$K49)/$K49)),IF($K49&lt;0,-(-U49+$K49)/$K49,-(U49-$K49)/$K49),"N/A"),"N/A")</f>
        <v>2.4069762136714967</v>
      </c>
      <c r="V55" s="888" t="str">
        <f>IF(ISNUMBER(IF(V49&lt;0,-(-V49+$G49)/$G49,-(V49-$G49)/$G49)),IF($G49&lt;0,-(-V49+$G49)/$G49,-(V49-$G49)/$G49),"n.a.")</f>
        <v>n.a.</v>
      </c>
    </row>
    <row r="56" spans="2:22" x14ac:dyDescent="0.25">
      <c r="B56" s="1235"/>
      <c r="C56" s="1236"/>
      <c r="D56" s="323" t="s">
        <v>1038</v>
      </c>
      <c r="E56" s="324"/>
      <c r="F56" s="324"/>
      <c r="G56" s="324"/>
      <c r="H56" s="324"/>
      <c r="I56" s="6"/>
      <c r="J56" s="7"/>
      <c r="K56" s="212"/>
      <c r="L56" s="212"/>
      <c r="M56" s="1226">
        <f>IF(ISNUMBER(IF(M50&lt;0,(-M50+$K50)/$K50,(M50-$K50)/$K50)),IF($K50&lt;0,(-M50+$K50)/$K50,(M50-$K50)/$K50),"n.a.")</f>
        <v>2.3288867114800178</v>
      </c>
      <c r="N56" s="888" t="str">
        <f>IF(ISNUMBER(IF(N50&lt;0,(-N50+$G50)/$G50,(N50-$G50)/$G50)),IF($G50&lt;0,(-N50+$G50)/$G50,(N50-$G50)/$G50),"n.a.")</f>
        <v>n.a.</v>
      </c>
      <c r="O56" s="1225">
        <f>IF(ISNUMBER(O35),IF(ISNUMBER(IF(O50&lt;0,(-O50+$K50)/$K50,(O50-$K50)/$K50)),IF($K50&lt;0,(-O50+$K50)/$K50,(O50-$K50)/$K50),"N/A"),"N/A")</f>
        <v>2.4962917609934645</v>
      </c>
      <c r="P56" s="888" t="str">
        <f>IF(ISNUMBER(IF(P50&lt;0,(-P50+$G50)/$G50,(P50-$G50)/$G50)),IF($G50&lt;0,(-P50+$G50)/$G50,(P50-$G50)/$G50),"n.a.")</f>
        <v>n.a.</v>
      </c>
      <c r="Q56" s="1225">
        <f>IF(ISNUMBER(Q35),IF(ISNUMBER(IF(Q50&lt;0,(-Q50+$K50)/$K50,(Q50-$K50)/$K50)),IF($K50&lt;0,(-Q50+$K50)/$K50,(Q50-$K50)/$K50),"N/A"),"N/A")</f>
        <v>2.4622876063975467</v>
      </c>
      <c r="R56" s="888" t="str">
        <f>IF(ISNUMBER(IF(R50&lt;0,(-R50+$G50)/$G50,(R50-$G50)/$G50)),IF($G50&lt;0,(-R50+$G50)/$G50,(R50-$G50)/$G50),"n.a.")</f>
        <v>n.a.</v>
      </c>
      <c r="S56" s="1225">
        <f>IF(ISNUMBER(S35),IF(ISNUMBER(IF(S50&lt;0,(-S50+$K50)/$K50,(S50-$K50)/$K50)),IF($K50&lt;0,(-S50+$K50)/$K50,(S50-$K50)/$K50),"N/A"),"N/A")</f>
        <v>2.4101629196322332</v>
      </c>
      <c r="T56" s="888" t="str">
        <f>IF(ISNUMBER(IF(T50&lt;0,(-T50+$G50)/$G50,(T50-$G50)/$G50)),IF($G50&lt;0,(-T50+$G50)/$G50,(T50-$G50)/$G50),"n.a.")</f>
        <v>n.a.</v>
      </c>
      <c r="U56" s="1225">
        <f>IF(ISNUMBER(U35),IF(ISNUMBER(IF(U50&lt;0,(-U50+$K50)/$K50,(U50-$K50)/$K50)),IF($K50&lt;0,(-U50+$K50)/$K50,(U50-$K50)/$K50),"N/A"),"N/A")</f>
        <v>2.3360695337667692</v>
      </c>
      <c r="V56" s="888" t="str">
        <f>IF(ISNUMBER(IF(V50&lt;0,(-V50+$G50)/$G50,(V50-$G50)/$G50)),IF($G50&lt;0,(-V50+$G50)/$G50,(V50-$G50)/$G50),"n.a.")</f>
        <v>n.a.</v>
      </c>
    </row>
    <row r="57" spans="2:22" x14ac:dyDescent="0.25">
      <c r="B57" s="192"/>
      <c r="C57" s="212"/>
      <c r="D57" s="212"/>
      <c r="E57" s="212"/>
      <c r="F57" s="212"/>
      <c r="G57" s="212"/>
      <c r="H57" s="212"/>
      <c r="I57" s="212"/>
      <c r="J57" s="212"/>
      <c r="K57" s="212"/>
      <c r="L57" s="212"/>
      <c r="M57" s="212"/>
      <c r="N57" s="212"/>
      <c r="O57" s="212"/>
      <c r="P57" s="212"/>
      <c r="Q57" s="212"/>
      <c r="R57" s="212"/>
      <c r="S57" s="212"/>
      <c r="T57" s="212"/>
      <c r="U57" s="212"/>
      <c r="V57" s="212"/>
    </row>
    <row r="58" spans="2:22" ht="15" customHeight="1" x14ac:dyDescent="0.25">
      <c r="B58" s="1232" t="s">
        <v>1041</v>
      </c>
      <c r="C58" s="924"/>
      <c r="D58" s="11" t="s">
        <v>1034</v>
      </c>
      <c r="E58" s="2"/>
      <c r="F58" s="2"/>
      <c r="G58" s="2"/>
      <c r="H58" s="2"/>
      <c r="I58" s="2"/>
      <c r="J58" s="3"/>
      <c r="K58" s="212"/>
      <c r="L58" s="212"/>
      <c r="M58" s="1226">
        <f>M46/M$50</f>
        <v>1.1133909049885739E-2</v>
      </c>
      <c r="N58" s="888" t="e">
        <f>N46/N$35*100</f>
        <v>#DIV/0!</v>
      </c>
      <c r="O58" s="1225">
        <f>IF(ISNUMBER(O35),O46/O$50,"N/A")</f>
        <v>1.0600809204910352E-2</v>
      </c>
      <c r="P58" s="888" t="e">
        <f t="shared" ref="P58:V58" si="0">P46/P$35*100</f>
        <v>#DIV/0!</v>
      </c>
      <c r="Q58" s="1225">
        <f>IF(ISNUMBER(Q35),Q46/Q$50,"N/A")</f>
        <v>1.0704922899676646E-2</v>
      </c>
      <c r="R58" s="888" t="e">
        <f t="shared" si="0"/>
        <v>#DIV/0!</v>
      </c>
      <c r="S58" s="1225">
        <f>IF(ISNUMBER(S35),S46/S$50,"N/A")</f>
        <v>1.0868548734026127E-2</v>
      </c>
      <c r="T58" s="888" t="e">
        <f t="shared" si="0"/>
        <v>#DIV/0!</v>
      </c>
      <c r="U58" s="1225">
        <f>IF(ISNUMBER(U35),U46/U$50,"N/A")</f>
        <v>1.1109936860681431E-2</v>
      </c>
      <c r="V58" s="888" t="e">
        <f t="shared" si="0"/>
        <v>#DIV/0!</v>
      </c>
    </row>
    <row r="59" spans="2:22" x14ac:dyDescent="0.25">
      <c r="B59" s="1233"/>
      <c r="C59" s="1234"/>
      <c r="D59" s="12" t="s">
        <v>1035</v>
      </c>
      <c r="E59" s="4"/>
      <c r="F59" s="4"/>
      <c r="G59" s="4"/>
      <c r="H59" s="4"/>
      <c r="I59" s="4"/>
      <c r="J59" s="5"/>
      <c r="K59" s="212"/>
      <c r="L59" s="212"/>
      <c r="M59" s="1226">
        <f>M47/M$50</f>
        <v>-1.4008281013383474E-2</v>
      </c>
      <c r="N59" s="888" t="e">
        <f t="shared" ref="N59:V59" si="1">N47/N$35*100</f>
        <v>#DIV/0!</v>
      </c>
      <c r="O59" s="1225">
        <f>IF(ISNUMBER(O35),O47/O$50,"N/A")</f>
        <v>-1.552797183113367E-2</v>
      </c>
      <c r="P59" s="888" t="e">
        <f t="shared" si="1"/>
        <v>#DIV/0!</v>
      </c>
      <c r="Q59" s="1225">
        <f>IF(ISNUMBER(Q35),Q47/Q$50,"N/A")</f>
        <v>-1.7158132457799787E-2</v>
      </c>
      <c r="R59" s="888" t="e">
        <f t="shared" si="1"/>
        <v>#DIV/0!</v>
      </c>
      <c r="S59" s="1225">
        <f>IF(ISNUMBER(S35),S47/S$50,"N/A")</f>
        <v>-1.8917535726341691E-2</v>
      </c>
      <c r="T59" s="888" t="e">
        <f t="shared" si="1"/>
        <v>#DIV/0!</v>
      </c>
      <c r="U59" s="1225">
        <f>IF(ISNUMBER(U35),U47/U$50,"N/A")</f>
        <v>-2.0815689230727991E-2</v>
      </c>
      <c r="V59" s="888" t="e">
        <f t="shared" si="1"/>
        <v>#DIV/0!</v>
      </c>
    </row>
    <row r="60" spans="2:22" x14ac:dyDescent="0.25">
      <c r="B60" s="1233"/>
      <c r="C60" s="1234"/>
      <c r="D60" s="12" t="s">
        <v>1036</v>
      </c>
      <c r="E60" s="4"/>
      <c r="F60" s="4"/>
      <c r="G60" s="4"/>
      <c r="H60" s="4"/>
      <c r="I60" s="4"/>
      <c r="J60" s="5"/>
      <c r="K60" s="212"/>
      <c r="L60" s="212"/>
      <c r="M60" s="1226">
        <f>M48/M$50</f>
        <v>4.8806426034571073E-3</v>
      </c>
      <c r="N60" s="888" t="e">
        <f t="shared" ref="N60:V60" si="2">N48/N$35*100</f>
        <v>#DIV/0!</v>
      </c>
      <c r="O60" s="1225">
        <f>IF(ISNUMBER(O35),O48/O$50,"N/A")</f>
        <v>4.6469538061420295E-3</v>
      </c>
      <c r="P60" s="888" t="e">
        <f t="shared" si="2"/>
        <v>#DIV/0!</v>
      </c>
      <c r="Q60" s="1225">
        <f>IF(ISNUMBER(Q35),Q48/Q$50,"N/A")</f>
        <v>4.6925929192336647E-3</v>
      </c>
      <c r="R60" s="888" t="e">
        <f t="shared" si="2"/>
        <v>#DIV/0!</v>
      </c>
      <c r="S60" s="1225">
        <f>IF(ISNUMBER(S35),S48/S$50,"N/A")</f>
        <v>4.7643196788626626E-3</v>
      </c>
      <c r="T60" s="888" t="e">
        <f t="shared" si="2"/>
        <v>#DIV/0!</v>
      </c>
      <c r="U60" s="1225">
        <f>IF(ISNUMBER(U35),U48/U$50,"N/A")</f>
        <v>4.8701341928526678E-3</v>
      </c>
      <c r="V60" s="888" t="e">
        <f t="shared" si="2"/>
        <v>#DIV/0!</v>
      </c>
    </row>
    <row r="61" spans="2:22" x14ac:dyDescent="0.25">
      <c r="B61" s="1233"/>
      <c r="C61" s="1234"/>
      <c r="D61" s="12" t="s">
        <v>1037</v>
      </c>
      <c r="E61" s="4"/>
      <c r="F61" s="4"/>
      <c r="G61" s="4"/>
      <c r="H61" s="4"/>
      <c r="I61" s="4"/>
      <c r="J61" s="5"/>
      <c r="K61" s="212"/>
      <c r="L61" s="212"/>
      <c r="M61" s="1226">
        <f>M49/M$50</f>
        <v>2.0062706399593716E-3</v>
      </c>
      <c r="N61" s="888" t="e">
        <f t="shared" ref="N61:V61" si="3">N49/N$35*100</f>
        <v>#DIV/0!</v>
      </c>
      <c r="O61" s="1225">
        <f>IF(ISNUMBER(O35),O49/O$50,"N/A")</f>
        <v>-2.802088200812883E-4</v>
      </c>
      <c r="P61" s="888" t="e">
        <f t="shared" si="3"/>
        <v>#DIV/0!</v>
      </c>
      <c r="Q61" s="1225">
        <f>IF(ISNUMBER(Q35),Q49/Q$50,"N/A")</f>
        <v>-1.7606166388894752E-3</v>
      </c>
      <c r="R61" s="888" t="e">
        <f t="shared" si="3"/>
        <v>#DIV/0!</v>
      </c>
      <c r="S61" s="1225">
        <f>IF(ISNUMBER(S35),S49/S$50,"N/A")</f>
        <v>-3.2846673134529041E-3</v>
      </c>
      <c r="T61" s="888" t="e">
        <f t="shared" si="3"/>
        <v>#DIV/0!</v>
      </c>
      <c r="U61" s="1225">
        <f>IF(ISNUMBER(U35),U49/U$50,"N/A")</f>
        <v>-4.8356181771938931E-3</v>
      </c>
      <c r="V61" s="888" t="e">
        <f t="shared" si="3"/>
        <v>#DIV/0!</v>
      </c>
    </row>
    <row r="62" spans="2:22" x14ac:dyDescent="0.25">
      <c r="B62" s="1233"/>
      <c r="C62" s="1234"/>
      <c r="D62" s="12" t="s">
        <v>1040</v>
      </c>
      <c r="E62" s="4"/>
      <c r="F62" s="4"/>
      <c r="G62" s="4"/>
      <c r="H62" s="4"/>
      <c r="I62" s="4"/>
      <c r="J62" s="5"/>
      <c r="K62" s="212"/>
      <c r="L62" s="212"/>
      <c r="M62" s="1226">
        <f>IF(ISNUMBER((M36-K36)-(M61+M63)),(M36-K36)-(M61+M63),"")</f>
        <v>-1.0031353199796977E-3</v>
      </c>
      <c r="N62" s="888" t="e">
        <f>(N32-M32)*100-(SUM(N61,N63))</f>
        <v>#DIV/0!</v>
      </c>
      <c r="O62" s="1225">
        <f>IF(ISNUMBER(O35),(O36-M36)-(O61+O63),"N/A")</f>
        <v>-3.4694469519536142E-18</v>
      </c>
      <c r="P62" s="888" t="e">
        <f>(P32-O32)*100-(SUM(P61,P63))</f>
        <v>#DIV/0!</v>
      </c>
      <c r="Q62" s="1225">
        <f>IF(ISNUMBER(Q35),(Q36-O36)-(Q61+Q63),"N/A")</f>
        <v>-4.3368086899420177E-19</v>
      </c>
      <c r="R62" s="888" t="e">
        <f>(R32-Q32)*100-(SUM(R61,R63))</f>
        <v>#DIV/0!</v>
      </c>
      <c r="S62" s="1225">
        <f>IF(ISNUMBER(S35),(S36-Q36)-(S61+S63),"N/A")</f>
        <v>-3.4694469519536142E-18</v>
      </c>
      <c r="T62" s="888" t="e">
        <f>(T32-S32)*100-(SUM(T61,T63))</f>
        <v>#DIV/0!</v>
      </c>
      <c r="U62" s="1225">
        <f>IF(ISNUMBER(U35),(U36-S36)-(U61+U63),"N/A")</f>
        <v>1.7347234759768071E-18</v>
      </c>
      <c r="V62" s="888" t="e">
        <f>(V32-U32)*100-(SUM(V61,V63))</f>
        <v>#DIV/0!</v>
      </c>
    </row>
    <row r="63" spans="2:22" x14ac:dyDescent="0.25">
      <c r="B63" s="1235"/>
      <c r="C63" s="1236"/>
      <c r="D63" s="13" t="s">
        <v>1038</v>
      </c>
      <c r="E63" s="6"/>
      <c r="F63" s="6"/>
      <c r="G63" s="6"/>
      <c r="H63" s="6"/>
      <c r="I63" s="6"/>
      <c r="J63" s="7"/>
      <c r="K63" s="212"/>
      <c r="L63" s="212"/>
      <c r="M63" s="1226">
        <f>IF(ISNUMBER((K65/M50)-(K65/K50)),(K65/M50)-(K65/K50),"")</f>
        <v>-0.14148512744709182</v>
      </c>
      <c r="N63" s="888" t="e">
        <f>IF(O63="NA","NA",(M65/N50-M65/M50)*100)</f>
        <v>#DIV/0!</v>
      </c>
      <c r="O63" s="1225">
        <f>IF(ISNUMBER(O35),(M65/O50)-(M65/M50),"N/A")</f>
        <v>-2.9568941787848427E-3</v>
      </c>
      <c r="P63" s="888" t="e">
        <f>IF(Q63="NA","NA",(O65/P50-O65/O50)*100)</f>
        <v>#DIV/0!</v>
      </c>
      <c r="Q63" s="1225">
        <f>IF(ISNUMBER(Q35),(O65/Q50)-(O65/O50),"N/A")</f>
        <v>5.7472550897567226E-4</v>
      </c>
      <c r="R63" s="888" t="e">
        <f>IF(S63="NA","NA",(Q65/R50-Q65/Q50)*100)</f>
        <v>#DIV/0!</v>
      </c>
      <c r="S63" s="1225">
        <f>IF(ISNUMBER(S35),(Q65/S50)-(Q65/Q50),"N/A")</f>
        <v>8.7633155493157394E-4</v>
      </c>
      <c r="T63" s="888" t="e">
        <f>IF(U63="NA","NA",(S65/T50-S65/S50)*100)</f>
        <v>#DIV/0!</v>
      </c>
      <c r="U63" s="1225">
        <f>IF(ISNUMBER(U35),(S65/U50)-(S65/S50),"N/A")</f>
        <v>1.2198516304814597E-3</v>
      </c>
      <c r="V63" s="888" t="e">
        <f>IF(W63="NA","NA",(U65/V50-U65/U50)*100)</f>
        <v>#DIV/0!</v>
      </c>
    </row>
    <row r="64" spans="2:22" x14ac:dyDescent="0.25">
      <c r="B64" s="192"/>
      <c r="C64" s="212"/>
      <c r="D64" s="212"/>
      <c r="E64" s="212"/>
      <c r="F64" s="212"/>
      <c r="G64" s="212"/>
      <c r="H64" s="212"/>
      <c r="I64" s="212"/>
      <c r="J64" s="212"/>
      <c r="K64" s="212"/>
      <c r="L64" s="212"/>
      <c r="M64" s="212"/>
      <c r="N64" s="212"/>
      <c r="O64" s="212"/>
      <c r="P64" s="212"/>
      <c r="Q64" s="212"/>
      <c r="R64" s="212"/>
      <c r="S64" s="212"/>
      <c r="T64" s="212"/>
      <c r="U64" s="212"/>
      <c r="V64" s="212"/>
    </row>
    <row r="65" spans="2:22" x14ac:dyDescent="0.25">
      <c r="B65" s="1232" t="s">
        <v>41</v>
      </c>
      <c r="C65" s="924"/>
      <c r="D65" s="11" t="s">
        <v>1042</v>
      </c>
      <c r="E65" s="2"/>
      <c r="F65" s="2"/>
      <c r="G65" s="2"/>
      <c r="H65" s="2"/>
      <c r="I65" s="2"/>
      <c r="J65" s="3"/>
      <c r="K65" s="986">
        <f>'Y1 to Y5'!K76</f>
        <v>455.07272727272732</v>
      </c>
      <c r="L65" s="987"/>
      <c r="M65" s="986">
        <f>'Y1 to Y5'!K77</f>
        <v>462.58684341212262</v>
      </c>
      <c r="N65" s="987"/>
      <c r="O65" s="986">
        <f>IF(ISNUMBER(O35),'Y1 to Y5'!M77,"N/A")</f>
        <v>460.38234985478601</v>
      </c>
      <c r="P65" s="987"/>
      <c r="Q65" s="986">
        <f>IF(ISNUMBER(Q35),'Y1 to Y5'!O77,"N/A")</f>
        <v>446.66572348956316</v>
      </c>
      <c r="R65" s="987"/>
      <c r="S65" s="986">
        <f>IF(ISNUMBER(S35),'Y1 to Y5'!Q77,"N/A")</f>
        <v>421.46077104873308</v>
      </c>
      <c r="T65" s="987"/>
      <c r="U65" s="986">
        <f>IF(ISNUMBER(U35),'Y1 to Y5'!S77,"N/A")</f>
        <v>385.16078473600845</v>
      </c>
      <c r="V65" s="987"/>
    </row>
    <row r="66" spans="2:22" x14ac:dyDescent="0.25">
      <c r="B66" s="1233"/>
      <c r="C66" s="1234"/>
      <c r="D66" s="12" t="s">
        <v>1043</v>
      </c>
      <c r="E66" s="4"/>
      <c r="F66" s="4"/>
      <c r="G66" s="4"/>
      <c r="H66" s="4"/>
      <c r="I66" s="4"/>
      <c r="J66" s="5"/>
      <c r="K66" s="986">
        <f>'Y1 to Y5'!K78</f>
        <v>315.54545454545456</v>
      </c>
      <c r="L66" s="987"/>
      <c r="M66" s="986">
        <f>'Y1 to Y5'!K79</f>
        <v>323.05957068484986</v>
      </c>
      <c r="N66" s="987"/>
      <c r="O66" s="986">
        <f>IF(ISNUMBER(O35),'Y1 to Y5'!M79,"N/A")</f>
        <v>320.85507712751325</v>
      </c>
      <c r="P66" s="987"/>
      <c r="Q66" s="986">
        <f>IF(ISNUMBER(Q35),'Y1 to Y5'!O79,"N/A")</f>
        <v>307.1384507622904</v>
      </c>
      <c r="R66" s="987"/>
      <c r="S66" s="986">
        <f>IF(ISNUMBER(S35),'Y1 to Y5'!Q79,"N/A")</f>
        <v>281.93349832146032</v>
      </c>
      <c r="T66" s="987"/>
      <c r="U66" s="986">
        <f>IF(ISNUMBER(U35),'Y1 to Y5'!S79,"N/A")</f>
        <v>245.63351200873569</v>
      </c>
      <c r="V66" s="987"/>
    </row>
    <row r="67" spans="2:22" x14ac:dyDescent="0.25">
      <c r="B67" s="1233"/>
      <c r="C67" s="1234"/>
      <c r="D67" s="13" t="s">
        <v>1044</v>
      </c>
      <c r="E67" s="6"/>
      <c r="F67" s="6"/>
      <c r="G67" s="6"/>
      <c r="H67" s="6"/>
      <c r="I67" s="6"/>
      <c r="J67" s="7"/>
      <c r="K67" s="986" t="str">
        <f>'Y1 to Y5'!K80</f>
        <v/>
      </c>
      <c r="L67" s="987"/>
      <c r="M67" s="986" t="str">
        <f>'Y1 to Y5'!K81</f>
        <v/>
      </c>
      <c r="N67" s="987"/>
      <c r="O67" s="986" t="str">
        <f>IF(ISNUMBER(O35),'Y1 to Y5'!M81,"N/A")</f>
        <v/>
      </c>
      <c r="P67" s="987"/>
      <c r="Q67" s="986" t="str">
        <f>IF(ISNUMBER(Q35),'Y1 to Y5'!O81,"N/A")</f>
        <v/>
      </c>
      <c r="R67" s="987"/>
      <c r="S67" s="986" t="str">
        <f>IF(ISNUMBER(S35),'Y1 to Y5'!Q81,"N/A")</f>
        <v/>
      </c>
      <c r="T67" s="987"/>
      <c r="U67" s="986" t="str">
        <f>IF(ISNUMBER(U35),'Y1 to Y5'!S81,"N/A")</f>
        <v/>
      </c>
      <c r="V67" s="987"/>
    </row>
    <row r="68" spans="2:22" x14ac:dyDescent="0.25">
      <c r="B68" s="1233"/>
      <c r="C68" s="1234"/>
      <c r="D68" s="11" t="s">
        <v>1045</v>
      </c>
      <c r="E68" s="2"/>
      <c r="F68" s="2"/>
      <c r="G68" s="2"/>
      <c r="H68" s="2"/>
      <c r="I68" s="2"/>
      <c r="J68" s="3"/>
      <c r="K68" s="1225">
        <f>Input!G82</f>
        <v>0.23874290115691915</v>
      </c>
      <c r="L68" s="888"/>
      <c r="M68" s="1225">
        <f>'Y1 to Y5'!K118</f>
        <v>0.24268500047256139</v>
      </c>
      <c r="N68" s="888"/>
      <c r="O68" s="1225">
        <f>IF(ISNUMBER(O$35),'Y1 to Y5'!M118,"N/A")</f>
        <v>0.17014640812291162</v>
      </c>
      <c r="P68" s="888"/>
      <c r="Q68" s="1225">
        <f>IF(ISNUMBER(Q$35),'Y1 to Y5'!O118,"N/A")</f>
        <v>9.7877883968349552E-2</v>
      </c>
      <c r="R68" s="888"/>
      <c r="S68" s="1225">
        <f>IF(ISNUMBER(S$35),'Y1 to Y5'!Q118,"N/A")</f>
        <v>9.2354721386815622E-2</v>
      </c>
      <c r="T68" s="888"/>
      <c r="U68" s="1225">
        <f>IF(ISNUMBER(U$35),'Y1 to Y5'!S118,"N/A")</f>
        <v>8.4400303437275878E-2</v>
      </c>
      <c r="V68" s="888"/>
    </row>
    <row r="69" spans="2:22" x14ac:dyDescent="0.25">
      <c r="B69" s="1233"/>
      <c r="C69" s="1234"/>
      <c r="D69" s="12" t="s">
        <v>1046</v>
      </c>
      <c r="E69" s="4"/>
      <c r="F69" s="4"/>
      <c r="G69" s="4"/>
      <c r="H69" s="4"/>
      <c r="I69" s="4"/>
      <c r="J69" s="5"/>
      <c r="K69" s="1225">
        <f>Input!G83</f>
        <v>0.16554329176468624</v>
      </c>
      <c r="L69" s="888"/>
      <c r="M69" s="1225">
        <f>'Y1 to Y5'!K119</f>
        <v>0.16948539108032845</v>
      </c>
      <c r="N69" s="888"/>
      <c r="O69" s="1225">
        <f>IF(ISNUMBER(O$35),'Y1 to Y5'!M119,"N/A")</f>
        <v>0.11858043410757535</v>
      </c>
      <c r="P69" s="888"/>
      <c r="Q69" s="1225">
        <f>IF(ISNUMBER(Q$35),'Y1 to Y5'!O119,"N/A")</f>
        <v>0.11887830270873095</v>
      </c>
      <c r="R69" s="888"/>
      <c r="S69" s="1225">
        <f>IF(ISNUMBER(S$35),'Y1 to Y5'!Q119,"N/A")</f>
        <v>0.11507668841195248</v>
      </c>
      <c r="T69" s="888"/>
      <c r="U69" s="1225">
        <f>IF(ISNUMBER(U$35),'Y1 to Y5'!S119,"N/A")</f>
        <v>0.10657486290191605</v>
      </c>
      <c r="V69" s="888"/>
    </row>
    <row r="70" spans="2:22" x14ac:dyDescent="0.25">
      <c r="B70" s="1233"/>
      <c r="C70" s="1234"/>
      <c r="D70" s="12" t="s">
        <v>1047</v>
      </c>
      <c r="E70" s="4"/>
      <c r="F70" s="4"/>
      <c r="G70" s="4"/>
      <c r="H70" s="4"/>
      <c r="I70" s="4"/>
      <c r="J70" s="5"/>
      <c r="K70" s="1225">
        <f>K49/K65</f>
        <v>5.6694234687762197E-2</v>
      </c>
      <c r="L70" s="888" t="e">
        <f>L49/L65</f>
        <v>#DIV/0!</v>
      </c>
      <c r="M70" s="1225">
        <f t="shared" ref="M70:V70" si="4">M49/M65</f>
        <v>3.2487375057923588E-2</v>
      </c>
      <c r="N70" s="888" t="e">
        <f t="shared" si="4"/>
        <v>#DIV/0!</v>
      </c>
      <c r="O70" s="1225">
        <f>IF(ISNUMBER(O35),O49/O65,"N/A")</f>
        <v>-4.7883972051316623E-3</v>
      </c>
      <c r="P70" s="888" t="e">
        <f t="shared" si="4"/>
        <v>#DIV/0!</v>
      </c>
      <c r="Q70" s="1225">
        <f>IF(ISNUMBER(Q35),Q49/Q65,"N/A")</f>
        <v>-3.0708929841452959E-2</v>
      </c>
      <c r="R70" s="888" t="e">
        <f t="shared" si="4"/>
        <v>#DIV/0!</v>
      </c>
      <c r="S70" s="1225">
        <f>IF(ISNUMBER(S35),S49/S65,"N/A")</f>
        <v>-5.9803792362719405E-2</v>
      </c>
      <c r="T70" s="888" t="e">
        <f t="shared" si="4"/>
        <v>#DIV/0!</v>
      </c>
      <c r="U70" s="1225">
        <f>IF(ISNUMBER(U35),U49/U65,"N/A")</f>
        <v>-9.4246319332859541E-2</v>
      </c>
      <c r="V70" s="888" t="e">
        <f t="shared" si="4"/>
        <v>#DIV/0!</v>
      </c>
    </row>
    <row r="71" spans="2:22" x14ac:dyDescent="0.25">
      <c r="B71" s="1235"/>
      <c r="C71" s="1236"/>
      <c r="D71" s="13" t="s">
        <v>1048</v>
      </c>
      <c r="E71" s="6"/>
      <c r="F71" s="6"/>
      <c r="G71" s="6"/>
      <c r="H71" s="6"/>
      <c r="I71" s="6"/>
      <c r="J71" s="7"/>
      <c r="K71" s="1225">
        <f>Input!O59/K65</f>
        <v>6.372607774981022E-2</v>
      </c>
      <c r="L71" s="888"/>
      <c r="M71" s="1225">
        <f>Assumptions!M40*M49/M65</f>
        <v>1.6243687528961794E-2</v>
      </c>
      <c r="N71" s="888"/>
      <c r="O71" s="1225">
        <f>Assumptions!O40*O49/O65</f>
        <v>-2.3941986025658312E-3</v>
      </c>
      <c r="P71" s="888"/>
      <c r="Q71" s="1225">
        <f>Assumptions!Q40*Q49/Q65</f>
        <v>-1.5354464920726479E-2</v>
      </c>
      <c r="R71" s="888"/>
      <c r="S71" s="1225">
        <f>Assumptions!S40*S49/S65</f>
        <v>-2.9901896181359702E-2</v>
      </c>
      <c r="T71" s="888"/>
      <c r="U71" s="1225">
        <f>Assumptions!U40*U49/U65</f>
        <v>-4.712315966642977E-2</v>
      </c>
      <c r="V71" s="888"/>
    </row>
    <row r="72" spans="2:22" x14ac:dyDescent="0.25">
      <c r="B72" s="192"/>
      <c r="C72" s="212"/>
      <c r="D72" s="212"/>
      <c r="E72" s="212"/>
      <c r="F72" s="212"/>
      <c r="G72" s="212"/>
      <c r="H72" s="212"/>
      <c r="I72" s="212"/>
      <c r="J72" s="212"/>
      <c r="K72" s="212"/>
      <c r="L72" s="212"/>
      <c r="M72" s="212"/>
      <c r="N72" s="212"/>
      <c r="O72" s="212"/>
      <c r="P72" s="212"/>
      <c r="Q72" s="212"/>
      <c r="R72" s="212"/>
      <c r="S72" s="212"/>
      <c r="T72" s="212"/>
      <c r="U72" s="212"/>
      <c r="V72" s="212"/>
    </row>
    <row r="73" spans="2:22" x14ac:dyDescent="0.25">
      <c r="B73" s="201"/>
      <c r="C73" s="214"/>
      <c r="D73" s="214"/>
      <c r="E73" s="214"/>
      <c r="F73" s="214"/>
      <c r="G73" s="214"/>
      <c r="H73" s="214"/>
      <c r="I73" s="214"/>
      <c r="J73" s="214"/>
      <c r="K73" s="214"/>
      <c r="L73" s="214"/>
      <c r="M73" s="214"/>
      <c r="N73" s="214"/>
      <c r="O73" s="214"/>
      <c r="P73" s="214"/>
      <c r="Q73" s="214"/>
      <c r="R73" s="214"/>
      <c r="S73" s="214"/>
      <c r="T73" s="214"/>
      <c r="U73" s="214"/>
      <c r="V73" s="214"/>
    </row>
    <row r="74" spans="2:22" ht="18.75" x14ac:dyDescent="0.3">
      <c r="B74" s="213" t="str">
        <f>IF(G22="Baseline","Stress test parameters (Overview) for " &amp;Summary!G22&amp;" Scenario","Stress test parameters (Overview) for " &amp;Summary!G22)</f>
        <v>Stress test parameters (Overview) for Severe Macro Stress</v>
      </c>
      <c r="C74" s="213"/>
      <c r="D74" s="213"/>
      <c r="E74" s="213"/>
      <c r="F74" s="213"/>
      <c r="G74" s="213"/>
      <c r="H74" s="213"/>
      <c r="I74" s="213"/>
      <c r="J74" s="232"/>
      <c r="K74" s="232"/>
      <c r="L74" s="232"/>
      <c r="M74" s="232"/>
      <c r="N74" s="232"/>
      <c r="O74" s="212"/>
      <c r="P74" s="212"/>
      <c r="Q74" s="212"/>
      <c r="R74" s="212"/>
      <c r="S74" s="212"/>
      <c r="T74" s="212"/>
      <c r="U74" s="212"/>
      <c r="V74" s="212"/>
    </row>
    <row r="75" spans="2:22" x14ac:dyDescent="0.25">
      <c r="B75" s="192"/>
      <c r="C75" s="212"/>
      <c r="D75" s="212"/>
      <c r="E75" s="212"/>
      <c r="F75" s="212"/>
      <c r="G75" s="212"/>
      <c r="H75" s="212"/>
      <c r="I75" s="212"/>
      <c r="J75" s="212"/>
      <c r="K75" s="212"/>
      <c r="L75" s="212"/>
      <c r="M75" s="212"/>
      <c r="N75" s="212"/>
      <c r="O75" s="212"/>
      <c r="P75" s="212"/>
      <c r="Q75" s="212"/>
      <c r="R75" s="212"/>
      <c r="S75" s="212"/>
      <c r="T75" s="212"/>
      <c r="U75" s="212"/>
      <c r="V75" s="212"/>
    </row>
    <row r="76" spans="2:22" x14ac:dyDescent="0.25">
      <c r="B76" s="192"/>
      <c r="C76" s="212"/>
      <c r="D76" s="212"/>
      <c r="E76" s="212"/>
      <c r="F76" s="212"/>
      <c r="G76" s="212"/>
      <c r="H76" s="212"/>
      <c r="I76" s="212"/>
      <c r="J76" s="212"/>
      <c r="K76" s="932">
        <f>K35</f>
        <v>2014</v>
      </c>
      <c r="L76" s="934"/>
      <c r="M76" s="932">
        <f>M35</f>
        <v>2015</v>
      </c>
      <c r="N76" s="934"/>
      <c r="O76" s="932">
        <f>O35</f>
        <v>2016</v>
      </c>
      <c r="P76" s="934"/>
      <c r="Q76" s="932">
        <f>Q35</f>
        <v>2017</v>
      </c>
      <c r="R76" s="934"/>
      <c r="S76" s="932">
        <f>S35</f>
        <v>2018</v>
      </c>
      <c r="T76" s="934"/>
      <c r="U76" s="932">
        <f>U35</f>
        <v>2019</v>
      </c>
      <c r="V76" s="934"/>
    </row>
    <row r="77" spans="2:22" x14ac:dyDescent="0.25">
      <c r="B77" s="1129" t="s">
        <v>908</v>
      </c>
      <c r="C77" s="1130"/>
      <c r="D77" s="14" t="s">
        <v>1049</v>
      </c>
      <c r="E77" s="15"/>
      <c r="F77" s="15"/>
      <c r="G77" s="15"/>
      <c r="H77" s="15"/>
      <c r="I77" s="15"/>
      <c r="J77" s="16"/>
      <c r="K77" s="1228">
        <f>IF($G$23="No",Assumptions!K45+Assumptions!H50,HLOOKUP(MAX(K$35+1,2011),Parameters!$I$318:$T$321,2,FALSE))</f>
        <v>0.12</v>
      </c>
      <c r="L77" s="985"/>
      <c r="M77" s="1228">
        <f>IF($G$23="No",Assumptions!M45+Assumptions!J50,HLOOKUP(MAX(M76,2011),Parameters!$I$318:$T$321,2,FALSE))</f>
        <v>0.12</v>
      </c>
      <c r="N77" s="985"/>
      <c r="O77" s="1228">
        <f>IF(ISNUMBER(O76),IF($G$23="No",Assumptions!O45+Assumptions!L50,HLOOKUP(MAX(O76,2011),Parameters!$I$318:$T$321,2,FALSE)),"N/A")</f>
        <v>0.12</v>
      </c>
      <c r="P77" s="985"/>
      <c r="Q77" s="1228">
        <f>IF(ISNUMBER(Q76),IF($G$23="No",Assumptions!Q45+Assumptions!N50,HLOOKUP(MAX(Q76,2011),Parameters!$I$318:$T$321,2,FALSE)),"N/A")</f>
        <v>0.12</v>
      </c>
      <c r="R77" s="985"/>
      <c r="S77" s="1228">
        <f>IF(ISNUMBER(S76),IF($G$23="No",Assumptions!S45+Assumptions!P50,HLOOKUP(MAX(S76,2011),Parameters!$I$318:$T$321,2,FALSE)),"N/A")</f>
        <v>0.12</v>
      </c>
      <c r="T77" s="985"/>
      <c r="U77" s="1228">
        <f>IF(ISNUMBER(U76),IF($G$23="No",Assumptions!U45+Assumptions!R50,HLOOKUP(MAX(U76,2011),Parameters!$I$318:$T$321,2,FALSE)),"N/A")</f>
        <v>0.12</v>
      </c>
      <c r="V77" s="985"/>
    </row>
    <row r="78" spans="2:22" x14ac:dyDescent="0.25">
      <c r="B78" s="1131"/>
      <c r="C78" s="1132"/>
      <c r="D78" s="14" t="s">
        <v>1050</v>
      </c>
      <c r="E78" s="15"/>
      <c r="F78" s="15"/>
      <c r="G78" s="15"/>
      <c r="H78" s="15"/>
      <c r="I78" s="15"/>
      <c r="J78" s="16"/>
      <c r="K78" s="1228">
        <f>IF($G$23="No",Assumptions!K46+Assumptions!H51,HLOOKUP(MAX(K$35+1,2011),Parameters!$I$318:$T$321,3,FALSE))</f>
        <v>0.08</v>
      </c>
      <c r="L78" s="985"/>
      <c r="M78" s="1228">
        <f>IF($G$23="No",Assumptions!M46+Assumptions!J51,HLOOKUP(MAX(M76,2011),Parameters!$I$318:$T$321,3,FALSE))</f>
        <v>0.08</v>
      </c>
      <c r="N78" s="985"/>
      <c r="O78" s="1228">
        <f>IF(ISNUMBER(O76),IF($G$23="No",Assumptions!O46+Assumptions!L51,HLOOKUP(MAX(O76,2011),Parameters!$I$318:$T$321,3,FALSE)),"N/A")</f>
        <v>0.08</v>
      </c>
      <c r="P78" s="985"/>
      <c r="Q78" s="1228">
        <f>IF(ISNUMBER(Q76),IF($G$23="No",Assumptions!Q46+Assumptions!N51,HLOOKUP(MAX(Q76,2011),Parameters!$I$318:$T$321,3,FALSE)),"N/A")</f>
        <v>0.08</v>
      </c>
      <c r="R78" s="985"/>
      <c r="S78" s="1228">
        <f>IF(ISNUMBER(S76),IF($G$23="No",Assumptions!S46+Assumptions!P51,HLOOKUP(MAX(S76,2011),Parameters!$I$318:$T$321,3,FALSE)),"N/A")</f>
        <v>0.08</v>
      </c>
      <c r="T78" s="985"/>
      <c r="U78" s="1228">
        <f>IF(ISNUMBER(U76),IF($G$23="No",Assumptions!U46+Assumptions!R51,HLOOKUP(MAX(U76,2011),Parameters!$I$318:$T$321,3,FALSE)),"N/A")</f>
        <v>0.08</v>
      </c>
      <c r="V78" s="985"/>
    </row>
    <row r="79" spans="2:22" x14ac:dyDescent="0.25">
      <c r="B79" s="1133"/>
      <c r="C79" s="1134"/>
      <c r="D79" s="14" t="s">
        <v>1051</v>
      </c>
      <c r="E79" s="15"/>
      <c r="F79" s="15"/>
      <c r="G79" s="15"/>
      <c r="H79" s="15"/>
      <c r="I79" s="15"/>
      <c r="J79" s="16"/>
      <c r="K79" s="1228">
        <f>IF($G$23="No",Assumptions!K47+Assumptions!H52,HLOOKUP(MAX(K$35+1,2011),Parameters!$I$318:$T$321,4,FALSE))</f>
        <v>0.04</v>
      </c>
      <c r="L79" s="985"/>
      <c r="M79" s="1228">
        <f>IF($G$23="No",Assumptions!M47+Assumptions!J52,HLOOKUP(MAX(M76,2011),Parameters!$I$318:$T$321,4,FALSE))</f>
        <v>0.04</v>
      </c>
      <c r="N79" s="985"/>
      <c r="O79" s="1228">
        <f>IF(ISNUMBER(O76),IF($G$23="No",Assumptions!O47+Assumptions!L52,HLOOKUP(MAX(O76,2011),Parameters!$I$318:$T$321,4,FALSE)),"N/A")</f>
        <v>0.04</v>
      </c>
      <c r="P79" s="985"/>
      <c r="Q79" s="1228">
        <f>IF(ISNUMBER(Q76),IF($G$23="No",Assumptions!Q47+Assumptions!N52,HLOOKUP(MAX(Q76,2011),Parameters!$I$318:$T$321,4,FALSE)),"N/A")</f>
        <v>0.04</v>
      </c>
      <c r="R79" s="985"/>
      <c r="S79" s="1228">
        <f>IF(ISNUMBER(S76),IF($G$23="No",Assumptions!S47+Assumptions!P52,HLOOKUP(MAX(S76,2011),Parameters!$I$318:$T$321,4,FALSE)),"N/A")</f>
        <v>0.04</v>
      </c>
      <c r="T79" s="985"/>
      <c r="U79" s="1228">
        <f>IF(ISNUMBER(U76),IF($G$23="No",Assumptions!U47+Assumptions!R52,HLOOKUP(MAX(U76,2011),Parameters!$I$318:$T$321,4,FALSE)),"N/A")</f>
        <v>0.04</v>
      </c>
      <c r="V79" s="985"/>
    </row>
    <row r="80" spans="2:22" x14ac:dyDescent="0.25">
      <c r="B80" s="192"/>
      <c r="C80" s="212"/>
      <c r="D80" s="212"/>
      <c r="E80" s="212"/>
      <c r="F80" s="212"/>
      <c r="G80" s="212"/>
      <c r="H80" s="212"/>
      <c r="I80" s="212"/>
      <c r="J80" s="212"/>
      <c r="K80" s="212"/>
      <c r="L80" s="212"/>
      <c r="M80" s="212"/>
      <c r="N80" s="212"/>
      <c r="O80" s="212"/>
      <c r="P80" s="212"/>
      <c r="Q80" s="212"/>
      <c r="R80" s="212"/>
      <c r="S80" s="212"/>
      <c r="T80" s="212"/>
      <c r="U80" s="212"/>
      <c r="V80" s="212"/>
    </row>
    <row r="81" spans="2:27" x14ac:dyDescent="0.25">
      <c r="B81" s="1232" t="s">
        <v>1098</v>
      </c>
      <c r="C81" s="924"/>
      <c r="D81" s="14" t="s">
        <v>1052</v>
      </c>
      <c r="E81" s="15"/>
      <c r="F81" s="15"/>
      <c r="G81" s="15"/>
      <c r="H81" s="15"/>
      <c r="I81" s="15"/>
      <c r="J81" s="16"/>
      <c r="K81" s="212"/>
      <c r="L81" s="212"/>
      <c r="M81" s="984">
        <f>Assumptions!M40</f>
        <v>0.5</v>
      </c>
      <c r="N81" s="985"/>
      <c r="O81" s="1228">
        <f>IF(ISNUMBER(O76),Assumptions!O40,"N/A")</f>
        <v>0.5</v>
      </c>
      <c r="P81" s="985"/>
      <c r="Q81" s="1228">
        <f>IF(ISNUMBER(Q76),Assumptions!Q40,"N/A")</f>
        <v>0.5</v>
      </c>
      <c r="R81" s="985"/>
      <c r="S81" s="1228">
        <f>IF(ISNUMBER(S76),Assumptions!S40,"N/A")</f>
        <v>0.5</v>
      </c>
      <c r="T81" s="985"/>
      <c r="U81" s="1228">
        <f>IF(ISNUMBER(U76),Assumptions!U40,"N/A")</f>
        <v>0.5</v>
      </c>
      <c r="V81" s="985"/>
    </row>
    <row r="82" spans="2:27" x14ac:dyDescent="0.25">
      <c r="B82" s="1233"/>
      <c r="C82" s="1234"/>
      <c r="D82" s="14" t="s">
        <v>1386</v>
      </c>
      <c r="E82" s="15"/>
      <c r="F82" s="15"/>
      <c r="G82" s="15"/>
      <c r="H82" s="15"/>
      <c r="I82" s="15"/>
      <c r="J82" s="16"/>
      <c r="K82" s="212"/>
      <c r="L82" s="212"/>
      <c r="M82" s="887" t="str">
        <f>G24</f>
        <v>IRB</v>
      </c>
      <c r="N82" s="888"/>
      <c r="O82" s="887" t="str">
        <f>IF(ISNUMBER(O76),M82,"N/A")</f>
        <v>IRB</v>
      </c>
      <c r="P82" s="888"/>
      <c r="Q82" s="887" t="str">
        <f>IF(ISNUMBER(Q76),O82,"N/A")</f>
        <v>IRB</v>
      </c>
      <c r="R82" s="888"/>
      <c r="S82" s="887" t="str">
        <f>IF(ISNUMBER(S76),Q82,"N/A")</f>
        <v>IRB</v>
      </c>
      <c r="T82" s="888"/>
      <c r="U82" s="887" t="str">
        <f>IF(ISNUMBER(U76),S82,"N/A")</f>
        <v>IRB</v>
      </c>
      <c r="V82" s="888"/>
    </row>
    <row r="83" spans="2:27" x14ac:dyDescent="0.25">
      <c r="B83" s="1233"/>
      <c r="C83" s="1234"/>
      <c r="D83" s="14" t="s">
        <v>1053</v>
      </c>
      <c r="E83" s="15"/>
      <c r="F83" s="15"/>
      <c r="G83" s="15"/>
      <c r="H83" s="15"/>
      <c r="I83" s="15"/>
      <c r="J83" s="16"/>
      <c r="K83" s="212"/>
      <c r="L83" s="212"/>
      <c r="M83" s="887" t="str">
        <f>G26</f>
        <v>No</v>
      </c>
      <c r="N83" s="888"/>
      <c r="O83" s="887" t="str">
        <f>IF(ISNUMBER(O76),M83,"N/A")</f>
        <v>No</v>
      </c>
      <c r="P83" s="888"/>
      <c r="Q83" s="887" t="str">
        <f>IF(ISNUMBER(Q76),O83,"N/A")</f>
        <v>No</v>
      </c>
      <c r="R83" s="888"/>
      <c r="S83" s="887" t="str">
        <f>IF(ISNUMBER(S76),Q83,"N/A")</f>
        <v>No</v>
      </c>
      <c r="T83" s="888"/>
      <c r="U83" s="887" t="str">
        <f>IF(ISNUMBER(U76),S83,"N/A")</f>
        <v>No</v>
      </c>
      <c r="V83" s="888"/>
    </row>
    <row r="84" spans="2:27" x14ac:dyDescent="0.25">
      <c r="B84" s="1233"/>
      <c r="C84" s="1234"/>
      <c r="D84" s="14" t="s">
        <v>1054</v>
      </c>
      <c r="E84" s="15"/>
      <c r="F84" s="15"/>
      <c r="G84" s="15"/>
      <c r="H84" s="15"/>
      <c r="I84" s="15"/>
      <c r="J84" s="16"/>
      <c r="K84" s="212"/>
      <c r="L84" s="212"/>
      <c r="M84" s="887" t="str">
        <f>Assumptions!H36</f>
        <v>No</v>
      </c>
      <c r="N84" s="888"/>
      <c r="O84" s="887" t="str">
        <f>IF(ISNUMBER(O76),M84,"N/A")</f>
        <v>No</v>
      </c>
      <c r="P84" s="888"/>
      <c r="Q84" s="887" t="str">
        <f>IF(ISNUMBER(Q76),O84,"N/A")</f>
        <v>No</v>
      </c>
      <c r="R84" s="888"/>
      <c r="S84" s="887" t="str">
        <f>IF(ISNUMBER(S76),Q84,"N/A")</f>
        <v>No</v>
      </c>
      <c r="T84" s="888"/>
      <c r="U84" s="887" t="str">
        <f>IF(ISNUMBER(U76),S84,"N/A")</f>
        <v>No</v>
      </c>
      <c r="V84" s="888"/>
    </row>
    <row r="85" spans="2:27" x14ac:dyDescent="0.25">
      <c r="B85" s="1235"/>
      <c r="C85" s="1236"/>
      <c r="D85" s="14" t="s">
        <v>1055</v>
      </c>
      <c r="E85" s="15"/>
      <c r="F85" s="15"/>
      <c r="G85" s="15"/>
      <c r="H85" s="15"/>
      <c r="I85" s="15"/>
      <c r="J85" s="16"/>
      <c r="K85" s="212"/>
      <c r="L85" s="212"/>
      <c r="M85" s="887" t="str">
        <f>Assumptions!H30</f>
        <v>No</v>
      </c>
      <c r="N85" s="888"/>
      <c r="O85" s="887" t="str">
        <f>IF(ISNUMBER(O76),M85,"N/A")</f>
        <v>No</v>
      </c>
      <c r="P85" s="888"/>
      <c r="Q85" s="887" t="str">
        <f>IF(ISNUMBER(Q76),O85,"N/A")</f>
        <v>No</v>
      </c>
      <c r="R85" s="888"/>
      <c r="S85" s="887" t="str">
        <f>IF(ISNUMBER(S76),Q85,"N/A")</f>
        <v>No</v>
      </c>
      <c r="T85" s="888"/>
      <c r="U85" s="887" t="str">
        <f>IF(ISNUMBER(U76),S85,"N/A")</f>
        <v>No</v>
      </c>
      <c r="V85" s="888"/>
    </row>
    <row r="86" spans="2:27" x14ac:dyDescent="0.25">
      <c r="B86" s="192"/>
      <c r="C86" s="212"/>
      <c r="D86" s="212"/>
      <c r="E86" s="212"/>
      <c r="F86" s="212"/>
      <c r="G86" s="212"/>
      <c r="H86" s="212"/>
      <c r="I86" s="212"/>
      <c r="J86" s="212"/>
      <c r="K86" s="212"/>
      <c r="L86" s="212"/>
      <c r="M86" s="212"/>
      <c r="N86" s="212"/>
      <c r="O86" s="212"/>
      <c r="P86" s="212"/>
      <c r="Q86" s="212"/>
      <c r="R86" s="212"/>
      <c r="S86" s="212"/>
      <c r="T86" s="212"/>
      <c r="U86" s="212"/>
      <c r="V86" s="212"/>
    </row>
    <row r="87" spans="2:27" x14ac:dyDescent="0.25">
      <c r="B87" s="1129" t="s">
        <v>1099</v>
      </c>
      <c r="C87" s="1130"/>
      <c r="D87" s="14" t="s">
        <v>1056</v>
      </c>
      <c r="E87" s="15"/>
      <c r="F87" s="15"/>
      <c r="G87" s="15"/>
      <c r="H87" s="15"/>
      <c r="I87" s="15"/>
      <c r="J87" s="16"/>
      <c r="K87" s="1228">
        <f>'Y1 to Y5'!K28</f>
        <v>3.4239805149277824E-2</v>
      </c>
      <c r="L87" s="985"/>
      <c r="M87" s="1228">
        <f>'Y1 to Y5'!K31</f>
        <v>3.9375775921669492E-2</v>
      </c>
      <c r="N87" s="985"/>
      <c r="O87" s="1228">
        <f>IF(ISNUMBER(O76),'Y1 to Y5'!M31,"N/A")</f>
        <v>4.5148766252526396E-2</v>
      </c>
      <c r="P87" s="985"/>
      <c r="Q87" s="1228">
        <f>IF(ISNUMBER(Q76),'Y1 to Y5'!O31,"N/A")</f>
        <v>5.1739345378288518E-2</v>
      </c>
      <c r="R87" s="985"/>
      <c r="S87" s="1228">
        <f>IF(ISNUMBER(S76),'Y1 to Y5'!Q31,"N/A")</f>
        <v>5.9251552173310726E-2</v>
      </c>
      <c r="T87" s="985"/>
      <c r="U87" s="1228">
        <f>IF(ISNUMBER(U76),'Y1 to Y5'!S31,"N/A")</f>
        <v>6.7797303372443121E-2</v>
      </c>
      <c r="V87" s="985"/>
    </row>
    <row r="88" spans="2:27" x14ac:dyDescent="0.25">
      <c r="B88" s="1131"/>
      <c r="C88" s="1132"/>
      <c r="D88" s="14" t="str">
        <f>IF(Setup!B7="Losses/Provisions","LGD not applicable under this setup, i.e., 100 percent","LGD")</f>
        <v>LGD</v>
      </c>
      <c r="E88" s="15"/>
      <c r="F88" s="15"/>
      <c r="G88" s="15"/>
      <c r="H88" s="15"/>
      <c r="I88" s="15"/>
      <c r="J88" s="16"/>
      <c r="K88" s="1228">
        <f>Calculation!J80</f>
        <v>0.70824730645748213</v>
      </c>
      <c r="L88" s="985"/>
      <c r="M88" s="1228">
        <f>'Y1 to Y5'!K33</f>
        <v>0.94608848326505846</v>
      </c>
      <c r="N88" s="985"/>
      <c r="O88" s="1228">
        <f>IF(ISNUMBER(O76),'Y1 to Y5'!M33,"N/A")</f>
        <v>1</v>
      </c>
      <c r="P88" s="985"/>
      <c r="Q88" s="1228">
        <f>IF(ISNUMBER(Q76),'Y1 to Y5'!O33,"N/A")</f>
        <v>1</v>
      </c>
      <c r="R88" s="985"/>
      <c r="S88" s="1228">
        <f>IF(ISNUMBER(S76),'Y1 to Y5'!Q33,"N/A")</f>
        <v>1</v>
      </c>
      <c r="T88" s="985"/>
      <c r="U88" s="1228">
        <f>IF(ISNUMBER(U76),'Y1 to Y5'!S33,"N/A")</f>
        <v>1</v>
      </c>
      <c r="V88" s="985"/>
    </row>
    <row r="89" spans="2:27" x14ac:dyDescent="0.25">
      <c r="B89" s="1131"/>
      <c r="C89" s="1132"/>
      <c r="D89" s="14" t="s">
        <v>782</v>
      </c>
      <c r="E89" s="15"/>
      <c r="F89" s="15"/>
      <c r="G89" s="15"/>
      <c r="H89" s="15"/>
      <c r="I89" s="15"/>
      <c r="J89" s="16"/>
      <c r="K89" s="212"/>
      <c r="L89" s="212"/>
      <c r="M89" s="1228">
        <f>Assumptions!AA90</f>
        <v>0</v>
      </c>
      <c r="N89" s="985"/>
      <c r="O89" s="1228">
        <f>Assumptions!AC90</f>
        <v>0</v>
      </c>
      <c r="P89" s="985"/>
      <c r="Q89" s="1228">
        <f>Assumptions!AE90</f>
        <v>0</v>
      </c>
      <c r="R89" s="985"/>
      <c r="S89" s="1228">
        <f>Assumptions!AG90</f>
        <v>0</v>
      </c>
      <c r="T89" s="985"/>
      <c r="U89" s="1228">
        <f>Assumptions!AI90</f>
        <v>0</v>
      </c>
      <c r="V89" s="985"/>
    </row>
    <row r="90" spans="2:27" x14ac:dyDescent="0.25">
      <c r="B90" s="1131"/>
      <c r="C90" s="1132"/>
      <c r="D90" s="14" t="s">
        <v>1057</v>
      </c>
      <c r="E90" s="15"/>
      <c r="F90" s="15"/>
      <c r="G90" s="15"/>
      <c r="H90" s="15"/>
      <c r="I90" s="15"/>
      <c r="J90" s="16"/>
      <c r="K90" s="212"/>
      <c r="L90" s="212"/>
      <c r="M90" s="1228">
        <f>Calculation!L142</f>
        <v>3.0000000000000027E-2</v>
      </c>
      <c r="N90" s="985"/>
      <c r="O90" s="1228">
        <f>Calculation!N142</f>
        <v>0</v>
      </c>
      <c r="P90" s="985"/>
      <c r="Q90" s="1228">
        <f>Calculation!P142</f>
        <v>0</v>
      </c>
      <c r="R90" s="985"/>
      <c r="S90" s="1228">
        <f>Calculation!R142</f>
        <v>0</v>
      </c>
      <c r="T90" s="985"/>
      <c r="U90" s="1228">
        <f>Calculation!T142</f>
        <v>0</v>
      </c>
      <c r="V90" s="985"/>
    </row>
    <row r="91" spans="2:27" x14ac:dyDescent="0.25">
      <c r="B91" s="1131"/>
      <c r="C91" s="1132"/>
      <c r="D91" s="14" t="s">
        <v>1061</v>
      </c>
      <c r="E91" s="15"/>
      <c r="F91" s="15"/>
      <c r="G91" s="15"/>
      <c r="H91" s="15"/>
      <c r="I91" s="15"/>
      <c r="J91" s="16"/>
      <c r="K91" s="212"/>
      <c r="L91" s="212"/>
      <c r="M91" s="1228">
        <f>Assumptions!Y97</f>
        <v>0</v>
      </c>
      <c r="N91" s="985"/>
      <c r="O91" s="1228">
        <f>Assumptions!AA97</f>
        <v>0</v>
      </c>
      <c r="P91" s="985"/>
      <c r="Q91" s="1228">
        <f>Assumptions!AC97</f>
        <v>0</v>
      </c>
      <c r="R91" s="985"/>
      <c r="S91" s="1228">
        <f>Assumptions!AE97</f>
        <v>0</v>
      </c>
      <c r="T91" s="985"/>
      <c r="U91" s="1228">
        <f>Assumptions!AG97</f>
        <v>0</v>
      </c>
      <c r="V91" s="985"/>
    </row>
    <row r="92" spans="2:27" x14ac:dyDescent="0.25">
      <c r="B92" s="1131"/>
      <c r="C92" s="1132"/>
      <c r="D92" s="14" t="s">
        <v>1058</v>
      </c>
      <c r="E92" s="15"/>
      <c r="F92" s="15"/>
      <c r="G92" s="15"/>
      <c r="H92" s="15"/>
      <c r="I92" s="15"/>
      <c r="J92" s="16"/>
      <c r="K92" s="212"/>
      <c r="L92" s="212"/>
      <c r="M92" s="887">
        <f>Calculation!L165</f>
        <v>0</v>
      </c>
      <c r="N92" s="888"/>
      <c r="O92" s="887">
        <f>Calculation!N165</f>
        <v>0</v>
      </c>
      <c r="P92" s="888"/>
      <c r="Q92" s="887">
        <f>Calculation!P165</f>
        <v>0</v>
      </c>
      <c r="R92" s="888"/>
      <c r="S92" s="887">
        <f>Calculation!R165</f>
        <v>0</v>
      </c>
      <c r="T92" s="888"/>
      <c r="U92" s="887">
        <f>Calculation!T165</f>
        <v>0</v>
      </c>
      <c r="V92" s="888"/>
    </row>
    <row r="93" spans="2:27" x14ac:dyDescent="0.25">
      <c r="B93" s="1131"/>
      <c r="C93" s="1132"/>
      <c r="D93" s="14" t="s">
        <v>1059</v>
      </c>
      <c r="E93" s="15"/>
      <c r="F93" s="15"/>
      <c r="G93" s="15"/>
      <c r="H93" s="15"/>
      <c r="I93" s="15"/>
      <c r="J93" s="16"/>
      <c r="K93" s="212"/>
      <c r="L93" s="212"/>
      <c r="M93" s="1228">
        <f>Calculation!L174</f>
        <v>0.10000000000000005</v>
      </c>
      <c r="N93" s="985"/>
      <c r="O93" s="1228">
        <f>IF(ISNUMBER(O76),Calculation!N174,"N/A")</f>
        <v>0.10000000000000005</v>
      </c>
      <c r="P93" s="985"/>
      <c r="Q93" s="1228">
        <f>IF(ISNUMBER(Q76),Calculation!P174,"N/A")</f>
        <v>0.10000000000000005</v>
      </c>
      <c r="R93" s="985"/>
      <c r="S93" s="1228">
        <f>IF(ISNUMBER(S76),Calculation!R174,"N/A")</f>
        <v>0.10000000000000005</v>
      </c>
      <c r="T93" s="985"/>
      <c r="U93" s="1228">
        <f>IF(ISNUMBER(U76),Calculation!T174,"N/A")</f>
        <v>0.10000000000000005</v>
      </c>
      <c r="V93" s="985"/>
    </row>
    <row r="94" spans="2:27" x14ac:dyDescent="0.25">
      <c r="B94" s="1133"/>
      <c r="C94" s="1134"/>
      <c r="D94" s="14" t="s">
        <v>1060</v>
      </c>
      <c r="E94" s="15"/>
      <c r="F94" s="15"/>
      <c r="G94" s="15"/>
      <c r="H94" s="15"/>
      <c r="I94" s="15"/>
      <c r="J94" s="16"/>
      <c r="K94" s="212"/>
      <c r="L94" s="212"/>
      <c r="M94" s="1228">
        <f>Calculation!L232</f>
        <v>0</v>
      </c>
      <c r="N94" s="985"/>
      <c r="O94" s="1228">
        <f>Calculation!N232</f>
        <v>0</v>
      </c>
      <c r="P94" s="985"/>
      <c r="Q94" s="1228">
        <f>Calculation!P232</f>
        <v>0</v>
      </c>
      <c r="R94" s="985"/>
      <c r="S94" s="1228">
        <f>Calculation!R232</f>
        <v>0</v>
      </c>
      <c r="T94" s="985"/>
      <c r="U94" s="1228">
        <f>Calculation!T232</f>
        <v>0</v>
      </c>
      <c r="V94" s="985"/>
    </row>
    <row r="95" spans="2:27" ht="15" customHeight="1" x14ac:dyDescent="0.25">
      <c r="B95" s="192"/>
      <c r="C95" s="212"/>
      <c r="D95" s="212"/>
      <c r="E95" s="212"/>
      <c r="F95" s="212"/>
      <c r="G95" s="212"/>
      <c r="H95" s="212"/>
      <c r="I95" s="212"/>
      <c r="J95" s="212"/>
      <c r="K95" s="212"/>
      <c r="L95" s="212"/>
      <c r="M95" s="212"/>
      <c r="N95" s="212"/>
      <c r="O95" s="212"/>
      <c r="P95" s="212"/>
      <c r="Q95" s="212"/>
      <c r="R95" s="212"/>
      <c r="S95" s="212"/>
      <c r="T95" s="212"/>
      <c r="U95" s="212"/>
      <c r="V95" s="212"/>
    </row>
    <row r="96" spans="2:27" s="21" customFormat="1" x14ac:dyDescent="0.25">
      <c r="B96" s="210"/>
      <c r="C96" s="210"/>
      <c r="D96" s="210"/>
      <c r="E96" s="210"/>
      <c r="F96" s="210"/>
      <c r="G96" s="210"/>
      <c r="H96" s="210"/>
      <c r="I96" s="210"/>
      <c r="J96" s="210"/>
      <c r="K96" s="210"/>
      <c r="L96" s="210"/>
      <c r="M96" s="210"/>
      <c r="N96" s="210"/>
      <c r="O96" s="210"/>
      <c r="P96" s="210"/>
      <c r="Q96" s="210"/>
      <c r="R96" s="210"/>
      <c r="S96" s="210"/>
      <c r="T96" s="210"/>
      <c r="U96" s="210"/>
      <c r="V96" s="210"/>
      <c r="W96" s="206"/>
      <c r="X96" s="210"/>
      <c r="Y96" s="210"/>
      <c r="Z96" s="210"/>
      <c r="AA96" s="210"/>
    </row>
    <row r="97" spans="2:27" s="21" customFormat="1" x14ac:dyDescent="0.25">
      <c r="B97" s="192"/>
      <c r="C97" s="192"/>
      <c r="D97" s="192"/>
      <c r="E97" s="192"/>
      <c r="F97" s="192"/>
      <c r="G97" s="192"/>
      <c r="H97" s="192"/>
      <c r="I97" s="207"/>
      <c r="J97" s="207"/>
      <c r="K97" s="192"/>
      <c r="L97" s="192"/>
      <c r="M97" s="192"/>
      <c r="N97" s="192"/>
      <c r="O97" s="192"/>
      <c r="P97" s="192"/>
      <c r="Q97" s="192"/>
      <c r="R97" s="192"/>
      <c r="S97" s="192"/>
      <c r="T97" s="192"/>
      <c r="U97" s="192"/>
      <c r="V97" s="192"/>
      <c r="W97" s="206"/>
      <c r="X97" s="192"/>
      <c r="Y97" s="192"/>
      <c r="Z97" s="192"/>
      <c r="AA97" s="192"/>
    </row>
    <row r="98" spans="2:27" s="21" customFormat="1" x14ac:dyDescent="0.25">
      <c r="B98" s="192"/>
      <c r="C98" s="192"/>
      <c r="D98" s="192"/>
      <c r="E98" s="192"/>
      <c r="F98" s="192"/>
      <c r="G98" s="192"/>
      <c r="H98" s="192"/>
      <c r="I98" s="207"/>
      <c r="J98" s="207"/>
      <c r="K98" s="192"/>
      <c r="L98" s="192"/>
      <c r="M98" s="192"/>
      <c r="N98" s="192"/>
      <c r="O98" s="192"/>
      <c r="P98" s="192"/>
      <c r="Q98" s="192"/>
      <c r="R98" s="192"/>
      <c r="S98" s="192"/>
      <c r="T98" s="192"/>
      <c r="U98" s="192"/>
      <c r="V98" s="192"/>
      <c r="W98" s="206"/>
      <c r="X98" s="192"/>
      <c r="Y98" s="192"/>
      <c r="Z98" s="192"/>
      <c r="AA98" s="192"/>
    </row>
    <row r="99" spans="2:27" s="21" customFormat="1" ht="9.9499999999999993" customHeight="1" x14ac:dyDescent="0.25">
      <c r="B99" s="199"/>
      <c r="C99" s="199"/>
      <c r="D99" s="199"/>
      <c r="E99" s="199"/>
      <c r="F99" s="199"/>
      <c r="G99" s="199"/>
      <c r="H99" s="199"/>
      <c r="I99" s="200"/>
      <c r="J99" s="200"/>
      <c r="K99" s="199"/>
      <c r="L99" s="199"/>
      <c r="M99" s="199"/>
      <c r="N99" s="199"/>
      <c r="O99" s="199"/>
      <c r="P99" s="199"/>
      <c r="Q99" s="199"/>
      <c r="R99" s="199"/>
      <c r="S99" s="199"/>
      <c r="T99" s="199"/>
      <c r="U99" s="199"/>
      <c r="V99" s="199"/>
      <c r="W99" s="206"/>
      <c r="X99" s="199"/>
      <c r="Y99" s="199"/>
      <c r="Z99" s="199"/>
      <c r="AA99" s="199"/>
    </row>
    <row r="100" spans="2:27" x14ac:dyDescent="0.25">
      <c r="C100" s="208"/>
      <c r="D100" s="208"/>
      <c r="E100" s="208"/>
      <c r="F100" s="208"/>
      <c r="G100" s="208"/>
      <c r="H100" s="208"/>
      <c r="I100" s="208"/>
      <c r="J100" s="208"/>
      <c r="K100" s="208"/>
      <c r="L100" s="208"/>
      <c r="M100" s="208"/>
      <c r="N100" s="208"/>
      <c r="O100" s="208"/>
      <c r="P100" s="208"/>
      <c r="Q100" s="208"/>
      <c r="R100" s="208"/>
      <c r="S100" s="208"/>
      <c r="T100" s="208"/>
      <c r="U100" s="208"/>
      <c r="V100" s="208"/>
    </row>
    <row r="101" spans="2:27" x14ac:dyDescent="0.25"/>
  </sheetData>
  <sheetProtection formatCells="0" selectLockedCells="1"/>
  <mergeCells count="309">
    <mergeCell ref="B19:I20"/>
    <mergeCell ref="G21:I21"/>
    <mergeCell ref="G22:I22"/>
    <mergeCell ref="G23:I23"/>
    <mergeCell ref="G24:I24"/>
    <mergeCell ref="G25:I25"/>
    <mergeCell ref="G26:I26"/>
    <mergeCell ref="K39:L39"/>
    <mergeCell ref="M39:N39"/>
    <mergeCell ref="K37:L37"/>
    <mergeCell ref="M37:N37"/>
    <mergeCell ref="Q39:R39"/>
    <mergeCell ref="S39:T39"/>
    <mergeCell ref="U39:V39"/>
    <mergeCell ref="M84:N84"/>
    <mergeCell ref="O84:P84"/>
    <mergeCell ref="Q84:R84"/>
    <mergeCell ref="S84:T84"/>
    <mergeCell ref="U84:V84"/>
    <mergeCell ref="S81:T81"/>
    <mergeCell ref="U81:V81"/>
    <mergeCell ref="M82:N82"/>
    <mergeCell ref="O82:P82"/>
    <mergeCell ref="Q82:R82"/>
    <mergeCell ref="S82:T82"/>
    <mergeCell ref="U82:V82"/>
    <mergeCell ref="O83:P83"/>
    <mergeCell ref="Q83:R83"/>
    <mergeCell ref="S83:T83"/>
    <mergeCell ref="U83:V83"/>
    <mergeCell ref="U79:V79"/>
    <mergeCell ref="S79:T79"/>
    <mergeCell ref="U44:V44"/>
    <mergeCell ref="M47:N47"/>
    <mergeCell ref="O47:P47"/>
    <mergeCell ref="B6:F13"/>
    <mergeCell ref="D42:F44"/>
    <mergeCell ref="G43:H43"/>
    <mergeCell ref="G44:H44"/>
    <mergeCell ref="D39:F41"/>
    <mergeCell ref="G39:H39"/>
    <mergeCell ref="M94:N94"/>
    <mergeCell ref="O94:P94"/>
    <mergeCell ref="Q94:R94"/>
    <mergeCell ref="O79:P79"/>
    <mergeCell ref="Q79:R79"/>
    <mergeCell ref="I44:J44"/>
    <mergeCell ref="I35:J35"/>
    <mergeCell ref="K35:L35"/>
    <mergeCell ref="M35:N35"/>
    <mergeCell ref="O35:P35"/>
    <mergeCell ref="Q35:R35"/>
    <mergeCell ref="K47:L47"/>
    <mergeCell ref="M81:N81"/>
    <mergeCell ref="O81:P81"/>
    <mergeCell ref="Q81:R81"/>
    <mergeCell ref="M92:N92"/>
    <mergeCell ref="O92:P92"/>
    <mergeCell ref="Q92:R92"/>
    <mergeCell ref="G40:H40"/>
    <mergeCell ref="G41:H41"/>
    <mergeCell ref="I41:J41"/>
    <mergeCell ref="K41:L41"/>
    <mergeCell ref="U94:V94"/>
    <mergeCell ref="B36:C44"/>
    <mergeCell ref="B46:C50"/>
    <mergeCell ref="B52:C56"/>
    <mergeCell ref="B58:C63"/>
    <mergeCell ref="B65:C71"/>
    <mergeCell ref="B77:C79"/>
    <mergeCell ref="B81:C85"/>
    <mergeCell ref="B87:C94"/>
    <mergeCell ref="M93:N93"/>
    <mergeCell ref="M91:N91"/>
    <mergeCell ref="M89:N89"/>
    <mergeCell ref="M83:N83"/>
    <mergeCell ref="K79:L79"/>
    <mergeCell ref="M79:N79"/>
    <mergeCell ref="G42:H42"/>
    <mergeCell ref="I39:J39"/>
    <mergeCell ref="I40:J40"/>
    <mergeCell ref="I42:J42"/>
    <mergeCell ref="O39:P39"/>
    <mergeCell ref="S94:T94"/>
    <mergeCell ref="U92:V92"/>
    <mergeCell ref="O93:P93"/>
    <mergeCell ref="Q93:R93"/>
    <mergeCell ref="S93:T93"/>
    <mergeCell ref="U93:V93"/>
    <mergeCell ref="M90:N90"/>
    <mergeCell ref="O90:P90"/>
    <mergeCell ref="Q90:R90"/>
    <mergeCell ref="S90:T90"/>
    <mergeCell ref="U90:V90"/>
    <mergeCell ref="O91:P91"/>
    <mergeCell ref="Q91:R91"/>
    <mergeCell ref="S91:T91"/>
    <mergeCell ref="U91:V91"/>
    <mergeCell ref="S92:T92"/>
    <mergeCell ref="M85:N85"/>
    <mergeCell ref="O85:P85"/>
    <mergeCell ref="Q85:R85"/>
    <mergeCell ref="O89:P89"/>
    <mergeCell ref="Q89:R89"/>
    <mergeCell ref="S89:T89"/>
    <mergeCell ref="U89:V89"/>
    <mergeCell ref="K87:L87"/>
    <mergeCell ref="K88:L88"/>
    <mergeCell ref="M87:N87"/>
    <mergeCell ref="O87:P87"/>
    <mergeCell ref="Q87:R87"/>
    <mergeCell ref="S87:T87"/>
    <mergeCell ref="U87:V87"/>
    <mergeCell ref="M88:N88"/>
    <mergeCell ref="O88:P88"/>
    <mergeCell ref="Q88:R88"/>
    <mergeCell ref="S88:T88"/>
    <mergeCell ref="U88:V88"/>
    <mergeCell ref="S85:T85"/>
    <mergeCell ref="U85:V85"/>
    <mergeCell ref="K77:L77"/>
    <mergeCell ref="M77:N77"/>
    <mergeCell ref="O77:P77"/>
    <mergeCell ref="Q77:R77"/>
    <mergeCell ref="S77:T77"/>
    <mergeCell ref="U77:V77"/>
    <mergeCell ref="K78:L78"/>
    <mergeCell ref="M78:N78"/>
    <mergeCell ref="O78:P78"/>
    <mergeCell ref="Q78:R78"/>
    <mergeCell ref="S78:T78"/>
    <mergeCell ref="U78:V78"/>
    <mergeCell ref="O37:P37"/>
    <mergeCell ref="Q37:R37"/>
    <mergeCell ref="S37:T37"/>
    <mergeCell ref="U37:V37"/>
    <mergeCell ref="K38:L38"/>
    <mergeCell ref="U38:V38"/>
    <mergeCell ref="S35:T35"/>
    <mergeCell ref="U35:V35"/>
    <mergeCell ref="K36:L36"/>
    <mergeCell ref="M36:N36"/>
    <mergeCell ref="O36:P36"/>
    <mergeCell ref="Q36:R36"/>
    <mergeCell ref="S36:T36"/>
    <mergeCell ref="U36:V36"/>
    <mergeCell ref="M38:N38"/>
    <mergeCell ref="O38:P38"/>
    <mergeCell ref="Q38:R38"/>
    <mergeCell ref="S38:T38"/>
    <mergeCell ref="I43:J43"/>
    <mergeCell ref="K43:L43"/>
    <mergeCell ref="M43:N43"/>
    <mergeCell ref="O43:P43"/>
    <mergeCell ref="Q43:R43"/>
    <mergeCell ref="S43:T43"/>
    <mergeCell ref="U43:V43"/>
    <mergeCell ref="K42:L42"/>
    <mergeCell ref="M42:N42"/>
    <mergeCell ref="O42:P42"/>
    <mergeCell ref="Q42:R42"/>
    <mergeCell ref="S42:T42"/>
    <mergeCell ref="K44:L44"/>
    <mergeCell ref="M44:N44"/>
    <mergeCell ref="O44:P44"/>
    <mergeCell ref="Q44:R44"/>
    <mergeCell ref="S44:T44"/>
    <mergeCell ref="U42:V42"/>
    <mergeCell ref="U40:V40"/>
    <mergeCell ref="M41:N41"/>
    <mergeCell ref="O41:P41"/>
    <mergeCell ref="Q41:R41"/>
    <mergeCell ref="Q40:R40"/>
    <mergeCell ref="S40:T40"/>
    <mergeCell ref="S41:T41"/>
    <mergeCell ref="U41:V41"/>
    <mergeCell ref="K40:L40"/>
    <mergeCell ref="M40:N40"/>
    <mergeCell ref="O40:P40"/>
    <mergeCell ref="Q47:R47"/>
    <mergeCell ref="S47:T47"/>
    <mergeCell ref="U47:V47"/>
    <mergeCell ref="K46:L46"/>
    <mergeCell ref="M46:N46"/>
    <mergeCell ref="O46:P46"/>
    <mergeCell ref="Q46:R46"/>
    <mergeCell ref="S46:T46"/>
    <mergeCell ref="U46:V46"/>
    <mergeCell ref="U48:V48"/>
    <mergeCell ref="K49:L49"/>
    <mergeCell ref="M49:N49"/>
    <mergeCell ref="O49:P49"/>
    <mergeCell ref="Q49:R49"/>
    <mergeCell ref="S49:T49"/>
    <mergeCell ref="U49:V49"/>
    <mergeCell ref="K48:L48"/>
    <mergeCell ref="M48:N48"/>
    <mergeCell ref="O48:P48"/>
    <mergeCell ref="Q48:R48"/>
    <mergeCell ref="S48:T48"/>
    <mergeCell ref="U50:V50"/>
    <mergeCell ref="M52:N52"/>
    <mergeCell ref="O52:P52"/>
    <mergeCell ref="Q52:R52"/>
    <mergeCell ref="S52:T52"/>
    <mergeCell ref="U52:V52"/>
    <mergeCell ref="K50:L50"/>
    <mergeCell ref="M50:N50"/>
    <mergeCell ref="O50:P50"/>
    <mergeCell ref="Q50:R50"/>
    <mergeCell ref="S50:T50"/>
    <mergeCell ref="O54:P54"/>
    <mergeCell ref="Q54:R54"/>
    <mergeCell ref="S54:T54"/>
    <mergeCell ref="U54:V54"/>
    <mergeCell ref="M53:N53"/>
    <mergeCell ref="O53:P53"/>
    <mergeCell ref="Q53:R53"/>
    <mergeCell ref="S53:T53"/>
    <mergeCell ref="U53:V53"/>
    <mergeCell ref="M54:N54"/>
    <mergeCell ref="Q58:R58"/>
    <mergeCell ref="S58:T58"/>
    <mergeCell ref="U58:V58"/>
    <mergeCell ref="M59:N59"/>
    <mergeCell ref="O59:P59"/>
    <mergeCell ref="Q59:R59"/>
    <mergeCell ref="S59:T59"/>
    <mergeCell ref="U59:V59"/>
    <mergeCell ref="M58:N58"/>
    <mergeCell ref="O58:P58"/>
    <mergeCell ref="M56:N56"/>
    <mergeCell ref="O56:P56"/>
    <mergeCell ref="Q56:R56"/>
    <mergeCell ref="S56:T56"/>
    <mergeCell ref="U56:V56"/>
    <mergeCell ref="M55:N55"/>
    <mergeCell ref="O55:P55"/>
    <mergeCell ref="Q55:R55"/>
    <mergeCell ref="S55:T55"/>
    <mergeCell ref="U55:V55"/>
    <mergeCell ref="Q62:R62"/>
    <mergeCell ref="S62:T62"/>
    <mergeCell ref="U62:V62"/>
    <mergeCell ref="M63:N63"/>
    <mergeCell ref="O63:P63"/>
    <mergeCell ref="Q63:R63"/>
    <mergeCell ref="S63:T63"/>
    <mergeCell ref="U63:V63"/>
    <mergeCell ref="Q60:R60"/>
    <mergeCell ref="S60:T60"/>
    <mergeCell ref="U60:V60"/>
    <mergeCell ref="M61:N61"/>
    <mergeCell ref="O61:P61"/>
    <mergeCell ref="Q61:R61"/>
    <mergeCell ref="S61:T61"/>
    <mergeCell ref="U61:V61"/>
    <mergeCell ref="M60:N60"/>
    <mergeCell ref="O60:P60"/>
    <mergeCell ref="M62:N62"/>
    <mergeCell ref="O62:P62"/>
    <mergeCell ref="S65:T65"/>
    <mergeCell ref="U65:V65"/>
    <mergeCell ref="K66:L66"/>
    <mergeCell ref="M66:N66"/>
    <mergeCell ref="O66:P66"/>
    <mergeCell ref="Q66:R66"/>
    <mergeCell ref="S66:T66"/>
    <mergeCell ref="U66:V66"/>
    <mergeCell ref="K65:L65"/>
    <mergeCell ref="M65:N65"/>
    <mergeCell ref="O65:P65"/>
    <mergeCell ref="Q65:R65"/>
    <mergeCell ref="S69:T69"/>
    <mergeCell ref="U69:V69"/>
    <mergeCell ref="K70:L70"/>
    <mergeCell ref="M70:N70"/>
    <mergeCell ref="O70:P70"/>
    <mergeCell ref="Q70:R70"/>
    <mergeCell ref="S70:T70"/>
    <mergeCell ref="U70:V70"/>
    <mergeCell ref="S67:T67"/>
    <mergeCell ref="U67:V67"/>
    <mergeCell ref="K68:L68"/>
    <mergeCell ref="M68:N68"/>
    <mergeCell ref="O68:P68"/>
    <mergeCell ref="Q68:R68"/>
    <mergeCell ref="S68:T68"/>
    <mergeCell ref="U68:V68"/>
    <mergeCell ref="K67:L67"/>
    <mergeCell ref="M67:N67"/>
    <mergeCell ref="O67:P67"/>
    <mergeCell ref="Q67:R67"/>
    <mergeCell ref="K69:L69"/>
    <mergeCell ref="M69:N69"/>
    <mergeCell ref="O69:P69"/>
    <mergeCell ref="Q69:R69"/>
    <mergeCell ref="K76:L76"/>
    <mergeCell ref="M76:N76"/>
    <mergeCell ref="O76:P76"/>
    <mergeCell ref="Q76:R76"/>
    <mergeCell ref="S76:T76"/>
    <mergeCell ref="U76:V76"/>
    <mergeCell ref="Q71:R71"/>
    <mergeCell ref="S71:T71"/>
    <mergeCell ref="U71:V71"/>
    <mergeCell ref="K71:L71"/>
    <mergeCell ref="M71:N71"/>
    <mergeCell ref="O71:P71"/>
  </mergeCells>
  <pageMargins left="0.7" right="0.7" top="0.75" bottom="0.75" header="0.3" footer="0.3"/>
  <pageSetup orientation="portrait" horizontalDpi="4294967292" verticalDpi="4294967292"/>
  <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Variables!$V$2:$V$3</xm:f>
          </x14:formula1>
          <xm:sqref>G21</xm:sqref>
        </x14:dataValidation>
        <x14:dataValidation type="list" allowBlank="1" showInputMessage="1" showErrorMessage="1">
          <x14:formula1>
            <xm:f>Variables!$Z$2:$Z$5</xm:f>
          </x14:formula1>
          <xm:sqref>G22:H22</xm:sqref>
        </x14:dataValidation>
        <x14:dataValidation type="list" allowBlank="1" showInputMessage="1" showErrorMessage="1">
          <x14:formula1>
            <xm:f>Variables!$O$2:$O$3</xm:f>
          </x14:formula1>
          <xm:sqref>G23:H23 G26:H28</xm:sqref>
        </x14:dataValidation>
        <x14:dataValidation type="list" allowBlank="1" showInputMessage="1" showErrorMessage="1">
          <x14:formula1>
            <xm:f>Variables!$T$2:$T$3</xm:f>
          </x14:formula1>
          <xm:sqref>G24:H24</xm:sqref>
        </x14:dataValidation>
        <x14:dataValidation type="list" allowBlank="1" showInputMessage="1" showErrorMessage="1">
          <x14:formula1>
            <xm:f>Variables!$AR$2:$AR$3</xm:f>
          </x14:formula1>
          <xm:sqref>G25:H25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H109"/>
  <sheetViews>
    <sheetView showGridLines="0" workbookViewId="0">
      <selection activeCell="Q38" sqref="Q38"/>
    </sheetView>
  </sheetViews>
  <sheetFormatPr defaultColWidth="0" defaultRowHeight="15" zeroHeight="1" x14ac:dyDescent="0.25"/>
  <cols>
    <col min="1" max="1" width="2.85546875" style="21" customWidth="1"/>
    <col min="2" max="2" width="9.140625" style="21" customWidth="1"/>
    <col min="3" max="11" width="8.85546875" customWidth="1"/>
    <col min="12" max="13" width="8.85546875" style="8" customWidth="1"/>
    <col min="14" max="22" width="8.85546875" customWidth="1"/>
    <col min="23" max="23" width="2.85546875" style="21" customWidth="1"/>
    <col min="24" max="34" width="0" style="1" hidden="1" customWidth="1"/>
    <col min="35" max="16384" width="8.85546875" style="1" hidden="1"/>
  </cols>
  <sheetData>
    <row r="1" spans="1:28" x14ac:dyDescent="0.25">
      <c r="C1" s="233"/>
      <c r="D1" s="233"/>
      <c r="E1" s="233"/>
      <c r="F1" s="233"/>
      <c r="G1" s="233"/>
      <c r="H1" s="233"/>
      <c r="I1" s="233"/>
      <c r="J1" s="233"/>
      <c r="K1" s="233"/>
      <c r="N1" s="233"/>
      <c r="O1" s="233"/>
      <c r="P1" s="233"/>
      <c r="Q1" s="233"/>
      <c r="R1" s="233"/>
      <c r="S1" s="233"/>
      <c r="T1" s="233"/>
      <c r="U1" s="233"/>
      <c r="V1" s="233"/>
    </row>
    <row r="2" spans="1:28" x14ac:dyDescent="0.25">
      <c r="C2" s="233"/>
      <c r="D2" s="233"/>
      <c r="E2" s="233"/>
      <c r="F2" s="233"/>
      <c r="G2" s="233"/>
      <c r="H2" s="233"/>
      <c r="I2" s="233"/>
      <c r="J2" s="233"/>
      <c r="K2" s="233"/>
      <c r="N2" s="233"/>
      <c r="O2" s="233"/>
      <c r="P2" s="233"/>
      <c r="Q2" s="233"/>
      <c r="R2" s="233"/>
      <c r="S2" s="233"/>
      <c r="T2" s="233"/>
      <c r="U2" s="233"/>
      <c r="V2" s="233"/>
    </row>
    <row r="3" spans="1:28" x14ac:dyDescent="0.25">
      <c r="C3" s="233"/>
      <c r="D3" s="233"/>
      <c r="E3" s="233"/>
      <c r="F3" s="233"/>
      <c r="G3" s="233"/>
      <c r="H3" s="233"/>
      <c r="I3" s="233"/>
      <c r="J3" s="233"/>
      <c r="K3" s="233"/>
      <c r="N3" s="233"/>
      <c r="O3" s="233"/>
      <c r="P3" s="233"/>
      <c r="Q3" s="233"/>
      <c r="R3" s="233"/>
      <c r="S3" s="233"/>
      <c r="T3" s="233"/>
      <c r="U3" s="233"/>
      <c r="V3" s="233"/>
    </row>
    <row r="4" spans="1:28" x14ac:dyDescent="0.25">
      <c r="C4" s="233"/>
      <c r="D4" s="233"/>
      <c r="E4" s="233"/>
      <c r="F4" s="233"/>
      <c r="G4" s="233"/>
      <c r="H4" s="233"/>
      <c r="I4" s="233"/>
      <c r="J4" s="233"/>
      <c r="K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843" t="s">
        <v>1225</v>
      </c>
      <c r="C6" s="621"/>
      <c r="D6" s="621"/>
      <c r="E6" s="621"/>
      <c r="F6" s="622"/>
      <c r="G6" s="286"/>
      <c r="H6" s="287"/>
      <c r="I6" s="287"/>
      <c r="J6" s="287"/>
      <c r="K6" s="287"/>
      <c r="L6" s="287"/>
      <c r="M6" s="287"/>
      <c r="N6" s="287"/>
      <c r="O6" s="287"/>
      <c r="P6" s="287"/>
      <c r="Q6" s="288"/>
      <c r="R6" s="288"/>
      <c r="S6" s="288"/>
      <c r="T6" s="288"/>
      <c r="U6" s="288"/>
      <c r="V6" s="289"/>
      <c r="W6" s="21"/>
      <c r="X6" s="21"/>
      <c r="Y6" s="21"/>
      <c r="Z6" s="21"/>
      <c r="AA6" s="21"/>
      <c r="AB6" s="21"/>
    </row>
    <row r="7" spans="1:28" s="24" customFormat="1" ht="15" customHeight="1" x14ac:dyDescent="0.25">
      <c r="A7" s="21"/>
      <c r="B7" s="623"/>
      <c r="C7" s="624"/>
      <c r="D7" s="624"/>
      <c r="E7" s="624"/>
      <c r="F7" s="625"/>
      <c r="G7" s="290"/>
      <c r="H7" s="291"/>
      <c r="I7" s="291"/>
      <c r="J7" s="291"/>
      <c r="K7" s="291"/>
      <c r="L7" s="291"/>
      <c r="M7" s="291"/>
      <c r="N7" s="291"/>
      <c r="O7" s="291"/>
      <c r="P7" s="291"/>
      <c r="Q7" s="292"/>
      <c r="R7" s="292"/>
      <c r="S7" s="292"/>
      <c r="T7" s="292"/>
      <c r="U7" s="292"/>
      <c r="V7" s="293"/>
      <c r="W7" s="21"/>
      <c r="X7" s="21"/>
      <c r="Y7" s="21"/>
      <c r="Z7" s="21"/>
      <c r="AA7" s="21"/>
      <c r="AB7" s="21"/>
    </row>
    <row r="8" spans="1:28" s="24" customFormat="1" ht="15" customHeight="1" x14ac:dyDescent="0.25">
      <c r="A8" s="21"/>
      <c r="B8" s="623"/>
      <c r="C8" s="624"/>
      <c r="D8" s="624"/>
      <c r="E8" s="624"/>
      <c r="F8" s="625"/>
      <c r="G8" s="290"/>
      <c r="H8" s="291"/>
      <c r="I8" s="291"/>
      <c r="J8" s="291"/>
      <c r="K8" s="291"/>
      <c r="L8" s="291"/>
      <c r="M8" s="291"/>
      <c r="N8" s="291"/>
      <c r="O8" s="291"/>
      <c r="P8" s="291"/>
      <c r="Q8" s="292"/>
      <c r="R8" s="292"/>
      <c r="S8" s="292"/>
      <c r="T8" s="292"/>
      <c r="U8" s="292"/>
      <c r="V8" s="293"/>
      <c r="W8" s="21"/>
      <c r="X8" s="21"/>
      <c r="Y8" s="21"/>
      <c r="Z8" s="21"/>
      <c r="AA8" s="21"/>
      <c r="AB8" s="21"/>
    </row>
    <row r="9" spans="1:28" s="24" customFormat="1" ht="15" customHeight="1" x14ac:dyDescent="0.25">
      <c r="A9" s="21"/>
      <c r="B9" s="623"/>
      <c r="C9" s="624"/>
      <c r="D9" s="624"/>
      <c r="E9" s="624"/>
      <c r="F9" s="625"/>
      <c r="G9" s="290"/>
      <c r="H9" s="291"/>
      <c r="I9" s="291"/>
      <c r="J9" s="291"/>
      <c r="K9" s="291"/>
      <c r="L9" s="291"/>
      <c r="M9" s="291"/>
      <c r="N9" s="291"/>
      <c r="O9" s="291"/>
      <c r="P9" s="291"/>
      <c r="Q9" s="292"/>
      <c r="R9" s="292"/>
      <c r="S9" s="292"/>
      <c r="T9" s="292"/>
      <c r="U9" s="292"/>
      <c r="V9" s="293"/>
      <c r="W9" s="21"/>
      <c r="X9" s="21"/>
      <c r="Y9" s="21"/>
      <c r="Z9" s="21"/>
      <c r="AA9" s="21"/>
      <c r="AB9" s="21"/>
    </row>
    <row r="10" spans="1:28" s="24" customFormat="1" ht="15" customHeight="1" x14ac:dyDescent="0.25">
      <c r="A10" s="21"/>
      <c r="B10" s="623"/>
      <c r="C10" s="624"/>
      <c r="D10" s="624"/>
      <c r="E10" s="624"/>
      <c r="F10" s="625"/>
      <c r="G10" s="290"/>
      <c r="H10" s="291"/>
      <c r="I10" s="291"/>
      <c r="J10" s="291"/>
      <c r="K10" s="291"/>
      <c r="L10" s="291"/>
      <c r="M10" s="291"/>
      <c r="N10" s="291"/>
      <c r="O10" s="291"/>
      <c r="P10" s="291"/>
      <c r="Q10" s="292"/>
      <c r="R10" s="292"/>
      <c r="S10" s="292"/>
      <c r="T10" s="292"/>
      <c r="U10" s="292"/>
      <c r="V10" s="293"/>
      <c r="W10" s="21"/>
      <c r="X10" s="21"/>
      <c r="Y10" s="21"/>
      <c r="Z10" s="21"/>
      <c r="AA10" s="21"/>
      <c r="AB10" s="21"/>
    </row>
    <row r="11" spans="1:28" s="24" customFormat="1" ht="15" customHeight="1" x14ac:dyDescent="0.25">
      <c r="A11" s="21"/>
      <c r="B11" s="623"/>
      <c r="C11" s="624"/>
      <c r="D11" s="624"/>
      <c r="E11" s="624"/>
      <c r="F11" s="625"/>
      <c r="G11" s="290"/>
      <c r="H11" s="291"/>
      <c r="I11" s="291"/>
      <c r="J11" s="291"/>
      <c r="K11" s="291"/>
      <c r="L11" s="291"/>
      <c r="M11" s="291"/>
      <c r="N11" s="291"/>
      <c r="O11" s="291"/>
      <c r="P11" s="291"/>
      <c r="Q11" s="292"/>
      <c r="R11" s="292"/>
      <c r="S11" s="292"/>
      <c r="T11" s="292"/>
      <c r="U11" s="292"/>
      <c r="V11" s="293"/>
      <c r="W11" s="21"/>
      <c r="X11" s="21"/>
      <c r="Y11" s="21"/>
      <c r="Z11" s="21"/>
      <c r="AA11" s="21"/>
      <c r="AB11" s="21"/>
    </row>
    <row r="12" spans="1:28" s="24" customFormat="1" ht="15" customHeight="1" x14ac:dyDescent="0.25">
      <c r="A12" s="21"/>
      <c r="B12" s="623"/>
      <c r="C12" s="624"/>
      <c r="D12" s="624"/>
      <c r="E12" s="624"/>
      <c r="F12" s="625"/>
      <c r="G12" s="290"/>
      <c r="H12" s="291"/>
      <c r="I12" s="291"/>
      <c r="J12" s="291"/>
      <c r="K12" s="291"/>
      <c r="L12" s="291"/>
      <c r="M12" s="291"/>
      <c r="N12" s="291"/>
      <c r="O12" s="291"/>
      <c r="P12" s="291"/>
      <c r="Q12" s="292"/>
      <c r="R12" s="292"/>
      <c r="S12" s="292"/>
      <c r="T12" s="292"/>
      <c r="U12" s="292"/>
      <c r="V12" s="293"/>
      <c r="W12" s="21"/>
      <c r="X12" s="21"/>
      <c r="Y12" s="21"/>
      <c r="Z12" s="21"/>
      <c r="AA12" s="21"/>
      <c r="AB12" s="21"/>
    </row>
    <row r="13" spans="1:28" s="24" customFormat="1" ht="15" customHeight="1" thickBot="1" x14ac:dyDescent="0.3">
      <c r="A13" s="21"/>
      <c r="B13" s="626"/>
      <c r="C13" s="627"/>
      <c r="D13" s="627"/>
      <c r="E13" s="627"/>
      <c r="F13" s="628"/>
      <c r="G13" s="294"/>
      <c r="H13" s="295"/>
      <c r="I13" s="295"/>
      <c r="J13" s="295"/>
      <c r="K13" s="295"/>
      <c r="L13" s="295"/>
      <c r="M13" s="295"/>
      <c r="N13" s="295"/>
      <c r="O13" s="295"/>
      <c r="P13" s="295"/>
      <c r="Q13" s="296"/>
      <c r="R13" s="296"/>
      <c r="S13" s="296"/>
      <c r="T13" s="296"/>
      <c r="U13" s="296"/>
      <c r="V13" s="297"/>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2:22" x14ac:dyDescent="0.25">
      <c r="B17" s="192"/>
      <c r="C17" s="212"/>
      <c r="D17" s="212"/>
      <c r="E17" s="212"/>
      <c r="F17" s="212"/>
      <c r="G17" s="212"/>
      <c r="H17" s="212"/>
      <c r="I17" s="212"/>
      <c r="J17" s="212"/>
      <c r="K17" s="212"/>
      <c r="L17" s="212"/>
      <c r="M17" s="212"/>
      <c r="N17" s="212"/>
      <c r="O17" s="212"/>
      <c r="P17" s="212"/>
      <c r="Q17" s="212"/>
      <c r="R17" s="212"/>
      <c r="S17" s="212"/>
      <c r="T17" s="212"/>
      <c r="U17" s="212"/>
      <c r="V17" s="212"/>
    </row>
    <row r="18" spans="2:22" x14ac:dyDescent="0.25">
      <c r="B18" s="201"/>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25">
      <c r="B19" s="226" t="s">
        <v>1062</v>
      </c>
      <c r="C19" s="227"/>
      <c r="D19" s="212"/>
      <c r="E19" s="212"/>
      <c r="F19" s="212"/>
      <c r="G19" s="212"/>
      <c r="H19" s="212"/>
      <c r="I19" s="212"/>
      <c r="J19" s="212"/>
      <c r="K19" s="212"/>
      <c r="L19" s="212"/>
      <c r="M19" s="212"/>
      <c r="N19" s="212"/>
      <c r="O19" s="212"/>
      <c r="P19" s="212"/>
      <c r="Q19" s="212"/>
      <c r="R19" s="212"/>
      <c r="S19" s="212"/>
      <c r="T19" s="212"/>
      <c r="U19" s="212"/>
      <c r="V19" s="212"/>
    </row>
    <row r="20" spans="2:22" x14ac:dyDescent="0.25">
      <c r="B20" s="192"/>
      <c r="C20" s="212"/>
      <c r="D20" s="212"/>
      <c r="E20" s="212"/>
      <c r="F20" s="212"/>
      <c r="G20" s="212"/>
      <c r="H20" s="212"/>
      <c r="I20" s="212"/>
      <c r="J20" s="212"/>
      <c r="K20" s="212"/>
      <c r="L20" s="212"/>
      <c r="M20" s="212"/>
      <c r="N20" s="470"/>
      <c r="O20" s="212"/>
      <c r="P20" s="212"/>
      <c r="Q20" s="212"/>
      <c r="R20" s="212"/>
      <c r="S20" s="212"/>
      <c r="T20" s="212"/>
      <c r="U20" s="212"/>
      <c r="V20" s="212"/>
    </row>
    <row r="21" spans="2:22" x14ac:dyDescent="0.25">
      <c r="B21" s="192"/>
      <c r="C21" s="1245" t="s">
        <v>1063</v>
      </c>
      <c r="D21" s="1245"/>
      <c r="E21" s="1245"/>
      <c r="F21" s="1245"/>
      <c r="G21" s="1161" t="s">
        <v>817</v>
      </c>
      <c r="H21" s="1161"/>
      <c r="I21" s="1161"/>
      <c r="J21" s="1161"/>
      <c r="K21" s="1161"/>
      <c r="L21" s="212"/>
      <c r="M21" s="212"/>
      <c r="N21" s="212"/>
      <c r="O21" s="212"/>
      <c r="P21" s="212"/>
      <c r="Q21" s="212"/>
      <c r="R21" s="212"/>
      <c r="S21" s="212"/>
      <c r="T21" s="212"/>
      <c r="U21" s="212"/>
      <c r="V21" s="212"/>
    </row>
    <row r="22" spans="2:22" x14ac:dyDescent="0.25">
      <c r="B22" s="192"/>
      <c r="C22" s="212"/>
      <c r="D22" s="212"/>
      <c r="E22" s="212"/>
      <c r="F22" s="212"/>
      <c r="G22" s="212"/>
      <c r="H22" s="212"/>
      <c r="I22" s="212"/>
      <c r="J22" s="212"/>
      <c r="K22" s="212"/>
      <c r="L22" s="212"/>
      <c r="M22" s="212"/>
      <c r="N22" s="212"/>
      <c r="O22" s="212"/>
      <c r="P22" s="212"/>
      <c r="Q22" s="212"/>
      <c r="R22" s="212"/>
      <c r="S22" s="212"/>
      <c r="T22" s="212"/>
      <c r="U22" s="212"/>
      <c r="V22" s="212"/>
    </row>
    <row r="23" spans="2:22" x14ac:dyDescent="0.25">
      <c r="B23" s="192"/>
      <c r="C23" s="212"/>
      <c r="D23" s="212"/>
      <c r="E23" s="212"/>
      <c r="F23" s="212"/>
      <c r="G23" s="212"/>
      <c r="H23" s="212"/>
      <c r="I23" s="212"/>
      <c r="J23" s="212"/>
      <c r="K23" s="212"/>
      <c r="L23" s="212"/>
      <c r="M23" s="212"/>
      <c r="N23" s="212"/>
      <c r="O23" s="212"/>
      <c r="P23" s="212"/>
      <c r="Q23" s="212"/>
      <c r="R23" s="212"/>
      <c r="S23" s="212"/>
      <c r="T23" s="212"/>
      <c r="U23" s="212"/>
      <c r="V23" s="212"/>
    </row>
    <row r="24" spans="2:22" x14ac:dyDescent="0.25">
      <c r="B24" s="192"/>
      <c r="C24" s="1247" t="s">
        <v>908</v>
      </c>
      <c r="D24" s="1247"/>
      <c r="E24" s="1247"/>
      <c r="F24" s="1247"/>
      <c r="G24" s="1091" t="s">
        <v>1049</v>
      </c>
      <c r="H24" s="1092"/>
      <c r="I24" s="1092"/>
      <c r="J24" s="1092"/>
      <c r="K24" s="1092"/>
      <c r="L24" s="1246"/>
      <c r="M24" s="1246"/>
      <c r="N24" s="1246"/>
      <c r="O24" s="1246"/>
      <c r="P24" s="1246"/>
      <c r="Q24" s="1246"/>
      <c r="R24" s="177" t="s">
        <v>1065</v>
      </c>
      <c r="S24" s="1244">
        <v>0.12</v>
      </c>
      <c r="T24" s="1244"/>
      <c r="U24" s="212"/>
      <c r="V24" s="212"/>
    </row>
    <row r="25" spans="2:22" x14ac:dyDescent="0.25">
      <c r="B25" s="192"/>
      <c r="C25" s="1247"/>
      <c r="D25" s="1247"/>
      <c r="E25" s="1247"/>
      <c r="F25" s="1247"/>
      <c r="G25" s="1091" t="s">
        <v>1050</v>
      </c>
      <c r="H25" s="1092"/>
      <c r="I25" s="1092"/>
      <c r="J25" s="1092"/>
      <c r="K25" s="1092"/>
      <c r="L25" s="1246"/>
      <c r="M25" s="1246"/>
      <c r="N25" s="1246"/>
      <c r="O25" s="1246"/>
      <c r="P25" s="1246"/>
      <c r="Q25" s="1246"/>
      <c r="R25" s="177" t="s">
        <v>1065</v>
      </c>
      <c r="S25" s="1244">
        <v>0.08</v>
      </c>
      <c r="T25" s="1244"/>
      <c r="U25" s="212"/>
      <c r="V25" s="212"/>
    </row>
    <row r="26" spans="2:22" x14ac:dyDescent="0.25">
      <c r="B26" s="192"/>
      <c r="C26" s="1247"/>
      <c r="D26" s="1247"/>
      <c r="E26" s="1247"/>
      <c r="F26" s="1247"/>
      <c r="G26" s="1091" t="s">
        <v>1051</v>
      </c>
      <c r="H26" s="1092"/>
      <c r="I26" s="1092"/>
      <c r="J26" s="1092"/>
      <c r="K26" s="1092"/>
      <c r="L26" s="1246"/>
      <c r="M26" s="1246"/>
      <c r="N26" s="1246"/>
      <c r="O26" s="1246"/>
      <c r="P26" s="1246"/>
      <c r="Q26" s="1246"/>
      <c r="R26" s="177" t="s">
        <v>1065</v>
      </c>
      <c r="S26" s="1244">
        <v>0.04</v>
      </c>
      <c r="T26" s="1244"/>
      <c r="U26" s="212"/>
      <c r="V26" s="212"/>
    </row>
    <row r="27" spans="2:22" x14ac:dyDescent="0.25">
      <c r="B27" s="192"/>
      <c r="C27" s="212"/>
      <c r="D27" s="212"/>
      <c r="E27" s="212"/>
      <c r="F27" s="212"/>
      <c r="G27" s="212"/>
      <c r="H27" s="212"/>
      <c r="I27" s="212"/>
      <c r="J27" s="212"/>
      <c r="K27" s="212"/>
      <c r="L27" s="212"/>
      <c r="M27" s="212"/>
      <c r="N27" s="212"/>
      <c r="O27" s="212"/>
      <c r="P27" s="212"/>
      <c r="Q27" s="212"/>
      <c r="R27" s="212"/>
      <c r="S27" s="212"/>
      <c r="T27" s="212"/>
      <c r="U27" s="212"/>
      <c r="V27" s="212"/>
    </row>
    <row r="28" spans="2:22" x14ac:dyDescent="0.25">
      <c r="B28" s="192"/>
      <c r="C28" s="1247" t="s">
        <v>1064</v>
      </c>
      <c r="D28" s="1247"/>
      <c r="E28" s="1247"/>
      <c r="F28" s="1247"/>
      <c r="G28" s="1247" t="s">
        <v>817</v>
      </c>
      <c r="H28" s="1247"/>
      <c r="I28" s="1247"/>
      <c r="J28" s="1247"/>
      <c r="K28" s="1247"/>
      <c r="L28" s="1248" t="s">
        <v>167</v>
      </c>
      <c r="M28" s="1248"/>
      <c r="N28" s="1248"/>
      <c r="O28" s="1248"/>
      <c r="P28" s="1248"/>
      <c r="Q28" s="1248"/>
      <c r="R28" s="177" t="s">
        <v>1065</v>
      </c>
      <c r="S28" s="1161">
        <v>500</v>
      </c>
      <c r="T28" s="1161"/>
      <c r="U28" s="212"/>
      <c r="V28" s="212"/>
    </row>
    <row r="29" spans="2:22" x14ac:dyDescent="0.25">
      <c r="B29" s="192"/>
      <c r="C29" s="1247"/>
      <c r="D29" s="1247"/>
      <c r="E29" s="1247"/>
      <c r="F29" s="1247"/>
      <c r="G29" s="1247" t="s">
        <v>876</v>
      </c>
      <c r="H29" s="1247"/>
      <c r="I29" s="1247"/>
      <c r="J29" s="1247"/>
      <c r="K29" s="1247"/>
      <c r="L29" s="1248" t="s">
        <v>161</v>
      </c>
      <c r="M29" s="1248"/>
      <c r="N29" s="1248"/>
      <c r="O29" s="1248"/>
      <c r="P29" s="1248"/>
      <c r="Q29" s="1248"/>
      <c r="R29" s="177" t="s">
        <v>1065</v>
      </c>
      <c r="S29" s="1244">
        <v>-0.1</v>
      </c>
      <c r="T29" s="1244"/>
      <c r="U29" s="212"/>
      <c r="V29" s="212"/>
    </row>
    <row r="30" spans="2:22" x14ac:dyDescent="0.25">
      <c r="B30" s="192"/>
      <c r="C30" s="1247"/>
      <c r="D30" s="1247"/>
      <c r="E30" s="1247"/>
      <c r="F30" s="1247"/>
      <c r="G30" s="1247" t="s">
        <v>819</v>
      </c>
      <c r="H30" s="1247"/>
      <c r="I30" s="1247"/>
      <c r="J30" s="1247"/>
      <c r="K30" s="1247"/>
      <c r="L30" s="1248" t="s">
        <v>154</v>
      </c>
      <c r="M30" s="1248"/>
      <c r="N30" s="1248"/>
      <c r="O30" s="1248"/>
      <c r="P30" s="1248"/>
      <c r="Q30" s="1248"/>
      <c r="R30" s="177" t="s">
        <v>1065</v>
      </c>
      <c r="S30" s="1244">
        <v>-0.01</v>
      </c>
      <c r="T30" s="1244"/>
      <c r="U30" s="212"/>
      <c r="V30" s="212"/>
    </row>
    <row r="31" spans="2:22" x14ac:dyDescent="0.25">
      <c r="B31" s="192"/>
      <c r="C31" s="1247"/>
      <c r="D31" s="1247"/>
      <c r="E31" s="1247"/>
      <c r="F31" s="1247"/>
      <c r="G31" s="1247" t="s">
        <v>885</v>
      </c>
      <c r="H31" s="1247"/>
      <c r="I31" s="1247"/>
      <c r="J31" s="1247"/>
      <c r="K31" s="1247"/>
      <c r="L31" s="1246"/>
      <c r="M31" s="1246"/>
      <c r="N31" s="1246"/>
      <c r="O31" s="1246"/>
      <c r="P31" s="1246"/>
      <c r="Q31" s="1246"/>
      <c r="R31" s="177" t="s">
        <v>1065</v>
      </c>
      <c r="S31" s="1244">
        <v>0.05</v>
      </c>
      <c r="T31" s="1244"/>
      <c r="U31" s="212"/>
      <c r="V31" s="212"/>
    </row>
    <row r="32" spans="2:22" x14ac:dyDescent="0.25">
      <c r="B32" s="192"/>
      <c r="C32" s="212"/>
      <c r="D32" s="212"/>
      <c r="E32" s="212"/>
      <c r="F32" s="212"/>
      <c r="G32" s="212"/>
      <c r="H32" s="212"/>
      <c r="I32" s="212"/>
      <c r="J32" s="212"/>
      <c r="K32" s="212"/>
      <c r="L32" s="212"/>
      <c r="M32" s="212"/>
      <c r="N32" s="212"/>
      <c r="O32" s="212"/>
      <c r="P32" s="212"/>
      <c r="Q32" s="212"/>
      <c r="R32" s="212"/>
      <c r="S32" s="212"/>
      <c r="T32" s="212"/>
      <c r="U32" s="212"/>
      <c r="V32" s="212"/>
    </row>
    <row r="33" spans="2:22" x14ac:dyDescent="0.25">
      <c r="B33" s="192"/>
      <c r="C33" s="1247" t="s">
        <v>1066</v>
      </c>
      <c r="D33" s="1247"/>
      <c r="E33" s="1247"/>
      <c r="F33" s="1247"/>
      <c r="G33" s="1249" t="str">
        <f>IF(Setup!B7="PD/LGD","Increase of PDs","Increase of credit losses")</f>
        <v>Increase of PDs</v>
      </c>
      <c r="H33" s="1249"/>
      <c r="I33" s="1249"/>
      <c r="J33" s="1249"/>
      <c r="K33" s="1249"/>
      <c r="L33" s="1248" t="s">
        <v>863</v>
      </c>
      <c r="M33" s="1248"/>
      <c r="N33" s="1248"/>
      <c r="O33" s="1248"/>
      <c r="P33" s="1248"/>
      <c r="Q33" s="1248"/>
      <c r="R33" s="177" t="s">
        <v>1065</v>
      </c>
      <c r="S33" s="1161" t="s">
        <v>849</v>
      </c>
      <c r="T33" s="1161"/>
      <c r="U33" s="1161"/>
      <c r="V33" s="482">
        <v>0.05</v>
      </c>
    </row>
    <row r="34" spans="2:22" ht="30" customHeight="1" x14ac:dyDescent="0.25">
      <c r="B34" s="192"/>
      <c r="C34" s="1247"/>
      <c r="D34" s="1247"/>
      <c r="E34" s="1247"/>
      <c r="F34" s="1247"/>
      <c r="G34" s="1254" t="str">
        <f>IF(Setup!B7="PD/LGD","Increase of LGDs","LGD Tests not applicable under this definition of loss")</f>
        <v>Increase of LGDs</v>
      </c>
      <c r="H34" s="1254"/>
      <c r="I34" s="1254"/>
      <c r="J34" s="1254"/>
      <c r="K34" s="1254"/>
      <c r="L34" s="1246"/>
      <c r="M34" s="1246"/>
      <c r="N34" s="1246"/>
      <c r="O34" s="1246"/>
      <c r="P34" s="1246"/>
      <c r="Q34" s="1246"/>
      <c r="R34" s="177" t="s">
        <v>1065</v>
      </c>
      <c r="S34" s="727" t="s">
        <v>831</v>
      </c>
      <c r="T34" s="727"/>
      <c r="U34" s="727"/>
      <c r="V34" s="483">
        <v>0.2</v>
      </c>
    </row>
    <row r="35" spans="2:22" x14ac:dyDescent="0.25">
      <c r="B35" s="192"/>
      <c r="C35" s="1247"/>
      <c r="D35" s="1247"/>
      <c r="E35" s="1247"/>
      <c r="F35" s="1247"/>
      <c r="G35" s="1247" t="s">
        <v>890</v>
      </c>
      <c r="H35" s="1247"/>
      <c r="I35" s="1247"/>
      <c r="J35" s="1247"/>
      <c r="K35" s="1247"/>
      <c r="L35" s="1248" t="s">
        <v>144</v>
      </c>
      <c r="M35" s="1248"/>
      <c r="N35" s="1248"/>
      <c r="O35" s="1248"/>
      <c r="P35" s="1248"/>
      <c r="Q35" s="1248"/>
      <c r="R35" s="212"/>
      <c r="S35" s="212"/>
      <c r="T35" s="212"/>
      <c r="U35" s="212"/>
      <c r="V35" s="212"/>
    </row>
    <row r="36" spans="2:22" x14ac:dyDescent="0.25">
      <c r="B36" s="192"/>
      <c r="C36" s="212"/>
      <c r="D36" s="212"/>
      <c r="E36" s="212"/>
      <c r="F36" s="212"/>
      <c r="G36" s="212"/>
      <c r="H36" s="212"/>
      <c r="I36" s="212"/>
      <c r="J36" s="212"/>
      <c r="K36" s="212"/>
      <c r="L36" s="212"/>
      <c r="M36" s="212"/>
      <c r="N36" s="212"/>
      <c r="O36" s="212"/>
      <c r="P36" s="212"/>
      <c r="Q36" s="212"/>
      <c r="R36" s="212"/>
      <c r="S36" s="212"/>
      <c r="T36" s="212"/>
      <c r="U36" s="212"/>
      <c r="V36" s="212"/>
    </row>
    <row r="37" spans="2:22" x14ac:dyDescent="0.25">
      <c r="B37" s="192"/>
      <c r="C37" s="1229" t="s">
        <v>77</v>
      </c>
      <c r="D37" s="1229"/>
      <c r="E37" s="1229"/>
      <c r="F37" s="1229"/>
      <c r="G37" s="1247" t="s">
        <v>890</v>
      </c>
      <c r="H37" s="1247"/>
      <c r="I37" s="1247"/>
      <c r="J37" s="1247"/>
      <c r="K37" s="1247"/>
      <c r="L37" s="1246"/>
      <c r="M37" s="1246"/>
      <c r="N37" s="1246"/>
      <c r="O37" s="1246"/>
      <c r="P37" s="1246"/>
      <c r="Q37" s="1246"/>
      <c r="R37" s="177" t="s">
        <v>1065</v>
      </c>
      <c r="S37" s="1244">
        <v>0.1</v>
      </c>
      <c r="T37" s="1244"/>
      <c r="U37" s="212"/>
      <c r="V37" s="212"/>
    </row>
    <row r="38" spans="2:22" x14ac:dyDescent="0.25">
      <c r="B38" s="192"/>
      <c r="C38" s="212"/>
      <c r="D38" s="212"/>
      <c r="E38" s="212"/>
      <c r="F38" s="212"/>
      <c r="G38" s="212"/>
      <c r="H38" s="212"/>
      <c r="I38" s="212"/>
      <c r="J38" s="212"/>
      <c r="K38" s="212"/>
      <c r="L38" s="212"/>
      <c r="M38" s="212"/>
      <c r="N38" s="212"/>
      <c r="O38" s="212"/>
      <c r="P38" s="212"/>
      <c r="Q38" s="212"/>
      <c r="R38" s="212"/>
      <c r="S38" s="212"/>
      <c r="T38" s="212"/>
      <c r="U38" s="212"/>
      <c r="V38" s="212"/>
    </row>
    <row r="39" spans="2:22" x14ac:dyDescent="0.25">
      <c r="B39" s="201"/>
      <c r="C39" s="214"/>
      <c r="D39" s="214"/>
      <c r="E39" s="214"/>
      <c r="F39" s="214"/>
      <c r="G39" s="214"/>
      <c r="H39" s="214"/>
      <c r="I39" s="214"/>
      <c r="J39" s="214"/>
      <c r="K39" s="214"/>
      <c r="L39" s="214"/>
      <c r="M39" s="214"/>
      <c r="N39" s="214"/>
      <c r="O39" s="214"/>
      <c r="P39" s="214"/>
      <c r="Q39" s="214"/>
      <c r="R39" s="214"/>
      <c r="S39" s="214"/>
      <c r="T39" s="214"/>
      <c r="U39" s="214"/>
      <c r="V39" s="214"/>
    </row>
    <row r="40" spans="2:22" ht="18.75" x14ac:dyDescent="0.25">
      <c r="B40" s="226" t="s">
        <v>1076</v>
      </c>
      <c r="C40" s="227"/>
      <c r="D40" s="212"/>
      <c r="E40" s="212"/>
      <c r="F40" s="212"/>
      <c r="G40" s="212"/>
      <c r="H40" s="212"/>
      <c r="I40" s="212"/>
      <c r="J40" s="212"/>
      <c r="K40" s="212"/>
      <c r="L40" s="212"/>
      <c r="M40" s="212"/>
      <c r="N40" s="212"/>
      <c r="O40" s="212"/>
      <c r="P40" s="212"/>
      <c r="Q40" s="212"/>
      <c r="R40" s="212"/>
      <c r="S40" s="212"/>
      <c r="T40" s="212"/>
      <c r="U40" s="212"/>
      <c r="V40" s="212"/>
    </row>
    <row r="41" spans="2:22" ht="30" customHeight="1" x14ac:dyDescent="0.25">
      <c r="B41" s="192"/>
      <c r="C41" s="212"/>
      <c r="D41" s="212"/>
      <c r="E41" s="212"/>
      <c r="F41" s="212"/>
      <c r="G41" s="212"/>
      <c r="H41" s="212"/>
      <c r="I41" s="212"/>
      <c r="J41" s="212"/>
      <c r="K41" s="212"/>
      <c r="L41" s="212"/>
      <c r="M41" s="212"/>
      <c r="N41" s="212"/>
      <c r="O41" s="212"/>
      <c r="P41" s="212"/>
      <c r="Q41" s="1255" t="s">
        <v>997</v>
      </c>
      <c r="R41" s="1255"/>
      <c r="S41" s="1255" t="s">
        <v>1074</v>
      </c>
      <c r="T41" s="1255"/>
      <c r="U41" s="1255" t="s">
        <v>1075</v>
      </c>
      <c r="V41" s="1255"/>
    </row>
    <row r="42" spans="2:22" x14ac:dyDescent="0.25">
      <c r="B42" s="192"/>
      <c r="C42" s="1129" t="s">
        <v>1028</v>
      </c>
      <c r="D42" s="1259"/>
      <c r="E42" s="1259"/>
      <c r="F42" s="1130"/>
      <c r="G42" s="1256" t="s">
        <v>1068</v>
      </c>
      <c r="H42" s="1256"/>
      <c r="I42" s="1256"/>
      <c r="J42" s="1256"/>
      <c r="K42" s="1256"/>
      <c r="L42" s="1256"/>
      <c r="M42" s="1256"/>
      <c r="N42" s="1256"/>
      <c r="O42" s="1256"/>
      <c r="P42" s="212"/>
      <c r="Q42" s="1226">
        <f>Summary!K36</f>
        <v>0.20223738591877052</v>
      </c>
      <c r="R42" s="1227"/>
      <c r="S42" s="1226">
        <f>U75</f>
        <v>2.4242710719494505</v>
      </c>
      <c r="T42" s="1227"/>
      <c r="U42" s="1226">
        <f>Summary!M36</f>
        <v>6.1755393791658376E-2</v>
      </c>
      <c r="V42" s="1227"/>
    </row>
    <row r="43" spans="2:22" x14ac:dyDescent="0.25">
      <c r="B43" s="192"/>
      <c r="C43" s="1131"/>
      <c r="D43" s="1260"/>
      <c r="E43" s="1260"/>
      <c r="F43" s="1261"/>
      <c r="G43" s="1256" t="s">
        <v>92</v>
      </c>
      <c r="H43" s="1256"/>
      <c r="I43" s="1256"/>
      <c r="J43" s="1256"/>
      <c r="K43" s="1256"/>
      <c r="L43" s="1256"/>
      <c r="M43" s="1256"/>
      <c r="N43" s="1256"/>
      <c r="O43" s="1256"/>
      <c r="P43" s="212"/>
      <c r="Q43" s="1257">
        <f>Summary!K37</f>
        <v>0.14023052589477256</v>
      </c>
      <c r="R43" s="1258"/>
      <c r="S43" s="1257">
        <f>U76</f>
        <v>2.3622642119254529</v>
      </c>
      <c r="T43" s="1258"/>
      <c r="U43" s="1257">
        <f>Summary!M37</f>
        <v>4.3128487742209246E-2</v>
      </c>
      <c r="V43" s="1258"/>
    </row>
    <row r="44" spans="2:22" x14ac:dyDescent="0.25">
      <c r="B44" s="192"/>
      <c r="C44" s="1131"/>
      <c r="D44" s="1260"/>
      <c r="E44" s="1260"/>
      <c r="F44" s="1261"/>
      <c r="G44" s="1256" t="s">
        <v>912</v>
      </c>
      <c r="H44" s="1256"/>
      <c r="I44" s="1256"/>
      <c r="J44" s="1256"/>
      <c r="K44" s="1256"/>
      <c r="L44" s="1256"/>
      <c r="M44" s="1256"/>
      <c r="N44" s="1256"/>
      <c r="O44" s="1256"/>
      <c r="P44" s="212"/>
      <c r="Q44" s="1257" t="str">
        <f>Summary!K38</f>
        <v/>
      </c>
      <c r="R44" s="1258"/>
      <c r="S44" s="1257" t="str">
        <f>U77</f>
        <v>N/A</v>
      </c>
      <c r="T44" s="1258"/>
      <c r="U44" s="1257" t="str">
        <f>Summary!M38</f>
        <v/>
      </c>
      <c r="V44" s="1258"/>
    </row>
    <row r="45" spans="2:22" x14ac:dyDescent="0.25">
      <c r="B45" s="192"/>
      <c r="C45" s="1131"/>
      <c r="D45" s="1260"/>
      <c r="E45" s="1260"/>
      <c r="F45" s="1261"/>
      <c r="G45" s="1265"/>
      <c r="H45" s="1266"/>
      <c r="I45" s="1266"/>
      <c r="J45" s="1266"/>
      <c r="K45" s="1266"/>
      <c r="L45" s="1266"/>
      <c r="M45" s="1267"/>
      <c r="N45" s="1229" t="s">
        <v>840</v>
      </c>
      <c r="O45" s="1229"/>
      <c r="P45" s="212"/>
      <c r="Q45" s="1252">
        <f>'Y1 to Y5'!K99</f>
        <v>0</v>
      </c>
      <c r="R45" s="1253"/>
      <c r="S45" s="1252">
        <f>U79</f>
        <v>0</v>
      </c>
      <c r="T45" s="1253"/>
      <c r="U45" s="1252">
        <f>IF(U48&gt;0,1,0)</f>
        <v>1</v>
      </c>
      <c r="V45" s="1253"/>
    </row>
    <row r="46" spans="2:22" x14ac:dyDescent="0.25">
      <c r="B46" s="192"/>
      <c r="C46" s="1131"/>
      <c r="D46" s="1260"/>
      <c r="E46" s="1260"/>
      <c r="F46" s="1261"/>
      <c r="G46" s="1265"/>
      <c r="H46" s="1266"/>
      <c r="I46" s="1266"/>
      <c r="J46" s="1266"/>
      <c r="K46" s="1266"/>
      <c r="L46" s="1266"/>
      <c r="M46" s="1267"/>
      <c r="N46" s="1229" t="s">
        <v>856</v>
      </c>
      <c r="O46" s="1229"/>
      <c r="P46" s="212"/>
      <c r="Q46" s="1252">
        <f>'Y1 to Y5'!K106</f>
        <v>0</v>
      </c>
      <c r="R46" s="1253"/>
      <c r="S46" s="1252">
        <f>U80</f>
        <v>0</v>
      </c>
      <c r="T46" s="1253"/>
      <c r="U46" s="1252">
        <f>IF(U49&gt;0,1,0)</f>
        <v>1</v>
      </c>
      <c r="V46" s="1253"/>
    </row>
    <row r="47" spans="2:22" x14ac:dyDescent="0.25">
      <c r="B47" s="192"/>
      <c r="C47" s="1131"/>
      <c r="D47" s="1260"/>
      <c r="E47" s="1260"/>
      <c r="F47" s="1261"/>
      <c r="G47" s="1268"/>
      <c r="H47" s="1269"/>
      <c r="I47" s="1269"/>
      <c r="J47" s="1269"/>
      <c r="K47" s="1269"/>
      <c r="L47" s="1269"/>
      <c r="M47" s="1270"/>
      <c r="N47" s="1229" t="s">
        <v>1070</v>
      </c>
      <c r="O47" s="1229"/>
      <c r="P47" s="232"/>
      <c r="Q47" s="1252" t="str">
        <f>'Y1 to Y5'!K113</f>
        <v>N/A</v>
      </c>
      <c r="R47" s="1253"/>
      <c r="S47" s="1252">
        <f>U81</f>
        <v>0</v>
      </c>
      <c r="T47" s="1253"/>
      <c r="U47" s="1252">
        <f>IF(U50&gt;0,1,0)</f>
        <v>0</v>
      </c>
      <c r="V47" s="1253"/>
    </row>
    <row r="48" spans="2:22" x14ac:dyDescent="0.25">
      <c r="B48" s="192"/>
      <c r="C48" s="1131"/>
      <c r="D48" s="1260"/>
      <c r="E48" s="1260"/>
      <c r="F48" s="1261"/>
      <c r="G48" s="1273" t="s">
        <v>1069</v>
      </c>
      <c r="H48" s="1274"/>
      <c r="I48" s="1274"/>
      <c r="J48" s="1274"/>
      <c r="K48" s="1274"/>
      <c r="L48" s="1274"/>
      <c r="M48" s="1275"/>
      <c r="N48" s="1229" t="s">
        <v>840</v>
      </c>
      <c r="O48" s="1229"/>
      <c r="P48" s="212"/>
      <c r="Q48" s="1250">
        <f>'Y1 to Y5'!K100</f>
        <v>0</v>
      </c>
      <c r="R48" s="1251"/>
      <c r="S48" s="1250">
        <f>U83</f>
        <v>0</v>
      </c>
      <c r="T48" s="1251"/>
      <c r="U48" s="1250">
        <f>Summary!M39</f>
        <v>436.28883045578158</v>
      </c>
      <c r="V48" s="1251"/>
    </row>
    <row r="49" spans="2:22" x14ac:dyDescent="0.25">
      <c r="B49" s="192"/>
      <c r="C49" s="1131"/>
      <c r="D49" s="1260"/>
      <c r="E49" s="1260"/>
      <c r="F49" s="1261"/>
      <c r="G49" s="1276"/>
      <c r="H49" s="1277"/>
      <c r="I49" s="1277"/>
      <c r="J49" s="1277"/>
      <c r="K49" s="1277"/>
      <c r="L49" s="1277"/>
      <c r="M49" s="1278"/>
      <c r="N49" s="1229" t="s">
        <v>856</v>
      </c>
      <c r="O49" s="1229"/>
      <c r="P49" s="212"/>
      <c r="Q49" s="1250">
        <f>'Y1 to Y5'!K107</f>
        <v>0</v>
      </c>
      <c r="R49" s="1251"/>
      <c r="S49" s="1250">
        <f>U84</f>
        <v>0</v>
      </c>
      <c r="T49" s="1251"/>
      <c r="U49" s="1250">
        <f>Summary!M40</f>
        <v>276.19087856041961</v>
      </c>
      <c r="V49" s="1251"/>
    </row>
    <row r="50" spans="2:22" x14ac:dyDescent="0.25">
      <c r="B50" s="192"/>
      <c r="C50" s="1131"/>
      <c r="D50" s="1260"/>
      <c r="E50" s="1260"/>
      <c r="F50" s="1261"/>
      <c r="G50" s="1279"/>
      <c r="H50" s="1280"/>
      <c r="I50" s="1280"/>
      <c r="J50" s="1280"/>
      <c r="K50" s="1280"/>
      <c r="L50" s="1280"/>
      <c r="M50" s="1281"/>
      <c r="N50" s="1229" t="s">
        <v>1070</v>
      </c>
      <c r="O50" s="1229"/>
      <c r="P50" s="212"/>
      <c r="Q50" s="1250">
        <f>'Y1 to Y5'!K114</f>
        <v>0</v>
      </c>
      <c r="R50" s="1251"/>
      <c r="S50" s="1250">
        <f>U85</f>
        <v>0</v>
      </c>
      <c r="T50" s="1251"/>
      <c r="U50" s="1250">
        <f>Summary!M41</f>
        <v>0</v>
      </c>
      <c r="V50" s="1251"/>
    </row>
    <row r="51" spans="2:22" x14ac:dyDescent="0.25">
      <c r="B51" s="192"/>
      <c r="C51" s="1131"/>
      <c r="D51" s="1260"/>
      <c r="E51" s="1260"/>
      <c r="F51" s="1261"/>
      <c r="G51" s="1273" t="s">
        <v>1387</v>
      </c>
      <c r="H51" s="1274"/>
      <c r="I51" s="1274"/>
      <c r="J51" s="1274"/>
      <c r="K51" s="1274"/>
      <c r="L51" s="1274"/>
      <c r="M51" s="1275"/>
      <c r="N51" s="1229" t="s">
        <v>840</v>
      </c>
      <c r="O51" s="1229"/>
      <c r="P51" s="212"/>
      <c r="Q51" s="1282">
        <f>Q48/Assumptions!$K$21</f>
        <v>0</v>
      </c>
      <c r="R51" s="1272"/>
      <c r="S51" s="1282">
        <f>S48/Assumptions!$K$21</f>
        <v>0</v>
      </c>
      <c r="T51" s="1272"/>
      <c r="U51" s="1282">
        <f>Summary!M42</f>
        <v>9.673922676234406E-2</v>
      </c>
      <c r="V51" s="1272"/>
    </row>
    <row r="52" spans="2:22" x14ac:dyDescent="0.25">
      <c r="B52" s="192"/>
      <c r="C52" s="1131"/>
      <c r="D52" s="1260"/>
      <c r="E52" s="1260"/>
      <c r="F52" s="1261"/>
      <c r="G52" s="1276"/>
      <c r="H52" s="1277"/>
      <c r="I52" s="1277"/>
      <c r="J52" s="1277"/>
      <c r="K52" s="1277"/>
      <c r="L52" s="1277"/>
      <c r="M52" s="1278"/>
      <c r="N52" s="1229" t="s">
        <v>856</v>
      </c>
      <c r="O52" s="1229"/>
      <c r="P52" s="232"/>
      <c r="Q52" s="1282">
        <f>Q49/Assumptions!$K$21</f>
        <v>0</v>
      </c>
      <c r="R52" s="1272"/>
      <c r="S52" s="1282">
        <f>S49/Assumptions!$K$21</f>
        <v>0</v>
      </c>
      <c r="T52" s="1272"/>
      <c r="U52" s="1282">
        <f>Summary!M43</f>
        <v>6.1240376020709093E-2</v>
      </c>
      <c r="V52" s="1272"/>
    </row>
    <row r="53" spans="2:22" x14ac:dyDescent="0.25">
      <c r="B53" s="192"/>
      <c r="C53" s="1262"/>
      <c r="D53" s="1263"/>
      <c r="E53" s="1263"/>
      <c r="F53" s="1264"/>
      <c r="G53" s="1279"/>
      <c r="H53" s="1280"/>
      <c r="I53" s="1280"/>
      <c r="J53" s="1280"/>
      <c r="K53" s="1280"/>
      <c r="L53" s="1280"/>
      <c r="M53" s="1281"/>
      <c r="N53" s="1229" t="s">
        <v>1070</v>
      </c>
      <c r="O53" s="1229"/>
      <c r="P53" s="232"/>
      <c r="Q53" s="1282">
        <f>Q50/Assumptions!$K$21</f>
        <v>0</v>
      </c>
      <c r="R53" s="1272"/>
      <c r="S53" s="1282">
        <f>S50/Assumptions!$K$21</f>
        <v>0</v>
      </c>
      <c r="T53" s="1272"/>
      <c r="U53" s="1282">
        <f>Summary!M44</f>
        <v>0</v>
      </c>
      <c r="V53" s="1272"/>
    </row>
    <row r="54" spans="2:22" x14ac:dyDescent="0.25">
      <c r="B54" s="192"/>
      <c r="C54" s="232"/>
      <c r="D54" s="232"/>
      <c r="E54" s="232"/>
      <c r="F54" s="232"/>
      <c r="G54" s="232"/>
      <c r="H54" s="232"/>
      <c r="I54" s="232"/>
      <c r="J54" s="232"/>
      <c r="K54" s="232"/>
      <c r="L54" s="232"/>
      <c r="M54" s="232"/>
      <c r="N54" s="232"/>
      <c r="O54" s="232"/>
      <c r="P54" s="232"/>
      <c r="Q54" s="232"/>
      <c r="R54" s="232"/>
      <c r="S54" s="232"/>
      <c r="T54" s="232"/>
      <c r="U54" s="232"/>
      <c r="V54" s="232"/>
    </row>
    <row r="55" spans="2:22" x14ac:dyDescent="0.25">
      <c r="B55" s="192"/>
      <c r="C55" s="1247" t="s">
        <v>1039</v>
      </c>
      <c r="D55" s="1247"/>
      <c r="E55" s="1247"/>
      <c r="F55" s="1247"/>
      <c r="G55" s="1256" t="s">
        <v>1029</v>
      </c>
      <c r="H55" s="1256"/>
      <c r="I55" s="1256"/>
      <c r="J55" s="1256"/>
      <c r="K55" s="1256"/>
      <c r="L55" s="1256"/>
      <c r="M55" s="1256"/>
      <c r="N55" s="1256"/>
      <c r="O55" s="1256"/>
      <c r="P55" s="212"/>
      <c r="Q55" s="986">
        <f>Summary!K46</f>
        <v>83.4</v>
      </c>
      <c r="R55" s="987"/>
      <c r="S55" s="986" t="str">
        <f>IF(OR($G$21="Increase of PDs",$G$21="Default of x largest counterparts"),Q55,"N/A")</f>
        <v>N/A</v>
      </c>
      <c r="T55" s="987" t="str">
        <f>IF(OR($D$8="Increase of PDs",$D$8="Default of x largest counterparts"),S55,"n.a.")</f>
        <v>n.a.</v>
      </c>
      <c r="U55" s="986">
        <f>Summary!M46</f>
        <v>83.4</v>
      </c>
      <c r="V55" s="987"/>
    </row>
    <row r="56" spans="2:22" x14ac:dyDescent="0.25">
      <c r="B56" s="192"/>
      <c r="C56" s="1247"/>
      <c r="D56" s="1247"/>
      <c r="E56" s="1247"/>
      <c r="F56" s="1247"/>
      <c r="G56" s="1256" t="s">
        <v>1071</v>
      </c>
      <c r="H56" s="1256"/>
      <c r="I56" s="1256"/>
      <c r="J56" s="1256"/>
      <c r="K56" s="1256"/>
      <c r="L56" s="1256"/>
      <c r="M56" s="1256"/>
      <c r="N56" s="1256"/>
      <c r="O56" s="1256"/>
      <c r="P56" s="212"/>
      <c r="Q56" s="1271">
        <f>Summary!K47</f>
        <v>-57.6</v>
      </c>
      <c r="R56" s="1272"/>
      <c r="S56" s="1271" t="str">
        <f>IF(OR($G$21="Increase of PDs",$G$21="Default of x largest counterparts"),Q56,"N/A")</f>
        <v>N/A</v>
      </c>
      <c r="T56" s="1272" t="str">
        <f>IF(OR($D$8="Increase of PDs",$D$8="Default of x largest counterparts"),S56,"n.a.")</f>
        <v>n.a.</v>
      </c>
      <c r="U56" s="1271">
        <f>Summary!M47</f>
        <v>-104.93085863030032</v>
      </c>
      <c r="V56" s="1272"/>
    </row>
    <row r="57" spans="2:22" x14ac:dyDescent="0.25">
      <c r="B57" s="192"/>
      <c r="C57" s="1247"/>
      <c r="D57" s="1247"/>
      <c r="E57" s="1247"/>
      <c r="F57" s="1247"/>
      <c r="G57" s="1256" t="s">
        <v>1072</v>
      </c>
      <c r="H57" s="1256"/>
      <c r="I57" s="1256"/>
      <c r="J57" s="1256"/>
      <c r="K57" s="1256"/>
      <c r="L57" s="1256"/>
      <c r="M57" s="1256"/>
      <c r="N57" s="1256"/>
      <c r="O57" s="1256"/>
      <c r="P57" s="212"/>
      <c r="Q57" s="1271">
        <f>Summary!K48</f>
        <v>0</v>
      </c>
      <c r="R57" s="1272"/>
      <c r="S57" s="1271">
        <f>IF($G$21="Interest Rate Shock",G66,IF($G$21="Foreign Exchange Rate Shock",G69,IF($D$8="Asset Price Shock",G72,0)))</f>
        <v>5000</v>
      </c>
      <c r="T57" s="1272"/>
      <c r="U57" s="1271">
        <f>Summary!M48</f>
        <v>36.559090909090912</v>
      </c>
      <c r="V57" s="1272"/>
    </row>
    <row r="58" spans="2:22" x14ac:dyDescent="0.25">
      <c r="B58" s="192"/>
      <c r="C58" s="1247"/>
      <c r="D58" s="1247"/>
      <c r="E58" s="1247"/>
      <c r="F58" s="1247"/>
      <c r="G58" s="1256" t="s">
        <v>1037</v>
      </c>
      <c r="H58" s="1256"/>
      <c r="I58" s="1256"/>
      <c r="J58" s="1256"/>
      <c r="K58" s="1256"/>
      <c r="L58" s="1256"/>
      <c r="M58" s="1256"/>
      <c r="N58" s="1256"/>
      <c r="O58" s="1256"/>
      <c r="P58" s="212"/>
      <c r="Q58" s="1271">
        <f>Summary!K49</f>
        <v>25.800000000000004</v>
      </c>
      <c r="R58" s="1272"/>
      <c r="S58" s="1271" t="str">
        <f>IF(OR($G$21="Increase of PDs",$G$21="Default of x largest counterparts"),SUM(S55:S57),"N/A")</f>
        <v>N/A</v>
      </c>
      <c r="T58" s="1272" t="str">
        <f>IF(OR($D$8="Increase of PDs",$D$8="Default of x largest counterparts"),SUM(T55:T57),"n.a.")</f>
        <v>n.a.</v>
      </c>
      <c r="U58" s="1271">
        <f>Summary!M49</f>
        <v>15.028232278790597</v>
      </c>
      <c r="V58" s="1272"/>
    </row>
    <row r="59" spans="2:22" x14ac:dyDescent="0.25">
      <c r="B59" s="192"/>
      <c r="C59" s="1247"/>
      <c r="D59" s="1247"/>
      <c r="E59" s="1247"/>
      <c r="F59" s="1247"/>
      <c r="G59" s="1256" t="s">
        <v>1073</v>
      </c>
      <c r="H59" s="1256"/>
      <c r="I59" s="1256"/>
      <c r="J59" s="1256"/>
      <c r="K59" s="1256"/>
      <c r="L59" s="1256"/>
      <c r="M59" s="1256"/>
      <c r="N59" s="1256"/>
      <c r="O59" s="1256"/>
      <c r="P59" s="212"/>
      <c r="Q59" s="1271">
        <f>Summary!K50</f>
        <v>2250.1909090909094</v>
      </c>
      <c r="R59" s="1272"/>
      <c r="S59" s="1271">
        <f>IF(ISNUMBER(Q59+U66),Q59+U66,"N/A")</f>
        <v>2250.1909090909094</v>
      </c>
      <c r="T59" s="1272"/>
      <c r="U59" s="1271">
        <f>Summary!M50</f>
        <v>7490.6306155658685</v>
      </c>
      <c r="V59" s="1272"/>
    </row>
    <row r="60" spans="2:22" x14ac:dyDescent="0.25">
      <c r="B60" s="192"/>
      <c r="C60" s="212"/>
      <c r="D60" s="212"/>
      <c r="E60" s="212"/>
      <c r="F60" s="212"/>
      <c r="G60" s="212"/>
      <c r="H60" s="212"/>
      <c r="I60" s="212"/>
      <c r="J60" s="212"/>
      <c r="K60" s="212"/>
      <c r="L60" s="212"/>
      <c r="M60" s="212"/>
      <c r="N60" s="212"/>
      <c r="O60" s="212"/>
      <c r="P60" s="212"/>
      <c r="Q60" s="212"/>
      <c r="R60" s="212"/>
      <c r="S60" s="212"/>
      <c r="T60" s="212"/>
      <c r="U60" s="212"/>
      <c r="V60" s="212"/>
    </row>
    <row r="61" spans="2:22" x14ac:dyDescent="0.25">
      <c r="B61" s="201"/>
      <c r="C61" s="214"/>
      <c r="D61" s="214"/>
      <c r="E61" s="214"/>
      <c r="F61" s="214"/>
      <c r="G61" s="214"/>
      <c r="H61" s="214"/>
      <c r="I61" s="214"/>
      <c r="J61" s="214"/>
      <c r="K61" s="214"/>
      <c r="L61" s="214"/>
      <c r="M61" s="214"/>
      <c r="N61" s="214"/>
      <c r="O61" s="214"/>
      <c r="P61" s="214"/>
      <c r="Q61" s="214"/>
      <c r="R61" s="214"/>
      <c r="S61" s="214"/>
      <c r="T61" s="214"/>
      <c r="U61" s="214"/>
      <c r="V61" s="214"/>
    </row>
    <row r="62" spans="2:22" ht="18.75" x14ac:dyDescent="0.25">
      <c r="B62" s="226" t="s">
        <v>1077</v>
      </c>
      <c r="C62" s="227"/>
      <c r="D62" s="212"/>
      <c r="E62" s="212"/>
      <c r="F62" s="212"/>
      <c r="G62" s="212"/>
      <c r="H62" s="212"/>
      <c r="I62" s="212"/>
      <c r="J62" s="212"/>
      <c r="K62" s="212"/>
      <c r="L62" s="212"/>
      <c r="M62" s="212"/>
      <c r="N62" s="212"/>
      <c r="O62" s="212"/>
      <c r="P62" s="212"/>
      <c r="Q62" s="212"/>
      <c r="R62" s="212"/>
      <c r="S62" s="212"/>
      <c r="T62" s="212"/>
      <c r="U62" s="212"/>
      <c r="V62" s="212"/>
    </row>
    <row r="63" spans="2:22" x14ac:dyDescent="0.25">
      <c r="B63" s="192"/>
      <c r="C63" s="212"/>
      <c r="D63" s="212"/>
      <c r="E63" s="212"/>
      <c r="F63" s="212"/>
      <c r="G63" s="212"/>
      <c r="H63" s="212"/>
      <c r="I63" s="212"/>
      <c r="J63" s="212"/>
      <c r="K63" s="212"/>
      <c r="L63" s="212"/>
      <c r="M63" s="212"/>
      <c r="N63" s="212"/>
      <c r="O63" s="212"/>
      <c r="P63" s="212"/>
      <c r="Q63" s="212"/>
      <c r="R63" s="212"/>
      <c r="S63" s="212"/>
      <c r="T63" s="212"/>
      <c r="U63" s="212"/>
      <c r="V63" s="212"/>
    </row>
    <row r="64" spans="2:22" ht="15.75" x14ac:dyDescent="0.25">
      <c r="B64" s="192"/>
      <c r="C64" s="844" t="s">
        <v>76</v>
      </c>
      <c r="D64" s="845"/>
      <c r="E64" s="845"/>
      <c r="F64" s="846"/>
      <c r="G64" s="212"/>
      <c r="H64" s="212"/>
      <c r="I64" s="212"/>
      <c r="J64" s="1285" t="s">
        <v>75</v>
      </c>
      <c r="K64" s="1285"/>
      <c r="L64" s="1285"/>
      <c r="M64" s="1285"/>
      <c r="N64" s="232"/>
      <c r="O64" s="232"/>
      <c r="P64" s="212"/>
      <c r="Q64" s="844" t="s">
        <v>1097</v>
      </c>
      <c r="R64" s="845"/>
      <c r="S64" s="845"/>
      <c r="T64" s="846"/>
      <c r="U64" s="212"/>
      <c r="V64" s="212"/>
    </row>
    <row r="65" spans="2:22" x14ac:dyDescent="0.25">
      <c r="B65" s="192"/>
      <c r="C65" s="180" t="s">
        <v>817</v>
      </c>
      <c r="D65" s="15"/>
      <c r="E65" s="15"/>
      <c r="F65" s="16"/>
      <c r="G65" s="212"/>
      <c r="H65" s="212"/>
      <c r="I65" s="212"/>
      <c r="J65" s="263" t="s">
        <v>1067</v>
      </c>
      <c r="K65" s="183"/>
      <c r="L65" s="183"/>
      <c r="M65" s="184"/>
      <c r="N65" s="232"/>
      <c r="O65" s="232"/>
      <c r="P65" s="212"/>
      <c r="Q65" s="182" t="s">
        <v>1084</v>
      </c>
      <c r="R65" s="183"/>
      <c r="S65" s="183"/>
      <c r="T65" s="184"/>
      <c r="U65" s="1283">
        <f>IF($G$21="Interest Rate Shock",G66,IF($G$21="Foreign Exchange Rate Shock",G69,IF($G$21="Asset Price Shock",G72,IF($G$21="Increase of PDs/Impairment Losses",N69,IF($G$21="Default of x largest counterparts",N74,0)))))</f>
        <v>5000</v>
      </c>
      <c r="V65" s="1283"/>
    </row>
    <row r="66" spans="2:22" x14ac:dyDescent="0.25">
      <c r="B66" s="192"/>
      <c r="C66" s="179" t="s">
        <v>1078</v>
      </c>
      <c r="D66" s="15"/>
      <c r="E66" s="15"/>
      <c r="F66" s="16"/>
      <c r="G66" s="1283">
        <f>IF(ISNUMBER($S$28/VLOOKUP($L$28,Parameters!H21:R30,9,FALSE)*VLOOKUP($L$28,Input!B$131:H$140,6,FALSE)),$S$28/VLOOKUP($L$28,Parameters!H21:R30,9,FALSE)*VLOOKUP($L$28,Input!B$131:H$140,6,FALSE),"N/A")</f>
        <v>5000</v>
      </c>
      <c r="H66" s="1283"/>
      <c r="I66" s="212"/>
      <c r="J66" s="182" t="s">
        <v>1080</v>
      </c>
      <c r="K66" s="183"/>
      <c r="L66" s="183"/>
      <c r="M66" s="184"/>
      <c r="N66" s="1283">
        <f>IF($L$33="All",'Y1 to Y5'!K27,VLOOKUP($L$33,Calculation!$E$27:$M$46,8,FALSE))</f>
        <v>2816.7113636363638</v>
      </c>
      <c r="O66" s="1283"/>
      <c r="P66" s="212"/>
      <c r="Q66" s="182" t="s">
        <v>1079</v>
      </c>
      <c r="R66" s="183"/>
      <c r="S66" s="183"/>
      <c r="T66" s="184"/>
      <c r="U66" s="1283">
        <f>IF($G$21="Change in RWAs for Market Risk",G74,IF($G$21="Increase of PDs/Impairment Losses",IF(ISNUMBER(N71*'Y1 to Y5'!K43),N71*'Y1 to Y5'!K43:L43,"N/A"),IF($G$21="Change in RWAs for OPRisk",N77,0)))</f>
        <v>0</v>
      </c>
      <c r="V66" s="1283"/>
    </row>
    <row r="67" spans="2:22" x14ac:dyDescent="0.25">
      <c r="B67" s="192"/>
      <c r="C67" s="212"/>
      <c r="D67" s="212"/>
      <c r="E67" s="212"/>
      <c r="F67" s="212"/>
      <c r="G67" s="212"/>
      <c r="H67" s="212"/>
      <c r="I67" s="212"/>
      <c r="J67" s="182" t="s">
        <v>1081</v>
      </c>
      <c r="K67" s="183"/>
      <c r="L67" s="183"/>
      <c r="M67" s="184"/>
      <c r="N67" s="1097">
        <f>IF(ISNUMBER(Calculation!J53)=FALSE,"N/A",IF(IF($S$33="Relative",Calculation!J53*(1+$V$33),IF($S$33="Absolute, by x %",Calculation!J53+$V$33,$V$33))&gt;1,1,IF($S$33="Relative",Calculation!J53*(1+$V$33),IF($S$33="Absolute, by x %",Calculation!J53+$V$33,$V$33))))</f>
        <v>8.4239805149277827E-2</v>
      </c>
      <c r="O67" s="1097"/>
      <c r="P67" s="212"/>
      <c r="Q67" s="212"/>
      <c r="R67" s="212"/>
      <c r="S67" s="212"/>
      <c r="T67" s="212"/>
      <c r="U67" s="212"/>
      <c r="V67" s="212"/>
    </row>
    <row r="68" spans="2:22" ht="30" customHeight="1" x14ac:dyDescent="0.25">
      <c r="B68" s="192"/>
      <c r="C68" s="185" t="s">
        <v>876</v>
      </c>
      <c r="D68" s="15"/>
      <c r="E68" s="15"/>
      <c r="F68" s="16"/>
      <c r="G68" s="212"/>
      <c r="H68" s="212"/>
      <c r="I68" s="212"/>
      <c r="J68" s="178" t="s">
        <v>1082</v>
      </c>
      <c r="K68" s="183"/>
      <c r="L68" s="183"/>
      <c r="M68" s="184"/>
      <c r="N68" s="1284">
        <f>IF(Setup!B7="PD/LGD",IF(ISNUMBER(Calculation!J80)=FALSE,"N/A",IF(IF(S34="Relative",Calculation!J80*(1+$V$34),IF($S$34="Absolute, by x %",Calculation!J80+$V$34,$V$34))&gt;1,1,IF($S$34="Relative",Calculation!J80*(1+$V$34),IF($S$34="Absolute, by x %",Calculation!J80+$V$34,$V$34)))),100%)</f>
        <v>0.84989676774897849</v>
      </c>
      <c r="O68" s="1284"/>
      <c r="P68" s="212"/>
      <c r="Q68" s="609" t="s">
        <v>1085</v>
      </c>
      <c r="R68" s="610"/>
      <c r="S68" s="610"/>
      <c r="T68" s="611"/>
      <c r="U68" s="1286">
        <f>IF(OR($G$21="Increase of PDs/Impairment Losses",$G$21="Default of x largest counterparts"),'Y1 to Y5'!K61,0)</f>
        <v>0</v>
      </c>
      <c r="V68" s="1287"/>
    </row>
    <row r="69" spans="2:22" x14ac:dyDescent="0.25">
      <c r="B69" s="192"/>
      <c r="C69" s="179" t="s">
        <v>1078</v>
      </c>
      <c r="D69" s="15"/>
      <c r="E69" s="15"/>
      <c r="F69" s="16"/>
      <c r="G69" s="1283" t="str">
        <f>IF(ISNUMBER(IF($L$29="All currencies",(Input!T118*$S$29),(VLOOKUP($L$29,Input!$O$119:$T$128,6,FALSE)*$S$29))),IF($L$29="All currencies",(Input!T118*$S$29),(VLOOKUP($L$29,Input!$O$119:$T$128,6,FALSE)*$S$29)),"N/A")</f>
        <v>N/A</v>
      </c>
      <c r="H69" s="1283"/>
      <c r="I69" s="212"/>
      <c r="J69" s="182" t="s">
        <v>1083</v>
      </c>
      <c r="K69" s="183"/>
      <c r="L69" s="183"/>
      <c r="M69" s="184"/>
      <c r="N69" s="1283">
        <f>IF(ISNUMBER(IF(Setup!B7="PD/LGD",-N67*N68*N66,-N67*N66)),IF(Setup!B7="PD/LGD",-N67*N68*N66,-N67*N66),"N/A")</f>
        <v>-201.6628391016782</v>
      </c>
      <c r="O69" s="1283">
        <f>IF(ISNUMBER(IF(N69="PD/LGD (default)",-O67*O68*O66,-O67*O66)),IF(N69="PD/LGD (default)",-O67*O68*O66,-O67*O66),"n.a.")</f>
        <v>0</v>
      </c>
      <c r="P69" s="212"/>
      <c r="Q69" s="212"/>
      <c r="R69" s="212"/>
      <c r="S69" s="212"/>
      <c r="T69" s="212"/>
      <c r="U69" s="212"/>
      <c r="V69" s="212"/>
    </row>
    <row r="70" spans="2:22" x14ac:dyDescent="0.25">
      <c r="B70" s="192"/>
      <c r="C70" s="212"/>
      <c r="D70" s="212"/>
      <c r="E70" s="212"/>
      <c r="F70" s="212"/>
      <c r="G70" s="212"/>
      <c r="H70" s="212"/>
      <c r="I70" s="212"/>
      <c r="J70" s="212"/>
      <c r="K70" s="212"/>
      <c r="L70" s="212"/>
      <c r="M70" s="212"/>
      <c r="N70" s="212"/>
      <c r="O70" s="212"/>
      <c r="P70" s="212"/>
      <c r="Q70" s="182" t="s">
        <v>1086</v>
      </c>
      <c r="R70" s="183"/>
      <c r="S70" s="183"/>
      <c r="T70" s="184"/>
      <c r="U70" s="1283">
        <f>IF(ISNUMBER('Y1 to Y5'!K76+(Sensitivity!U65+Sensitivity!U68)),'Y1 to Y5'!K76+(Sensitivity!U65+Sensitivity!U68),"N/A")</f>
        <v>5455.0727272727272</v>
      </c>
      <c r="V70" s="1283"/>
    </row>
    <row r="71" spans="2:22" x14ac:dyDescent="0.25">
      <c r="B71" s="192"/>
      <c r="C71" s="180" t="s">
        <v>819</v>
      </c>
      <c r="D71" s="15"/>
      <c r="E71" s="15"/>
      <c r="F71" s="16"/>
      <c r="G71" s="212"/>
      <c r="H71" s="212"/>
      <c r="I71" s="212"/>
      <c r="J71" s="180" t="s">
        <v>1079</v>
      </c>
      <c r="K71" s="15"/>
      <c r="L71" s="15"/>
      <c r="M71" s="16"/>
      <c r="N71" s="1284">
        <f>(IF(Assumptions!H28="Standard",(N69)/'Y1 to Y5'!K27,IF(Assumptions!H28="IRB",IF('Y1 to Y5'!K42="Standardized",IF(Assumptions!H29="Yes",Parameters!Q196,1)*((1+(AVERAGE(N67,'Y1 to Y5'!K28)*AVERAGE(N67,'Y1 to Y5'!K28)*Parameters!L117+AVERAGE(N67,'Y1 to Y5'!K28)*Parameters!L118+Parameters!L119)*((IF(ISNUMBER(N67/'Y1 to Y5'!K28),N67/'Y1 to Y5'!K28,1)*100)-100))*(1+(N68/Calculation!J80-1))-1)*((1+Assumptions!AA90)-(N68*N67*2.5*(1+0.5*Assumptions!AA90))),((1+(AVERAGE(N67,'Y1 to Y5'!K28)*AVERAGE(N67,'Y1 to Y5'!K28)*Parameters!L117+AVERAGE(N67,'Y1 to Y5'!K28)*Parameters!L118+Parameters!L119)*((IF(ISNUMBER(N67/'Y1 to Y5'!K28),N67/'Y1 to Y5'!K28,1)*100)-100))*(1+(N68/Calculation!J80-1))-1)*((1+Assumptions!AA90)-(N68*N67*2.5*(1+0.5*Assumptions!AA90)))))))*N66/'Y1 to Y5'!K27</f>
        <v>0.69502867689279924</v>
      </c>
      <c r="O71" s="1284"/>
      <c r="P71" s="212"/>
      <c r="Q71" s="182" t="s">
        <v>1087</v>
      </c>
      <c r="R71" s="183"/>
      <c r="S71" s="183"/>
      <c r="T71" s="184"/>
      <c r="U71" s="1283">
        <f>IF(ISNUMBER('Y1 to Y5'!K78+Sensitivity!U65+Sensitivity!U68),'Y1 to Y5'!K78+Sensitivity!U65+Sensitivity!U68,"N/A")</f>
        <v>5315.545454545455</v>
      </c>
      <c r="V71" s="1283"/>
    </row>
    <row r="72" spans="2:22" x14ac:dyDescent="0.25">
      <c r="B72" s="192"/>
      <c r="C72" s="179" t="s">
        <v>1078</v>
      </c>
      <c r="D72" s="15"/>
      <c r="E72" s="15"/>
      <c r="F72" s="16"/>
      <c r="G72" s="1283">
        <f>IF($L$30="All assets",(SUM(Input!$F$118:$F$127,Input!$M$118:$M$127,Input!$AA$118:$AA$127)*$S$30),IF($L$30="Trading book only",(SUM(Input!$F$118:$F$127)*$S$30),IF($L$30="Trading book &amp; AfS",(SUM(Input!$F$118:$F$127,Input!$AA$118:$AA$127)*$S$30),(VLOOKUP($L$30,Calculation!$E$212:$K$222,6,FALSE)*$S$30))))</f>
        <v>-0.41045454545454546</v>
      </c>
      <c r="H72" s="1283"/>
      <c r="I72" s="212"/>
      <c r="J72" s="193"/>
      <c r="K72" s="193"/>
      <c r="L72" s="193"/>
      <c r="M72" s="193"/>
      <c r="N72" s="212"/>
      <c r="O72" s="212"/>
      <c r="P72" s="212"/>
      <c r="Q72" s="182" t="s">
        <v>1088</v>
      </c>
      <c r="R72" s="183"/>
      <c r="S72" s="183"/>
      <c r="T72" s="184"/>
      <c r="U72" s="1283" t="str">
        <f>IF(ISNUMBER('Y1 to Y5'!K80+Sensitivity!U65+Sensitivity!U68),'Y1 to Y5'!K80+Sensitivity!U65+Sensitivity!U68,"N/A")</f>
        <v>N/A</v>
      </c>
      <c r="V72" s="1283"/>
    </row>
    <row r="73" spans="2:22" x14ac:dyDescent="0.25">
      <c r="B73" s="192"/>
      <c r="C73" s="212"/>
      <c r="D73" s="212"/>
      <c r="E73" s="212"/>
      <c r="F73" s="212"/>
      <c r="G73" s="212"/>
      <c r="H73" s="212"/>
      <c r="I73" s="212"/>
      <c r="J73" s="180" t="s">
        <v>821</v>
      </c>
      <c r="K73" s="15"/>
      <c r="L73" s="15"/>
      <c r="M73" s="16"/>
      <c r="N73" s="212"/>
      <c r="O73" s="212"/>
      <c r="P73" s="212"/>
      <c r="Q73" s="182" t="s">
        <v>1089</v>
      </c>
      <c r="R73" s="183"/>
      <c r="S73" s="183"/>
      <c r="T73" s="184"/>
      <c r="U73" s="1283">
        <f>'Y1 to Y5'!K49+Sensitivity!U68</f>
        <v>2250.1909090909094</v>
      </c>
      <c r="V73" s="1283"/>
    </row>
    <row r="74" spans="2:22" x14ac:dyDescent="0.25">
      <c r="B74" s="192"/>
      <c r="C74" s="180" t="s">
        <v>1079</v>
      </c>
      <c r="D74" s="15"/>
      <c r="E74" s="15"/>
      <c r="F74" s="16"/>
      <c r="G74" s="1283">
        <f>IF(ISNUMBER('Y1 to Y5'!K45*Sensitivity!S31),'Y1 to Y5'!K45*Sensitivity!S31,"N/A")</f>
        <v>0.60136363636363654</v>
      </c>
      <c r="H74" s="1283"/>
      <c r="I74" s="212"/>
      <c r="J74" s="182" t="s">
        <v>1083</v>
      </c>
      <c r="K74" s="183"/>
      <c r="L74" s="183"/>
      <c r="M74" s="184"/>
      <c r="N74" s="986">
        <f>IF(ISNUMBER(-VLOOKUP(L35,Input!O108:T112,6,FALSE)*'Summary of Input Data'!S30),-VLOOKUP(L35,Input!O108:T112,6,FALSE)*'Summary of Input Data'!S30,"N/A")</f>
        <v>0</v>
      </c>
      <c r="O74" s="987"/>
      <c r="P74" s="212"/>
      <c r="Q74" s="212"/>
      <c r="R74" s="212"/>
      <c r="S74" s="212"/>
      <c r="T74" s="212"/>
      <c r="U74" s="212"/>
      <c r="V74" s="212"/>
    </row>
    <row r="75" spans="2:22" x14ac:dyDescent="0.25">
      <c r="B75" s="192"/>
      <c r="C75" s="212"/>
      <c r="D75" s="212"/>
      <c r="E75" s="212"/>
      <c r="F75" s="212"/>
      <c r="G75" s="212"/>
      <c r="H75" s="212"/>
      <c r="I75" s="212"/>
      <c r="J75" s="193"/>
      <c r="K75" s="193"/>
      <c r="L75" s="193"/>
      <c r="M75" s="193"/>
      <c r="N75" s="212"/>
      <c r="O75" s="212"/>
      <c r="P75" s="212"/>
      <c r="Q75" s="182" t="s">
        <v>1086</v>
      </c>
      <c r="R75" s="183"/>
      <c r="S75" s="183"/>
      <c r="T75" s="184"/>
      <c r="U75" s="1284">
        <f>IF(ISERROR(U70/U$73),"N/A",U70/U$73)</f>
        <v>2.4242710719494505</v>
      </c>
      <c r="V75" s="1284" t="str">
        <f>IF(ISERROR(V70/V$89),"n.a.",V70/V$89)</f>
        <v>n.a.</v>
      </c>
    </row>
    <row r="76" spans="2:22" x14ac:dyDescent="0.25">
      <c r="B76" s="192"/>
      <c r="C76" s="212"/>
      <c r="D76" s="212"/>
      <c r="E76" s="212"/>
      <c r="F76" s="212"/>
      <c r="G76" s="212"/>
      <c r="H76" s="212"/>
      <c r="I76" s="212"/>
      <c r="J76" s="180" t="s">
        <v>77</v>
      </c>
      <c r="K76" s="15"/>
      <c r="L76" s="15"/>
      <c r="M76" s="16"/>
      <c r="N76" s="212"/>
      <c r="O76" s="212"/>
      <c r="P76" s="212"/>
      <c r="Q76" s="182" t="s">
        <v>1090</v>
      </c>
      <c r="R76" s="183"/>
      <c r="S76" s="183"/>
      <c r="T76" s="184"/>
      <c r="U76" s="1284">
        <f>IF(ISERROR(U71/U$73),"N/A",U71/U$73)</f>
        <v>2.3622642119254529</v>
      </c>
      <c r="V76" s="1284" t="str">
        <f>IF(ISERROR(V71/V$89),"n.a.",V71/V$89)</f>
        <v>n.a.</v>
      </c>
    </row>
    <row r="77" spans="2:22" x14ac:dyDescent="0.25">
      <c r="B77" s="192"/>
      <c r="C77" s="232"/>
      <c r="D77" s="232"/>
      <c r="E77" s="232"/>
      <c r="F77" s="232"/>
      <c r="G77" s="232"/>
      <c r="H77" s="232"/>
      <c r="I77" s="212"/>
      <c r="J77" s="182" t="s">
        <v>1079</v>
      </c>
      <c r="K77" s="183"/>
      <c r="L77" s="183"/>
      <c r="M77" s="184"/>
      <c r="N77" s="1283">
        <f>IF(ISNUMBER('Y1 to Y5'!K46*S37),'Y1 to Y5'!K46*S37,"N/A")</f>
        <v>13.581818181818182</v>
      </c>
      <c r="O77" s="1283"/>
      <c r="P77" s="212"/>
      <c r="Q77" s="182" t="s">
        <v>1088</v>
      </c>
      <c r="R77" s="183"/>
      <c r="S77" s="183"/>
      <c r="T77" s="184"/>
      <c r="U77" s="1284" t="str">
        <f>IF(ISERROR(U72/U$73),"N/A",U72/U$73)</f>
        <v>N/A</v>
      </c>
      <c r="V77" s="1284" t="str">
        <f>IF(ISERROR(V72/V$89),"n.a.",V72/V$89)</f>
        <v>n.a.</v>
      </c>
    </row>
    <row r="78" spans="2:22" x14ac:dyDescent="0.25">
      <c r="B78" s="192"/>
      <c r="C78" s="232"/>
      <c r="D78" s="232"/>
      <c r="E78" s="232"/>
      <c r="F78" s="232"/>
      <c r="G78" s="232"/>
      <c r="H78" s="232"/>
      <c r="I78" s="212"/>
      <c r="J78" s="212"/>
      <c r="K78" s="212"/>
      <c r="L78" s="212"/>
      <c r="M78" s="212"/>
      <c r="N78" s="212"/>
      <c r="O78" s="212"/>
      <c r="P78" s="212"/>
      <c r="Q78" s="212"/>
      <c r="R78" s="212"/>
      <c r="S78" s="212"/>
      <c r="T78" s="212"/>
      <c r="U78" s="212"/>
      <c r="V78" s="212"/>
    </row>
    <row r="79" spans="2:22" x14ac:dyDescent="0.25">
      <c r="B79" s="192"/>
      <c r="C79" s="232"/>
      <c r="D79" s="232"/>
      <c r="E79" s="232"/>
      <c r="F79" s="232"/>
      <c r="G79" s="232"/>
      <c r="H79" s="232"/>
      <c r="I79" s="212"/>
      <c r="J79" s="212"/>
      <c r="K79" s="212"/>
      <c r="L79" s="212"/>
      <c r="M79" s="212"/>
      <c r="N79" s="212"/>
      <c r="O79" s="212"/>
      <c r="P79" s="212"/>
      <c r="Q79" s="182" t="s">
        <v>1091</v>
      </c>
      <c r="R79" s="183"/>
      <c r="S79" s="183"/>
      <c r="T79" s="184"/>
      <c r="U79" s="887">
        <f>IF(U75&lt;$S24,1,0)</f>
        <v>0</v>
      </c>
      <c r="V79" s="888">
        <f>IF(V75&lt;$F$10,1,0)</f>
        <v>0</v>
      </c>
    </row>
    <row r="80" spans="2:22" x14ac:dyDescent="0.25">
      <c r="B80" s="192"/>
      <c r="C80" s="232"/>
      <c r="D80" s="232"/>
      <c r="E80" s="232"/>
      <c r="F80" s="232"/>
      <c r="G80" s="232"/>
      <c r="H80" s="232"/>
      <c r="I80" s="212"/>
      <c r="J80" s="212"/>
      <c r="K80" s="212"/>
      <c r="L80" s="212"/>
      <c r="M80" s="212"/>
      <c r="N80" s="212"/>
      <c r="O80" s="212"/>
      <c r="P80" s="212"/>
      <c r="Q80" s="182" t="s">
        <v>1092</v>
      </c>
      <c r="R80" s="183"/>
      <c r="S80" s="183"/>
      <c r="T80" s="184"/>
      <c r="U80" s="887">
        <f>IF(U76&lt;$S25,1,0)</f>
        <v>0</v>
      </c>
      <c r="V80" s="888">
        <f>IF(V76&lt;$F$10,1,0)</f>
        <v>0</v>
      </c>
    </row>
    <row r="81" spans="2:27" ht="30" customHeight="1" x14ac:dyDescent="0.25">
      <c r="B81" s="192"/>
      <c r="C81" s="232"/>
      <c r="D81" s="232"/>
      <c r="E81" s="232"/>
      <c r="F81" s="232"/>
      <c r="G81" s="232"/>
      <c r="H81" s="232"/>
      <c r="I81" s="212"/>
      <c r="J81" s="212"/>
      <c r="K81" s="212"/>
      <c r="L81" s="212"/>
      <c r="M81" s="212"/>
      <c r="N81" s="212"/>
      <c r="O81" s="212"/>
      <c r="P81" s="212"/>
      <c r="Q81" s="609" t="s">
        <v>1093</v>
      </c>
      <c r="R81" s="610"/>
      <c r="S81" s="610"/>
      <c r="T81" s="611"/>
      <c r="U81" s="887">
        <f>IF(U77&lt;$S26,1,0)</f>
        <v>0</v>
      </c>
      <c r="V81" s="888">
        <f>IF(V77&lt;$F$10,1,0)</f>
        <v>0</v>
      </c>
    </row>
    <row r="82" spans="2:27" x14ac:dyDescent="0.25">
      <c r="B82" s="192"/>
      <c r="C82" s="232"/>
      <c r="D82" s="232"/>
      <c r="E82" s="232"/>
      <c r="F82" s="232"/>
      <c r="G82" s="232"/>
      <c r="H82" s="232"/>
      <c r="I82" s="212"/>
      <c r="J82" s="212"/>
      <c r="K82" s="212"/>
      <c r="L82" s="212"/>
      <c r="M82" s="212"/>
      <c r="N82" s="212"/>
      <c r="O82" s="212"/>
      <c r="P82" s="212"/>
      <c r="Q82" s="212"/>
      <c r="R82" s="212"/>
      <c r="S82" s="212"/>
      <c r="T82" s="212"/>
      <c r="U82" s="212"/>
      <c r="V82" s="212"/>
    </row>
    <row r="83" spans="2:27" x14ac:dyDescent="0.25">
      <c r="B83" s="192"/>
      <c r="C83" s="232"/>
      <c r="D83" s="232"/>
      <c r="E83" s="232"/>
      <c r="F83" s="232"/>
      <c r="G83" s="232"/>
      <c r="H83" s="232"/>
      <c r="I83" s="212"/>
      <c r="J83" s="212"/>
      <c r="K83" s="212"/>
      <c r="L83" s="212"/>
      <c r="M83" s="212"/>
      <c r="N83" s="212"/>
      <c r="O83" s="212"/>
      <c r="P83" s="212"/>
      <c r="Q83" s="182" t="s">
        <v>1094</v>
      </c>
      <c r="R83" s="183"/>
      <c r="S83" s="183"/>
      <c r="T83" s="184"/>
      <c r="U83" s="887">
        <f>IF(U75&lt;S24,(S24-U75)*(U$66+'Y1 to Y5'!K$49),0)</f>
        <v>0</v>
      </c>
      <c r="V83" s="888" t="e">
        <f>IF(V75&lt;#REF!,(#REF!-V75)*(V66+1111),0)</f>
        <v>#REF!</v>
      </c>
    </row>
    <row r="84" spans="2:27" x14ac:dyDescent="0.25">
      <c r="B84" s="192"/>
      <c r="C84" s="232"/>
      <c r="D84" s="232"/>
      <c r="E84" s="232"/>
      <c r="F84" s="232"/>
      <c r="G84" s="232"/>
      <c r="H84" s="232"/>
      <c r="I84" s="212"/>
      <c r="J84" s="212"/>
      <c r="K84" s="212"/>
      <c r="L84" s="212"/>
      <c r="M84" s="212"/>
      <c r="N84" s="212"/>
      <c r="O84" s="212"/>
      <c r="P84" s="212"/>
      <c r="Q84" s="182" t="s">
        <v>1095</v>
      </c>
      <c r="R84" s="183"/>
      <c r="S84" s="183"/>
      <c r="T84" s="184"/>
      <c r="U84" s="887">
        <f>IF(U76&lt;S25,(S25-U76)*(U$66+'Y1 to Y5'!K$49),0)</f>
        <v>0</v>
      </c>
      <c r="V84" s="888" t="e">
        <f>IF(V76&lt;#REF!,(#REF!-V76)*(V67+1111),0)</f>
        <v>#REF!</v>
      </c>
    </row>
    <row r="85" spans="2:27" x14ac:dyDescent="0.25">
      <c r="B85" s="192"/>
      <c r="C85" s="232"/>
      <c r="D85" s="232"/>
      <c r="E85" s="232"/>
      <c r="F85" s="232"/>
      <c r="G85" s="232"/>
      <c r="H85" s="232"/>
      <c r="I85" s="212"/>
      <c r="J85" s="212"/>
      <c r="K85" s="212"/>
      <c r="L85" s="212"/>
      <c r="M85" s="212"/>
      <c r="N85" s="212"/>
      <c r="O85" s="212"/>
      <c r="P85" s="212"/>
      <c r="Q85" s="182" t="s">
        <v>1096</v>
      </c>
      <c r="R85" s="183"/>
      <c r="S85" s="183"/>
      <c r="T85" s="184"/>
      <c r="U85" s="887">
        <f>IF(U77&lt;S26,(S26-U77)*(U$66+'Y1 to Y5'!K$49),0)</f>
        <v>0</v>
      </c>
      <c r="V85" s="888" t="e">
        <f>IF(V77&lt;#REF!,(#REF!-V77)*(V68+1111),0)</f>
        <v>#REF!</v>
      </c>
    </row>
    <row r="86" spans="2:27" x14ac:dyDescent="0.25">
      <c r="B86" s="192"/>
      <c r="C86" s="232"/>
      <c r="D86" s="232"/>
      <c r="E86" s="232"/>
      <c r="F86" s="232"/>
      <c r="G86" s="232"/>
      <c r="H86" s="232"/>
      <c r="I86" s="212"/>
      <c r="J86" s="212"/>
      <c r="K86" s="212"/>
      <c r="L86" s="212"/>
      <c r="M86" s="212"/>
      <c r="N86" s="212"/>
      <c r="O86" s="212"/>
      <c r="P86" s="212"/>
      <c r="Q86" s="212"/>
      <c r="R86" s="212"/>
      <c r="S86" s="212"/>
      <c r="T86" s="212"/>
      <c r="U86" s="212"/>
      <c r="V86" s="212"/>
    </row>
    <row r="87" spans="2:27" s="21" customFormat="1" x14ac:dyDescent="0.25">
      <c r="B87" s="210"/>
      <c r="C87" s="210"/>
      <c r="D87" s="210"/>
      <c r="E87" s="210"/>
      <c r="F87" s="210"/>
      <c r="G87" s="210"/>
      <c r="H87" s="210"/>
      <c r="I87" s="210"/>
      <c r="J87" s="210"/>
      <c r="K87" s="210"/>
      <c r="L87" s="210"/>
      <c r="M87" s="210"/>
      <c r="N87" s="210"/>
      <c r="O87" s="210"/>
      <c r="P87" s="210"/>
      <c r="Q87" s="210"/>
      <c r="R87" s="210"/>
      <c r="S87" s="210"/>
      <c r="T87" s="210"/>
      <c r="U87" s="210"/>
      <c r="V87" s="210"/>
      <c r="W87" s="206"/>
      <c r="X87" s="210"/>
      <c r="Y87" s="210"/>
      <c r="Z87" s="210"/>
      <c r="AA87" s="210"/>
    </row>
    <row r="88" spans="2:27" s="21" customFormat="1" x14ac:dyDescent="0.25">
      <c r="B88" s="192"/>
      <c r="C88" s="192"/>
      <c r="D88" s="192"/>
      <c r="E88" s="192"/>
      <c r="F88" s="192"/>
      <c r="G88" s="192"/>
      <c r="H88" s="192"/>
      <c r="I88" s="207"/>
      <c r="J88" s="207"/>
      <c r="K88" s="192"/>
      <c r="L88" s="192"/>
      <c r="M88" s="192"/>
      <c r="N88" s="192"/>
      <c r="O88" s="192"/>
      <c r="P88" s="192"/>
      <c r="Q88" s="192"/>
      <c r="R88" s="192"/>
      <c r="S88" s="192"/>
      <c r="T88" s="192"/>
      <c r="U88" s="192"/>
      <c r="V88" s="192"/>
      <c r="W88" s="206"/>
      <c r="X88" s="192"/>
      <c r="Y88" s="192"/>
      <c r="Z88" s="192"/>
      <c r="AA88" s="192"/>
    </row>
    <row r="89" spans="2:27" s="21" customFormat="1" x14ac:dyDescent="0.25">
      <c r="B89" s="192"/>
      <c r="C89" s="192"/>
      <c r="D89" s="192"/>
      <c r="E89" s="192"/>
      <c r="F89" s="192"/>
      <c r="G89" s="192"/>
      <c r="H89" s="192"/>
      <c r="I89" s="207"/>
      <c r="J89" s="207"/>
      <c r="K89" s="192"/>
      <c r="L89" s="192"/>
      <c r="M89" s="192"/>
      <c r="N89" s="192"/>
      <c r="O89" s="192"/>
      <c r="P89" s="192"/>
      <c r="Q89" s="192"/>
      <c r="R89" s="192"/>
      <c r="S89" s="192"/>
      <c r="T89" s="192"/>
      <c r="U89" s="192"/>
      <c r="V89" s="192"/>
      <c r="W89" s="206"/>
      <c r="X89" s="192"/>
      <c r="Y89" s="192"/>
      <c r="Z89" s="192"/>
      <c r="AA89" s="192"/>
    </row>
    <row r="90" spans="2:27" s="21" customFormat="1" ht="9.9499999999999993" customHeight="1" x14ac:dyDescent="0.25">
      <c r="B90" s="199"/>
      <c r="C90" s="199"/>
      <c r="D90" s="199"/>
      <c r="E90" s="199"/>
      <c r="F90" s="199"/>
      <c r="G90" s="199"/>
      <c r="H90" s="199"/>
      <c r="I90" s="200"/>
      <c r="J90" s="200"/>
      <c r="K90" s="199"/>
      <c r="L90" s="199"/>
      <c r="M90" s="199"/>
      <c r="N90" s="199"/>
      <c r="O90" s="199"/>
      <c r="P90" s="199"/>
      <c r="Q90" s="199"/>
      <c r="R90" s="199"/>
      <c r="S90" s="199"/>
      <c r="T90" s="199"/>
      <c r="U90" s="199"/>
      <c r="V90" s="199"/>
      <c r="W90" s="206"/>
      <c r="X90" s="199"/>
      <c r="Y90" s="199"/>
      <c r="Z90" s="199"/>
      <c r="AA90" s="199"/>
    </row>
    <row r="91" spans="2:27" x14ac:dyDescent="0.25">
      <c r="C91" s="208"/>
      <c r="D91" s="208"/>
      <c r="E91" s="208"/>
      <c r="F91" s="208"/>
      <c r="G91" s="208"/>
      <c r="H91" s="208"/>
      <c r="I91" s="208"/>
      <c r="J91" s="208"/>
      <c r="K91" s="208"/>
      <c r="L91" s="208"/>
      <c r="M91" s="208"/>
      <c r="N91" s="208"/>
      <c r="O91" s="208"/>
      <c r="P91" s="208"/>
      <c r="Q91" s="208"/>
      <c r="R91" s="208"/>
      <c r="S91" s="208"/>
      <c r="T91" s="208"/>
      <c r="U91" s="208"/>
      <c r="V91" s="208"/>
    </row>
    <row r="92" spans="2:27" hidden="1" x14ac:dyDescent="0.25">
      <c r="L92" s="176"/>
    </row>
    <row r="93" spans="2:27" hidden="1" x14ac:dyDescent="0.25">
      <c r="L93" s="176"/>
    </row>
    <row r="94" spans="2:27" hidden="1" x14ac:dyDescent="0.25">
      <c r="L94" s="176"/>
    </row>
    <row r="95" spans="2:27" hidden="1" x14ac:dyDescent="0.25">
      <c r="L95" s="176"/>
    </row>
    <row r="96" spans="2:27" hidden="1" x14ac:dyDescent="0.25">
      <c r="L96" s="176"/>
    </row>
    <row r="97" spans="12:12" hidden="1" x14ac:dyDescent="0.25">
      <c r="L97" s="176"/>
    </row>
    <row r="98" spans="12:12" hidden="1" x14ac:dyDescent="0.25">
      <c r="L98" s="176"/>
    </row>
    <row r="99" spans="12:12" hidden="1" x14ac:dyDescent="0.25">
      <c r="L99" s="176"/>
    </row>
    <row r="100" spans="12:12" hidden="1" x14ac:dyDescent="0.25">
      <c r="L100" s="176"/>
    </row>
    <row r="101" spans="12:12" hidden="1" x14ac:dyDescent="0.25">
      <c r="L101" s="176"/>
    </row>
    <row r="102" spans="12:12" x14ac:dyDescent="0.25"/>
    <row r="103" spans="12:12" x14ac:dyDescent="0.25"/>
    <row r="104" spans="12:12" x14ac:dyDescent="0.25"/>
    <row r="105" spans="12:12" x14ac:dyDescent="0.25"/>
    <row r="106" spans="12:12" x14ac:dyDescent="0.25"/>
    <row r="107" spans="12:12" x14ac:dyDescent="0.25"/>
    <row r="108" spans="12:12" x14ac:dyDescent="0.25"/>
    <row r="109" spans="12:12" x14ac:dyDescent="0.25"/>
  </sheetData>
  <sheetProtection formatCells="0" selectLockedCells="1"/>
  <mergeCells count="147">
    <mergeCell ref="B6:F13"/>
    <mergeCell ref="U84:V84"/>
    <mergeCell ref="U85:V85"/>
    <mergeCell ref="Q68:T68"/>
    <mergeCell ref="U76:V76"/>
    <mergeCell ref="U77:V77"/>
    <mergeCell ref="U79:V79"/>
    <mergeCell ref="U80:V80"/>
    <mergeCell ref="U81:V81"/>
    <mergeCell ref="U83:V83"/>
    <mergeCell ref="U68:V68"/>
    <mergeCell ref="U70:V70"/>
    <mergeCell ref="U71:V71"/>
    <mergeCell ref="U72:V72"/>
    <mergeCell ref="U73:V73"/>
    <mergeCell ref="U75:V75"/>
    <mergeCell ref="N67:O67"/>
    <mergeCell ref="N68:O68"/>
    <mergeCell ref="N69:O69"/>
    <mergeCell ref="Q81:T81"/>
    <mergeCell ref="G51:M53"/>
    <mergeCell ref="G69:H69"/>
    <mergeCell ref="G72:H72"/>
    <mergeCell ref="G74:H74"/>
    <mergeCell ref="C64:F64"/>
    <mergeCell ref="G66:H66"/>
    <mergeCell ref="N66:O66"/>
    <mergeCell ref="N71:O71"/>
    <mergeCell ref="N74:O74"/>
    <mergeCell ref="N77:O77"/>
    <mergeCell ref="J64:M64"/>
    <mergeCell ref="U58:V58"/>
    <mergeCell ref="Q59:R59"/>
    <mergeCell ref="S59:T59"/>
    <mergeCell ref="U59:V59"/>
    <mergeCell ref="G58:O58"/>
    <mergeCell ref="G59:O59"/>
    <mergeCell ref="U65:V65"/>
    <mergeCell ref="U66:V66"/>
    <mergeCell ref="Q64:T64"/>
    <mergeCell ref="U55:V55"/>
    <mergeCell ref="Q56:R56"/>
    <mergeCell ref="S56:T56"/>
    <mergeCell ref="U56:V56"/>
    <mergeCell ref="Q57:R57"/>
    <mergeCell ref="G48:M50"/>
    <mergeCell ref="G55:O55"/>
    <mergeCell ref="G56:O56"/>
    <mergeCell ref="G57:O57"/>
    <mergeCell ref="U49:V49"/>
    <mergeCell ref="U50:V50"/>
    <mergeCell ref="U57:V57"/>
    <mergeCell ref="N50:O50"/>
    <mergeCell ref="Q49:R49"/>
    <mergeCell ref="U51:V51"/>
    <mergeCell ref="S52:T52"/>
    <mergeCell ref="U52:V52"/>
    <mergeCell ref="S53:T53"/>
    <mergeCell ref="U53:V53"/>
    <mergeCell ref="Q51:R51"/>
    <mergeCell ref="Q52:R52"/>
    <mergeCell ref="Q53:R53"/>
    <mergeCell ref="S51:T51"/>
    <mergeCell ref="N51:O51"/>
    <mergeCell ref="S50:T50"/>
    <mergeCell ref="S43:T43"/>
    <mergeCell ref="C55:F59"/>
    <mergeCell ref="Q55:R55"/>
    <mergeCell ref="S55:T55"/>
    <mergeCell ref="Q58:R58"/>
    <mergeCell ref="S58:T58"/>
    <mergeCell ref="Q47:R47"/>
    <mergeCell ref="N47:O47"/>
    <mergeCell ref="N52:O52"/>
    <mergeCell ref="N53:O53"/>
    <mergeCell ref="S57:T57"/>
    <mergeCell ref="N45:O45"/>
    <mergeCell ref="N46:O46"/>
    <mergeCell ref="N48:O48"/>
    <mergeCell ref="N49:O49"/>
    <mergeCell ref="Q48:R48"/>
    <mergeCell ref="S48:T48"/>
    <mergeCell ref="C37:F37"/>
    <mergeCell ref="U41:V41"/>
    <mergeCell ref="Q41:R41"/>
    <mergeCell ref="S41:T41"/>
    <mergeCell ref="G42:O42"/>
    <mergeCell ref="U42:V42"/>
    <mergeCell ref="G37:K37"/>
    <mergeCell ref="U43:V43"/>
    <mergeCell ref="Q44:R44"/>
    <mergeCell ref="S44:T44"/>
    <mergeCell ref="U44:V44"/>
    <mergeCell ref="G43:O43"/>
    <mergeCell ref="G44:O44"/>
    <mergeCell ref="L37:Q37"/>
    <mergeCell ref="C42:F53"/>
    <mergeCell ref="G45:M47"/>
    <mergeCell ref="Q42:R42"/>
    <mergeCell ref="Q43:R43"/>
    <mergeCell ref="S49:T49"/>
    <mergeCell ref="Q50:R50"/>
    <mergeCell ref="U45:V45"/>
    <mergeCell ref="Q46:R46"/>
    <mergeCell ref="S46:T46"/>
    <mergeCell ref="U46:V46"/>
    <mergeCell ref="U48:V48"/>
    <mergeCell ref="S33:U33"/>
    <mergeCell ref="S34:U34"/>
    <mergeCell ref="S37:T37"/>
    <mergeCell ref="U47:V47"/>
    <mergeCell ref="S47:T47"/>
    <mergeCell ref="S45:T45"/>
    <mergeCell ref="Q45:R45"/>
    <mergeCell ref="G34:K34"/>
    <mergeCell ref="G35:K35"/>
    <mergeCell ref="L33:Q33"/>
    <mergeCell ref="L35:Q35"/>
    <mergeCell ref="S42:T42"/>
    <mergeCell ref="C28:F31"/>
    <mergeCell ref="C33:F35"/>
    <mergeCell ref="S28:T28"/>
    <mergeCell ref="S29:T29"/>
    <mergeCell ref="S30:T30"/>
    <mergeCell ref="G28:K28"/>
    <mergeCell ref="G29:K29"/>
    <mergeCell ref="G30:K30"/>
    <mergeCell ref="G31:K31"/>
    <mergeCell ref="L28:Q28"/>
    <mergeCell ref="L29:Q29"/>
    <mergeCell ref="L30:Q30"/>
    <mergeCell ref="L31:Q31"/>
    <mergeCell ref="G33:K33"/>
    <mergeCell ref="L34:Q34"/>
    <mergeCell ref="S31:T31"/>
    <mergeCell ref="S24:T24"/>
    <mergeCell ref="S25:T25"/>
    <mergeCell ref="S26:T26"/>
    <mergeCell ref="C21:F21"/>
    <mergeCell ref="G21:K21"/>
    <mergeCell ref="L26:Q26"/>
    <mergeCell ref="C24:F26"/>
    <mergeCell ref="G24:K24"/>
    <mergeCell ref="G25:K25"/>
    <mergeCell ref="G26:K26"/>
    <mergeCell ref="L24:Q24"/>
    <mergeCell ref="L25:Q25"/>
  </mergeCells>
  <pageMargins left="0.7" right="0.7" top="0.75" bottom="0.75" header="0.3" footer="0.3"/>
  <pageSetup orientation="portrait" horizontalDpi="4294967292" verticalDpi="4294967292" r:id="rId1"/>
  <drawing r:id="rId2"/>
  <extLst>
    <ext xmlns:x14="http://schemas.microsoft.com/office/spreadsheetml/2009/9/main" uri="{78C0D931-6437-407d-A8EE-F0AAD7539E65}">
      <x14:conditionalFormattings>
        <x14:conditionalFormatting xmlns:xm="http://schemas.microsoft.com/office/excel/2006/main">
          <x14:cfRule type="expression" priority="1" id="{9DD47AE2-8899-4382-9A6E-D246C3BC77E2}">
            <xm:f>IF(Setup!$B$7="Losses/Provisions",TRUE,FALSE)</xm:f>
            <x14:dxf>
              <font>
                <color rgb="FFFF0000"/>
              </font>
            </x14:dxf>
          </x14:cfRule>
          <xm:sqref>G34:K34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Variables!$AL$2:$AL$9</xm:f>
          </x14:formula1>
          <xm:sqref>G21:K21</xm:sqref>
        </x14:dataValidation>
        <x14:dataValidation type="list" allowBlank="1" showInputMessage="1" showErrorMessage="1">
          <x14:formula1>
            <xm:f>Variables!$AG$2:$AG$12</xm:f>
          </x14:formula1>
          <xm:sqref>L28:Q28</xm:sqref>
        </x14:dataValidation>
        <x14:dataValidation type="list" allowBlank="1" showInputMessage="1" showErrorMessage="1">
          <x14:formula1>
            <xm:f>Variables!$AH$2:$AH$13</xm:f>
          </x14:formula1>
          <xm:sqref>L29:Q29</xm:sqref>
        </x14:dataValidation>
        <x14:dataValidation type="list" allowBlank="1" showInputMessage="1" showErrorMessage="1">
          <x14:formula1>
            <xm:f>Variables!$AI$2:$AI$15</xm:f>
          </x14:formula1>
          <xm:sqref>L30:Q30</xm:sqref>
        </x14:dataValidation>
        <x14:dataValidation type="list" allowBlank="1" showInputMessage="1" showErrorMessage="1">
          <x14:formula1>
            <xm:f>Variables!$AJ$2:$AJ$23</xm:f>
          </x14:formula1>
          <xm:sqref>L33:Q33</xm:sqref>
        </x14:dataValidation>
        <x14:dataValidation type="list" allowBlank="1" showInputMessage="1" showErrorMessage="1">
          <x14:formula1>
            <xm:f>Variables!$M$2:$M$5</xm:f>
          </x14:formula1>
          <xm:sqref>S33:U33</xm:sqref>
        </x14:dataValidation>
        <x14:dataValidation type="list" allowBlank="1" showInputMessage="1" showErrorMessage="1">
          <x14:formula1>
            <xm:f>Variables!$L$2:$L$6</xm:f>
          </x14:formula1>
          <xm:sqref>S34:U34</xm:sqref>
        </x14:dataValidation>
        <x14:dataValidation type="list" allowBlank="1" showInputMessage="1" showErrorMessage="1">
          <x14:formula1>
            <xm:f>Variables!$AB$2:$AB$6</xm:f>
          </x14:formula1>
          <xm:sqref>L35:Q35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BD23"/>
  <sheetViews>
    <sheetView topLeftCell="AQ1" workbookViewId="0">
      <selection activeCell="BD2" sqref="BD2:BD11"/>
    </sheetView>
  </sheetViews>
  <sheetFormatPr defaultColWidth="16" defaultRowHeight="52.5" customHeight="1" x14ac:dyDescent="0.25"/>
  <cols>
    <col min="2" max="5" width="3" bestFit="1" customWidth="1"/>
    <col min="6" max="8" width="12.85546875" bestFit="1" customWidth="1"/>
    <col min="9" max="10" width="14.42578125" bestFit="1" customWidth="1"/>
    <col min="11" max="11" width="11.42578125" bestFit="1" customWidth="1"/>
    <col min="13" max="14" width="15.42578125" bestFit="1" customWidth="1"/>
    <col min="15" max="15" width="8.28515625" bestFit="1" customWidth="1"/>
    <col min="16" max="16" width="5.140625" bestFit="1" customWidth="1"/>
    <col min="17" max="17" width="12.7109375" bestFit="1" customWidth="1"/>
    <col min="18" max="18" width="14.140625" bestFit="1" customWidth="1"/>
    <col min="20" max="20" width="13.7109375" bestFit="1" customWidth="1"/>
    <col min="21" max="21" width="15.85546875" bestFit="1" customWidth="1"/>
    <col min="22" max="22" width="9.42578125" bestFit="1" customWidth="1"/>
    <col min="26" max="26" width="15.85546875" bestFit="1" customWidth="1"/>
    <col min="27" max="27" width="18.28515625" bestFit="1" customWidth="1"/>
    <col min="28" max="28" width="15.7109375" bestFit="1" customWidth="1"/>
    <col min="29" max="29" width="13.85546875" bestFit="1" customWidth="1"/>
    <col min="31" max="31" width="15.140625" bestFit="1" customWidth="1"/>
    <col min="32" max="32" width="15.7109375" bestFit="1" customWidth="1"/>
    <col min="33" max="33" width="19.42578125" bestFit="1" customWidth="1"/>
    <col min="34" max="34" width="14.42578125" bestFit="1" customWidth="1"/>
    <col min="35" max="35" width="15.7109375" bestFit="1" customWidth="1"/>
    <col min="36" max="36" width="15.42578125" bestFit="1" customWidth="1"/>
    <col min="37" max="37" width="13.7109375" bestFit="1" customWidth="1"/>
    <col min="38" max="38" width="15.42578125" bestFit="1" customWidth="1"/>
    <col min="39" max="39" width="14.7109375" bestFit="1" customWidth="1"/>
    <col min="40" max="40" width="14" bestFit="1" customWidth="1"/>
    <col min="41" max="41" width="6" bestFit="1" customWidth="1"/>
    <col min="42" max="42" width="11.28515625" bestFit="1" customWidth="1"/>
    <col min="43" max="43" width="10.140625" bestFit="1" customWidth="1"/>
    <col min="44" max="44" width="13.42578125" bestFit="1" customWidth="1"/>
  </cols>
  <sheetData>
    <row r="1" spans="2:56" s="9" customFormat="1" ht="52.5" customHeight="1" x14ac:dyDescent="0.25">
      <c r="B1" s="1288" t="s">
        <v>793</v>
      </c>
      <c r="C1" s="1289"/>
      <c r="D1" s="1289"/>
      <c r="E1" s="1290"/>
      <c r="F1" s="129" t="s">
        <v>794</v>
      </c>
      <c r="G1" s="129" t="s">
        <v>795</v>
      </c>
      <c r="H1" s="129" t="s">
        <v>796</v>
      </c>
      <c r="I1" s="130" t="s">
        <v>797</v>
      </c>
      <c r="J1" s="130" t="s">
        <v>798</v>
      </c>
      <c r="K1" s="130" t="s">
        <v>799</v>
      </c>
      <c r="L1" s="129" t="s">
        <v>253</v>
      </c>
      <c r="M1" s="129" t="s">
        <v>800</v>
      </c>
      <c r="N1" s="130" t="s">
        <v>801</v>
      </c>
      <c r="O1" s="130" t="s">
        <v>802</v>
      </c>
      <c r="P1" s="130" t="s">
        <v>0</v>
      </c>
      <c r="Q1" s="130" t="s">
        <v>803</v>
      </c>
      <c r="R1" s="130" t="s">
        <v>804</v>
      </c>
      <c r="S1" s="129" t="s">
        <v>805</v>
      </c>
      <c r="T1" s="129" t="s">
        <v>806</v>
      </c>
      <c r="U1" s="129" t="s">
        <v>807</v>
      </c>
      <c r="V1" s="129" t="s">
        <v>808</v>
      </c>
      <c r="W1" s="129" t="s">
        <v>809</v>
      </c>
      <c r="X1" s="129" t="s">
        <v>918</v>
      </c>
      <c r="Z1" s="129" t="s">
        <v>810</v>
      </c>
      <c r="AA1" s="129" t="s">
        <v>811</v>
      </c>
      <c r="AB1" s="129" t="s">
        <v>812</v>
      </c>
      <c r="AC1" s="129" t="s">
        <v>813</v>
      </c>
      <c r="AD1" s="129" t="s">
        <v>814</v>
      </c>
      <c r="AE1" s="129" t="s">
        <v>815</v>
      </c>
      <c r="AF1" s="130" t="s">
        <v>816</v>
      </c>
      <c r="AG1" s="131" t="s">
        <v>817</v>
      </c>
      <c r="AH1" s="131" t="s">
        <v>818</v>
      </c>
      <c r="AI1" s="131" t="s">
        <v>819</v>
      </c>
      <c r="AJ1" s="131" t="s">
        <v>820</v>
      </c>
      <c r="AK1" s="131" t="s">
        <v>821</v>
      </c>
      <c r="AL1" s="131" t="s">
        <v>822</v>
      </c>
      <c r="AM1" s="131" t="s">
        <v>823</v>
      </c>
      <c r="AN1" s="131" t="s">
        <v>824</v>
      </c>
      <c r="AO1" s="131" t="s">
        <v>825</v>
      </c>
      <c r="AP1" s="131" t="s">
        <v>826</v>
      </c>
      <c r="AQ1" s="131" t="s">
        <v>827</v>
      </c>
      <c r="AR1" s="131" t="s">
        <v>828</v>
      </c>
      <c r="AU1" s="131" t="s">
        <v>1228</v>
      </c>
      <c r="AV1" s="131" t="s">
        <v>1229</v>
      </c>
      <c r="AW1" s="131" t="s">
        <v>1230</v>
      </c>
    </row>
    <row r="2" spans="2:56" s="22" customFormat="1" ht="52.5" customHeight="1" x14ac:dyDescent="0.25">
      <c r="B2" s="132">
        <v>6</v>
      </c>
      <c r="C2" s="132">
        <v>28</v>
      </c>
      <c r="D2" s="132">
        <v>40</v>
      </c>
      <c r="E2" s="133">
        <v>3</v>
      </c>
      <c r="F2" s="132" t="s">
        <v>829</v>
      </c>
      <c r="G2" s="132" t="s">
        <v>829</v>
      </c>
      <c r="H2" s="132" t="s">
        <v>829</v>
      </c>
      <c r="I2" s="134" t="s">
        <v>830</v>
      </c>
      <c r="J2" s="135" t="s">
        <v>830</v>
      </c>
      <c r="K2" s="136" t="s">
        <v>831</v>
      </c>
      <c r="L2" s="137" t="s">
        <v>831</v>
      </c>
      <c r="M2" s="134" t="s">
        <v>831</v>
      </c>
      <c r="N2" s="138" t="s">
        <v>832</v>
      </c>
      <c r="O2" s="135" t="s">
        <v>833</v>
      </c>
      <c r="P2" s="135" t="s">
        <v>834</v>
      </c>
      <c r="Q2" s="132" t="str">
        <f>IF(Setup!H10="Yes","Fine-granular sectors","")</f>
        <v>Fine-granular sectors</v>
      </c>
      <c r="R2" s="139" t="s">
        <v>835</v>
      </c>
      <c r="S2" s="132" t="s">
        <v>836</v>
      </c>
      <c r="T2" s="140" t="s">
        <v>1017</v>
      </c>
      <c r="U2" s="133" t="s">
        <v>838</v>
      </c>
      <c r="V2" s="145" t="s">
        <v>855</v>
      </c>
      <c r="W2" s="137" t="s">
        <v>327</v>
      </c>
      <c r="X2" s="174" t="s">
        <v>919</v>
      </c>
      <c r="Y2" s="9"/>
      <c r="Z2" s="137" t="str">
        <f>Satellite!D20</f>
        <v>Baseline</v>
      </c>
      <c r="AA2" s="141" t="s">
        <v>840</v>
      </c>
      <c r="AB2" s="132" t="str">
        <f>Input!O108</f>
        <v>Largest Exposure</v>
      </c>
      <c r="AC2" s="132" t="s">
        <v>841</v>
      </c>
      <c r="AD2" s="132" t="s">
        <v>842</v>
      </c>
      <c r="AE2" s="132" t="s">
        <v>1151</v>
      </c>
      <c r="AF2" s="132" t="s">
        <v>843</v>
      </c>
      <c r="AG2" s="132" t="s">
        <v>786</v>
      </c>
      <c r="AH2" s="132" t="s">
        <v>786</v>
      </c>
      <c r="AI2" s="132" t="s">
        <v>786</v>
      </c>
      <c r="AJ2" s="132" t="s">
        <v>786</v>
      </c>
      <c r="AK2" s="132" t="s">
        <v>786</v>
      </c>
      <c r="AL2" s="132" t="s">
        <v>786</v>
      </c>
      <c r="AM2" s="132" t="s">
        <v>844</v>
      </c>
      <c r="AN2" s="142">
        <v>1000</v>
      </c>
      <c r="AO2" s="143">
        <v>1</v>
      </c>
      <c r="AP2" s="143">
        <v>0</v>
      </c>
      <c r="AQ2" s="144" t="s">
        <v>845</v>
      </c>
      <c r="AR2" s="144" t="s">
        <v>846</v>
      </c>
      <c r="AS2" s="22">
        <v>1</v>
      </c>
      <c r="AT2" s="22" t="str">
        <f>Input!B25</f>
        <v>Financial Statements/Balance Sheet</v>
      </c>
      <c r="AU2" s="132" t="s">
        <v>829</v>
      </c>
      <c r="AV2" s="132" t="s">
        <v>829</v>
      </c>
      <c r="AW2" s="132" t="s">
        <v>1231</v>
      </c>
      <c r="AX2" s="22" t="str">
        <f>Satellite!D31</f>
        <v>Country Level NPLs/PDs</v>
      </c>
      <c r="AY2" s="22" t="s">
        <v>1398</v>
      </c>
      <c r="AZ2" s="22" t="s">
        <v>120</v>
      </c>
      <c r="BA2" s="22" t="s">
        <v>178</v>
      </c>
      <c r="BB2" s="22" t="s">
        <v>197</v>
      </c>
      <c r="BC2" s="22" t="s">
        <v>152</v>
      </c>
      <c r="BD2" s="22" t="s">
        <v>161</v>
      </c>
    </row>
    <row r="3" spans="2:56" s="22" customFormat="1" ht="52.5" customHeight="1" x14ac:dyDescent="0.25">
      <c r="B3" s="139">
        <v>7</v>
      </c>
      <c r="C3" s="139">
        <v>29</v>
      </c>
      <c r="D3" s="139">
        <v>41</v>
      </c>
      <c r="E3" s="145">
        <v>4</v>
      </c>
      <c r="F3" s="139" t="s">
        <v>837</v>
      </c>
      <c r="G3" s="139" t="s">
        <v>837</v>
      </c>
      <c r="H3" s="139" t="s">
        <v>847</v>
      </c>
      <c r="I3" s="146" t="s">
        <v>797</v>
      </c>
      <c r="J3" s="147" t="s">
        <v>797</v>
      </c>
      <c r="K3" s="148" t="s">
        <v>848</v>
      </c>
      <c r="L3" s="139" t="s">
        <v>849</v>
      </c>
      <c r="M3" s="149" t="s">
        <v>849</v>
      </c>
      <c r="N3" s="150" t="s">
        <v>850</v>
      </c>
      <c r="O3" s="151" t="s">
        <v>851</v>
      </c>
      <c r="P3" s="151" t="s">
        <v>852</v>
      </c>
      <c r="Q3" s="139" t="str">
        <f>IF(Setup!D10="Yes","Broad sectors (Basel II)","")</f>
        <v>Broad sectors (Basel II)</v>
      </c>
      <c r="R3" s="152" t="s">
        <v>853</v>
      </c>
      <c r="S3" s="139">
        <v>1</v>
      </c>
      <c r="T3" s="153" t="s">
        <v>854</v>
      </c>
      <c r="U3" s="154" t="s">
        <v>836</v>
      </c>
      <c r="V3" s="154" t="s">
        <v>872</v>
      </c>
      <c r="W3" s="155" t="s">
        <v>855</v>
      </c>
      <c r="X3" s="150" t="s">
        <v>920</v>
      </c>
      <c r="Y3" s="9"/>
      <c r="Z3" s="155" t="str">
        <f>Satellite!D21</f>
        <v>Moderate Macro Stress</v>
      </c>
      <c r="AA3" s="156" t="s">
        <v>856</v>
      </c>
      <c r="AB3" s="132" t="str">
        <f>Input!O109</f>
        <v xml:space="preserve">2nd Largest </v>
      </c>
      <c r="AC3" s="157" t="s">
        <v>857</v>
      </c>
      <c r="AD3" s="157" t="s">
        <v>858</v>
      </c>
      <c r="AE3" s="157" t="s">
        <v>859</v>
      </c>
      <c r="AF3" s="157" t="s">
        <v>860</v>
      </c>
      <c r="AG3" s="139" t="str">
        <f>IF(ISTEXT(Parameters!H21),Parameters!H21,"N/A")</f>
        <v>fall in all yield curves (local currency only) by 100 bps</v>
      </c>
      <c r="AH3" s="145" t="s">
        <v>861</v>
      </c>
      <c r="AI3" s="139" t="s">
        <v>862</v>
      </c>
      <c r="AJ3" s="139" t="s">
        <v>863</v>
      </c>
      <c r="AK3" s="145" t="s">
        <v>864</v>
      </c>
      <c r="AL3" s="139" t="s">
        <v>817</v>
      </c>
      <c r="AM3" s="139" t="s">
        <v>865</v>
      </c>
      <c r="AN3" s="158">
        <v>1000000</v>
      </c>
      <c r="AO3" s="159">
        <v>2</v>
      </c>
      <c r="AP3" s="159">
        <v>1</v>
      </c>
      <c r="AQ3" s="160" t="s">
        <v>866</v>
      </c>
      <c r="AR3" s="160" t="s">
        <v>867</v>
      </c>
      <c r="AS3" s="22">
        <v>2</v>
      </c>
      <c r="AT3" s="22" t="str">
        <f>Input!B48</f>
        <v>Income Statement</v>
      </c>
      <c r="AU3" s="139" t="s">
        <v>1232</v>
      </c>
      <c r="AV3" s="139" t="s">
        <v>1232</v>
      </c>
      <c r="AW3" s="139" t="s">
        <v>1232</v>
      </c>
      <c r="AX3" s="22" t="str">
        <f>Satellite!D67</f>
        <v>Credit Growth</v>
      </c>
      <c r="AY3" s="22" t="s">
        <v>1399</v>
      </c>
      <c r="AZ3" s="22" t="s">
        <v>121</v>
      </c>
      <c r="BA3" s="22" t="s">
        <v>179</v>
      </c>
      <c r="BB3" s="22" t="s">
        <v>198</v>
      </c>
      <c r="BC3" s="22" t="s">
        <v>153</v>
      </c>
      <c r="BD3" s="22" t="s">
        <v>162</v>
      </c>
    </row>
    <row r="4" spans="2:56" s="22" customFormat="1" ht="52.5" customHeight="1" x14ac:dyDescent="0.25">
      <c r="B4" s="139">
        <v>8</v>
      </c>
      <c r="C4" s="139">
        <v>30</v>
      </c>
      <c r="D4" s="139">
        <v>42</v>
      </c>
      <c r="E4" s="145">
        <v>5</v>
      </c>
      <c r="F4" s="139" t="s">
        <v>868</v>
      </c>
      <c r="G4" s="157" t="s">
        <v>869</v>
      </c>
      <c r="H4" s="139" t="s">
        <v>837</v>
      </c>
      <c r="I4" s="161"/>
      <c r="J4" s="161"/>
      <c r="L4" s="139" t="s">
        <v>870</v>
      </c>
      <c r="M4" s="149" t="s">
        <v>870</v>
      </c>
      <c r="N4" s="161"/>
      <c r="O4" s="157" t="s">
        <v>836</v>
      </c>
      <c r="P4" s="157" t="s">
        <v>871</v>
      </c>
      <c r="Q4" s="157" t="str">
        <f>IF(Setup!L10="Yes","Geographical sectors","")</f>
        <v>Geographical sectors</v>
      </c>
      <c r="R4" s="162"/>
      <c r="S4" s="139">
        <v>2</v>
      </c>
      <c r="T4" s="163"/>
      <c r="U4" s="162"/>
      <c r="V4" s="162"/>
      <c r="W4" s="155" t="s">
        <v>839</v>
      </c>
      <c r="X4" s="9"/>
      <c r="Y4" s="9"/>
      <c r="Z4" s="155" t="str">
        <f>Satellite!D22</f>
        <v>Medium Macro Stress</v>
      </c>
      <c r="AA4" s="164" t="s">
        <v>873</v>
      </c>
      <c r="AB4" s="132" t="str">
        <f>Input!O110</f>
        <v>3rd Largest</v>
      </c>
      <c r="AC4" s="165"/>
      <c r="AD4" s="165"/>
      <c r="AG4" s="139" t="str">
        <f>IF(ISTEXT(Parameters!H22),Parameters!H22,"N/A")</f>
        <v>increase in all yield curves (local currency only) by 100 bps</v>
      </c>
      <c r="AH4" s="145" t="str">
        <f>IF(ISTEXT(Setup!O28),Setup!O28,"N/A")</f>
        <v>Sovereign Bonds</v>
      </c>
      <c r="AI4" s="139" t="s">
        <v>874</v>
      </c>
      <c r="AJ4" s="139" t="str">
        <f>Calculation!E27</f>
        <v>Sovereign</v>
      </c>
      <c r="AK4" s="145" t="s">
        <v>875</v>
      </c>
      <c r="AL4" s="139" t="s">
        <v>876</v>
      </c>
      <c r="AM4" s="139" t="s">
        <v>877</v>
      </c>
      <c r="AN4" s="166">
        <v>1000000000</v>
      </c>
      <c r="AO4" s="159">
        <v>3</v>
      </c>
      <c r="AP4" s="167">
        <v>2</v>
      </c>
      <c r="AS4" s="22">
        <v>3</v>
      </c>
      <c r="AT4" s="22" t="str">
        <f>Input!B65</f>
        <v>Basel Approach used by bank for…</v>
      </c>
      <c r="AU4" s="237" t="s">
        <v>854</v>
      </c>
      <c r="AV4" s="237" t="s">
        <v>869</v>
      </c>
      <c r="AW4" s="237" t="s">
        <v>879</v>
      </c>
      <c r="AX4" s="22" t="str">
        <f>Satellite!D102</f>
        <v>Bank Profit (ROA)</v>
      </c>
      <c r="AY4" s="22" t="s">
        <v>1400</v>
      </c>
      <c r="AZ4" s="22" t="s">
        <v>122</v>
      </c>
      <c r="BA4" s="22" t="s">
        <v>180</v>
      </c>
      <c r="BB4" s="22" t="s">
        <v>199</v>
      </c>
      <c r="BC4" s="22" t="s">
        <v>154</v>
      </c>
      <c r="BD4" s="22" t="s">
        <v>163</v>
      </c>
    </row>
    <row r="5" spans="2:56" s="22" customFormat="1" ht="52.5" customHeight="1" x14ac:dyDescent="0.25">
      <c r="B5" s="139">
        <v>9</v>
      </c>
      <c r="C5" s="139">
        <v>31</v>
      </c>
      <c r="D5" s="139">
        <v>43</v>
      </c>
      <c r="E5" s="145">
        <v>6</v>
      </c>
      <c r="F5" s="157" t="s">
        <v>878</v>
      </c>
      <c r="G5" s="161"/>
      <c r="H5" s="157" t="s">
        <v>879</v>
      </c>
      <c r="I5" s="161"/>
      <c r="J5" s="161"/>
      <c r="L5" s="139" t="s">
        <v>880</v>
      </c>
      <c r="M5" s="150" t="s">
        <v>839</v>
      </c>
      <c r="N5" s="161"/>
      <c r="O5" s="161"/>
      <c r="P5" s="162"/>
      <c r="Q5" s="162"/>
      <c r="R5" s="162"/>
      <c r="S5" s="139">
        <v>3</v>
      </c>
      <c r="T5" s="162"/>
      <c r="U5" s="162"/>
      <c r="V5" s="162"/>
      <c r="W5" s="168" t="s">
        <v>872</v>
      </c>
      <c r="X5" s="9"/>
      <c r="Y5" s="9"/>
      <c r="Z5" s="168" t="str">
        <f>Satellite!D23</f>
        <v>Severe Macro Stress</v>
      </c>
      <c r="AB5" s="132" t="str">
        <f>Input!O111</f>
        <v>Largest 10 exposures</v>
      </c>
      <c r="AC5" s="165"/>
      <c r="AD5" s="165"/>
      <c r="AG5" s="139" t="str">
        <f>IF(ISTEXT(Parameters!H23),Parameters!H23,"N/A")</f>
        <v>fall in all yield curves (worldwide) by 100 bps</v>
      </c>
      <c r="AH5" s="145" t="str">
        <f>IF(ISTEXT(Setup!O29),Setup!O29,"N/A")</f>
        <v>Other Bonds</v>
      </c>
      <c r="AI5" s="139" t="s">
        <v>881</v>
      </c>
      <c r="AJ5" s="139" t="str">
        <f>Calculation!E28</f>
        <v>Non-sovereign public sector entities</v>
      </c>
      <c r="AK5" s="145" t="s">
        <v>882</v>
      </c>
      <c r="AL5" s="139" t="s">
        <v>819</v>
      </c>
      <c r="AM5" s="139" t="s">
        <v>883</v>
      </c>
      <c r="AO5" s="159">
        <v>4</v>
      </c>
      <c r="AP5" s="167">
        <v>3</v>
      </c>
      <c r="AS5" s="22">
        <v>4</v>
      </c>
      <c r="AT5" s="233" t="str">
        <f>Input!B71</f>
        <v>Regulatory Data</v>
      </c>
      <c r="AX5" s="22" t="s">
        <v>1396</v>
      </c>
      <c r="AZ5" s="22" t="s">
        <v>123</v>
      </c>
      <c r="BA5" s="22" t="s">
        <v>181</v>
      </c>
      <c r="BB5" s="22" t="s">
        <v>200</v>
      </c>
      <c r="BC5" s="22" t="s">
        <v>155</v>
      </c>
      <c r="BD5" s="22" t="s">
        <v>164</v>
      </c>
    </row>
    <row r="6" spans="2:56" s="22" customFormat="1" ht="52.5" customHeight="1" x14ac:dyDescent="0.25">
      <c r="B6" s="139">
        <v>10</v>
      </c>
      <c r="C6" s="139">
        <v>32</v>
      </c>
      <c r="D6" s="139">
        <v>44</v>
      </c>
      <c r="E6" s="145">
        <v>7</v>
      </c>
      <c r="F6" s="162"/>
      <c r="G6" s="162"/>
      <c r="H6" s="162"/>
      <c r="I6" s="162"/>
      <c r="J6" s="162"/>
      <c r="L6" s="157" t="s">
        <v>839</v>
      </c>
      <c r="M6" s="162"/>
      <c r="N6" s="162"/>
      <c r="O6" s="162"/>
      <c r="P6" s="162"/>
      <c r="Q6" s="162"/>
      <c r="R6" s="162"/>
      <c r="S6" s="132" t="s">
        <v>786</v>
      </c>
      <c r="T6" s="162"/>
      <c r="U6" s="162"/>
      <c r="V6" s="170"/>
      <c r="W6" s="155"/>
      <c r="X6" s="9"/>
      <c r="Y6" s="9"/>
      <c r="AB6" s="132" t="str">
        <f>Input!O112</f>
        <v>Total Large Exposures</v>
      </c>
      <c r="AC6" s="165"/>
      <c r="AD6" s="165"/>
      <c r="AG6" s="139" t="str">
        <f>IF(ISTEXT(Parameters!H24),Parameters!H24,"N/A")</f>
        <v>increase in all yield curves (worldwide) by 100 bps</v>
      </c>
      <c r="AH6" s="145" t="str">
        <f>IF(ISTEXT(Setup!O30),Setup!O30,"N/A")</f>
        <v>Equity</v>
      </c>
      <c r="AI6" s="139" t="str">
        <f>IF(ISTEXT(Setup!O13),Setup!O13,"N/A")</f>
        <v>Sovereign Bonds</v>
      </c>
      <c r="AJ6" s="139" t="str">
        <f>Calculation!E29</f>
        <v>Banks/Institutions</v>
      </c>
      <c r="AK6" s="145" t="s">
        <v>884</v>
      </c>
      <c r="AL6" s="139" t="s">
        <v>885</v>
      </c>
      <c r="AM6" s="139" t="s">
        <v>886</v>
      </c>
      <c r="AO6" s="169">
        <v>5</v>
      </c>
      <c r="AP6" s="167">
        <v>4</v>
      </c>
      <c r="AS6" s="22">
        <v>5</v>
      </c>
      <c r="AT6" s="233" t="str">
        <f>Input!B85</f>
        <v>Market based Financial Soundness Indicators (for information only)</v>
      </c>
      <c r="AZ6" s="22" t="s">
        <v>124</v>
      </c>
      <c r="BA6" s="22" t="s">
        <v>182</v>
      </c>
      <c r="BB6" s="22" t="s">
        <v>201</v>
      </c>
      <c r="BC6" s="22" t="s">
        <v>41</v>
      </c>
      <c r="BD6" s="22" t="s">
        <v>41</v>
      </c>
    </row>
    <row r="7" spans="2:56" s="22" customFormat="1" ht="52.5" customHeight="1" x14ac:dyDescent="0.25">
      <c r="B7" s="139">
        <v>11</v>
      </c>
      <c r="C7" s="139">
        <v>33</v>
      </c>
      <c r="D7" s="139">
        <v>45</v>
      </c>
      <c r="E7" s="145">
        <v>8</v>
      </c>
      <c r="F7" s="162"/>
      <c r="G7" s="162"/>
      <c r="I7" s="162"/>
      <c r="J7" s="162"/>
      <c r="K7" s="162"/>
      <c r="L7" s="162"/>
      <c r="M7" s="162"/>
      <c r="N7" s="162"/>
      <c r="O7" s="162"/>
      <c r="S7" s="139" t="s">
        <v>887</v>
      </c>
      <c r="T7" s="170"/>
      <c r="U7" s="170"/>
      <c r="V7" s="162"/>
      <c r="W7" s="155"/>
      <c r="X7" s="9"/>
      <c r="Y7" s="9"/>
      <c r="AG7" s="139" t="str">
        <f>IF(ISTEXT(Parameters!H25),Parameters!H25,"N/A")</f>
        <v>fall in all yield curves (worldwide) by 200 bps</v>
      </c>
      <c r="AH7" s="145" t="str">
        <f>IF(ISTEXT(Setup!O31),Setup!O31,"N/A")</f>
        <v>Structured</v>
      </c>
      <c r="AI7" s="139" t="str">
        <f>IF(ISTEXT(Setup!O14),Setup!O14,"N/A")</f>
        <v>Other Bonds</v>
      </c>
      <c r="AJ7" s="139" t="str">
        <f>Calculation!E30</f>
        <v>Corporates</v>
      </c>
      <c r="AK7" s="145" t="s">
        <v>148</v>
      </c>
      <c r="AL7" s="139" t="s">
        <v>888</v>
      </c>
      <c r="AM7" s="157" t="s">
        <v>41</v>
      </c>
      <c r="AP7" s="167">
        <v>5</v>
      </c>
      <c r="AS7" s="22">
        <v>6</v>
      </c>
      <c r="AT7" s="233" t="str">
        <f>Input!B92</f>
        <v>Credit Risk</v>
      </c>
      <c r="AZ7" s="22" t="s">
        <v>125</v>
      </c>
      <c r="BA7" s="22" t="s">
        <v>183</v>
      </c>
      <c r="BB7" s="22" t="s">
        <v>202</v>
      </c>
    </row>
    <row r="8" spans="2:56" s="22" customFormat="1" ht="52.5" customHeight="1" x14ac:dyDescent="0.25">
      <c r="B8" s="139">
        <v>12</v>
      </c>
      <c r="C8" s="139">
        <v>34</v>
      </c>
      <c r="D8" s="139">
        <v>46</v>
      </c>
      <c r="E8" s="145">
        <v>9</v>
      </c>
      <c r="F8" s="162"/>
      <c r="H8" s="162"/>
      <c r="I8" s="162"/>
      <c r="J8" s="162"/>
      <c r="K8" s="162"/>
      <c r="L8" s="162"/>
      <c r="M8" s="162"/>
      <c r="N8" s="162"/>
      <c r="S8" s="139" t="s">
        <v>889</v>
      </c>
      <c r="T8" s="162"/>
      <c r="U8" s="162"/>
      <c r="V8" s="162"/>
      <c r="W8" s="155"/>
      <c r="X8" s="9"/>
      <c r="Y8" s="9"/>
      <c r="AG8" s="139" t="str">
        <f>IF(ISTEXT(Parameters!H26),Parameters!H26,"N/A")</f>
        <v>increase in all yield curves (worldwide) by 200 bps</v>
      </c>
      <c r="AH8" s="145" t="str">
        <f>IF(ISTEXT(Setup!O32),Setup!O32,"N/A")</f>
        <v>Other</v>
      </c>
      <c r="AI8" s="139" t="str">
        <f>IF(ISTEXT(Setup!O15),Setup!O15,"N/A")</f>
        <v>Equity</v>
      </c>
      <c r="AJ8" s="139" t="str">
        <f>Calculation!E31</f>
        <v>SME</v>
      </c>
      <c r="AL8" s="157" t="s">
        <v>890</v>
      </c>
      <c r="AP8" s="167">
        <v>6</v>
      </c>
      <c r="AS8" s="22">
        <v>7</v>
      </c>
      <c r="AT8" s="233" t="str">
        <f>Input!B115</f>
        <v>Market Risk</v>
      </c>
      <c r="AZ8" s="22" t="s">
        <v>126</v>
      </c>
      <c r="BA8" s="22" t="s">
        <v>184</v>
      </c>
      <c r="BB8" s="22" t="s">
        <v>203</v>
      </c>
    </row>
    <row r="9" spans="2:56" s="22" customFormat="1" ht="52.5" customHeight="1" x14ac:dyDescent="0.25">
      <c r="B9" s="139">
        <v>13</v>
      </c>
      <c r="C9" s="139">
        <v>35</v>
      </c>
      <c r="D9" s="139">
        <v>47</v>
      </c>
      <c r="E9" s="145">
        <v>10</v>
      </c>
      <c r="F9" s="162"/>
      <c r="H9" s="162"/>
      <c r="I9" s="162"/>
      <c r="J9" s="162"/>
      <c r="K9" s="162"/>
      <c r="L9" s="162"/>
      <c r="M9" s="162"/>
      <c r="N9" s="162"/>
      <c r="S9" s="139" t="s">
        <v>891</v>
      </c>
      <c r="T9" s="162"/>
      <c r="U9" s="162"/>
      <c r="V9" s="171"/>
      <c r="W9" s="155"/>
      <c r="X9" s="9"/>
      <c r="Y9" s="9"/>
      <c r="AG9" s="139" t="str">
        <f>IF(ISTEXT(Parameters!H27),Parameters!H27,"N/A")</f>
        <v>fall in all yield curves greater than 12 months (worldwide) by 100 bps</v>
      </c>
      <c r="AH9" s="145" t="str">
        <f>IF(ISTEXT(Setup!O33),Setup!O33,"N/A")</f>
        <v>N/A</v>
      </c>
      <c r="AI9" s="139" t="str">
        <f>IF(ISTEXT(Setup!O16),Setup!O16,"N/A")</f>
        <v>Structured</v>
      </c>
      <c r="AJ9" s="139" t="str">
        <f>Calculation!E32</f>
        <v>Retail</v>
      </c>
      <c r="AL9" s="157" t="s">
        <v>892</v>
      </c>
      <c r="AP9" s="167">
        <v>7</v>
      </c>
      <c r="AS9" s="22">
        <v>8</v>
      </c>
      <c r="AT9" s="233" t="str">
        <f>Input!B145</f>
        <v>Credit Risk (Portfolio Level)</v>
      </c>
      <c r="AZ9" s="22" t="s">
        <v>127</v>
      </c>
      <c r="BA9" s="22" t="s">
        <v>185</v>
      </c>
      <c r="BB9" s="22" t="s">
        <v>204</v>
      </c>
    </row>
    <row r="10" spans="2:56" s="22" customFormat="1" ht="52.5" customHeight="1" x14ac:dyDescent="0.25">
      <c r="B10" s="139">
        <v>14</v>
      </c>
      <c r="C10" s="139">
        <v>36</v>
      </c>
      <c r="D10" s="139">
        <v>48</v>
      </c>
      <c r="E10" s="145">
        <v>11</v>
      </c>
      <c r="F10" s="162"/>
      <c r="H10" s="162"/>
      <c r="I10" s="162"/>
      <c r="J10" s="162"/>
      <c r="K10" s="162"/>
      <c r="L10" s="162"/>
      <c r="M10" s="162"/>
      <c r="N10" s="162"/>
      <c r="S10" s="139" t="s">
        <v>893</v>
      </c>
      <c r="T10" s="171"/>
      <c r="U10" s="171"/>
      <c r="V10" s="162"/>
      <c r="W10" s="155"/>
      <c r="X10" s="9"/>
      <c r="Y10" s="9"/>
      <c r="AG10" s="139" t="str">
        <f>IF(ISTEXT(Parameters!H28),Parameters!H28,"N/A")</f>
        <v>increase in all yield curves greater than 12 months (worldwide) by 100 bps</v>
      </c>
      <c r="AH10" s="145" t="str">
        <f>IF(ISTEXT(Setup!O34),Setup!O34,"N/A")</f>
        <v>N/A</v>
      </c>
      <c r="AI10" s="139" t="str">
        <f>IF(ISTEXT(Setup!O17),Setup!O17,"N/A")</f>
        <v>Other</v>
      </c>
      <c r="AJ10" s="139" t="str">
        <f>Calculation!E33</f>
        <v>Residential mortgages</v>
      </c>
      <c r="AP10" s="167">
        <v>8</v>
      </c>
      <c r="AS10" s="22">
        <v>9</v>
      </c>
      <c r="AT10" s="233" t="str">
        <f>Input!B157</f>
        <v>Credit Exposure by Basel II Asset Classes</v>
      </c>
      <c r="AZ10" s="22" t="s">
        <v>30</v>
      </c>
      <c r="BA10" s="22" t="s">
        <v>186</v>
      </c>
      <c r="BB10" s="22" t="s">
        <v>205</v>
      </c>
    </row>
    <row r="11" spans="2:56" s="22" customFormat="1" ht="52.5" customHeight="1" x14ac:dyDescent="0.25">
      <c r="B11" s="139">
        <v>15</v>
      </c>
      <c r="C11" s="139">
        <v>37</v>
      </c>
      <c r="D11" s="139">
        <v>49</v>
      </c>
      <c r="E11" s="139">
        <v>12</v>
      </c>
      <c r="F11" s="162"/>
      <c r="H11" s="162"/>
      <c r="I11" s="162"/>
      <c r="J11" s="162"/>
      <c r="K11" s="162"/>
      <c r="L11" s="162"/>
      <c r="M11" s="162"/>
      <c r="N11" s="162"/>
      <c r="S11" s="157" t="s">
        <v>894</v>
      </c>
      <c r="T11" s="162"/>
      <c r="U11" s="162"/>
      <c r="V11" s="162"/>
      <c r="W11" s="155"/>
      <c r="X11" s="9"/>
      <c r="Y11" s="9"/>
      <c r="AG11" s="139" t="str">
        <f>IF(ISTEXT(Parameters!H29),Parameters!H29,"N/A")</f>
        <v>N/A</v>
      </c>
      <c r="AH11" s="145" t="str">
        <f>IF(ISTEXT(Setup!O35),Setup!O35,"N/A")</f>
        <v>N/A</v>
      </c>
      <c r="AI11" s="139" t="str">
        <f>IF(ISTEXT(Setup!O18),Setup!O18,"N/A")</f>
        <v>N/A</v>
      </c>
      <c r="AJ11" s="139" t="str">
        <f>Calculation!E34</f>
        <v>Securitization</v>
      </c>
      <c r="AP11" s="160">
        <v>9</v>
      </c>
      <c r="AS11" s="22">
        <v>10</v>
      </c>
      <c r="AT11" s="233" t="str">
        <f>Input!B172</f>
        <v>Total credit exposure by region</v>
      </c>
      <c r="AZ11" s="22" t="s">
        <v>128</v>
      </c>
      <c r="BA11" s="22" t="s">
        <v>187</v>
      </c>
      <c r="BB11" s="22" t="s">
        <v>206</v>
      </c>
    </row>
    <row r="12" spans="2:56" s="22" customFormat="1" ht="52.5" customHeight="1" x14ac:dyDescent="0.25">
      <c r="B12" s="139">
        <v>16</v>
      </c>
      <c r="C12" s="139">
        <v>38</v>
      </c>
      <c r="D12" s="139">
        <v>50</v>
      </c>
      <c r="E12" s="139">
        <v>13</v>
      </c>
      <c r="F12" s="162"/>
      <c r="H12" s="162"/>
      <c r="I12" s="162"/>
      <c r="J12" s="162"/>
      <c r="K12" s="162"/>
      <c r="L12" s="162"/>
      <c r="M12" s="162"/>
      <c r="N12" s="162"/>
      <c r="S12" s="162"/>
      <c r="T12" s="162"/>
      <c r="U12" s="162"/>
      <c r="V12" s="172"/>
      <c r="W12" s="22" t="s">
        <v>895</v>
      </c>
      <c r="AG12" s="139" t="str">
        <f>IF(ISTEXT(Parameters!H30),Parameters!H30,"N/A")</f>
        <v>N/A</v>
      </c>
      <c r="AH12" s="145" t="str">
        <f>IF(ISTEXT(Setup!O36),Setup!O36,"N/A")</f>
        <v>N/A</v>
      </c>
      <c r="AI12" s="139" t="str">
        <f>IF(ISTEXT(Setup!O19),Setup!O19,"N/A")</f>
        <v>N/A</v>
      </c>
      <c r="AJ12" s="139" t="str">
        <f>Calculation!E35</f>
        <v>Derivatives</v>
      </c>
      <c r="AS12" s="22">
        <v>11</v>
      </c>
      <c r="AT12" s="233" t="str">
        <f>Input!B197</f>
        <v>PD/NPL ratio</v>
      </c>
      <c r="BA12" s="22" t="s">
        <v>188</v>
      </c>
      <c r="BB12" s="22" t="s">
        <v>41</v>
      </c>
    </row>
    <row r="13" spans="2:56" s="22" customFormat="1" ht="52.5" customHeight="1" x14ac:dyDescent="0.25">
      <c r="B13" s="139">
        <v>17</v>
      </c>
      <c r="C13" s="139"/>
      <c r="D13" s="139">
        <v>51</v>
      </c>
      <c r="E13" s="139">
        <v>14</v>
      </c>
      <c r="F13" s="162"/>
      <c r="H13" s="162"/>
      <c r="I13" s="162"/>
      <c r="J13" s="162"/>
      <c r="K13" s="162"/>
      <c r="L13" s="162"/>
      <c r="M13" s="162"/>
      <c r="N13" s="162"/>
      <c r="S13" s="172"/>
      <c r="T13" s="172"/>
      <c r="U13" s="172"/>
      <c r="V13" s="162"/>
      <c r="W13" s="22" t="s">
        <v>895</v>
      </c>
      <c r="AH13" s="145" t="str">
        <f>IF(ISTEXT(Setup!O37),Setup!O37,"N/A")</f>
        <v>N/A</v>
      </c>
      <c r="AI13" s="139" t="str">
        <f>IF(ISTEXT(Setup!O20),Setup!O20,"N/A")</f>
        <v>N/A</v>
      </c>
      <c r="AJ13" s="139" t="str">
        <f>Calculation!E36</f>
        <v>Off-balance sheet credit</v>
      </c>
      <c r="AS13" s="22">
        <v>12</v>
      </c>
      <c r="AT13" s="233" t="str">
        <f>Input!B222</f>
        <v>LGDs by sector</v>
      </c>
      <c r="BA13" s="22" t="s">
        <v>189</v>
      </c>
    </row>
    <row r="14" spans="2:56" s="22" customFormat="1" ht="52.5" customHeight="1" x14ac:dyDescent="0.25">
      <c r="B14" s="139">
        <v>18</v>
      </c>
      <c r="C14" s="139"/>
      <c r="D14" s="139">
        <v>52</v>
      </c>
      <c r="E14" s="139">
        <v>15</v>
      </c>
      <c r="F14" s="162"/>
      <c r="H14" s="162"/>
      <c r="I14" s="162"/>
      <c r="J14" s="162"/>
      <c r="K14" s="162"/>
      <c r="L14" s="162"/>
      <c r="M14" s="162"/>
      <c r="N14" s="162"/>
      <c r="S14" s="162"/>
      <c r="T14" s="162"/>
      <c r="U14" s="162"/>
      <c r="V14" s="162"/>
      <c r="W14" s="22" t="s">
        <v>895</v>
      </c>
      <c r="AH14" s="173"/>
      <c r="AI14" s="139" t="str">
        <f>IF(ISTEXT(Setup!O21),Setup!O21,"N/A")</f>
        <v>N/A</v>
      </c>
      <c r="AJ14" s="139" t="str">
        <f>Calculation!E37</f>
        <v/>
      </c>
      <c r="AS14" s="22">
        <v>13</v>
      </c>
      <c r="AT14" s="233" t="str">
        <f>Input!B247</f>
        <v>Credit Exposure by rating category (loan book)</v>
      </c>
      <c r="BA14" s="22" t="s">
        <v>41</v>
      </c>
    </row>
    <row r="15" spans="2:56" s="22" customFormat="1" ht="52.5" customHeight="1" x14ac:dyDescent="0.25">
      <c r="B15" s="139">
        <v>19</v>
      </c>
      <c r="C15" s="139"/>
      <c r="D15" s="139">
        <v>53</v>
      </c>
      <c r="E15" s="139">
        <v>16</v>
      </c>
      <c r="F15" s="162"/>
      <c r="H15" s="162"/>
      <c r="I15" s="162"/>
      <c r="J15" s="162"/>
      <c r="K15" s="162"/>
      <c r="L15" s="162"/>
      <c r="M15" s="162"/>
      <c r="N15" s="162"/>
      <c r="S15" s="162"/>
      <c r="T15" s="162"/>
      <c r="U15" s="162"/>
      <c r="V15" s="172"/>
      <c r="W15" s="22" t="s">
        <v>895</v>
      </c>
      <c r="AI15" s="139" t="str">
        <f>IF(ISTEXT(Setup!O22),Setup!O22,"N/A")</f>
        <v>N/A</v>
      </c>
      <c r="AJ15" s="139" t="str">
        <f>Calculation!E38</f>
        <v/>
      </c>
      <c r="AS15" s="22">
        <v>14</v>
      </c>
      <c r="AT15" s="233" t="str">
        <f>Input!B273</f>
        <v>Credit exposure by rating category (off-balance)</v>
      </c>
      <c r="BA15" s="22" t="s">
        <v>190</v>
      </c>
    </row>
    <row r="16" spans="2:56" s="22" customFormat="1" ht="52.5" customHeight="1" x14ac:dyDescent="0.25">
      <c r="B16" s="139">
        <v>20</v>
      </c>
      <c r="C16" s="139"/>
      <c r="D16" s="139">
        <v>54</v>
      </c>
      <c r="E16" s="139">
        <v>17</v>
      </c>
      <c r="F16" s="162"/>
      <c r="H16" s="162"/>
      <c r="I16" s="162"/>
      <c r="J16" s="162"/>
      <c r="K16" s="162"/>
      <c r="L16" s="162"/>
      <c r="M16" s="162"/>
      <c r="N16" s="162"/>
      <c r="S16" s="172"/>
      <c r="T16" s="172"/>
      <c r="U16" s="172"/>
      <c r="V16" s="172"/>
      <c r="AI16" s="173"/>
      <c r="AJ16" s="139" t="str">
        <f>Calculation!E39</f>
        <v/>
      </c>
      <c r="AS16" s="22">
        <v>15</v>
      </c>
      <c r="AT16" s="233" t="str">
        <f>Input!B299</f>
        <v>Credit exposure by rating category (Counterparty Credit Risk Exposure)</v>
      </c>
      <c r="BA16" s="22" t="s">
        <v>191</v>
      </c>
    </row>
    <row r="17" spans="2:53" s="22" customFormat="1" ht="52.5" customHeight="1" x14ac:dyDescent="0.25">
      <c r="B17" s="139">
        <v>21</v>
      </c>
      <c r="C17" s="139"/>
      <c r="D17" s="139">
        <v>55</v>
      </c>
      <c r="E17" s="139">
        <v>18</v>
      </c>
      <c r="F17" s="162"/>
      <c r="H17" s="162"/>
      <c r="I17" s="162"/>
      <c r="J17" s="162"/>
      <c r="K17" s="162"/>
      <c r="L17" s="162"/>
      <c r="M17" s="162"/>
      <c r="N17" s="162"/>
      <c r="S17" s="172"/>
      <c r="T17" s="172"/>
      <c r="U17" s="172"/>
      <c r="V17" s="172"/>
      <c r="AJ17" s="139" t="str">
        <f>Calculation!E40</f>
        <v/>
      </c>
      <c r="AS17" s="22">
        <v>16</v>
      </c>
      <c r="AT17" s="233" t="str">
        <f>Input!B325</f>
        <v>Securitization exposure by Risk-Weight/Rating</v>
      </c>
      <c r="BA17" s="22" t="s">
        <v>192</v>
      </c>
    </row>
    <row r="18" spans="2:53" s="22" customFormat="1" ht="52.5" customHeight="1" x14ac:dyDescent="0.25">
      <c r="B18" s="139">
        <v>22</v>
      </c>
      <c r="C18" s="139"/>
      <c r="D18" s="139">
        <v>56</v>
      </c>
      <c r="E18" s="139">
        <v>19</v>
      </c>
      <c r="F18" s="162"/>
      <c r="H18" s="162"/>
      <c r="I18" s="162"/>
      <c r="J18" s="162"/>
      <c r="K18" s="162"/>
      <c r="L18" s="162"/>
      <c r="M18" s="162"/>
      <c r="N18" s="162"/>
      <c r="S18" s="172"/>
      <c r="T18" s="172"/>
      <c r="U18" s="172"/>
      <c r="V18" s="172"/>
      <c r="AJ18" s="139" t="str">
        <f>Calculation!E41</f>
        <v/>
      </c>
      <c r="AS18" s="22">
        <v>17</v>
      </c>
      <c r="AT18" s="22" t="s">
        <v>1394</v>
      </c>
      <c r="BA18" s="22" t="s">
        <v>127</v>
      </c>
    </row>
    <row r="19" spans="2:53" s="22" customFormat="1" ht="52.5" customHeight="1" x14ac:dyDescent="0.25">
      <c r="B19" s="139">
        <v>23</v>
      </c>
      <c r="C19" s="139"/>
      <c r="D19" s="139">
        <v>57</v>
      </c>
      <c r="E19" s="139">
        <v>20</v>
      </c>
      <c r="F19" s="162"/>
      <c r="H19" s="162"/>
      <c r="I19" s="162"/>
      <c r="J19" s="162"/>
      <c r="K19" s="162"/>
      <c r="L19" s="162"/>
      <c r="M19" s="162"/>
      <c r="N19" s="162"/>
      <c r="S19" s="172"/>
      <c r="T19" s="172"/>
      <c r="U19" s="172"/>
      <c r="V19" s="172"/>
      <c r="AJ19" s="139" t="str">
        <f>Calculation!E42</f>
        <v/>
      </c>
      <c r="AS19" s="22">
        <v>18</v>
      </c>
      <c r="BA19" s="22" t="s">
        <v>30</v>
      </c>
    </row>
    <row r="20" spans="2:53" s="22" customFormat="1" ht="52.5" customHeight="1" x14ac:dyDescent="0.25">
      <c r="B20" s="139">
        <v>24</v>
      </c>
      <c r="C20" s="139"/>
      <c r="D20" s="139">
        <v>58</v>
      </c>
      <c r="E20" s="139">
        <v>21</v>
      </c>
      <c r="F20" s="162"/>
      <c r="H20" s="162"/>
      <c r="I20" s="162"/>
      <c r="J20" s="162"/>
      <c r="K20" s="162"/>
      <c r="L20" s="162"/>
      <c r="M20" s="162"/>
      <c r="N20" s="162"/>
      <c r="S20" s="172"/>
      <c r="T20" s="172"/>
      <c r="U20" s="172"/>
      <c r="V20" s="172"/>
      <c r="AJ20" s="139" t="str">
        <f>Calculation!E43</f>
        <v/>
      </c>
      <c r="AS20" s="22">
        <v>19</v>
      </c>
      <c r="BA20" s="22" t="s">
        <v>193</v>
      </c>
    </row>
    <row r="21" spans="2:53" s="22" customFormat="1" ht="52.5" customHeight="1" x14ac:dyDescent="0.25">
      <c r="B21" s="139">
        <v>25</v>
      </c>
      <c r="C21" s="139"/>
      <c r="D21" s="139">
        <v>59</v>
      </c>
      <c r="E21" s="139">
        <v>22</v>
      </c>
      <c r="F21" s="162"/>
      <c r="H21" s="162"/>
      <c r="I21" s="162"/>
      <c r="J21" s="162"/>
      <c r="K21" s="162"/>
      <c r="L21" s="162"/>
      <c r="M21" s="162"/>
      <c r="N21" s="162"/>
      <c r="S21" s="172"/>
      <c r="T21" s="172"/>
      <c r="U21" s="172"/>
      <c r="V21" s="162"/>
      <c r="AJ21" s="139" t="str">
        <f>Calculation!E44</f>
        <v/>
      </c>
      <c r="AS21" s="22">
        <v>20</v>
      </c>
      <c r="BA21" s="22" t="s">
        <v>128</v>
      </c>
    </row>
    <row r="22" spans="2:53" s="22" customFormat="1" ht="52.5" customHeight="1" x14ac:dyDescent="0.25">
      <c r="B22" s="157">
        <v>26</v>
      </c>
      <c r="C22" s="157"/>
      <c r="D22" s="157">
        <v>60</v>
      </c>
      <c r="E22" s="157">
        <v>23</v>
      </c>
      <c r="F22" s="162"/>
      <c r="H22" s="162"/>
      <c r="I22" s="162"/>
      <c r="J22" s="162"/>
      <c r="K22" s="162"/>
      <c r="L22" s="162"/>
      <c r="M22" s="162"/>
      <c r="N22" s="162"/>
      <c r="S22" s="162"/>
      <c r="T22" s="162"/>
      <c r="U22" s="162"/>
      <c r="V22"/>
      <c r="W22" s="162"/>
      <c r="Z22"/>
      <c r="AJ22" s="139" t="str">
        <f>Calculation!E45</f>
        <v/>
      </c>
    </row>
    <row r="23" spans="2:53" ht="52.5" customHeight="1" x14ac:dyDescent="0.25">
      <c r="AJ23" s="139" t="str">
        <f>Calculation!E46</f>
        <v/>
      </c>
    </row>
  </sheetData>
  <mergeCells count="1">
    <mergeCell ref="B1:E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Country</vt:lpstr>
      <vt:lpstr>Profiles</vt:lpstr>
      <vt:lpstr>Roadmap</vt:lpstr>
      <vt:lpstr>Setup</vt:lpstr>
      <vt:lpstr>Input</vt:lpstr>
      <vt:lpstr>Summary of Input Data</vt:lpstr>
      <vt:lpstr>Parameters</vt:lpstr>
      <vt:lpstr>Satellite</vt:lpstr>
      <vt:lpstr>Assumptions</vt:lpstr>
      <vt:lpstr>Calculation</vt:lpstr>
      <vt:lpstr>Y1 to Y5</vt:lpstr>
      <vt:lpstr>Summary</vt:lpstr>
      <vt:lpstr>Sensitivity</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blackice3</dc:creator>
  <cp:lastModifiedBy>Trajche Manev</cp:lastModifiedBy>
  <dcterms:created xsi:type="dcterms:W3CDTF">2015-03-31T23:40:56Z</dcterms:created>
  <dcterms:modified xsi:type="dcterms:W3CDTF">2016-07-14T05:06:39Z</dcterms:modified>
</cp:coreProperties>
</file>